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0" yWindow="0" windowWidth="20490" windowHeight="7665" firstSheet="43" activeTab="50"/>
  </bookViews>
  <sheets>
    <sheet name="08.01.19" sheetId="113" r:id="rId1"/>
    <sheet name="14.01.19" sheetId="114" r:id="rId2"/>
    <sheet name="21.01.19" sheetId="115" r:id="rId3"/>
    <sheet name="28.01.19" sheetId="116" r:id="rId4"/>
    <sheet name="04.02.19" sheetId="117" r:id="rId5"/>
    <sheet name="11.02.19" sheetId="118" r:id="rId6"/>
    <sheet name="18.02.19" sheetId="119" r:id="rId7"/>
    <sheet name="25.02.19" sheetId="120" r:id="rId8"/>
    <sheet name="04.03.19" sheetId="121" r:id="rId9"/>
    <sheet name="11.03.19" sheetId="122" r:id="rId10"/>
    <sheet name="18.03.19" sheetId="123" r:id="rId11"/>
    <sheet name="25.03.2019" sheetId="124" r:id="rId12"/>
    <sheet name="01.04.19" sheetId="125" r:id="rId13"/>
    <sheet name="08.04.19" sheetId="126" r:id="rId14"/>
    <sheet name="15.04.19" sheetId="127" r:id="rId15"/>
    <sheet name="22.04.19" sheetId="128" r:id="rId16"/>
    <sheet name="06.05.19" sheetId="129" r:id="rId17"/>
    <sheet name="13.05.19" sheetId="130" r:id="rId18"/>
    <sheet name="20.05.19" sheetId="131" r:id="rId19"/>
    <sheet name="27.05.19" sheetId="132" r:id="rId20"/>
    <sheet name="03.06.19" sheetId="133" r:id="rId21"/>
    <sheet name="10.06.19" sheetId="134" r:id="rId22"/>
    <sheet name="18.06.19" sheetId="135" r:id="rId23"/>
    <sheet name="24.06.19" sheetId="136" r:id="rId24"/>
    <sheet name="01.07.19" sheetId="137" r:id="rId25"/>
    <sheet name="08.07.19" sheetId="138" r:id="rId26"/>
    <sheet name="15.07.19" sheetId="139" r:id="rId27"/>
    <sheet name="22.07.19" sheetId="140" r:id="rId28"/>
    <sheet name="29.07.19" sheetId="141" r:id="rId29"/>
    <sheet name="05.08.19" sheetId="142" r:id="rId30"/>
    <sheet name="12.08.19" sheetId="143" r:id="rId31"/>
    <sheet name="19.08.2019" sheetId="144" r:id="rId32"/>
    <sheet name="27.08.19" sheetId="145" r:id="rId33"/>
    <sheet name="02.09.19" sheetId="146" r:id="rId34"/>
    <sheet name="09.09.19" sheetId="147" r:id="rId35"/>
    <sheet name="16.09.19" sheetId="148" r:id="rId36"/>
    <sheet name="23.09.19" sheetId="149" r:id="rId37"/>
    <sheet name="30.09.19" sheetId="150" r:id="rId38"/>
    <sheet name="07.10.19" sheetId="151" r:id="rId39"/>
    <sheet name="15.10.19" sheetId="153" r:id="rId40"/>
    <sheet name="21.10.2019" sheetId="152" r:id="rId41"/>
    <sheet name="28.10.2019" sheetId="154" r:id="rId42"/>
    <sheet name="04.11.2019" sheetId="155" r:id="rId43"/>
    <sheet name="11.11.19" sheetId="156" r:id="rId44"/>
    <sheet name="18.11.19" sheetId="157" r:id="rId45"/>
    <sheet name="25.11.19" sheetId="158" r:id="rId46"/>
    <sheet name="02.12.19" sheetId="159" r:id="rId47"/>
    <sheet name="09.12.19" sheetId="160" r:id="rId48"/>
    <sheet name="16.12.19" sheetId="161" r:id="rId49"/>
    <sheet name="23.12.19" sheetId="162" r:id="rId50"/>
    <sheet name="31.12.19" sheetId="163" r:id="rId51"/>
  </sheets>
  <definedNames>
    <definedName name="_xlnm._FilterDatabase" localSheetId="12" hidden="1">'01.04.19'!$A$9:$S$193</definedName>
    <definedName name="_xlnm._FilterDatabase" localSheetId="24" hidden="1">'01.07.19'!$A$9:$U$197</definedName>
    <definedName name="_xlnm._FilterDatabase" localSheetId="33" hidden="1">'02.09.19'!$A$9:$S$190</definedName>
    <definedName name="_xlnm._FilterDatabase" localSheetId="46" hidden="1">'02.12.19'!$A$9:$Q$197</definedName>
    <definedName name="_xlnm._FilterDatabase" localSheetId="20" hidden="1">'03.06.19'!$A$9:$S$195</definedName>
    <definedName name="_xlnm._FilterDatabase" localSheetId="4" hidden="1">'04.02.19'!$A$9:$U$185</definedName>
    <definedName name="_xlnm._FilterDatabase" localSheetId="8" hidden="1">'04.03.19'!$A$9:$U$185</definedName>
    <definedName name="_xlnm._FilterDatabase" localSheetId="42" hidden="1">'04.11.2019'!$A$9:$Q$195</definedName>
    <definedName name="_xlnm._FilterDatabase" localSheetId="29" hidden="1">'05.08.19'!$A$9:$U$191</definedName>
    <definedName name="_xlnm._FilterDatabase" localSheetId="16" hidden="1">'06.05.19'!$A$9:$S$195</definedName>
    <definedName name="_xlnm._FilterDatabase" localSheetId="38" hidden="1">'07.10.19'!$A$9:$Q$192</definedName>
    <definedName name="_xlnm._FilterDatabase" localSheetId="0" hidden="1">'08.01.19'!$A$9:$U$185</definedName>
    <definedName name="_xlnm._FilterDatabase" localSheetId="13" hidden="1">'08.04.19'!$A$9:$U$193</definedName>
    <definedName name="_xlnm._FilterDatabase" localSheetId="25" hidden="1">'08.07.19'!$A$9:$U$197</definedName>
    <definedName name="_xlnm._FilterDatabase" localSheetId="34" hidden="1">'09.09.19'!$A$8:$Q$192</definedName>
    <definedName name="_xlnm._FilterDatabase" localSheetId="47" hidden="1">'09.12.19'!$A$9:$Q$198</definedName>
    <definedName name="_xlnm._FilterDatabase" localSheetId="21" hidden="1">'10.06.19'!$A$9:$U$9</definedName>
    <definedName name="_xlnm._FilterDatabase" localSheetId="5" hidden="1">'11.02.19'!$A$9:$S$183</definedName>
    <definedName name="_xlnm._FilterDatabase" localSheetId="9" hidden="1">'11.03.19'!$A$9:$S$191</definedName>
    <definedName name="_xlnm._FilterDatabase" localSheetId="43" hidden="1">'11.11.19'!$A$9:$R$195</definedName>
    <definedName name="_xlnm._FilterDatabase" localSheetId="30" hidden="1">'12.08.19'!$A$8:$Q$190</definedName>
    <definedName name="_xlnm._FilterDatabase" localSheetId="17" hidden="1">'13.05.19'!$A$8:$Q$195</definedName>
    <definedName name="_xlnm._FilterDatabase" localSheetId="1" hidden="1">'14.01.19'!$A$9:$U$9</definedName>
    <definedName name="_xlnm._FilterDatabase" localSheetId="14" hidden="1">'15.04.19'!$A$8:$Q$195</definedName>
    <definedName name="_xlnm._FilterDatabase" localSheetId="26" hidden="1">'15.07.19'!$A$8:$Q$197</definedName>
    <definedName name="_xlnm._FilterDatabase" localSheetId="39" hidden="1">'15.10.19'!$A$9:$Q$193</definedName>
    <definedName name="_xlnm._FilterDatabase" localSheetId="35" hidden="1">'16.09.19'!$A$9:$U$192</definedName>
    <definedName name="_xlnm._FilterDatabase" localSheetId="48" hidden="1">'16.12.19'!$A$9:$Q$199</definedName>
    <definedName name="_xlnm._FilterDatabase" localSheetId="6" hidden="1">'18.02.19'!$A$9:$S$185</definedName>
    <definedName name="_xlnm._FilterDatabase" localSheetId="10" hidden="1">'18.03.19'!$A$8:$Q$193</definedName>
    <definedName name="_xlnm._FilterDatabase" localSheetId="22" hidden="1">'18.06.19'!$A$9:$U$197</definedName>
    <definedName name="_xlnm._FilterDatabase" localSheetId="44" hidden="1">'18.11.19'!$A$8:$Q$195</definedName>
    <definedName name="_xlnm._FilterDatabase" localSheetId="31" hidden="1">'19.08.2019'!$A$9:$U$190</definedName>
    <definedName name="_xlnm._FilterDatabase" localSheetId="18" hidden="1">'20.05.19'!$A$9:$S$196</definedName>
    <definedName name="_xlnm._FilterDatabase" localSheetId="2" hidden="1">'21.01.19'!$A$9:$S$185</definedName>
    <definedName name="_xlnm._FilterDatabase" localSheetId="40" hidden="1">'21.10.2019'!$A$8:$Q$195</definedName>
    <definedName name="_xlnm._FilterDatabase" localSheetId="15" hidden="1">'22.04.19'!$A$9:$S$195</definedName>
    <definedName name="_xlnm._FilterDatabase" localSheetId="27" hidden="1">'22.07.19'!$A$9:$S$197</definedName>
    <definedName name="_xlnm._FilterDatabase" localSheetId="36" hidden="1">'23.09.19'!$A$9:$U$192</definedName>
    <definedName name="_xlnm._FilterDatabase" localSheetId="49" hidden="1">'23.12.19'!$A$8:$Q$199</definedName>
    <definedName name="_xlnm._FilterDatabase" localSheetId="23" hidden="1">'24.06.19'!$A$9:$U$197</definedName>
    <definedName name="_xlnm._FilterDatabase" localSheetId="7" hidden="1">'25.02.19'!$A$9:$U$184</definedName>
    <definedName name="_xlnm._FilterDatabase" localSheetId="11" hidden="1">'25.03.2019'!$A$9:$S$193</definedName>
    <definedName name="_xlnm._FilterDatabase" localSheetId="45" hidden="1">'25.11.19'!$A$8:$Q$197</definedName>
    <definedName name="_xlnm._FilterDatabase" localSheetId="19" hidden="1">'27.05.19'!$A$9:$S$197</definedName>
    <definedName name="_xlnm._FilterDatabase" localSheetId="32" hidden="1">'27.08.19'!$A$9:$S$190</definedName>
    <definedName name="_xlnm._FilterDatabase" localSheetId="3" hidden="1">'28.01.19'!$A$9:$U$186</definedName>
    <definedName name="_xlnm._FilterDatabase" localSheetId="28" hidden="1">'29.07.19'!$A$9:$S$193</definedName>
    <definedName name="_xlnm._FilterDatabase" localSheetId="37" hidden="1">'30.09.19'!$A$9:$R$9</definedName>
    <definedName name="_xlnm._FilterDatabase" localSheetId="50" hidden="1">'31.12.19'!$A$9:$T$199</definedName>
  </definedNames>
  <calcPr calcId="162913"/>
</workbook>
</file>

<file path=xl/calcChain.xml><?xml version="1.0" encoding="utf-8"?>
<calcChain xmlns="http://schemas.openxmlformats.org/spreadsheetml/2006/main">
  <c r="P196" i="163" l="1"/>
  <c r="P192" i="163"/>
  <c r="P190" i="163"/>
  <c r="P188" i="163"/>
  <c r="P186" i="163"/>
  <c r="P183" i="163"/>
  <c r="P178" i="163"/>
  <c r="P173" i="163"/>
  <c r="P171" i="163"/>
  <c r="P169" i="163"/>
  <c r="P166" i="163"/>
  <c r="P164" i="163"/>
  <c r="P161" i="163"/>
  <c r="P157" i="163"/>
  <c r="P154" i="163"/>
  <c r="P150" i="163"/>
  <c r="P148" i="163"/>
  <c r="P145" i="163"/>
  <c r="P144" i="163"/>
  <c r="P142" i="163"/>
  <c r="P141" i="163"/>
  <c r="P140" i="163"/>
  <c r="P138" i="163"/>
  <c r="P136" i="163"/>
  <c r="P134" i="163"/>
  <c r="P132" i="163"/>
  <c r="P129" i="163"/>
  <c r="P127" i="163"/>
  <c r="P125" i="163"/>
  <c r="P123" i="163"/>
  <c r="P121" i="163"/>
  <c r="P119" i="163"/>
  <c r="P117" i="163"/>
  <c r="P116" i="163"/>
  <c r="P114" i="163"/>
  <c r="P112" i="163"/>
  <c r="P109" i="163"/>
  <c r="P107" i="163"/>
  <c r="P105" i="163"/>
  <c r="P103" i="163"/>
  <c r="P101" i="163"/>
  <c r="P98" i="163"/>
  <c r="P96" i="163"/>
  <c r="P94" i="163"/>
  <c r="P90" i="163"/>
  <c r="P88" i="163"/>
  <c r="P86" i="163"/>
  <c r="P84" i="163"/>
  <c r="P83" i="163"/>
  <c r="P81" i="163"/>
  <c r="P80" i="163"/>
  <c r="P79" i="163"/>
  <c r="P78" i="163"/>
  <c r="P76" i="163"/>
  <c r="P75" i="163"/>
  <c r="P73" i="163"/>
  <c r="P69" i="163"/>
  <c r="P68" i="163"/>
  <c r="P66" i="163"/>
  <c r="P64" i="163"/>
  <c r="P62" i="163"/>
  <c r="P60" i="163"/>
  <c r="P57" i="163"/>
  <c r="P55" i="163"/>
  <c r="P52" i="163"/>
  <c r="P50" i="163"/>
  <c r="P48" i="163"/>
  <c r="P46" i="163"/>
  <c r="P42" i="163"/>
  <c r="P41" i="163"/>
  <c r="P39" i="163"/>
  <c r="P37" i="163"/>
  <c r="P35" i="163"/>
  <c r="P33" i="163"/>
  <c r="P29" i="163"/>
  <c r="P26" i="163"/>
  <c r="P25" i="163"/>
  <c r="P22" i="163"/>
  <c r="P20" i="163"/>
  <c r="P19" i="163"/>
  <c r="P17" i="163"/>
  <c r="P15" i="163"/>
  <c r="P13" i="163"/>
  <c r="P10" i="163"/>
  <c r="L196" i="163"/>
  <c r="L192" i="163"/>
  <c r="L190" i="163"/>
  <c r="L188" i="163"/>
  <c r="L186" i="163"/>
  <c r="L183" i="163"/>
  <c r="L178" i="163"/>
  <c r="L176" i="163"/>
  <c r="L175" i="163"/>
  <c r="L173" i="163"/>
  <c r="L171" i="163"/>
  <c r="L169" i="163"/>
  <c r="L166" i="163"/>
  <c r="L164" i="163"/>
  <c r="L163" i="163"/>
  <c r="L161" i="163"/>
  <c r="L157" i="163"/>
  <c r="L154" i="163"/>
  <c r="L152" i="163"/>
  <c r="L150" i="163"/>
  <c r="L148" i="163"/>
  <c r="L147" i="163"/>
  <c r="L145" i="163"/>
  <c r="L144" i="163"/>
  <c r="L142" i="163"/>
  <c r="L141" i="163"/>
  <c r="L140" i="163"/>
  <c r="L138" i="163"/>
  <c r="L136" i="163"/>
  <c r="L134" i="163"/>
  <c r="L132" i="163"/>
  <c r="L131" i="163"/>
  <c r="L129" i="163"/>
  <c r="L127" i="163"/>
  <c r="L125" i="163"/>
  <c r="L123" i="163"/>
  <c r="L121" i="163"/>
  <c r="L119" i="163"/>
  <c r="L117" i="163"/>
  <c r="L116" i="163"/>
  <c r="L114" i="163"/>
  <c r="L112" i="163"/>
  <c r="L110" i="163"/>
  <c r="L109" i="163"/>
  <c r="L107" i="163"/>
  <c r="L105" i="163"/>
  <c r="L103" i="163"/>
  <c r="L101" i="163"/>
  <c r="L98" i="163"/>
  <c r="L96" i="163"/>
  <c r="L94" i="163"/>
  <c r="L92" i="163"/>
  <c r="L90" i="163"/>
  <c r="L88" i="163"/>
  <c r="L86" i="163"/>
  <c r="L84" i="163"/>
  <c r="L83" i="163"/>
  <c r="L81" i="163"/>
  <c r="L80" i="163"/>
  <c r="L79" i="163"/>
  <c r="L78" i="163"/>
  <c r="L76" i="163"/>
  <c r="L75" i="163"/>
  <c r="L73" i="163"/>
  <c r="L69" i="163"/>
  <c r="L68" i="163"/>
  <c r="L66" i="163"/>
  <c r="L64" i="163"/>
  <c r="L62" i="163"/>
  <c r="L59" i="163"/>
  <c r="L57" i="163"/>
  <c r="L55" i="163"/>
  <c r="L52" i="163"/>
  <c r="L50" i="163"/>
  <c r="L48" i="163"/>
  <c r="L46" i="163"/>
  <c r="L42" i="163"/>
  <c r="L41" i="163"/>
  <c r="L39" i="163"/>
  <c r="L37" i="163"/>
  <c r="L35" i="163"/>
  <c r="L33" i="163"/>
  <c r="L30" i="163"/>
  <c r="L29" i="163"/>
  <c r="L28" i="163"/>
  <c r="L26" i="163"/>
  <c r="L25" i="163"/>
  <c r="L24" i="163"/>
  <c r="L22" i="163"/>
  <c r="L20" i="163"/>
  <c r="L19" i="163"/>
  <c r="L17" i="163"/>
  <c r="L15" i="163"/>
  <c r="L13" i="163"/>
  <c r="L12" i="163"/>
  <c r="L10" i="163"/>
  <c r="M14" i="163" l="1"/>
  <c r="M16" i="163"/>
  <c r="M18" i="163"/>
  <c r="M21" i="163"/>
  <c r="M23" i="163"/>
  <c r="M27" i="163"/>
  <c r="M31" i="163"/>
  <c r="M32" i="163"/>
  <c r="M34" i="163"/>
  <c r="M36" i="163"/>
  <c r="M38" i="163"/>
  <c r="M40" i="163"/>
  <c r="M43" i="163"/>
  <c r="M44" i="163"/>
  <c r="M45" i="163"/>
  <c r="M47" i="163"/>
  <c r="M49" i="163"/>
  <c r="M51" i="163"/>
  <c r="M53" i="163"/>
  <c r="M54" i="163"/>
  <c r="M56" i="163"/>
  <c r="M58" i="163"/>
  <c r="M60" i="163"/>
  <c r="M61" i="163"/>
  <c r="M63" i="163"/>
  <c r="M65" i="163"/>
  <c r="M67" i="163"/>
  <c r="M70" i="163"/>
  <c r="M71" i="163"/>
  <c r="M72" i="163"/>
  <c r="M74" i="163"/>
  <c r="M77" i="163"/>
  <c r="M82" i="163"/>
  <c r="M85" i="163"/>
  <c r="M87" i="163"/>
  <c r="M89" i="163"/>
  <c r="M91" i="163"/>
  <c r="M93" i="163"/>
  <c r="M95" i="163"/>
  <c r="M97" i="163"/>
  <c r="M99" i="163"/>
  <c r="M100" i="163"/>
  <c r="M102" i="163"/>
  <c r="M104" i="163"/>
  <c r="M106" i="163"/>
  <c r="M108" i="163"/>
  <c r="M111" i="163"/>
  <c r="M113" i="163"/>
  <c r="M115" i="163"/>
  <c r="M118" i="163"/>
  <c r="M120" i="163"/>
  <c r="M122" i="163"/>
  <c r="M124" i="163"/>
  <c r="M126" i="163"/>
  <c r="M128" i="163"/>
  <c r="M130" i="163"/>
  <c r="M133" i="163"/>
  <c r="M135" i="163"/>
  <c r="M137" i="163"/>
  <c r="M139" i="163"/>
  <c r="M143" i="163"/>
  <c r="M146" i="163"/>
  <c r="M149" i="163"/>
  <c r="M151" i="163"/>
  <c r="M153" i="163"/>
  <c r="M155" i="163"/>
  <c r="M156" i="163"/>
  <c r="M158" i="163"/>
  <c r="M159" i="163"/>
  <c r="M160" i="163"/>
  <c r="M162" i="163"/>
  <c r="M165" i="163"/>
  <c r="M167" i="163"/>
  <c r="M168" i="163"/>
  <c r="M170" i="163"/>
  <c r="M172" i="163"/>
  <c r="M174" i="163"/>
  <c r="M177" i="163"/>
  <c r="M179" i="163"/>
  <c r="M180" i="163"/>
  <c r="M181" i="163"/>
  <c r="M182" i="163"/>
  <c r="M184" i="163"/>
  <c r="M185" i="163"/>
  <c r="M187" i="163"/>
  <c r="M189" i="163"/>
  <c r="M191" i="163"/>
  <c r="M193" i="163"/>
  <c r="M194" i="163"/>
  <c r="M195" i="163"/>
  <c r="M11" i="163"/>
  <c r="L10" i="162"/>
  <c r="L12" i="162"/>
  <c r="L13" i="162"/>
  <c r="L15" i="162"/>
  <c r="L17" i="162"/>
  <c r="L19" i="162"/>
  <c r="L20" i="162"/>
  <c r="L22" i="162"/>
  <c r="L25" i="162"/>
  <c r="L26" i="162"/>
  <c r="L28" i="162"/>
  <c r="L29" i="162"/>
  <c r="L30" i="162"/>
  <c r="L33" i="162"/>
  <c r="L35" i="162"/>
  <c r="L37" i="162"/>
  <c r="L39" i="162"/>
  <c r="L41" i="162"/>
  <c r="L42" i="162"/>
  <c r="L46" i="162"/>
  <c r="L48" i="162"/>
  <c r="L50" i="162"/>
  <c r="L52" i="162"/>
  <c r="L55" i="162"/>
  <c r="L57" i="162"/>
  <c r="L59" i="162"/>
  <c r="L62" i="162"/>
  <c r="L64" i="162"/>
  <c r="L66" i="162"/>
  <c r="L68" i="162"/>
  <c r="L69" i="162"/>
  <c r="L73" i="162"/>
  <c r="L75" i="162"/>
  <c r="L76" i="162"/>
  <c r="L78" i="162"/>
  <c r="L79" i="162"/>
  <c r="L80" i="162"/>
  <c r="L81" i="162"/>
  <c r="L83" i="162"/>
  <c r="L84" i="162"/>
  <c r="L86" i="162"/>
  <c r="L88" i="162"/>
  <c r="L90" i="162"/>
  <c r="L92" i="162"/>
  <c r="L94" i="162"/>
  <c r="L96" i="162"/>
  <c r="L98" i="162"/>
  <c r="L101" i="162"/>
  <c r="L103" i="162"/>
  <c r="L105" i="162"/>
  <c r="L107" i="162"/>
  <c r="L109" i="162"/>
  <c r="L110" i="162"/>
  <c r="L112" i="162"/>
  <c r="L114" i="162"/>
  <c r="L116" i="162"/>
  <c r="L117" i="162"/>
  <c r="L119" i="162"/>
  <c r="L121" i="162"/>
  <c r="L123" i="162"/>
  <c r="L125" i="162"/>
  <c r="L127" i="162"/>
  <c r="L129" i="162"/>
  <c r="L131" i="162"/>
  <c r="L132" i="162"/>
  <c r="L134" i="162"/>
  <c r="L136" i="162"/>
  <c r="L138" i="162"/>
  <c r="L140" i="162"/>
  <c r="L141" i="162"/>
  <c r="L142" i="162"/>
  <c r="L144" i="162"/>
  <c r="L145" i="162"/>
  <c r="L148" i="162"/>
  <c r="L150" i="162"/>
  <c r="L154" i="162"/>
  <c r="L157" i="162"/>
  <c r="L161" i="162"/>
  <c r="L163" i="162"/>
  <c r="L164" i="162"/>
  <c r="L166" i="162"/>
  <c r="L169" i="162"/>
  <c r="L171" i="162"/>
  <c r="L173" i="162"/>
  <c r="L175" i="162"/>
  <c r="L178" i="162"/>
  <c r="L183" i="162"/>
  <c r="L186" i="162"/>
  <c r="L188" i="162"/>
  <c r="L190" i="162"/>
  <c r="L192" i="162"/>
  <c r="L196" i="162"/>
  <c r="I197" i="163"/>
  <c r="H197" i="163"/>
  <c r="O196" i="163"/>
  <c r="Q196" i="163" s="1"/>
  <c r="N196" i="163"/>
  <c r="K196" i="163"/>
  <c r="M196" i="163" s="1"/>
  <c r="J196" i="163"/>
  <c r="Q194" i="163"/>
  <c r="Q193" i="163"/>
  <c r="O192" i="163"/>
  <c r="Q192" i="163" s="1"/>
  <c r="N192" i="163"/>
  <c r="K192" i="163"/>
  <c r="M192" i="163" s="1"/>
  <c r="J192" i="163"/>
  <c r="Q191" i="163"/>
  <c r="O190" i="163"/>
  <c r="Q190" i="163" s="1"/>
  <c r="N190" i="163"/>
  <c r="K190" i="163"/>
  <c r="M190" i="163" s="1"/>
  <c r="J190" i="163"/>
  <c r="Q189" i="163"/>
  <c r="O188" i="163"/>
  <c r="Q188" i="163" s="1"/>
  <c r="N188" i="163"/>
  <c r="K188" i="163"/>
  <c r="M188" i="163" s="1"/>
  <c r="J188" i="163"/>
  <c r="Q187" i="163"/>
  <c r="O186" i="163"/>
  <c r="Q186" i="163" s="1"/>
  <c r="N186" i="163"/>
  <c r="K186" i="163"/>
  <c r="M186" i="163" s="1"/>
  <c r="J186" i="163"/>
  <c r="Q185" i="163"/>
  <c r="N185" i="163"/>
  <c r="J185" i="163"/>
  <c r="Q184" i="163"/>
  <c r="O183" i="163"/>
  <c r="N183" i="163"/>
  <c r="K183" i="163"/>
  <c r="M183" i="163" s="1"/>
  <c r="J183" i="163"/>
  <c r="Q182" i="163"/>
  <c r="Q179" i="163"/>
  <c r="O178" i="163"/>
  <c r="Q178" i="163" s="1"/>
  <c r="N178" i="163"/>
  <c r="K178" i="163"/>
  <c r="M178" i="163" s="1"/>
  <c r="J178" i="163"/>
  <c r="Q177" i="163"/>
  <c r="Q176" i="163"/>
  <c r="K176" i="163"/>
  <c r="M176" i="163" s="1"/>
  <c r="K175" i="163"/>
  <c r="M175" i="163" s="1"/>
  <c r="J175" i="163"/>
  <c r="Q174" i="163"/>
  <c r="O173" i="163"/>
  <c r="Q173" i="163" s="1"/>
  <c r="N173" i="163"/>
  <c r="K173" i="163"/>
  <c r="M173" i="163" s="1"/>
  <c r="J173" i="163"/>
  <c r="Q172" i="163"/>
  <c r="O171" i="163"/>
  <c r="Q171" i="163" s="1"/>
  <c r="N171" i="163"/>
  <c r="K171" i="163"/>
  <c r="M171" i="163" s="1"/>
  <c r="J171" i="163"/>
  <c r="Q170" i="163"/>
  <c r="O169" i="163"/>
  <c r="Q169" i="163" s="1"/>
  <c r="N169" i="163"/>
  <c r="K169" i="163"/>
  <c r="M169" i="163" s="1"/>
  <c r="J169" i="163"/>
  <c r="Q168" i="163"/>
  <c r="Q167" i="163"/>
  <c r="O166" i="163"/>
  <c r="Q166" i="163" s="1"/>
  <c r="N166" i="163"/>
  <c r="K166" i="163"/>
  <c r="M166" i="163" s="1"/>
  <c r="J166" i="163"/>
  <c r="Q165" i="163"/>
  <c r="O164" i="163"/>
  <c r="Q164" i="163" s="1"/>
  <c r="N164" i="163"/>
  <c r="K164" i="163"/>
  <c r="M164" i="163" s="1"/>
  <c r="J164" i="163"/>
  <c r="K163" i="163"/>
  <c r="M163" i="163" s="1"/>
  <c r="J163" i="163"/>
  <c r="Q162" i="163"/>
  <c r="O161" i="163"/>
  <c r="Q161" i="163" s="1"/>
  <c r="N161" i="163"/>
  <c r="K161" i="163"/>
  <c r="M161" i="163" s="1"/>
  <c r="J161" i="163"/>
  <c r="Q160" i="163"/>
  <c r="Q159" i="163"/>
  <c r="Q158" i="163"/>
  <c r="O157" i="163"/>
  <c r="Q157" i="163" s="1"/>
  <c r="N157" i="163"/>
  <c r="K157" i="163"/>
  <c r="M157" i="163" s="1"/>
  <c r="J157" i="163"/>
  <c r="Q156" i="163"/>
  <c r="Q155" i="163"/>
  <c r="O154" i="163"/>
  <c r="Q154" i="163" s="1"/>
  <c r="N154" i="163"/>
  <c r="K154" i="163"/>
  <c r="M154" i="163" s="1"/>
  <c r="J154" i="163"/>
  <c r="K152" i="163"/>
  <c r="M152" i="163" s="1"/>
  <c r="J152" i="163"/>
  <c r="Q151" i="163"/>
  <c r="Q150" i="163"/>
  <c r="O150" i="163"/>
  <c r="K150" i="163"/>
  <c r="M150" i="163" s="1"/>
  <c r="J150" i="163"/>
  <c r="O148" i="163"/>
  <c r="Q148" i="163" s="1"/>
  <c r="N148" i="163"/>
  <c r="K148" i="163"/>
  <c r="M148" i="163" s="1"/>
  <c r="J148" i="163"/>
  <c r="K147" i="163"/>
  <c r="M147" i="163" s="1"/>
  <c r="J147" i="163"/>
  <c r="Q146" i="163"/>
  <c r="O145" i="163"/>
  <c r="Q145" i="163" s="1"/>
  <c r="N145" i="163"/>
  <c r="K145" i="163"/>
  <c r="M145" i="163" s="1"/>
  <c r="J145" i="163"/>
  <c r="O144" i="163"/>
  <c r="Q144" i="163" s="1"/>
  <c r="N144" i="163"/>
  <c r="K144" i="163"/>
  <c r="M144" i="163" s="1"/>
  <c r="J144" i="163"/>
  <c r="Q143" i="163"/>
  <c r="O142" i="163"/>
  <c r="Q142" i="163" s="1"/>
  <c r="N142" i="163"/>
  <c r="K142" i="163"/>
  <c r="M142" i="163" s="1"/>
  <c r="J142" i="163"/>
  <c r="O141" i="163"/>
  <c r="Q141" i="163" s="1"/>
  <c r="N141" i="163"/>
  <c r="K141" i="163"/>
  <c r="M141" i="163" s="1"/>
  <c r="J141" i="163"/>
  <c r="O140" i="163"/>
  <c r="Q140" i="163" s="1"/>
  <c r="N140" i="163"/>
  <c r="K140" i="163"/>
  <c r="M140" i="163" s="1"/>
  <c r="J140" i="163"/>
  <c r="Q139" i="163"/>
  <c r="O138" i="163"/>
  <c r="Q138" i="163" s="1"/>
  <c r="N138" i="163"/>
  <c r="K138" i="163"/>
  <c r="M138" i="163" s="1"/>
  <c r="J138" i="163"/>
  <c r="Q137" i="163"/>
  <c r="O136" i="163"/>
  <c r="Q136" i="163" s="1"/>
  <c r="N136" i="163"/>
  <c r="K136" i="163"/>
  <c r="M136" i="163" s="1"/>
  <c r="Q135" i="163"/>
  <c r="O134" i="163"/>
  <c r="Q134" i="163" s="1"/>
  <c r="N134" i="163"/>
  <c r="K134" i="163"/>
  <c r="M134" i="163" s="1"/>
  <c r="J134" i="163"/>
  <c r="Q133" i="163"/>
  <c r="O132" i="163"/>
  <c r="Q132" i="163" s="1"/>
  <c r="N132" i="163"/>
  <c r="K132" i="163"/>
  <c r="M132" i="163" s="1"/>
  <c r="J132" i="163"/>
  <c r="Q131" i="163"/>
  <c r="K131" i="163"/>
  <c r="M131" i="163" s="1"/>
  <c r="J131" i="163"/>
  <c r="Q130" i="163"/>
  <c r="O129" i="163"/>
  <c r="Q129" i="163" s="1"/>
  <c r="N129" i="163"/>
  <c r="K129" i="163"/>
  <c r="M129" i="163" s="1"/>
  <c r="J129" i="163"/>
  <c r="Q128" i="163"/>
  <c r="O127" i="163"/>
  <c r="Q127" i="163" s="1"/>
  <c r="N127" i="163"/>
  <c r="K127" i="163"/>
  <c r="M127" i="163" s="1"/>
  <c r="J127" i="163"/>
  <c r="Q126" i="163"/>
  <c r="O125" i="163"/>
  <c r="Q125" i="163" s="1"/>
  <c r="N125" i="163"/>
  <c r="K125" i="163"/>
  <c r="M125" i="163" s="1"/>
  <c r="J125" i="163"/>
  <c r="Q124" i="163"/>
  <c r="O123" i="163"/>
  <c r="Q123" i="163" s="1"/>
  <c r="N123" i="163"/>
  <c r="K123" i="163"/>
  <c r="M123" i="163" s="1"/>
  <c r="J123" i="163"/>
  <c r="Q122" i="163"/>
  <c r="O121" i="163"/>
  <c r="Q121" i="163" s="1"/>
  <c r="N121" i="163"/>
  <c r="K121" i="163"/>
  <c r="M121" i="163" s="1"/>
  <c r="J121" i="163"/>
  <c r="Q120" i="163"/>
  <c r="O119" i="163"/>
  <c r="Q119" i="163" s="1"/>
  <c r="N119" i="163"/>
  <c r="K119" i="163"/>
  <c r="M119" i="163" s="1"/>
  <c r="J119" i="163"/>
  <c r="Q118" i="163"/>
  <c r="O117" i="163"/>
  <c r="Q117" i="163" s="1"/>
  <c r="N117" i="163"/>
  <c r="K117" i="163"/>
  <c r="M117" i="163" s="1"/>
  <c r="J117" i="163"/>
  <c r="O116" i="163"/>
  <c r="Q116" i="163" s="1"/>
  <c r="N116" i="163"/>
  <c r="K116" i="163"/>
  <c r="M116" i="163" s="1"/>
  <c r="J116" i="163"/>
  <c r="Q115" i="163"/>
  <c r="N115" i="163"/>
  <c r="O114" i="163"/>
  <c r="Q114" i="163" s="1"/>
  <c r="N114" i="163"/>
  <c r="K114" i="163"/>
  <c r="M114" i="163" s="1"/>
  <c r="J114" i="163"/>
  <c r="Q113" i="163"/>
  <c r="O112" i="163"/>
  <c r="Q112" i="163" s="1"/>
  <c r="N112" i="163"/>
  <c r="K112" i="163"/>
  <c r="M112" i="163" s="1"/>
  <c r="J112" i="163"/>
  <c r="Q111" i="163"/>
  <c r="Q110" i="163"/>
  <c r="K110" i="163"/>
  <c r="M110" i="163" s="1"/>
  <c r="J110" i="163"/>
  <c r="O109" i="163"/>
  <c r="Q109" i="163" s="1"/>
  <c r="N109" i="163"/>
  <c r="K109" i="163"/>
  <c r="M109" i="163" s="1"/>
  <c r="J109" i="163"/>
  <c r="Q108" i="163"/>
  <c r="O107" i="163"/>
  <c r="Q107" i="163" s="1"/>
  <c r="N107" i="163"/>
  <c r="K107" i="163"/>
  <c r="M107" i="163" s="1"/>
  <c r="J107" i="163"/>
  <c r="Q106" i="163"/>
  <c r="O105" i="163"/>
  <c r="Q105" i="163" s="1"/>
  <c r="N105" i="163"/>
  <c r="K105" i="163"/>
  <c r="M105" i="163" s="1"/>
  <c r="J105" i="163"/>
  <c r="Q104" i="163"/>
  <c r="O103" i="163"/>
  <c r="Q103" i="163" s="1"/>
  <c r="N103" i="163"/>
  <c r="K103" i="163"/>
  <c r="M103" i="163" s="1"/>
  <c r="J103" i="163"/>
  <c r="Q102" i="163"/>
  <c r="O101" i="163"/>
  <c r="Q101" i="163" s="1"/>
  <c r="N101" i="163"/>
  <c r="K101" i="163"/>
  <c r="M101" i="163" s="1"/>
  <c r="J101" i="163"/>
  <c r="Q100" i="163"/>
  <c r="O98" i="163"/>
  <c r="Q98" i="163" s="1"/>
  <c r="N98" i="163"/>
  <c r="K98" i="163"/>
  <c r="M98" i="163" s="1"/>
  <c r="J98" i="163"/>
  <c r="Q97" i="163"/>
  <c r="O96" i="163"/>
  <c r="Q96" i="163" s="1"/>
  <c r="N96" i="163"/>
  <c r="K96" i="163"/>
  <c r="M96" i="163" s="1"/>
  <c r="J96" i="163"/>
  <c r="Q95" i="163"/>
  <c r="O94" i="163"/>
  <c r="Q94" i="163" s="1"/>
  <c r="N94" i="163"/>
  <c r="K94" i="163"/>
  <c r="M94" i="163" s="1"/>
  <c r="J94" i="163"/>
  <c r="Q93" i="163"/>
  <c r="Q92" i="163"/>
  <c r="K92" i="163"/>
  <c r="M92" i="163" s="1"/>
  <c r="J92" i="163"/>
  <c r="Q91" i="163"/>
  <c r="O90" i="163"/>
  <c r="Q90" i="163" s="1"/>
  <c r="N90" i="163"/>
  <c r="K90" i="163"/>
  <c r="M90" i="163" s="1"/>
  <c r="J90" i="163"/>
  <c r="Q89" i="163"/>
  <c r="O88" i="163"/>
  <c r="Q88" i="163" s="1"/>
  <c r="N88" i="163"/>
  <c r="K88" i="163"/>
  <c r="M88" i="163" s="1"/>
  <c r="J88" i="163"/>
  <c r="Q87" i="163"/>
  <c r="O86" i="163"/>
  <c r="Q86" i="163" s="1"/>
  <c r="N86" i="163"/>
  <c r="K86" i="163"/>
  <c r="M86" i="163" s="1"/>
  <c r="J86" i="163"/>
  <c r="Q85" i="163"/>
  <c r="O84" i="163"/>
  <c r="Q84" i="163" s="1"/>
  <c r="N84" i="163"/>
  <c r="K84" i="163"/>
  <c r="M84" i="163" s="1"/>
  <c r="J84" i="163"/>
  <c r="O83" i="163"/>
  <c r="Q83" i="163" s="1"/>
  <c r="N83" i="163"/>
  <c r="K83" i="163"/>
  <c r="M83" i="163" s="1"/>
  <c r="J83" i="163"/>
  <c r="Q82" i="163"/>
  <c r="O81" i="163"/>
  <c r="Q81" i="163" s="1"/>
  <c r="N81" i="163"/>
  <c r="K81" i="163"/>
  <c r="M81" i="163" s="1"/>
  <c r="J81" i="163"/>
  <c r="O80" i="163"/>
  <c r="Q80" i="163" s="1"/>
  <c r="N80" i="163"/>
  <c r="K80" i="163"/>
  <c r="M80" i="163" s="1"/>
  <c r="J80" i="163"/>
  <c r="O79" i="163"/>
  <c r="Q79" i="163" s="1"/>
  <c r="N79" i="163"/>
  <c r="K79" i="163"/>
  <c r="M79" i="163" s="1"/>
  <c r="O78" i="163"/>
  <c r="Q78" i="163" s="1"/>
  <c r="N78" i="163"/>
  <c r="K78" i="163"/>
  <c r="M78" i="163" s="1"/>
  <c r="J78" i="163"/>
  <c r="Q77" i="163"/>
  <c r="O76" i="163"/>
  <c r="Q76" i="163" s="1"/>
  <c r="N76" i="163"/>
  <c r="K76" i="163"/>
  <c r="M76" i="163" s="1"/>
  <c r="J76" i="163"/>
  <c r="O75" i="163"/>
  <c r="Q75" i="163" s="1"/>
  <c r="N75" i="163"/>
  <c r="K75" i="163"/>
  <c r="M75" i="163" s="1"/>
  <c r="J75" i="163"/>
  <c r="Q74" i="163"/>
  <c r="O73" i="163"/>
  <c r="Q73" i="163" s="1"/>
  <c r="N73" i="163"/>
  <c r="K73" i="163"/>
  <c r="M73" i="163" s="1"/>
  <c r="J73" i="163"/>
  <c r="Q72" i="163"/>
  <c r="Q71" i="163"/>
  <c r="N71" i="163"/>
  <c r="Q70" i="163"/>
  <c r="O69" i="163"/>
  <c r="Q69" i="163" s="1"/>
  <c r="N69" i="163"/>
  <c r="K69" i="163"/>
  <c r="M69" i="163" s="1"/>
  <c r="J69" i="163"/>
  <c r="O68" i="163"/>
  <c r="Q68" i="163" s="1"/>
  <c r="N68" i="163"/>
  <c r="K68" i="163"/>
  <c r="M68" i="163" s="1"/>
  <c r="J68" i="163"/>
  <c r="Q67" i="163"/>
  <c r="O66" i="163"/>
  <c r="Q66" i="163" s="1"/>
  <c r="N66" i="163"/>
  <c r="K66" i="163"/>
  <c r="M66" i="163" s="1"/>
  <c r="J66" i="163"/>
  <c r="Q65" i="163"/>
  <c r="O64" i="163"/>
  <c r="Q64" i="163" s="1"/>
  <c r="N64" i="163"/>
  <c r="K64" i="163"/>
  <c r="M64" i="163" s="1"/>
  <c r="J64" i="163"/>
  <c r="Q63" i="163"/>
  <c r="O62" i="163"/>
  <c r="Q62" i="163" s="1"/>
  <c r="N62" i="163"/>
  <c r="K62" i="163"/>
  <c r="M62" i="163" s="1"/>
  <c r="J62" i="163"/>
  <c r="Q61" i="163"/>
  <c r="O60" i="163"/>
  <c r="Q60" i="163" s="1"/>
  <c r="N60" i="163"/>
  <c r="Q59" i="163"/>
  <c r="K59" i="163"/>
  <c r="M59" i="163" s="1"/>
  <c r="J59" i="163"/>
  <c r="Q58" i="163"/>
  <c r="O57" i="163"/>
  <c r="Q57" i="163" s="1"/>
  <c r="N57" i="163"/>
  <c r="K57" i="163"/>
  <c r="M57" i="163" s="1"/>
  <c r="J57" i="163"/>
  <c r="Q56" i="163"/>
  <c r="O55" i="163"/>
  <c r="Q55" i="163" s="1"/>
  <c r="N55" i="163"/>
  <c r="K55" i="163"/>
  <c r="M55" i="163" s="1"/>
  <c r="J55" i="163"/>
  <c r="Q54" i="163"/>
  <c r="Q53" i="163"/>
  <c r="O52" i="163"/>
  <c r="Q52" i="163" s="1"/>
  <c r="N52" i="163"/>
  <c r="K52" i="163"/>
  <c r="M52" i="163" s="1"/>
  <c r="J52" i="163"/>
  <c r="Q51" i="163"/>
  <c r="O50" i="163"/>
  <c r="Q50" i="163" s="1"/>
  <c r="N50" i="163"/>
  <c r="K50" i="163"/>
  <c r="M50" i="163" s="1"/>
  <c r="J50" i="163"/>
  <c r="Q49" i="163"/>
  <c r="O48" i="163"/>
  <c r="Q48" i="163" s="1"/>
  <c r="N48" i="163"/>
  <c r="K48" i="163"/>
  <c r="M48" i="163" s="1"/>
  <c r="J48" i="163"/>
  <c r="Q47" i="163"/>
  <c r="O46" i="163"/>
  <c r="Q46" i="163" s="1"/>
  <c r="N46" i="163"/>
  <c r="K46" i="163"/>
  <c r="M46" i="163" s="1"/>
  <c r="J46" i="163"/>
  <c r="Q45" i="163"/>
  <c r="Q44" i="163"/>
  <c r="Q43" i="163"/>
  <c r="O42" i="163"/>
  <c r="Q42" i="163" s="1"/>
  <c r="N42" i="163"/>
  <c r="K42" i="163"/>
  <c r="M42" i="163" s="1"/>
  <c r="J42" i="163"/>
  <c r="O41" i="163"/>
  <c r="Q41" i="163" s="1"/>
  <c r="N41" i="163"/>
  <c r="K41" i="163"/>
  <c r="M41" i="163" s="1"/>
  <c r="J41" i="163"/>
  <c r="Q40" i="163"/>
  <c r="O39" i="163"/>
  <c r="Q39" i="163" s="1"/>
  <c r="N39" i="163"/>
  <c r="K39" i="163"/>
  <c r="M39" i="163" s="1"/>
  <c r="J39" i="163"/>
  <c r="Q38" i="163"/>
  <c r="O37" i="163"/>
  <c r="Q37" i="163" s="1"/>
  <c r="N37" i="163"/>
  <c r="K37" i="163"/>
  <c r="M37" i="163" s="1"/>
  <c r="J37" i="163"/>
  <c r="Q36" i="163"/>
  <c r="O35" i="163"/>
  <c r="Q35" i="163" s="1"/>
  <c r="N35" i="163"/>
  <c r="K35" i="163"/>
  <c r="M35" i="163" s="1"/>
  <c r="J35" i="163"/>
  <c r="Q34" i="163"/>
  <c r="O33" i="163"/>
  <c r="Q33" i="163" s="1"/>
  <c r="N33" i="163"/>
  <c r="K33" i="163"/>
  <c r="M33" i="163" s="1"/>
  <c r="J33" i="163"/>
  <c r="Q32" i="163"/>
  <c r="Q31" i="163"/>
  <c r="Q30" i="163"/>
  <c r="K30" i="163"/>
  <c r="M30" i="163" s="1"/>
  <c r="J30" i="163"/>
  <c r="O29" i="163"/>
  <c r="Q29" i="163" s="1"/>
  <c r="N29" i="163"/>
  <c r="K29" i="163"/>
  <c r="M29" i="163" s="1"/>
  <c r="J29" i="163"/>
  <c r="Q28" i="163"/>
  <c r="N28" i="163"/>
  <c r="K28" i="163"/>
  <c r="M28" i="163" s="1"/>
  <c r="J28" i="163"/>
  <c r="Q27" i="163"/>
  <c r="O26" i="163"/>
  <c r="Q26" i="163" s="1"/>
  <c r="N26" i="163"/>
  <c r="K26" i="163"/>
  <c r="M26" i="163" s="1"/>
  <c r="J26" i="163"/>
  <c r="O25" i="163"/>
  <c r="Q25" i="163" s="1"/>
  <c r="N25" i="163"/>
  <c r="K25" i="163"/>
  <c r="M25" i="163" s="1"/>
  <c r="J25" i="163"/>
  <c r="K24" i="163"/>
  <c r="M24" i="163" s="1"/>
  <c r="J24" i="163"/>
  <c r="Q23" i="163"/>
  <c r="J23" i="163"/>
  <c r="O22" i="163"/>
  <c r="Q22" i="163" s="1"/>
  <c r="N22" i="163"/>
  <c r="K22" i="163"/>
  <c r="M22" i="163" s="1"/>
  <c r="J22" i="163"/>
  <c r="Q21" i="163"/>
  <c r="O20" i="163"/>
  <c r="Q20" i="163" s="1"/>
  <c r="N20" i="163"/>
  <c r="K20" i="163"/>
  <c r="M20" i="163" s="1"/>
  <c r="J20" i="163"/>
  <c r="O19" i="163"/>
  <c r="Q19" i="163" s="1"/>
  <c r="N19" i="163"/>
  <c r="K19" i="163"/>
  <c r="M19" i="163" s="1"/>
  <c r="J19" i="163"/>
  <c r="Q18" i="163"/>
  <c r="O17" i="163"/>
  <c r="Q17" i="163" s="1"/>
  <c r="N17" i="163"/>
  <c r="K17" i="163"/>
  <c r="M17" i="163" s="1"/>
  <c r="J17" i="163"/>
  <c r="Q16" i="163"/>
  <c r="O15" i="163"/>
  <c r="Q15" i="163" s="1"/>
  <c r="N15" i="163"/>
  <c r="K15" i="163"/>
  <c r="M15" i="163" s="1"/>
  <c r="J15" i="163"/>
  <c r="Q14" i="163"/>
  <c r="O13" i="163"/>
  <c r="Q13" i="163" s="1"/>
  <c r="N13" i="163"/>
  <c r="K13" i="163"/>
  <c r="M13" i="163" s="1"/>
  <c r="J13" i="163"/>
  <c r="Q12" i="163"/>
  <c r="K12" i="163"/>
  <c r="M12" i="163" s="1"/>
  <c r="J12" i="163"/>
  <c r="Q11" i="163"/>
  <c r="P197" i="163"/>
  <c r="O10" i="163"/>
  <c r="N10" i="163"/>
  <c r="N197" i="163" s="1"/>
  <c r="L197" i="163"/>
  <c r="K10" i="163"/>
  <c r="K197" i="163" s="1"/>
  <c r="J10" i="163"/>
  <c r="B9" i="163"/>
  <c r="C9" i="163" s="1"/>
  <c r="D9" i="163" s="1"/>
  <c r="E9" i="163" s="1"/>
  <c r="F9" i="163" s="1"/>
  <c r="G9" i="163" s="1"/>
  <c r="H9" i="163" s="1"/>
  <c r="I9" i="163" s="1"/>
  <c r="J9" i="163" s="1"/>
  <c r="K9" i="163" s="1"/>
  <c r="L9" i="163" s="1"/>
  <c r="M9" i="163" s="1"/>
  <c r="N9" i="163" s="1"/>
  <c r="O9" i="163" s="1"/>
  <c r="P9" i="163" s="1"/>
  <c r="Q9" i="163" s="1"/>
  <c r="M10" i="163" l="1"/>
  <c r="J197" i="163"/>
  <c r="O197" i="163"/>
  <c r="Q197" i="163" s="1"/>
  <c r="M197" i="163"/>
  <c r="Q183" i="163"/>
  <c r="Q10" i="163"/>
  <c r="K190" i="162"/>
  <c r="K183" i="162"/>
  <c r="K186" i="162"/>
  <c r="O148" i="162"/>
  <c r="K117" i="162"/>
  <c r="K75" i="162"/>
  <c r="K116" i="162"/>
  <c r="K145" i="162"/>
  <c r="O10" i="162"/>
  <c r="K92" i="162"/>
  <c r="K19" i="162"/>
  <c r="O190" i="162"/>
  <c r="K147" i="162"/>
  <c r="K154" i="162"/>
  <c r="K101" i="162"/>
  <c r="O84" i="162"/>
  <c r="K84" i="162"/>
  <c r="K42" i="162"/>
  <c r="O29" i="162"/>
  <c r="K29" i="162"/>
  <c r="K140" i="162"/>
  <c r="O94" i="162"/>
  <c r="K94" i="162"/>
  <c r="K178" i="162"/>
  <c r="K188" i="162"/>
  <c r="K169" i="162"/>
  <c r="K163" i="162"/>
  <c r="K134" i="162"/>
  <c r="K136" i="162"/>
  <c r="K161" i="162"/>
  <c r="K112" i="162"/>
  <c r="K98" i="162"/>
  <c r="O90" i="162"/>
  <c r="K90" i="162"/>
  <c r="K105" i="162"/>
  <c r="O80" i="162"/>
  <c r="K80" i="162"/>
  <c r="O46" i="162"/>
  <c r="K46" i="162"/>
  <c r="K12" i="162"/>
  <c r="K39" i="162"/>
  <c r="O22" i="162"/>
  <c r="K22" i="162"/>
  <c r="K20" i="162"/>
  <c r="K123" i="162"/>
  <c r="K148" i="162"/>
  <c r="K24" i="162"/>
  <c r="K110" i="162"/>
  <c r="K129" i="162"/>
  <c r="K119" i="162"/>
  <c r="K114" i="162"/>
  <c r="K96" i="162"/>
  <c r="K88" i="162"/>
  <c r="O75" i="162"/>
  <c r="O69" i="162"/>
  <c r="K69" i="162"/>
  <c r="O35" i="162"/>
  <c r="K35" i="162"/>
  <c r="K41" i="162"/>
  <c r="K33" i="162"/>
  <c r="O26" i="162"/>
  <c r="K15" i="162"/>
  <c r="K152" i="162"/>
  <c r="O192" i="162"/>
  <c r="K192" i="162"/>
  <c r="O117" i="162"/>
  <c r="K176" i="162"/>
  <c r="O173" i="162"/>
  <c r="K173" i="162"/>
  <c r="K138" i="162"/>
  <c r="O150" i="162"/>
  <c r="O134" i="162"/>
  <c r="K62" i="162"/>
  <c r="K28" i="162"/>
  <c r="K125" i="162"/>
  <c r="K121" i="162"/>
  <c r="K109" i="162"/>
  <c r="K103" i="162"/>
  <c r="K68" i="162"/>
  <c r="K26" i="162"/>
  <c r="K25" i="162"/>
  <c r="K10" i="162"/>
  <c r="M10" i="162" s="1"/>
  <c r="J147" i="162" l="1"/>
  <c r="N105" i="162"/>
  <c r="J105" i="162"/>
  <c r="N190" i="162"/>
  <c r="J154" i="162"/>
  <c r="J101" i="162"/>
  <c r="N84" i="162"/>
  <c r="N29" i="162"/>
  <c r="J29" i="162"/>
  <c r="I197" i="162"/>
  <c r="H197" i="162"/>
  <c r="P196" i="162"/>
  <c r="O196" i="162"/>
  <c r="N196" i="162"/>
  <c r="K196" i="162"/>
  <c r="J196" i="162"/>
  <c r="Q194" i="162"/>
  <c r="M194" i="162"/>
  <c r="Q193" i="162"/>
  <c r="M193" i="162"/>
  <c r="P192" i="162"/>
  <c r="Q192" i="162" s="1"/>
  <c r="N192" i="162"/>
  <c r="M192" i="162"/>
  <c r="J192" i="162"/>
  <c r="Q191" i="162"/>
  <c r="M191" i="162"/>
  <c r="P190" i="162"/>
  <c r="Q190" i="162" s="1"/>
  <c r="M190" i="162"/>
  <c r="J190" i="162"/>
  <c r="Q189" i="162"/>
  <c r="M189" i="162"/>
  <c r="P188" i="162"/>
  <c r="O188" i="162"/>
  <c r="N188" i="162"/>
  <c r="M188" i="162"/>
  <c r="J188" i="162"/>
  <c r="Q187" i="162"/>
  <c r="M187" i="162"/>
  <c r="P186" i="162"/>
  <c r="O186" i="162"/>
  <c r="Q186" i="162" s="1"/>
  <c r="N186" i="162"/>
  <c r="M186" i="162"/>
  <c r="J186" i="162"/>
  <c r="Q185" i="162"/>
  <c r="N185" i="162"/>
  <c r="M185" i="162"/>
  <c r="J185" i="162"/>
  <c r="Q184" i="162"/>
  <c r="M184" i="162"/>
  <c r="P183" i="162"/>
  <c r="O183" i="162"/>
  <c r="N183" i="162"/>
  <c r="M183" i="162"/>
  <c r="J183" i="162"/>
  <c r="Q182" i="162"/>
  <c r="M182" i="162"/>
  <c r="M181" i="162"/>
  <c r="M180" i="162"/>
  <c r="Q179" i="162"/>
  <c r="M179" i="162"/>
  <c r="P178" i="162"/>
  <c r="O178" i="162"/>
  <c r="Q178" i="162" s="1"/>
  <c r="N178" i="162"/>
  <c r="M178" i="162"/>
  <c r="J178" i="162"/>
  <c r="Q177" i="162"/>
  <c r="M177" i="162"/>
  <c r="Q176" i="162"/>
  <c r="M176" i="162"/>
  <c r="K175" i="162"/>
  <c r="M175" i="162" s="1"/>
  <c r="J175" i="162"/>
  <c r="Q174" i="162"/>
  <c r="M174" i="162"/>
  <c r="P173" i="162"/>
  <c r="Q173" i="162" s="1"/>
  <c r="N173" i="162"/>
  <c r="M173" i="162"/>
  <c r="J173" i="162"/>
  <c r="Q172" i="162"/>
  <c r="M172" i="162"/>
  <c r="P171" i="162"/>
  <c r="O171" i="162"/>
  <c r="N171" i="162"/>
  <c r="K171" i="162"/>
  <c r="M171" i="162" s="1"/>
  <c r="J171" i="162"/>
  <c r="Q170" i="162"/>
  <c r="M170" i="162"/>
  <c r="P169" i="162"/>
  <c r="O169" i="162"/>
  <c r="N169" i="162"/>
  <c r="M169" i="162"/>
  <c r="J169" i="162"/>
  <c r="Q168" i="162"/>
  <c r="M168" i="162"/>
  <c r="Q167" i="162"/>
  <c r="M167" i="162"/>
  <c r="P166" i="162"/>
  <c r="O166" i="162"/>
  <c r="N166" i="162"/>
  <c r="K166" i="162"/>
  <c r="M166" i="162" s="1"/>
  <c r="J166" i="162"/>
  <c r="Q165" i="162"/>
  <c r="M165" i="162"/>
  <c r="P164" i="162"/>
  <c r="O164" i="162"/>
  <c r="N164" i="162"/>
  <c r="K164" i="162"/>
  <c r="M164" i="162" s="1"/>
  <c r="J164" i="162"/>
  <c r="M163" i="162"/>
  <c r="J163" i="162"/>
  <c r="Q162" i="162"/>
  <c r="M162" i="162"/>
  <c r="P161" i="162"/>
  <c r="O161" i="162"/>
  <c r="N161" i="162"/>
  <c r="M161" i="162"/>
  <c r="J161" i="162"/>
  <c r="Q160" i="162"/>
  <c r="M160" i="162"/>
  <c r="Q159" i="162"/>
  <c r="M159" i="162"/>
  <c r="Q158" i="162"/>
  <c r="M158" i="162"/>
  <c r="P157" i="162"/>
  <c r="O157" i="162"/>
  <c r="Q157" i="162" s="1"/>
  <c r="N157" i="162"/>
  <c r="K157" i="162"/>
  <c r="J157" i="162"/>
  <c r="Q156" i="162"/>
  <c r="M156" i="162"/>
  <c r="Q155" i="162"/>
  <c r="M155" i="162"/>
  <c r="P154" i="162"/>
  <c r="O154" i="162"/>
  <c r="N154" i="162"/>
  <c r="M154" i="162"/>
  <c r="J152" i="162"/>
  <c r="Q151" i="162"/>
  <c r="M151" i="162"/>
  <c r="Q150" i="162"/>
  <c r="K150" i="162"/>
  <c r="J150" i="162"/>
  <c r="P148" i="162"/>
  <c r="Q148" i="162" s="1"/>
  <c r="N148" i="162"/>
  <c r="M148" i="162"/>
  <c r="J148" i="162"/>
  <c r="Q146" i="162"/>
  <c r="M146" i="162"/>
  <c r="P145" i="162"/>
  <c r="O145" i="162"/>
  <c r="N145" i="162"/>
  <c r="M145" i="162"/>
  <c r="J145" i="162"/>
  <c r="P144" i="162"/>
  <c r="O144" i="162"/>
  <c r="N144" i="162"/>
  <c r="K144" i="162"/>
  <c r="J144" i="162"/>
  <c r="Q143" i="162"/>
  <c r="M143" i="162"/>
  <c r="P142" i="162"/>
  <c r="O142" i="162"/>
  <c r="N142" i="162"/>
  <c r="K142" i="162"/>
  <c r="J142" i="162"/>
  <c r="P141" i="162"/>
  <c r="O141" i="162"/>
  <c r="N141" i="162"/>
  <c r="K141" i="162"/>
  <c r="J141" i="162"/>
  <c r="P140" i="162"/>
  <c r="O140" i="162"/>
  <c r="N140" i="162"/>
  <c r="M140" i="162"/>
  <c r="J140" i="162"/>
  <c r="Q139" i="162"/>
  <c r="M139" i="162"/>
  <c r="P138" i="162"/>
  <c r="O138" i="162"/>
  <c r="N138" i="162"/>
  <c r="M138" i="162"/>
  <c r="J138" i="162"/>
  <c r="Q137" i="162"/>
  <c r="M137" i="162"/>
  <c r="P136" i="162"/>
  <c r="O136" i="162"/>
  <c r="N136" i="162"/>
  <c r="M136" i="162"/>
  <c r="Q135" i="162"/>
  <c r="M135" i="162"/>
  <c r="P134" i="162"/>
  <c r="Q134" i="162" s="1"/>
  <c r="N134" i="162"/>
  <c r="M134" i="162"/>
  <c r="J134" i="162"/>
  <c r="Q133" i="162"/>
  <c r="M133" i="162"/>
  <c r="P132" i="162"/>
  <c r="O132" i="162"/>
  <c r="N132" i="162"/>
  <c r="K132" i="162"/>
  <c r="M132" i="162" s="1"/>
  <c r="J132" i="162"/>
  <c r="Q131" i="162"/>
  <c r="K131" i="162"/>
  <c r="M131" i="162" s="1"/>
  <c r="J131" i="162"/>
  <c r="Q130" i="162"/>
  <c r="M130" i="162"/>
  <c r="P129" i="162"/>
  <c r="O129" i="162"/>
  <c r="N129" i="162"/>
  <c r="M129" i="162"/>
  <c r="J129" i="162"/>
  <c r="Q128" i="162"/>
  <c r="M128" i="162"/>
  <c r="P127" i="162"/>
  <c r="O127" i="162"/>
  <c r="N127" i="162"/>
  <c r="K127" i="162"/>
  <c r="M127" i="162" s="1"/>
  <c r="J127" i="162"/>
  <c r="Q126" i="162"/>
  <c r="M126" i="162"/>
  <c r="P125" i="162"/>
  <c r="O125" i="162"/>
  <c r="N125" i="162"/>
  <c r="M125" i="162"/>
  <c r="J125" i="162"/>
  <c r="Q124" i="162"/>
  <c r="M124" i="162"/>
  <c r="P123" i="162"/>
  <c r="O123" i="162"/>
  <c r="N123" i="162"/>
  <c r="M123" i="162"/>
  <c r="J123" i="162"/>
  <c r="Q122" i="162"/>
  <c r="M122" i="162"/>
  <c r="P121" i="162"/>
  <c r="O121" i="162"/>
  <c r="N121" i="162"/>
  <c r="M121" i="162"/>
  <c r="J121" i="162"/>
  <c r="Q120" i="162"/>
  <c r="M120" i="162"/>
  <c r="P119" i="162"/>
  <c r="O119" i="162"/>
  <c r="N119" i="162"/>
  <c r="M119" i="162"/>
  <c r="J119" i="162"/>
  <c r="Q118" i="162"/>
  <c r="M118" i="162"/>
  <c r="P117" i="162"/>
  <c r="Q117" i="162" s="1"/>
  <c r="N117" i="162"/>
  <c r="M117" i="162"/>
  <c r="J117" i="162"/>
  <c r="P116" i="162"/>
  <c r="O116" i="162"/>
  <c r="N116" i="162"/>
  <c r="M116" i="162"/>
  <c r="J116" i="162"/>
  <c r="Q115" i="162"/>
  <c r="N115" i="162"/>
  <c r="M115" i="162"/>
  <c r="P114" i="162"/>
  <c r="O114" i="162"/>
  <c r="N114" i="162"/>
  <c r="M114" i="162"/>
  <c r="J114" i="162"/>
  <c r="Q113" i="162"/>
  <c r="M113" i="162"/>
  <c r="P112" i="162"/>
  <c r="O112" i="162"/>
  <c r="N112" i="162"/>
  <c r="M112" i="162"/>
  <c r="J112" i="162"/>
  <c r="Q111" i="162"/>
  <c r="M111" i="162"/>
  <c r="Q110" i="162"/>
  <c r="M110" i="162"/>
  <c r="J110" i="162"/>
  <c r="P109" i="162"/>
  <c r="O109" i="162"/>
  <c r="N109" i="162"/>
  <c r="M109" i="162"/>
  <c r="J109" i="162"/>
  <c r="Q108" i="162"/>
  <c r="M108" i="162"/>
  <c r="P107" i="162"/>
  <c r="O107" i="162"/>
  <c r="N107" i="162"/>
  <c r="K107" i="162"/>
  <c r="J107" i="162"/>
  <c r="Q106" i="162"/>
  <c r="M106" i="162"/>
  <c r="P105" i="162"/>
  <c r="O105" i="162"/>
  <c r="M105" i="162"/>
  <c r="Q104" i="162"/>
  <c r="M104" i="162"/>
  <c r="P103" i="162"/>
  <c r="O103" i="162"/>
  <c r="N103" i="162"/>
  <c r="M103" i="162"/>
  <c r="J103" i="162"/>
  <c r="Q102" i="162"/>
  <c r="M102" i="162"/>
  <c r="P101" i="162"/>
  <c r="O101" i="162"/>
  <c r="N101" i="162"/>
  <c r="M101" i="162"/>
  <c r="Q100" i="162"/>
  <c r="M100" i="162"/>
  <c r="P98" i="162"/>
  <c r="O98" i="162"/>
  <c r="N98" i="162"/>
  <c r="M98" i="162"/>
  <c r="J98" i="162"/>
  <c r="Q97" i="162"/>
  <c r="M97" i="162"/>
  <c r="P96" i="162"/>
  <c r="O96" i="162"/>
  <c r="N96" i="162"/>
  <c r="J96" i="162"/>
  <c r="Q95" i="162"/>
  <c r="M95" i="162"/>
  <c r="P94" i="162"/>
  <c r="Q94" i="162" s="1"/>
  <c r="N94" i="162"/>
  <c r="M94" i="162"/>
  <c r="J94" i="162"/>
  <c r="Q93" i="162"/>
  <c r="M93" i="162"/>
  <c r="Q92" i="162"/>
  <c r="M92" i="162"/>
  <c r="J92" i="162"/>
  <c r="Q91" i="162"/>
  <c r="M91" i="162"/>
  <c r="P90" i="162"/>
  <c r="Q90" i="162" s="1"/>
  <c r="N90" i="162"/>
  <c r="M90" i="162"/>
  <c r="J90" i="162"/>
  <c r="Q89" i="162"/>
  <c r="M89" i="162"/>
  <c r="P88" i="162"/>
  <c r="O88" i="162"/>
  <c r="N88" i="162"/>
  <c r="M88" i="162"/>
  <c r="J88" i="162"/>
  <c r="Q87" i="162"/>
  <c r="M87" i="162"/>
  <c r="P86" i="162"/>
  <c r="O86" i="162"/>
  <c r="N86" i="162"/>
  <c r="K86" i="162"/>
  <c r="J86" i="162"/>
  <c r="Q85" i="162"/>
  <c r="M85" i="162"/>
  <c r="P84" i="162"/>
  <c r="Q84" i="162" s="1"/>
  <c r="M84" i="162"/>
  <c r="J84" i="162"/>
  <c r="P83" i="162"/>
  <c r="O83" i="162"/>
  <c r="N83" i="162"/>
  <c r="K83" i="162"/>
  <c r="M83" i="162" s="1"/>
  <c r="J83" i="162"/>
  <c r="Q82" i="162"/>
  <c r="M82" i="162"/>
  <c r="P81" i="162"/>
  <c r="O81" i="162"/>
  <c r="N81" i="162"/>
  <c r="K81" i="162"/>
  <c r="M81" i="162" s="1"/>
  <c r="J81" i="162"/>
  <c r="P80" i="162"/>
  <c r="Q80" i="162" s="1"/>
  <c r="N80" i="162"/>
  <c r="M80" i="162"/>
  <c r="J80" i="162"/>
  <c r="P79" i="162"/>
  <c r="O79" i="162"/>
  <c r="N79" i="162"/>
  <c r="K79" i="162"/>
  <c r="M79" i="162" s="1"/>
  <c r="P78" i="162"/>
  <c r="O78" i="162"/>
  <c r="N78" i="162"/>
  <c r="K78" i="162"/>
  <c r="J78" i="162"/>
  <c r="Q77" i="162"/>
  <c r="M77" i="162"/>
  <c r="P76" i="162"/>
  <c r="O76" i="162"/>
  <c r="Q76" i="162" s="1"/>
  <c r="N76" i="162"/>
  <c r="K76" i="162"/>
  <c r="J76" i="162"/>
  <c r="P75" i="162"/>
  <c r="Q75" i="162" s="1"/>
  <c r="N75" i="162"/>
  <c r="M75" i="162"/>
  <c r="J75" i="162"/>
  <c r="Q74" i="162"/>
  <c r="M74" i="162"/>
  <c r="P73" i="162"/>
  <c r="O73" i="162"/>
  <c r="N73" i="162"/>
  <c r="K73" i="162"/>
  <c r="J73" i="162"/>
  <c r="Q72" i="162"/>
  <c r="M72" i="162"/>
  <c r="Q71" i="162"/>
  <c r="N71" i="162"/>
  <c r="M71" i="162"/>
  <c r="Q70" i="162"/>
  <c r="M70" i="162"/>
  <c r="P69" i="162"/>
  <c r="Q69" i="162" s="1"/>
  <c r="N69" i="162"/>
  <c r="M69" i="162"/>
  <c r="J69" i="162"/>
  <c r="P68" i="162"/>
  <c r="O68" i="162"/>
  <c r="N68" i="162"/>
  <c r="M68" i="162"/>
  <c r="J68" i="162"/>
  <c r="Q67" i="162"/>
  <c r="M67" i="162"/>
  <c r="P66" i="162"/>
  <c r="O66" i="162"/>
  <c r="N66" i="162"/>
  <c r="K66" i="162"/>
  <c r="M66" i="162" s="1"/>
  <c r="J66" i="162"/>
  <c r="Q65" i="162"/>
  <c r="M65" i="162"/>
  <c r="P64" i="162"/>
  <c r="O64" i="162"/>
  <c r="N64" i="162"/>
  <c r="K64" i="162"/>
  <c r="M64" i="162" s="1"/>
  <c r="J64" i="162"/>
  <c r="Q63" i="162"/>
  <c r="M63" i="162"/>
  <c r="P62" i="162"/>
  <c r="O62" i="162"/>
  <c r="N62" i="162"/>
  <c r="M62" i="162"/>
  <c r="J62" i="162"/>
  <c r="Q61" i="162"/>
  <c r="M61" i="162"/>
  <c r="P60" i="162"/>
  <c r="O60" i="162"/>
  <c r="N60" i="162"/>
  <c r="M60" i="162"/>
  <c r="Q59" i="162"/>
  <c r="K59" i="162"/>
  <c r="M59" i="162" s="1"/>
  <c r="J59" i="162"/>
  <c r="Q58" i="162"/>
  <c r="M58" i="162"/>
  <c r="P57" i="162"/>
  <c r="O57" i="162"/>
  <c r="N57" i="162"/>
  <c r="K57" i="162"/>
  <c r="M57" i="162" s="1"/>
  <c r="J57" i="162"/>
  <c r="Q56" i="162"/>
  <c r="M56" i="162"/>
  <c r="P55" i="162"/>
  <c r="O55" i="162"/>
  <c r="N55" i="162"/>
  <c r="K55" i="162"/>
  <c r="M55" i="162" s="1"/>
  <c r="J55" i="162"/>
  <c r="Q54" i="162"/>
  <c r="M54" i="162"/>
  <c r="Q53" i="162"/>
  <c r="M53" i="162"/>
  <c r="P52" i="162"/>
  <c r="O52" i="162"/>
  <c r="N52" i="162"/>
  <c r="K52" i="162"/>
  <c r="M52" i="162" s="1"/>
  <c r="J52" i="162"/>
  <c r="Q51" i="162"/>
  <c r="M51" i="162"/>
  <c r="P50" i="162"/>
  <c r="O50" i="162"/>
  <c r="N50" i="162"/>
  <c r="K50" i="162"/>
  <c r="M50" i="162" s="1"/>
  <c r="J50" i="162"/>
  <c r="Q49" i="162"/>
  <c r="M49" i="162"/>
  <c r="P48" i="162"/>
  <c r="O48" i="162"/>
  <c r="N48" i="162"/>
  <c r="K48" i="162"/>
  <c r="M48" i="162" s="1"/>
  <c r="J48" i="162"/>
  <c r="P47" i="162"/>
  <c r="Q47" i="162" s="1"/>
  <c r="M47" i="162"/>
  <c r="P46" i="162"/>
  <c r="Q46" i="162" s="1"/>
  <c r="N46" i="162"/>
  <c r="M46" i="162"/>
  <c r="J46" i="162"/>
  <c r="Q45" i="162"/>
  <c r="M45" i="162"/>
  <c r="Q44" i="162"/>
  <c r="M44" i="162"/>
  <c r="Q43" i="162"/>
  <c r="M43" i="162"/>
  <c r="P42" i="162"/>
  <c r="O42" i="162"/>
  <c r="N42" i="162"/>
  <c r="M42" i="162"/>
  <c r="J42" i="162"/>
  <c r="P41" i="162"/>
  <c r="O41" i="162"/>
  <c r="N41" i="162"/>
  <c r="M41" i="162"/>
  <c r="J41" i="162"/>
  <c r="Q40" i="162"/>
  <c r="M40" i="162"/>
  <c r="P39" i="162"/>
  <c r="O39" i="162"/>
  <c r="N39" i="162"/>
  <c r="M39" i="162"/>
  <c r="J39" i="162"/>
  <c r="Q38" i="162"/>
  <c r="M38" i="162"/>
  <c r="P37" i="162"/>
  <c r="O37" i="162"/>
  <c r="N37" i="162"/>
  <c r="K37" i="162"/>
  <c r="M37" i="162" s="1"/>
  <c r="J37" i="162"/>
  <c r="Q36" i="162"/>
  <c r="M36" i="162"/>
  <c r="P35" i="162"/>
  <c r="Q35" i="162" s="1"/>
  <c r="N35" i="162"/>
  <c r="M35" i="162"/>
  <c r="J35" i="162"/>
  <c r="Q34" i="162"/>
  <c r="M34" i="162"/>
  <c r="P33" i="162"/>
  <c r="O33" i="162"/>
  <c r="N33" i="162"/>
  <c r="M33" i="162"/>
  <c r="J33" i="162"/>
  <c r="Q32" i="162"/>
  <c r="M32" i="162"/>
  <c r="Q31" i="162"/>
  <c r="M31" i="162"/>
  <c r="Q30" i="162"/>
  <c r="K30" i="162"/>
  <c r="M30" i="162" s="1"/>
  <c r="J30" i="162"/>
  <c r="P29" i="162"/>
  <c r="Q29" i="162" s="1"/>
  <c r="M29" i="162"/>
  <c r="Q28" i="162"/>
  <c r="N28" i="162"/>
  <c r="M28" i="162"/>
  <c r="J28" i="162"/>
  <c r="Q27" i="162"/>
  <c r="M27" i="162"/>
  <c r="P26" i="162"/>
  <c r="Q26" i="162" s="1"/>
  <c r="N26" i="162"/>
  <c r="M26" i="162"/>
  <c r="J26" i="162"/>
  <c r="P25" i="162"/>
  <c r="O25" i="162"/>
  <c r="N25" i="162"/>
  <c r="M25" i="162"/>
  <c r="J25" i="162"/>
  <c r="J24" i="162"/>
  <c r="Q23" i="162"/>
  <c r="M23" i="162"/>
  <c r="J23" i="162"/>
  <c r="P22" i="162"/>
  <c r="Q22" i="162" s="1"/>
  <c r="N22" i="162"/>
  <c r="M22" i="162"/>
  <c r="J22" i="162"/>
  <c r="Q21" i="162"/>
  <c r="M21" i="162"/>
  <c r="P20" i="162"/>
  <c r="O20" i="162"/>
  <c r="N20" i="162"/>
  <c r="M20" i="162"/>
  <c r="J20" i="162"/>
  <c r="P19" i="162"/>
  <c r="O19" i="162"/>
  <c r="N19" i="162"/>
  <c r="M19" i="162"/>
  <c r="J19" i="162"/>
  <c r="Q18" i="162"/>
  <c r="M18" i="162"/>
  <c r="P17" i="162"/>
  <c r="O17" i="162"/>
  <c r="N17" i="162"/>
  <c r="K17" i="162"/>
  <c r="J17" i="162"/>
  <c r="Q16" i="162"/>
  <c r="M16" i="162"/>
  <c r="P15" i="162"/>
  <c r="O15" i="162"/>
  <c r="N15" i="162"/>
  <c r="M15" i="162"/>
  <c r="J15" i="162"/>
  <c r="Q14" i="162"/>
  <c r="M14" i="162"/>
  <c r="P13" i="162"/>
  <c r="O13" i="162"/>
  <c r="N13" i="162"/>
  <c r="K13" i="162"/>
  <c r="M13" i="162" s="1"/>
  <c r="J13" i="162"/>
  <c r="Q12" i="162"/>
  <c r="M12" i="162"/>
  <c r="J12" i="162"/>
  <c r="Q11" i="162"/>
  <c r="M11" i="162"/>
  <c r="P10" i="162"/>
  <c r="N10" i="162"/>
  <c r="J10" i="162"/>
  <c r="B9" i="162"/>
  <c r="C9" i="162" s="1"/>
  <c r="D9" i="162" s="1"/>
  <c r="E9" i="162" s="1"/>
  <c r="F9" i="162" s="1"/>
  <c r="G9" i="162" s="1"/>
  <c r="H9" i="162" s="1"/>
  <c r="I9" i="162" s="1"/>
  <c r="J9" i="162" s="1"/>
  <c r="K9" i="162" s="1"/>
  <c r="L9" i="162" s="1"/>
  <c r="M9" i="162" s="1"/>
  <c r="N9" i="162" s="1"/>
  <c r="O9" i="162" s="1"/>
  <c r="P9" i="162" s="1"/>
  <c r="Q9" i="162" s="1"/>
  <c r="K197" i="162" l="1"/>
  <c r="Q15" i="162"/>
  <c r="Q19" i="162"/>
  <c r="Q73" i="162"/>
  <c r="Q86" i="162"/>
  <c r="Q103" i="162"/>
  <c r="Q107" i="162"/>
  <c r="Q114" i="162"/>
  <c r="Q136" i="162"/>
  <c r="Q140" i="162"/>
  <c r="Q142" i="162"/>
  <c r="Q145" i="162"/>
  <c r="N197" i="162"/>
  <c r="Q17" i="162"/>
  <c r="Q20" i="162"/>
  <c r="Q25" i="162"/>
  <c r="Q78" i="162"/>
  <c r="Q88" i="162"/>
  <c r="Q101" i="162"/>
  <c r="Q105" i="162"/>
  <c r="Q109" i="162"/>
  <c r="Q112" i="162"/>
  <c r="Q138" i="162"/>
  <c r="Q141" i="162"/>
  <c r="Q144" i="162"/>
  <c r="Q154" i="162"/>
  <c r="Q161" i="162"/>
  <c r="Q183" i="162"/>
  <c r="Q188" i="162"/>
  <c r="Q196" i="162"/>
  <c r="J197" i="162"/>
  <c r="L197" i="162"/>
  <c r="M197" i="162" s="1"/>
  <c r="O197" i="162"/>
  <c r="Q13" i="162"/>
  <c r="M196" i="162"/>
  <c r="M17" i="162"/>
  <c r="Q33" i="162"/>
  <c r="Q37" i="162"/>
  <c r="Q39" i="162"/>
  <c r="Q41" i="162"/>
  <c r="Q42" i="162"/>
  <c r="Q48" i="162"/>
  <c r="Q50" i="162"/>
  <c r="Q52" i="162"/>
  <c r="Q55" i="162"/>
  <c r="Q57" i="162"/>
  <c r="Q60" i="162"/>
  <c r="Q62" i="162"/>
  <c r="Q64" i="162"/>
  <c r="Q66" i="162"/>
  <c r="Q68" i="162"/>
  <c r="M73" i="162"/>
  <c r="M76" i="162"/>
  <c r="M78" i="162"/>
  <c r="Q79" i="162"/>
  <c r="Q81" i="162"/>
  <c r="Q83" i="162"/>
  <c r="M86" i="162"/>
  <c r="Q96" i="162"/>
  <c r="Q98" i="162"/>
  <c r="M107" i="162"/>
  <c r="Q116" i="162"/>
  <c r="Q119" i="162"/>
  <c r="Q121" i="162"/>
  <c r="Q123" i="162"/>
  <c r="Q125" i="162"/>
  <c r="Q127" i="162"/>
  <c r="Q129" i="162"/>
  <c r="Q132" i="162"/>
  <c r="M141" i="162"/>
  <c r="M142" i="162"/>
  <c r="M144" i="162"/>
  <c r="M150" i="162"/>
  <c r="M157" i="162"/>
  <c r="Q164" i="162"/>
  <c r="Q166" i="162"/>
  <c r="Q169" i="162"/>
  <c r="Q171" i="162"/>
  <c r="P197" i="162"/>
  <c r="Q197" i="162" s="1"/>
  <c r="M96" i="162"/>
  <c r="Q10" i="162"/>
  <c r="J150" i="161"/>
  <c r="J105" i="161"/>
  <c r="N190" i="161"/>
  <c r="J190" i="161"/>
  <c r="J188" i="161"/>
  <c r="J186" i="161"/>
  <c r="J175" i="161"/>
  <c r="J178" i="161"/>
  <c r="N169" i="161"/>
  <c r="J169" i="161"/>
  <c r="J161" i="161"/>
  <c r="J140" i="161"/>
  <c r="J154" i="161"/>
  <c r="N145" i="161"/>
  <c r="J145" i="161"/>
  <c r="J134" i="161"/>
  <c r="J129" i="161"/>
  <c r="J127" i="161"/>
  <c r="J125" i="161"/>
  <c r="N123" i="161"/>
  <c r="J123" i="161"/>
  <c r="J117" i="161"/>
  <c r="J119" i="161"/>
  <c r="J114" i="161"/>
  <c r="J112" i="161"/>
  <c r="J110" i="161"/>
  <c r="J92" i="161"/>
  <c r="N94" i="161"/>
  <c r="J94" i="161"/>
  <c r="J98" i="161"/>
  <c r="J96" i="161"/>
  <c r="N80" i="161"/>
  <c r="J80" i="161"/>
  <c r="N75" i="161"/>
  <c r="N69" i="161"/>
  <c r="J69" i="161"/>
  <c r="J68" i="161"/>
  <c r="J163" i="161"/>
  <c r="N46" i="161"/>
  <c r="J46" i="161"/>
  <c r="J41" i="161"/>
  <c r="J39" i="161"/>
  <c r="N35" i="161"/>
  <c r="J33" i="161"/>
  <c r="N29" i="161"/>
  <c r="J29" i="161"/>
  <c r="J19" i="161"/>
  <c r="N22" i="161"/>
  <c r="J22" i="161"/>
  <c r="J20" i="161"/>
  <c r="I197" i="161"/>
  <c r="H197" i="161"/>
  <c r="P196" i="161"/>
  <c r="O196" i="161"/>
  <c r="N196" i="161"/>
  <c r="L196" i="161"/>
  <c r="K196" i="161"/>
  <c r="J196" i="161"/>
  <c r="Q194" i="161"/>
  <c r="M194" i="161"/>
  <c r="Q193" i="161"/>
  <c r="M193" i="161"/>
  <c r="P192" i="161"/>
  <c r="O192" i="161"/>
  <c r="N192" i="161"/>
  <c r="L192" i="161"/>
  <c r="K192" i="161"/>
  <c r="J192" i="161"/>
  <c r="Q191" i="161"/>
  <c r="M191" i="161"/>
  <c r="P190" i="161"/>
  <c r="O190" i="161"/>
  <c r="L190" i="161"/>
  <c r="K190" i="161"/>
  <c r="Q189" i="161"/>
  <c r="M189" i="161"/>
  <c r="P188" i="161"/>
  <c r="O188" i="161"/>
  <c r="N188" i="161"/>
  <c r="L188" i="161"/>
  <c r="K188" i="161"/>
  <c r="Q187" i="161"/>
  <c r="M187" i="161"/>
  <c r="P186" i="161"/>
  <c r="O186" i="161"/>
  <c r="N186" i="161"/>
  <c r="L186" i="161"/>
  <c r="K186" i="161"/>
  <c r="Q185" i="161"/>
  <c r="N185" i="161"/>
  <c r="M185" i="161"/>
  <c r="J185" i="161"/>
  <c r="Q184" i="161"/>
  <c r="M184" i="161"/>
  <c r="P183" i="161"/>
  <c r="O183" i="161"/>
  <c r="N183" i="161"/>
  <c r="L183" i="161"/>
  <c r="K183" i="161"/>
  <c r="J183" i="161"/>
  <c r="Q182" i="161"/>
  <c r="M182" i="161"/>
  <c r="M181" i="161"/>
  <c r="M180" i="161"/>
  <c r="Q179" i="161"/>
  <c r="M179" i="161"/>
  <c r="P178" i="161"/>
  <c r="O178" i="161"/>
  <c r="N178" i="161"/>
  <c r="L178" i="161"/>
  <c r="K178" i="161"/>
  <c r="Q177" i="161"/>
  <c r="M177" i="161"/>
  <c r="Q176" i="161"/>
  <c r="M176" i="161"/>
  <c r="L175" i="161"/>
  <c r="K175" i="161"/>
  <c r="Q174" i="161"/>
  <c r="M174" i="161"/>
  <c r="P173" i="161"/>
  <c r="O173" i="161"/>
  <c r="N173" i="161"/>
  <c r="L173" i="161"/>
  <c r="K173" i="161"/>
  <c r="J173" i="161"/>
  <c r="Q172" i="161"/>
  <c r="M172" i="161"/>
  <c r="P171" i="161"/>
  <c r="O171" i="161"/>
  <c r="N171" i="161"/>
  <c r="L171" i="161"/>
  <c r="K171" i="161"/>
  <c r="J171" i="161"/>
  <c r="Q170" i="161"/>
  <c r="M170" i="161"/>
  <c r="P169" i="161"/>
  <c r="O169" i="161"/>
  <c r="L169" i="161"/>
  <c r="K169" i="161"/>
  <c r="Q168" i="161"/>
  <c r="M168" i="161"/>
  <c r="Q167" i="161"/>
  <c r="M167" i="161"/>
  <c r="P166" i="161"/>
  <c r="O166" i="161"/>
  <c r="N166" i="161"/>
  <c r="L166" i="161"/>
  <c r="K166" i="161"/>
  <c r="M166" i="161" s="1"/>
  <c r="J166" i="161"/>
  <c r="Q165" i="161"/>
  <c r="M165" i="161"/>
  <c r="P164" i="161"/>
  <c r="O164" i="161"/>
  <c r="N164" i="161"/>
  <c r="L164" i="161"/>
  <c r="K164" i="161"/>
  <c r="M164" i="161" s="1"/>
  <c r="J164" i="161"/>
  <c r="L163" i="161"/>
  <c r="K163" i="161"/>
  <c r="Q162" i="161"/>
  <c r="M162" i="161"/>
  <c r="P161" i="161"/>
  <c r="O161" i="161"/>
  <c r="N161" i="161"/>
  <c r="L161" i="161"/>
  <c r="K161" i="161"/>
  <c r="M161" i="161" s="1"/>
  <c r="Q160" i="161"/>
  <c r="M160" i="161"/>
  <c r="Q159" i="161"/>
  <c r="M159" i="161"/>
  <c r="Q158" i="161"/>
  <c r="M158" i="161"/>
  <c r="P157" i="161"/>
  <c r="O157" i="161"/>
  <c r="Q157" i="161" s="1"/>
  <c r="N157" i="161"/>
  <c r="L157" i="161"/>
  <c r="K157" i="161"/>
  <c r="J157" i="161"/>
  <c r="Q156" i="161"/>
  <c r="M156" i="161"/>
  <c r="Q155" i="161"/>
  <c r="M155" i="161"/>
  <c r="P154" i="161"/>
  <c r="O154" i="161"/>
  <c r="Q154" i="161" s="1"/>
  <c r="N154" i="161"/>
  <c r="L154" i="161"/>
  <c r="K154" i="161"/>
  <c r="J152" i="161"/>
  <c r="Q151" i="161"/>
  <c r="M151" i="161"/>
  <c r="Q150" i="161"/>
  <c r="L150" i="161"/>
  <c r="K150" i="161"/>
  <c r="P148" i="161"/>
  <c r="O148" i="161"/>
  <c r="N148" i="161"/>
  <c r="L148" i="161"/>
  <c r="K148" i="161"/>
  <c r="M148" i="161" s="1"/>
  <c r="J148" i="161"/>
  <c r="K147" i="161"/>
  <c r="J147" i="161"/>
  <c r="Q146" i="161"/>
  <c r="M146" i="161"/>
  <c r="P145" i="161"/>
  <c r="O145" i="161"/>
  <c r="L145" i="161"/>
  <c r="K145" i="161"/>
  <c r="P144" i="161"/>
  <c r="O144" i="161"/>
  <c r="N144" i="161"/>
  <c r="L144" i="161"/>
  <c r="K144" i="161"/>
  <c r="M144" i="161" s="1"/>
  <c r="J144" i="161"/>
  <c r="Q143" i="161"/>
  <c r="M143" i="161"/>
  <c r="P142" i="161"/>
  <c r="O142" i="161"/>
  <c r="N142" i="161"/>
  <c r="L142" i="161"/>
  <c r="K142" i="161"/>
  <c r="M142" i="161" s="1"/>
  <c r="J142" i="161"/>
  <c r="P141" i="161"/>
  <c r="O141" i="161"/>
  <c r="N141" i="161"/>
  <c r="L141" i="161"/>
  <c r="K141" i="161"/>
  <c r="M141" i="161" s="1"/>
  <c r="J141" i="161"/>
  <c r="P140" i="161"/>
  <c r="O140" i="161"/>
  <c r="N140" i="161"/>
  <c r="L140" i="161"/>
  <c r="K140" i="161"/>
  <c r="M140" i="161" s="1"/>
  <c r="Q139" i="161"/>
  <c r="M139" i="161"/>
  <c r="P138" i="161"/>
  <c r="O138" i="161"/>
  <c r="Q138" i="161" s="1"/>
  <c r="N138" i="161"/>
  <c r="L138" i="161"/>
  <c r="K138" i="161"/>
  <c r="J138" i="161"/>
  <c r="Q137" i="161"/>
  <c r="M137" i="161"/>
  <c r="P136" i="161"/>
  <c r="O136" i="161"/>
  <c r="Q136" i="161" s="1"/>
  <c r="N136" i="161"/>
  <c r="L136" i="161"/>
  <c r="K136" i="161"/>
  <c r="Q135" i="161"/>
  <c r="M135" i="161"/>
  <c r="P134" i="161"/>
  <c r="O134" i="161"/>
  <c r="N134" i="161"/>
  <c r="L134" i="161"/>
  <c r="K134" i="161"/>
  <c r="M134" i="161" s="1"/>
  <c r="Q133" i="161"/>
  <c r="M133" i="161"/>
  <c r="P132" i="161"/>
  <c r="O132" i="161"/>
  <c r="Q132" i="161" s="1"/>
  <c r="N132" i="161"/>
  <c r="L132" i="161"/>
  <c r="K132" i="161"/>
  <c r="J132" i="161"/>
  <c r="Q131" i="161"/>
  <c r="L131" i="161"/>
  <c r="K131" i="161"/>
  <c r="J131" i="161"/>
  <c r="Q130" i="161"/>
  <c r="M130" i="161"/>
  <c r="P129" i="161"/>
  <c r="O129" i="161"/>
  <c r="Q129" i="161" s="1"/>
  <c r="N129" i="161"/>
  <c r="L129" i="161"/>
  <c r="K129" i="161"/>
  <c r="Q128" i="161"/>
  <c r="M128" i="161"/>
  <c r="P127" i="161"/>
  <c r="O127" i="161"/>
  <c r="N127" i="161"/>
  <c r="L127" i="161"/>
  <c r="K127" i="161"/>
  <c r="M127" i="161" s="1"/>
  <c r="Q126" i="161"/>
  <c r="M126" i="161"/>
  <c r="P125" i="161"/>
  <c r="O125" i="161"/>
  <c r="Q125" i="161" s="1"/>
  <c r="N125" i="161"/>
  <c r="L125" i="161"/>
  <c r="K125" i="161"/>
  <c r="Q124" i="161"/>
  <c r="M124" i="161"/>
  <c r="P123" i="161"/>
  <c r="O123" i="161"/>
  <c r="L123" i="161"/>
  <c r="K123" i="161"/>
  <c r="Q122" i="161"/>
  <c r="M122" i="161"/>
  <c r="P121" i="161"/>
  <c r="O121" i="161"/>
  <c r="N121" i="161"/>
  <c r="L121" i="161"/>
  <c r="K121" i="161"/>
  <c r="M121" i="161" s="1"/>
  <c r="J121" i="161"/>
  <c r="Q120" i="161"/>
  <c r="M120" i="161"/>
  <c r="P119" i="161"/>
  <c r="O119" i="161"/>
  <c r="N119" i="161"/>
  <c r="L119" i="161"/>
  <c r="K119" i="161"/>
  <c r="M119" i="161" s="1"/>
  <c r="Q118" i="161"/>
  <c r="M118" i="161"/>
  <c r="P117" i="161"/>
  <c r="O117" i="161"/>
  <c r="Q117" i="161" s="1"/>
  <c r="N117" i="161"/>
  <c r="L117" i="161"/>
  <c r="K117" i="161"/>
  <c r="P116" i="161"/>
  <c r="O116" i="161"/>
  <c r="N116" i="161"/>
  <c r="L116" i="161"/>
  <c r="K116" i="161"/>
  <c r="M116" i="161" s="1"/>
  <c r="J116" i="161"/>
  <c r="Q115" i="161"/>
  <c r="N115" i="161"/>
  <c r="M115" i="161"/>
  <c r="P114" i="161"/>
  <c r="O114" i="161"/>
  <c r="Q114" i="161" s="1"/>
  <c r="N114" i="161"/>
  <c r="L114" i="161"/>
  <c r="K114" i="161"/>
  <c r="Q113" i="161"/>
  <c r="M113" i="161"/>
  <c r="P112" i="161"/>
  <c r="O112" i="161"/>
  <c r="N112" i="161"/>
  <c r="L112" i="161"/>
  <c r="K112" i="161"/>
  <c r="M112" i="161" s="1"/>
  <c r="Q111" i="161"/>
  <c r="M111" i="161"/>
  <c r="Q110" i="161"/>
  <c r="L110" i="161"/>
  <c r="K110" i="161"/>
  <c r="P109" i="161"/>
  <c r="O109" i="161"/>
  <c r="N109" i="161"/>
  <c r="L109" i="161"/>
  <c r="K109" i="161"/>
  <c r="M109" i="161" s="1"/>
  <c r="J109" i="161"/>
  <c r="Q108" i="161"/>
  <c r="M108" i="161"/>
  <c r="P107" i="161"/>
  <c r="O107" i="161"/>
  <c r="N107" i="161"/>
  <c r="L107" i="161"/>
  <c r="K107" i="161"/>
  <c r="M107" i="161" s="1"/>
  <c r="J107" i="161"/>
  <c r="Q106" i="161"/>
  <c r="M106" i="161"/>
  <c r="P105" i="161"/>
  <c r="O105" i="161"/>
  <c r="N105" i="161"/>
  <c r="L105" i="161"/>
  <c r="K105" i="161"/>
  <c r="M105" i="161" s="1"/>
  <c r="Q104" i="161"/>
  <c r="M104" i="161"/>
  <c r="P103" i="161"/>
  <c r="O103" i="161"/>
  <c r="Q103" i="161" s="1"/>
  <c r="N103" i="161"/>
  <c r="L103" i="161"/>
  <c r="K103" i="161"/>
  <c r="J103" i="161"/>
  <c r="Q102" i="161"/>
  <c r="M102" i="161"/>
  <c r="P101" i="161"/>
  <c r="O101" i="161"/>
  <c r="Q101" i="161" s="1"/>
  <c r="N101" i="161"/>
  <c r="L101" i="161"/>
  <c r="K101" i="161"/>
  <c r="J101" i="161"/>
  <c r="Q100" i="161"/>
  <c r="M100" i="161"/>
  <c r="P98" i="161"/>
  <c r="O98" i="161"/>
  <c r="Q98" i="161" s="1"/>
  <c r="N98" i="161"/>
  <c r="L98" i="161"/>
  <c r="K98" i="161"/>
  <c r="Q97" i="161"/>
  <c r="M97" i="161"/>
  <c r="P96" i="161"/>
  <c r="O96" i="161"/>
  <c r="N96" i="161"/>
  <c r="L96" i="161"/>
  <c r="K96" i="161"/>
  <c r="Q95" i="161"/>
  <c r="M95" i="161"/>
  <c r="P94" i="161"/>
  <c r="O94" i="161"/>
  <c r="Q94" i="161" s="1"/>
  <c r="L94" i="161"/>
  <c r="K94" i="161"/>
  <c r="M94" i="161" s="1"/>
  <c r="Q93" i="161"/>
  <c r="M93" i="161"/>
  <c r="Q92" i="161"/>
  <c r="L92" i="161"/>
  <c r="K92" i="161"/>
  <c r="Q91" i="161"/>
  <c r="M91" i="161"/>
  <c r="P90" i="161"/>
  <c r="O90" i="161"/>
  <c r="N90" i="161"/>
  <c r="L90" i="161"/>
  <c r="K90" i="161"/>
  <c r="M90" i="161" s="1"/>
  <c r="J90" i="161"/>
  <c r="Q89" i="161"/>
  <c r="M89" i="161"/>
  <c r="P88" i="161"/>
  <c r="O88" i="161"/>
  <c r="N88" i="161"/>
  <c r="L88" i="161"/>
  <c r="K88" i="161"/>
  <c r="M88" i="161" s="1"/>
  <c r="J88" i="161"/>
  <c r="Q87" i="161"/>
  <c r="M87" i="161"/>
  <c r="P86" i="161"/>
  <c r="O86" i="161"/>
  <c r="N86" i="161"/>
  <c r="L86" i="161"/>
  <c r="K86" i="161"/>
  <c r="M86" i="161" s="1"/>
  <c r="J86" i="161"/>
  <c r="Q85" i="161"/>
  <c r="M85" i="161"/>
  <c r="P84" i="161"/>
  <c r="O84" i="161"/>
  <c r="N84" i="161"/>
  <c r="L84" i="161"/>
  <c r="K84" i="161"/>
  <c r="M84" i="161" s="1"/>
  <c r="J84" i="161"/>
  <c r="P83" i="161"/>
  <c r="O83" i="161"/>
  <c r="N83" i="161"/>
  <c r="L83" i="161"/>
  <c r="K83" i="161"/>
  <c r="M83" i="161" s="1"/>
  <c r="J83" i="161"/>
  <c r="Q82" i="161"/>
  <c r="M82" i="161"/>
  <c r="P81" i="161"/>
  <c r="O81" i="161"/>
  <c r="N81" i="161"/>
  <c r="L81" i="161"/>
  <c r="K81" i="161"/>
  <c r="M81" i="161" s="1"/>
  <c r="J81" i="161"/>
  <c r="P80" i="161"/>
  <c r="O80" i="161"/>
  <c r="L80" i="161"/>
  <c r="K80" i="161"/>
  <c r="P79" i="161"/>
  <c r="O79" i="161"/>
  <c r="N79" i="161"/>
  <c r="L79" i="161"/>
  <c r="K79" i="161"/>
  <c r="M79" i="161" s="1"/>
  <c r="P78" i="161"/>
  <c r="O78" i="161"/>
  <c r="Q78" i="161" s="1"/>
  <c r="N78" i="161"/>
  <c r="L78" i="161"/>
  <c r="K78" i="161"/>
  <c r="J78" i="161"/>
  <c r="Q77" i="161"/>
  <c r="M77" i="161"/>
  <c r="P76" i="161"/>
  <c r="O76" i="161"/>
  <c r="Q76" i="161" s="1"/>
  <c r="N76" i="161"/>
  <c r="L76" i="161"/>
  <c r="K76" i="161"/>
  <c r="J76" i="161"/>
  <c r="P75" i="161"/>
  <c r="O75" i="161"/>
  <c r="Q75" i="161" s="1"/>
  <c r="L75" i="161"/>
  <c r="K75" i="161"/>
  <c r="M75" i="161" s="1"/>
  <c r="J75" i="161"/>
  <c r="Q74" i="161"/>
  <c r="M74" i="161"/>
  <c r="P73" i="161"/>
  <c r="O73" i="161"/>
  <c r="N73" i="161"/>
  <c r="L73" i="161"/>
  <c r="K73" i="161"/>
  <c r="M73" i="161" s="1"/>
  <c r="J73" i="161"/>
  <c r="Q72" i="161"/>
  <c r="M72" i="161"/>
  <c r="Q71" i="161"/>
  <c r="N71" i="161"/>
  <c r="M71" i="161"/>
  <c r="Q70" i="161"/>
  <c r="M70" i="161"/>
  <c r="P69" i="161"/>
  <c r="O69" i="161"/>
  <c r="Q69" i="161" s="1"/>
  <c r="L69" i="161"/>
  <c r="K69" i="161"/>
  <c r="M69" i="161" s="1"/>
  <c r="P68" i="161"/>
  <c r="O68" i="161"/>
  <c r="Q68" i="161" s="1"/>
  <c r="N68" i="161"/>
  <c r="L68" i="161"/>
  <c r="K68" i="161"/>
  <c r="Q67" i="161"/>
  <c r="M67" i="161"/>
  <c r="P66" i="161"/>
  <c r="O66" i="161"/>
  <c r="N66" i="161"/>
  <c r="L66" i="161"/>
  <c r="K66" i="161"/>
  <c r="M66" i="161" s="1"/>
  <c r="J66" i="161"/>
  <c r="Q65" i="161"/>
  <c r="M65" i="161"/>
  <c r="P64" i="161"/>
  <c r="O64" i="161"/>
  <c r="N64" i="161"/>
  <c r="L64" i="161"/>
  <c r="K64" i="161"/>
  <c r="M64" i="161" s="1"/>
  <c r="J64" i="161"/>
  <c r="Q63" i="161"/>
  <c r="M63" i="161"/>
  <c r="P62" i="161"/>
  <c r="O62" i="161"/>
  <c r="N62" i="161"/>
  <c r="L62" i="161"/>
  <c r="K62" i="161"/>
  <c r="M62" i="161" s="1"/>
  <c r="J62" i="161"/>
  <c r="Q61" i="161"/>
  <c r="M61" i="161"/>
  <c r="P60" i="161"/>
  <c r="O60" i="161"/>
  <c r="N60" i="161"/>
  <c r="M60" i="161"/>
  <c r="Q59" i="161"/>
  <c r="L59" i="161"/>
  <c r="K59" i="161"/>
  <c r="M59" i="161" s="1"/>
  <c r="J59" i="161"/>
  <c r="Q58" i="161"/>
  <c r="M58" i="161"/>
  <c r="P57" i="161"/>
  <c r="O57" i="161"/>
  <c r="N57" i="161"/>
  <c r="L57" i="161"/>
  <c r="K57" i="161"/>
  <c r="M57" i="161" s="1"/>
  <c r="J57" i="161"/>
  <c r="Q56" i="161"/>
  <c r="M56" i="161"/>
  <c r="P55" i="161"/>
  <c r="O55" i="161"/>
  <c r="N55" i="161"/>
  <c r="L55" i="161"/>
  <c r="K55" i="161"/>
  <c r="M55" i="161" s="1"/>
  <c r="J55" i="161"/>
  <c r="Q54" i="161"/>
  <c r="M54" i="161"/>
  <c r="Q53" i="161"/>
  <c r="M53" i="161"/>
  <c r="P52" i="161"/>
  <c r="O52" i="161"/>
  <c r="N52" i="161"/>
  <c r="L52" i="161"/>
  <c r="K52" i="161"/>
  <c r="M52" i="161" s="1"/>
  <c r="J52" i="161"/>
  <c r="Q51" i="161"/>
  <c r="M51" i="161"/>
  <c r="P50" i="161"/>
  <c r="O50" i="161"/>
  <c r="N50" i="161"/>
  <c r="L50" i="161"/>
  <c r="K50" i="161"/>
  <c r="M50" i="161" s="1"/>
  <c r="J50" i="161"/>
  <c r="Q49" i="161"/>
  <c r="M49" i="161"/>
  <c r="P48" i="161"/>
  <c r="O48" i="161"/>
  <c r="N48" i="161"/>
  <c r="L48" i="161"/>
  <c r="K48" i="161"/>
  <c r="M48" i="161" s="1"/>
  <c r="J48" i="161"/>
  <c r="P47" i="161"/>
  <c r="Q47" i="161" s="1"/>
  <c r="M47" i="161"/>
  <c r="P46" i="161"/>
  <c r="O46" i="161"/>
  <c r="L46" i="161"/>
  <c r="K46" i="161"/>
  <c r="Q45" i="161"/>
  <c r="M45" i="161"/>
  <c r="Q44" i="161"/>
  <c r="M44" i="161"/>
  <c r="Q43" i="161"/>
  <c r="M43" i="161"/>
  <c r="P42" i="161"/>
  <c r="O42" i="161"/>
  <c r="N42" i="161"/>
  <c r="L42" i="161"/>
  <c r="K42" i="161"/>
  <c r="M42" i="161" s="1"/>
  <c r="J42" i="161"/>
  <c r="P41" i="161"/>
  <c r="O41" i="161"/>
  <c r="N41" i="161"/>
  <c r="L41" i="161"/>
  <c r="K41" i="161"/>
  <c r="M41" i="161" s="1"/>
  <c r="Q40" i="161"/>
  <c r="M40" i="161"/>
  <c r="P39" i="161"/>
  <c r="O39" i="161"/>
  <c r="Q39" i="161" s="1"/>
  <c r="N39" i="161"/>
  <c r="L39" i="161"/>
  <c r="K39" i="161"/>
  <c r="Q38" i="161"/>
  <c r="M38" i="161"/>
  <c r="P37" i="161"/>
  <c r="O37" i="161"/>
  <c r="N37" i="161"/>
  <c r="L37" i="161"/>
  <c r="K37" i="161"/>
  <c r="M37" i="161" s="1"/>
  <c r="J37" i="161"/>
  <c r="Q36" i="161"/>
  <c r="M36" i="161"/>
  <c r="P35" i="161"/>
  <c r="O35" i="161"/>
  <c r="L35" i="161"/>
  <c r="K35" i="161"/>
  <c r="J35" i="161"/>
  <c r="Q34" i="161"/>
  <c r="M34" i="161"/>
  <c r="P33" i="161"/>
  <c r="O33" i="161"/>
  <c r="Q33" i="161" s="1"/>
  <c r="N33" i="161"/>
  <c r="L33" i="161"/>
  <c r="K33" i="161"/>
  <c r="Q32" i="161"/>
  <c r="M32" i="161"/>
  <c r="Q31" i="161"/>
  <c r="M31" i="161"/>
  <c r="Q30" i="161"/>
  <c r="L30" i="161"/>
  <c r="K30" i="161"/>
  <c r="M30" i="161" s="1"/>
  <c r="J30" i="161"/>
  <c r="P29" i="161"/>
  <c r="O29" i="161"/>
  <c r="L29" i="161"/>
  <c r="K29" i="161"/>
  <c r="Q28" i="161"/>
  <c r="N28" i="161"/>
  <c r="L28" i="161"/>
  <c r="K28" i="161"/>
  <c r="J28" i="161"/>
  <c r="Q27" i="161"/>
  <c r="M27" i="161"/>
  <c r="P26" i="161"/>
  <c r="O26" i="161"/>
  <c r="Q26" i="161" s="1"/>
  <c r="N26" i="161"/>
  <c r="L26" i="161"/>
  <c r="K26" i="161"/>
  <c r="J26" i="161"/>
  <c r="P25" i="161"/>
  <c r="O25" i="161"/>
  <c r="Q25" i="161" s="1"/>
  <c r="N25" i="161"/>
  <c r="L25" i="161"/>
  <c r="K25" i="161"/>
  <c r="J25" i="161"/>
  <c r="K24" i="161"/>
  <c r="J24" i="161"/>
  <c r="Q23" i="161"/>
  <c r="M23" i="161"/>
  <c r="J23" i="161"/>
  <c r="P22" i="161"/>
  <c r="O22" i="161"/>
  <c r="L22" i="161"/>
  <c r="K22" i="161"/>
  <c r="Q21" i="161"/>
  <c r="M21" i="161"/>
  <c r="P20" i="161"/>
  <c r="O20" i="161"/>
  <c r="N20" i="161"/>
  <c r="L20" i="161"/>
  <c r="K20" i="161"/>
  <c r="M20" i="161" s="1"/>
  <c r="P19" i="161"/>
  <c r="O19" i="161"/>
  <c r="Q19" i="161" s="1"/>
  <c r="N19" i="161"/>
  <c r="L19" i="161"/>
  <c r="K19" i="161"/>
  <c r="Q18" i="161"/>
  <c r="M18" i="161"/>
  <c r="P17" i="161"/>
  <c r="O17" i="161"/>
  <c r="N17" i="161"/>
  <c r="L17" i="161"/>
  <c r="K17" i="161"/>
  <c r="M17" i="161" s="1"/>
  <c r="J17" i="161"/>
  <c r="Q16" i="161"/>
  <c r="M16" i="161"/>
  <c r="P15" i="161"/>
  <c r="O15" i="161"/>
  <c r="N15" i="161"/>
  <c r="L15" i="161"/>
  <c r="K15" i="161"/>
  <c r="M15" i="161" s="1"/>
  <c r="J15" i="161"/>
  <c r="Q14" i="161"/>
  <c r="M14" i="161"/>
  <c r="P13" i="161"/>
  <c r="O13" i="161"/>
  <c r="N13" i="161"/>
  <c r="L13" i="161"/>
  <c r="K13" i="161"/>
  <c r="M13" i="161" s="1"/>
  <c r="J13" i="161"/>
  <c r="Q12" i="161"/>
  <c r="L12" i="161"/>
  <c r="K12" i="161"/>
  <c r="M12" i="161" s="1"/>
  <c r="J12" i="161"/>
  <c r="Q11" i="161"/>
  <c r="M11" i="161"/>
  <c r="P10" i="161"/>
  <c r="P197" i="161" s="1"/>
  <c r="O10" i="161"/>
  <c r="N10" i="161"/>
  <c r="N197" i="161" s="1"/>
  <c r="L10" i="161"/>
  <c r="K10" i="161"/>
  <c r="K197" i="161" s="1"/>
  <c r="J10" i="161"/>
  <c r="B9" i="161"/>
  <c r="C9" i="161" s="1"/>
  <c r="D9" i="161" s="1"/>
  <c r="E9" i="161" s="1"/>
  <c r="F9" i="161" s="1"/>
  <c r="G9" i="161" s="1"/>
  <c r="H9" i="161" s="1"/>
  <c r="I9" i="161" s="1"/>
  <c r="J9" i="161" s="1"/>
  <c r="K9" i="161" s="1"/>
  <c r="L9" i="161" s="1"/>
  <c r="M9" i="161" s="1"/>
  <c r="N9" i="161" s="1"/>
  <c r="O9" i="161" s="1"/>
  <c r="P9" i="161" s="1"/>
  <c r="Q9" i="161" s="1"/>
  <c r="K172" i="160"/>
  <c r="K195" i="160"/>
  <c r="O104" i="160"/>
  <c r="K104" i="160"/>
  <c r="K182" i="160"/>
  <c r="K55" i="160"/>
  <c r="O147" i="160"/>
  <c r="K147" i="160"/>
  <c r="O116" i="160"/>
  <c r="K116" i="160"/>
  <c r="O55" i="160"/>
  <c r="K78" i="160"/>
  <c r="K177" i="160"/>
  <c r="K174" i="160"/>
  <c r="K191" i="160"/>
  <c r="O185" i="160"/>
  <c r="K185" i="160"/>
  <c r="K156" i="160"/>
  <c r="K109" i="160"/>
  <c r="K92" i="160"/>
  <c r="K66" i="160"/>
  <c r="M169" i="161" l="1"/>
  <c r="Q169" i="161"/>
  <c r="Q171" i="161"/>
  <c r="Q173" i="161"/>
  <c r="M175" i="161"/>
  <c r="M178" i="161"/>
  <c r="M183" i="161"/>
  <c r="Q186" i="161"/>
  <c r="M188" i="161"/>
  <c r="M192" i="161"/>
  <c r="M196" i="161"/>
  <c r="M171" i="161"/>
  <c r="M173" i="161"/>
  <c r="Q178" i="161"/>
  <c r="Q183" i="161"/>
  <c r="M186" i="161"/>
  <c r="Q188" i="161"/>
  <c r="M190" i="161"/>
  <c r="Q190" i="161"/>
  <c r="Q192" i="161"/>
  <c r="Q196" i="161"/>
  <c r="J197" i="161"/>
  <c r="L197" i="161"/>
  <c r="M197" i="161" s="1"/>
  <c r="O197" i="161"/>
  <c r="Q197" i="161" s="1"/>
  <c r="Q13" i="161"/>
  <c r="Q15" i="161"/>
  <c r="Q17" i="161"/>
  <c r="M19" i="161"/>
  <c r="Q20" i="161"/>
  <c r="M22" i="161"/>
  <c r="Q22" i="161"/>
  <c r="M25" i="161"/>
  <c r="M26" i="161"/>
  <c r="M28" i="161"/>
  <c r="M29" i="161"/>
  <c r="Q29" i="161"/>
  <c r="M33" i="161"/>
  <c r="M35" i="161"/>
  <c r="Q35" i="161"/>
  <c r="Q37" i="161"/>
  <c r="M39" i="161"/>
  <c r="Q41" i="161"/>
  <c r="Q42" i="161"/>
  <c r="M46" i="161"/>
  <c r="Q46" i="161"/>
  <c r="Q48" i="161"/>
  <c r="Q50" i="161"/>
  <c r="Q52" i="161"/>
  <c r="Q55" i="161"/>
  <c r="Q57" i="161"/>
  <c r="Q60" i="161"/>
  <c r="Q62" i="161"/>
  <c r="Q64" i="161"/>
  <c r="Q66" i="161"/>
  <c r="M68" i="161"/>
  <c r="Q73" i="161"/>
  <c r="M76" i="161"/>
  <c r="M78" i="161"/>
  <c r="Q79" i="161"/>
  <c r="M80" i="161"/>
  <c r="Q80" i="161"/>
  <c r="Q81" i="161"/>
  <c r="Q83" i="161"/>
  <c r="Q84" i="161"/>
  <c r="Q86" i="161"/>
  <c r="Q88" i="161"/>
  <c r="Q90" i="161"/>
  <c r="M92" i="161"/>
  <c r="Q96" i="161"/>
  <c r="M98" i="161"/>
  <c r="M101" i="161"/>
  <c r="M103" i="161"/>
  <c r="Q105" i="161"/>
  <c r="Q107" i="161"/>
  <c r="Q109" i="161"/>
  <c r="M110" i="161"/>
  <c r="Q112" i="161"/>
  <c r="M114" i="161"/>
  <c r="Q116" i="161"/>
  <c r="M117" i="161"/>
  <c r="Q119" i="161"/>
  <c r="Q121" i="161"/>
  <c r="M123" i="161"/>
  <c r="Q123" i="161"/>
  <c r="M125" i="161"/>
  <c r="Q127" i="161"/>
  <c r="M129" i="161"/>
  <c r="M131" i="161"/>
  <c r="M132" i="161"/>
  <c r="Q134" i="161"/>
  <c r="M136" i="161"/>
  <c r="M138" i="161"/>
  <c r="Q140" i="161"/>
  <c r="Q141" i="161"/>
  <c r="Q142" i="161"/>
  <c r="Q144" i="161"/>
  <c r="M145" i="161"/>
  <c r="Q145" i="161"/>
  <c r="Q148" i="161"/>
  <c r="M150" i="161"/>
  <c r="M154" i="161"/>
  <c r="M157" i="161"/>
  <c r="Q161" i="161"/>
  <c r="M163" i="161"/>
  <c r="Q164" i="161"/>
  <c r="Q166" i="161"/>
  <c r="M96" i="161"/>
  <c r="M10" i="161"/>
  <c r="Q10" i="161"/>
  <c r="K143" i="160"/>
  <c r="K141" i="160"/>
  <c r="K131" i="160"/>
  <c r="K133" i="160"/>
  <c r="K128" i="160"/>
  <c r="K126" i="160"/>
  <c r="O118" i="160"/>
  <c r="K118" i="160"/>
  <c r="K113" i="160"/>
  <c r="K106" i="160"/>
  <c r="K100" i="160"/>
  <c r="K80" i="160"/>
  <c r="O69" i="160"/>
  <c r="K76" i="160"/>
  <c r="K64" i="160"/>
  <c r="K57" i="160"/>
  <c r="K48" i="160"/>
  <c r="K46" i="160"/>
  <c r="K12" i="160"/>
  <c r="K115" i="160"/>
  <c r="K28" i="160"/>
  <c r="K41" i="160"/>
  <c r="K39" i="160"/>
  <c r="K35" i="160"/>
  <c r="K33" i="160"/>
  <c r="O29" i="160"/>
  <c r="K29" i="160"/>
  <c r="K25" i="160"/>
  <c r="K15" i="160"/>
  <c r="K13" i="160"/>
  <c r="K10" i="160"/>
  <c r="L10" i="160"/>
  <c r="K162" i="160"/>
  <c r="K153" i="160"/>
  <c r="K137" i="160"/>
  <c r="K122" i="160"/>
  <c r="J88" i="160" l="1"/>
  <c r="J78" i="160"/>
  <c r="J24" i="160"/>
  <c r="J15" i="160" l="1"/>
  <c r="J28" i="160" l="1"/>
  <c r="J146" i="160"/>
  <c r="J151" i="160"/>
  <c r="J191" i="160"/>
  <c r="N172" i="160"/>
  <c r="J172" i="160"/>
  <c r="J139" i="160"/>
  <c r="J147" i="160"/>
  <c r="J137" i="160"/>
  <c r="N133" i="160"/>
  <c r="J133" i="160"/>
  <c r="J128" i="160"/>
  <c r="J124" i="160"/>
  <c r="J120" i="160"/>
  <c r="N116" i="160"/>
  <c r="J116" i="160"/>
  <c r="J113" i="160"/>
  <c r="J109" i="160"/>
  <c r="J92" i="160"/>
  <c r="J102" i="160"/>
  <c r="N84" i="160"/>
  <c r="J84" i="160"/>
  <c r="J80" i="160"/>
  <c r="J69" i="160"/>
  <c r="J68" i="160"/>
  <c r="J115" i="160"/>
  <c r="J12" i="160"/>
  <c r="J37" i="160"/>
  <c r="J42" i="160" l="1"/>
  <c r="J41" i="160"/>
  <c r="J35" i="160"/>
  <c r="J33" i="160"/>
  <c r="N26" i="160"/>
  <c r="J26" i="160"/>
  <c r="J25" i="160"/>
  <c r="I196" i="160"/>
  <c r="H196" i="160"/>
  <c r="P195" i="160"/>
  <c r="O195" i="160"/>
  <c r="N195" i="160"/>
  <c r="L195" i="160"/>
  <c r="J195" i="160"/>
  <c r="Q193" i="160"/>
  <c r="M193" i="160"/>
  <c r="Q192" i="160"/>
  <c r="M192" i="160"/>
  <c r="P191" i="160"/>
  <c r="O191" i="160"/>
  <c r="N191" i="160"/>
  <c r="L191" i="160"/>
  <c r="M191" i="160" s="1"/>
  <c r="Q190" i="160"/>
  <c r="M190" i="160"/>
  <c r="P189" i="160"/>
  <c r="O189" i="160"/>
  <c r="N189" i="160"/>
  <c r="L189" i="160"/>
  <c r="K189" i="160"/>
  <c r="J189" i="160"/>
  <c r="Q188" i="160"/>
  <c r="M188" i="160"/>
  <c r="P187" i="160"/>
  <c r="O187" i="160"/>
  <c r="N187" i="160"/>
  <c r="L187" i="160"/>
  <c r="K187" i="160"/>
  <c r="J187" i="160"/>
  <c r="Q186" i="160"/>
  <c r="M186" i="160"/>
  <c r="P185" i="160"/>
  <c r="Q185" i="160" s="1"/>
  <c r="N185" i="160"/>
  <c r="L185" i="160"/>
  <c r="J185" i="160"/>
  <c r="Q184" i="160"/>
  <c r="N184" i="160"/>
  <c r="M184" i="160"/>
  <c r="J184" i="160"/>
  <c r="Q183" i="160"/>
  <c r="M183" i="160"/>
  <c r="P182" i="160"/>
  <c r="O182" i="160"/>
  <c r="N182" i="160"/>
  <c r="L182" i="160"/>
  <c r="J182" i="160"/>
  <c r="Q181" i="160"/>
  <c r="M181" i="160"/>
  <c r="M180" i="160"/>
  <c r="M179" i="160"/>
  <c r="Q178" i="160"/>
  <c r="M178" i="160"/>
  <c r="P177" i="160"/>
  <c r="O177" i="160"/>
  <c r="N177" i="160"/>
  <c r="L177" i="160"/>
  <c r="J177" i="160"/>
  <c r="Q176" i="160"/>
  <c r="M176" i="160"/>
  <c r="Q175" i="160"/>
  <c r="M175" i="160"/>
  <c r="L174" i="160"/>
  <c r="M174" i="160" s="1"/>
  <c r="J174" i="160"/>
  <c r="Q173" i="160"/>
  <c r="M173" i="160"/>
  <c r="P172" i="160"/>
  <c r="O172" i="160"/>
  <c r="L172" i="160"/>
  <c r="Q171" i="160"/>
  <c r="M171" i="160"/>
  <c r="P170" i="160"/>
  <c r="O170" i="160"/>
  <c r="N170" i="160"/>
  <c r="L170" i="160"/>
  <c r="K170" i="160"/>
  <c r="J170" i="160"/>
  <c r="Q169" i="160"/>
  <c r="M169" i="160"/>
  <c r="P168" i="160"/>
  <c r="O168" i="160"/>
  <c r="N168" i="160"/>
  <c r="L168" i="160"/>
  <c r="K168" i="160"/>
  <c r="J168" i="160"/>
  <c r="Q167" i="160"/>
  <c r="M167" i="160"/>
  <c r="Q166" i="160"/>
  <c r="M166" i="160"/>
  <c r="P165" i="160"/>
  <c r="O165" i="160"/>
  <c r="N165" i="160"/>
  <c r="L165" i="160"/>
  <c r="K165" i="160"/>
  <c r="J165" i="160"/>
  <c r="Q164" i="160"/>
  <c r="M164" i="160"/>
  <c r="P163" i="160"/>
  <c r="O163" i="160"/>
  <c r="N163" i="160"/>
  <c r="L163" i="160"/>
  <c r="K163" i="160"/>
  <c r="J163" i="160"/>
  <c r="L162" i="160"/>
  <c r="M162" i="160" s="1"/>
  <c r="J162" i="160"/>
  <c r="Q161" i="160"/>
  <c r="M161" i="160"/>
  <c r="P160" i="160"/>
  <c r="O160" i="160"/>
  <c r="N160" i="160"/>
  <c r="L160" i="160"/>
  <c r="K160" i="160"/>
  <c r="J160" i="160"/>
  <c r="Q159" i="160"/>
  <c r="M159" i="160"/>
  <c r="Q158" i="160"/>
  <c r="M158" i="160"/>
  <c r="Q157" i="160"/>
  <c r="M157" i="160"/>
  <c r="P156" i="160"/>
  <c r="O156" i="160"/>
  <c r="N156" i="160"/>
  <c r="L156" i="160"/>
  <c r="J156" i="160"/>
  <c r="Q155" i="160"/>
  <c r="M155" i="160"/>
  <c r="Q154" i="160"/>
  <c r="M154" i="160"/>
  <c r="P153" i="160"/>
  <c r="O153" i="160"/>
  <c r="Q153" i="160" s="1"/>
  <c r="N153" i="160"/>
  <c r="L153" i="160"/>
  <c r="M153" i="160" s="1"/>
  <c r="J153" i="160"/>
  <c r="Q150" i="160"/>
  <c r="M150" i="160"/>
  <c r="Q149" i="160"/>
  <c r="L149" i="160"/>
  <c r="K149" i="160"/>
  <c r="J149" i="160"/>
  <c r="P147" i="160"/>
  <c r="Q147" i="160" s="1"/>
  <c r="N147" i="160"/>
  <c r="L147" i="160"/>
  <c r="K146" i="160"/>
  <c r="Q145" i="160"/>
  <c r="M145" i="160"/>
  <c r="P144" i="160"/>
  <c r="O144" i="160"/>
  <c r="N144" i="160"/>
  <c r="L144" i="160"/>
  <c r="K144" i="160"/>
  <c r="J144" i="160"/>
  <c r="P143" i="160"/>
  <c r="O143" i="160"/>
  <c r="N143" i="160"/>
  <c r="L143" i="160"/>
  <c r="M143" i="160" s="1"/>
  <c r="J143" i="160"/>
  <c r="Q142" i="160"/>
  <c r="M142" i="160"/>
  <c r="P141" i="160"/>
  <c r="O141" i="160"/>
  <c r="N141" i="160"/>
  <c r="L141" i="160"/>
  <c r="M141" i="160" s="1"/>
  <c r="J141" i="160"/>
  <c r="P140" i="160"/>
  <c r="O140" i="160"/>
  <c r="N140" i="160"/>
  <c r="L140" i="160"/>
  <c r="K140" i="160"/>
  <c r="J140" i="160"/>
  <c r="P139" i="160"/>
  <c r="O139" i="160"/>
  <c r="N139" i="160"/>
  <c r="L139" i="160"/>
  <c r="K139" i="160"/>
  <c r="Q138" i="160"/>
  <c r="M138" i="160"/>
  <c r="P137" i="160"/>
  <c r="O137" i="160"/>
  <c r="N137" i="160"/>
  <c r="L137" i="160"/>
  <c r="M137" i="160" s="1"/>
  <c r="Q136" i="160"/>
  <c r="M136" i="160"/>
  <c r="P135" i="160"/>
  <c r="O135" i="160"/>
  <c r="N135" i="160"/>
  <c r="L135" i="160"/>
  <c r="K135" i="160"/>
  <c r="Q134" i="160"/>
  <c r="M134" i="160"/>
  <c r="P133" i="160"/>
  <c r="O133" i="160"/>
  <c r="L133" i="160"/>
  <c r="M133" i="160" s="1"/>
  <c r="Q132" i="160"/>
  <c r="M132" i="160"/>
  <c r="P131" i="160"/>
  <c r="O131" i="160"/>
  <c r="N131" i="160"/>
  <c r="L131" i="160"/>
  <c r="M131" i="160" s="1"/>
  <c r="J131" i="160"/>
  <c r="Q130" i="160"/>
  <c r="L130" i="160"/>
  <c r="K130" i="160"/>
  <c r="J130" i="160"/>
  <c r="Q129" i="160"/>
  <c r="M129" i="160"/>
  <c r="P128" i="160"/>
  <c r="O128" i="160"/>
  <c r="N128" i="160"/>
  <c r="L128" i="160"/>
  <c r="M128" i="160" s="1"/>
  <c r="Q127" i="160"/>
  <c r="M127" i="160"/>
  <c r="P126" i="160"/>
  <c r="O126" i="160"/>
  <c r="N126" i="160"/>
  <c r="L126" i="160"/>
  <c r="M126" i="160" s="1"/>
  <c r="J126" i="160"/>
  <c r="Q125" i="160"/>
  <c r="M125" i="160"/>
  <c r="P124" i="160"/>
  <c r="O124" i="160"/>
  <c r="N124" i="160"/>
  <c r="L124" i="160"/>
  <c r="K124" i="160"/>
  <c r="Q123" i="160"/>
  <c r="M123" i="160"/>
  <c r="P122" i="160"/>
  <c r="O122" i="160"/>
  <c r="N122" i="160"/>
  <c r="L122" i="160"/>
  <c r="M122" i="160" s="1"/>
  <c r="J122" i="160"/>
  <c r="Q121" i="160"/>
  <c r="M121" i="160"/>
  <c r="P120" i="160"/>
  <c r="O120" i="160"/>
  <c r="N120" i="160"/>
  <c r="L120" i="160"/>
  <c r="K120" i="160"/>
  <c r="Q119" i="160"/>
  <c r="M119" i="160"/>
  <c r="P118" i="160"/>
  <c r="Q118" i="160" s="1"/>
  <c r="N118" i="160"/>
  <c r="L118" i="160"/>
  <c r="M118" i="160" s="1"/>
  <c r="J118" i="160"/>
  <c r="Q117" i="160"/>
  <c r="M117" i="160"/>
  <c r="P116" i="160"/>
  <c r="Q116" i="160" s="1"/>
  <c r="L116" i="160"/>
  <c r="M116" i="160" s="1"/>
  <c r="P115" i="160"/>
  <c r="O115" i="160"/>
  <c r="N115" i="160"/>
  <c r="L115" i="160"/>
  <c r="M115" i="160" s="1"/>
  <c r="Q114" i="160"/>
  <c r="N114" i="160"/>
  <c r="M114" i="160"/>
  <c r="P113" i="160"/>
  <c r="O113" i="160"/>
  <c r="N113" i="160"/>
  <c r="L113" i="160"/>
  <c r="M113" i="160" s="1"/>
  <c r="Q112" i="160"/>
  <c r="M112" i="160"/>
  <c r="P111" i="160"/>
  <c r="O111" i="160"/>
  <c r="N111" i="160"/>
  <c r="L111" i="160"/>
  <c r="K111" i="160"/>
  <c r="J111" i="160"/>
  <c r="Q110" i="160"/>
  <c r="M110" i="160"/>
  <c r="Q109" i="160"/>
  <c r="L109" i="160"/>
  <c r="M109" i="160" s="1"/>
  <c r="P108" i="160"/>
  <c r="O108" i="160"/>
  <c r="N108" i="160"/>
  <c r="L108" i="160"/>
  <c r="K108" i="160"/>
  <c r="J108" i="160"/>
  <c r="Q107" i="160"/>
  <c r="M107" i="160"/>
  <c r="P106" i="160"/>
  <c r="O106" i="160"/>
  <c r="N106" i="160"/>
  <c r="L106" i="160"/>
  <c r="M106" i="160" s="1"/>
  <c r="J106" i="160"/>
  <c r="Q105" i="160"/>
  <c r="M105" i="160"/>
  <c r="P104" i="160"/>
  <c r="Q104" i="160" s="1"/>
  <c r="N104" i="160"/>
  <c r="L104" i="160"/>
  <c r="M104" i="160" s="1"/>
  <c r="J104" i="160"/>
  <c r="Q103" i="160"/>
  <c r="M103" i="160"/>
  <c r="P102" i="160"/>
  <c r="O102" i="160"/>
  <c r="N102" i="160"/>
  <c r="L102" i="160"/>
  <c r="K102" i="160"/>
  <c r="Q101" i="160"/>
  <c r="M101" i="160"/>
  <c r="P100" i="160"/>
  <c r="O100" i="160"/>
  <c r="N100" i="160"/>
  <c r="L100" i="160"/>
  <c r="M100" i="160" s="1"/>
  <c r="J100" i="160"/>
  <c r="Q99" i="160"/>
  <c r="M99" i="160"/>
  <c r="P98" i="160"/>
  <c r="O98" i="160"/>
  <c r="N98" i="160"/>
  <c r="L98" i="160"/>
  <c r="K98" i="160"/>
  <c r="J98" i="160"/>
  <c r="Q97" i="160"/>
  <c r="M97" i="160"/>
  <c r="P96" i="160"/>
  <c r="O96" i="160"/>
  <c r="N96" i="160"/>
  <c r="L96" i="160"/>
  <c r="K96" i="160"/>
  <c r="J96" i="160"/>
  <c r="Q95" i="160"/>
  <c r="M95" i="160"/>
  <c r="P94" i="160"/>
  <c r="O94" i="160"/>
  <c r="N94" i="160"/>
  <c r="L94" i="160"/>
  <c r="K94" i="160"/>
  <c r="J94" i="160"/>
  <c r="Q93" i="160"/>
  <c r="M93" i="160"/>
  <c r="Q92" i="160"/>
  <c r="L92" i="160"/>
  <c r="M92" i="160" s="1"/>
  <c r="Q91" i="160"/>
  <c r="M91" i="160"/>
  <c r="P90" i="160"/>
  <c r="O90" i="160"/>
  <c r="N90" i="160"/>
  <c r="L90" i="160"/>
  <c r="K90" i="160"/>
  <c r="J90" i="160"/>
  <c r="Q89" i="160"/>
  <c r="M89" i="160"/>
  <c r="P88" i="160"/>
  <c r="O88" i="160"/>
  <c r="N88" i="160"/>
  <c r="L88" i="160"/>
  <c r="K88" i="160"/>
  <c r="Q87" i="160"/>
  <c r="M87" i="160"/>
  <c r="P86" i="160"/>
  <c r="O86" i="160"/>
  <c r="N86" i="160"/>
  <c r="L86" i="160"/>
  <c r="K86" i="160"/>
  <c r="J86" i="160"/>
  <c r="Q85" i="160"/>
  <c r="M85" i="160"/>
  <c r="P84" i="160"/>
  <c r="O84" i="160"/>
  <c r="L84" i="160"/>
  <c r="K84" i="160"/>
  <c r="P83" i="160"/>
  <c r="O83" i="160"/>
  <c r="N83" i="160"/>
  <c r="L83" i="160"/>
  <c r="K83" i="160"/>
  <c r="J83" i="160"/>
  <c r="Q82" i="160"/>
  <c r="M82" i="160"/>
  <c r="P81" i="160"/>
  <c r="O81" i="160"/>
  <c r="N81" i="160"/>
  <c r="L81" i="160"/>
  <c r="K81" i="160"/>
  <c r="J81" i="160"/>
  <c r="P80" i="160"/>
  <c r="O80" i="160"/>
  <c r="N80" i="160"/>
  <c r="L80" i="160"/>
  <c r="M80" i="160" s="1"/>
  <c r="P79" i="160"/>
  <c r="O79" i="160"/>
  <c r="N79" i="160"/>
  <c r="L79" i="160"/>
  <c r="K79" i="160"/>
  <c r="P78" i="160"/>
  <c r="O78" i="160"/>
  <c r="N78" i="160"/>
  <c r="L78" i="160"/>
  <c r="M78" i="160" s="1"/>
  <c r="Q77" i="160"/>
  <c r="M77" i="160"/>
  <c r="P76" i="160"/>
  <c r="O76" i="160"/>
  <c r="N76" i="160"/>
  <c r="L76" i="160"/>
  <c r="M76" i="160" s="1"/>
  <c r="J76" i="160"/>
  <c r="P75" i="160"/>
  <c r="O75" i="160"/>
  <c r="N75" i="160"/>
  <c r="L75" i="160"/>
  <c r="K75" i="160"/>
  <c r="J75" i="160"/>
  <c r="Q74" i="160"/>
  <c r="M74" i="160"/>
  <c r="P73" i="160"/>
  <c r="O73" i="160"/>
  <c r="N73" i="160"/>
  <c r="L73" i="160"/>
  <c r="K73" i="160"/>
  <c r="J73" i="160"/>
  <c r="Q72" i="160"/>
  <c r="M72" i="160"/>
  <c r="Q71" i="160"/>
  <c r="N71" i="160"/>
  <c r="M71" i="160"/>
  <c r="Q70" i="160"/>
  <c r="M70" i="160"/>
  <c r="P69" i="160"/>
  <c r="Q69" i="160" s="1"/>
  <c r="N69" i="160"/>
  <c r="L69" i="160"/>
  <c r="K69" i="160"/>
  <c r="P68" i="160"/>
  <c r="O68" i="160"/>
  <c r="N68" i="160"/>
  <c r="L68" i="160"/>
  <c r="K68" i="160"/>
  <c r="Q67" i="160"/>
  <c r="M67" i="160"/>
  <c r="P66" i="160"/>
  <c r="O66" i="160"/>
  <c r="N66" i="160"/>
  <c r="L66" i="160"/>
  <c r="M66" i="160" s="1"/>
  <c r="J66" i="160"/>
  <c r="Q65" i="160"/>
  <c r="M65" i="160"/>
  <c r="P64" i="160"/>
  <c r="O64" i="160"/>
  <c r="N64" i="160"/>
  <c r="L64" i="160"/>
  <c r="M64" i="160" s="1"/>
  <c r="J64" i="160"/>
  <c r="Q63" i="160"/>
  <c r="M63" i="160"/>
  <c r="P62" i="160"/>
  <c r="O62" i="160"/>
  <c r="N62" i="160"/>
  <c r="L62" i="160"/>
  <c r="K62" i="160"/>
  <c r="J62" i="160"/>
  <c r="Q61" i="160"/>
  <c r="M61" i="160"/>
  <c r="P60" i="160"/>
  <c r="O60" i="160"/>
  <c r="N60" i="160"/>
  <c r="M60" i="160"/>
  <c r="Q59" i="160"/>
  <c r="L59" i="160"/>
  <c r="K59" i="160"/>
  <c r="J59" i="160"/>
  <c r="Q58" i="160"/>
  <c r="M58" i="160"/>
  <c r="P57" i="160"/>
  <c r="O57" i="160"/>
  <c r="N57" i="160"/>
  <c r="L57" i="160"/>
  <c r="M57" i="160" s="1"/>
  <c r="J57" i="160"/>
  <c r="Q56" i="160"/>
  <c r="M56" i="160"/>
  <c r="P55" i="160"/>
  <c r="N55" i="160"/>
  <c r="L55" i="160"/>
  <c r="M55" i="160" s="1"/>
  <c r="J55" i="160"/>
  <c r="Q54" i="160"/>
  <c r="M54" i="160"/>
  <c r="Q53" i="160"/>
  <c r="M53" i="160"/>
  <c r="P52" i="160"/>
  <c r="O52" i="160"/>
  <c r="N52" i="160"/>
  <c r="L52" i="160"/>
  <c r="K52" i="160"/>
  <c r="J52" i="160"/>
  <c r="Q51" i="160"/>
  <c r="M51" i="160"/>
  <c r="P50" i="160"/>
  <c r="O50" i="160"/>
  <c r="N50" i="160"/>
  <c r="L50" i="160"/>
  <c r="K50" i="160"/>
  <c r="J50" i="160"/>
  <c r="Q49" i="160"/>
  <c r="M49" i="160"/>
  <c r="P48" i="160"/>
  <c r="O48" i="160"/>
  <c r="N48" i="160"/>
  <c r="L48" i="160"/>
  <c r="M48" i="160" s="1"/>
  <c r="J48" i="160"/>
  <c r="P47" i="160"/>
  <c r="Q47" i="160" s="1"/>
  <c r="M47" i="160"/>
  <c r="P46" i="160"/>
  <c r="O46" i="160"/>
  <c r="N46" i="160"/>
  <c r="L46" i="160"/>
  <c r="M46" i="160" s="1"/>
  <c r="J46" i="160"/>
  <c r="Q45" i="160"/>
  <c r="M45" i="160"/>
  <c r="Q44" i="160"/>
  <c r="M44" i="160"/>
  <c r="Q43" i="160"/>
  <c r="M43" i="160"/>
  <c r="P42" i="160"/>
  <c r="O42" i="160"/>
  <c r="N42" i="160"/>
  <c r="L42" i="160"/>
  <c r="K42" i="160"/>
  <c r="P41" i="160"/>
  <c r="O41" i="160"/>
  <c r="N41" i="160"/>
  <c r="L41" i="160"/>
  <c r="M41" i="160" s="1"/>
  <c r="Q40" i="160"/>
  <c r="M40" i="160"/>
  <c r="P39" i="160"/>
  <c r="O39" i="160"/>
  <c r="N39" i="160"/>
  <c r="L39" i="160"/>
  <c r="M39" i="160" s="1"/>
  <c r="J39" i="160"/>
  <c r="Q38" i="160"/>
  <c r="M38" i="160"/>
  <c r="P37" i="160"/>
  <c r="O37" i="160"/>
  <c r="N37" i="160"/>
  <c r="L37" i="160"/>
  <c r="K37" i="160"/>
  <c r="Q36" i="160"/>
  <c r="M36" i="160"/>
  <c r="P35" i="160"/>
  <c r="O35" i="160"/>
  <c r="N35" i="160"/>
  <c r="L35" i="160"/>
  <c r="M35" i="160" s="1"/>
  <c r="Q34" i="160"/>
  <c r="M34" i="160"/>
  <c r="P33" i="160"/>
  <c r="O33" i="160"/>
  <c r="N33" i="160"/>
  <c r="L33" i="160"/>
  <c r="M33" i="160" s="1"/>
  <c r="Q32" i="160"/>
  <c r="M32" i="160"/>
  <c r="Q31" i="160"/>
  <c r="M31" i="160"/>
  <c r="Q30" i="160"/>
  <c r="L30" i="160"/>
  <c r="K30" i="160"/>
  <c r="J30" i="160"/>
  <c r="P29" i="160"/>
  <c r="Q29" i="160" s="1"/>
  <c r="N29" i="160"/>
  <c r="L29" i="160"/>
  <c r="M29" i="160" s="1"/>
  <c r="J29" i="160"/>
  <c r="Q28" i="160"/>
  <c r="N28" i="160"/>
  <c r="L28" i="160"/>
  <c r="M28" i="160" s="1"/>
  <c r="Q27" i="160"/>
  <c r="M27" i="160"/>
  <c r="P26" i="160"/>
  <c r="O26" i="160"/>
  <c r="L26" i="160"/>
  <c r="K26" i="160"/>
  <c r="P25" i="160"/>
  <c r="O25" i="160"/>
  <c r="N25" i="160"/>
  <c r="L25" i="160"/>
  <c r="M25" i="160" s="1"/>
  <c r="K24" i="160"/>
  <c r="Q23" i="160"/>
  <c r="M23" i="160"/>
  <c r="J23" i="160"/>
  <c r="P22" i="160"/>
  <c r="O22" i="160"/>
  <c r="N22" i="160"/>
  <c r="L22" i="160"/>
  <c r="K22" i="160"/>
  <c r="J22" i="160"/>
  <c r="Q21" i="160"/>
  <c r="M21" i="160"/>
  <c r="P20" i="160"/>
  <c r="O20" i="160"/>
  <c r="N20" i="160"/>
  <c r="L20" i="160"/>
  <c r="K20" i="160"/>
  <c r="J20" i="160"/>
  <c r="P19" i="160"/>
  <c r="O19" i="160"/>
  <c r="N19" i="160"/>
  <c r="L19" i="160"/>
  <c r="K19" i="160"/>
  <c r="J19" i="160"/>
  <c r="Q18" i="160"/>
  <c r="M18" i="160"/>
  <c r="P17" i="160"/>
  <c r="O17" i="160"/>
  <c r="N17" i="160"/>
  <c r="L17" i="160"/>
  <c r="K17" i="160"/>
  <c r="J17" i="160"/>
  <c r="Q16" i="160"/>
  <c r="M16" i="160"/>
  <c r="P15" i="160"/>
  <c r="O15" i="160"/>
  <c r="N15" i="160"/>
  <c r="L15" i="160"/>
  <c r="M15" i="160" s="1"/>
  <c r="Q14" i="160"/>
  <c r="M14" i="160"/>
  <c r="P13" i="160"/>
  <c r="O13" i="160"/>
  <c r="N13" i="160"/>
  <c r="L13" i="160"/>
  <c r="M13" i="160" s="1"/>
  <c r="J13" i="160"/>
  <c r="Q12" i="160"/>
  <c r="L12" i="160"/>
  <c r="M12" i="160" s="1"/>
  <c r="Q11" i="160"/>
  <c r="M11" i="160"/>
  <c r="P10" i="160"/>
  <c r="O10" i="160"/>
  <c r="N10" i="160"/>
  <c r="J10" i="160"/>
  <c r="B9" i="160"/>
  <c r="C9" i="160" s="1"/>
  <c r="D9" i="160" s="1"/>
  <c r="E9" i="160" s="1"/>
  <c r="F9" i="160" s="1"/>
  <c r="G9" i="160" s="1"/>
  <c r="H9" i="160" s="1"/>
  <c r="I9" i="160" s="1"/>
  <c r="J9" i="160" s="1"/>
  <c r="K9" i="160" s="1"/>
  <c r="L9" i="160" s="1"/>
  <c r="M9" i="160" s="1"/>
  <c r="N9" i="160" s="1"/>
  <c r="O9" i="160" s="1"/>
  <c r="P9" i="160" s="1"/>
  <c r="Q9" i="160" s="1"/>
  <c r="M163" i="160" l="1"/>
  <c r="M165" i="160"/>
  <c r="J196" i="160"/>
  <c r="Q73" i="160"/>
  <c r="Q75" i="160"/>
  <c r="Q177" i="160"/>
  <c r="Q187" i="160"/>
  <c r="Q189" i="160"/>
  <c r="Q195" i="160"/>
  <c r="M168" i="160"/>
  <c r="Q182" i="160"/>
  <c r="L196" i="160"/>
  <c r="O196" i="160"/>
  <c r="Q13" i="160"/>
  <c r="M17" i="160"/>
  <c r="M19" i="160"/>
  <c r="M20" i="160"/>
  <c r="M22" i="160"/>
  <c r="Q41" i="160"/>
  <c r="M42" i="160"/>
  <c r="M50" i="160"/>
  <c r="M52" i="160"/>
  <c r="Q113" i="160"/>
  <c r="M120" i="160"/>
  <c r="Q124" i="160"/>
  <c r="Q135" i="160"/>
  <c r="Q139" i="160"/>
  <c r="Q140" i="160"/>
  <c r="Q143" i="160"/>
  <c r="Q144" i="160"/>
  <c r="Q25" i="160"/>
  <c r="M26" i="160"/>
  <c r="Q26" i="160"/>
  <c r="Q35" i="160"/>
  <c r="M37" i="160"/>
  <c r="M59" i="160"/>
  <c r="M62" i="160"/>
  <c r="Q68" i="160"/>
  <c r="M69" i="160"/>
  <c r="Q76" i="160"/>
  <c r="Q79" i="160"/>
  <c r="M81" i="160"/>
  <c r="M83" i="160"/>
  <c r="M86" i="160"/>
  <c r="Q88" i="160"/>
  <c r="Q90" i="160"/>
  <c r="M94" i="160"/>
  <c r="M96" i="160"/>
  <c r="M98" i="160"/>
  <c r="Q102" i="160"/>
  <c r="Q106" i="160"/>
  <c r="Q108" i="160"/>
  <c r="M111" i="160"/>
  <c r="Q115" i="160"/>
  <c r="Q126" i="160"/>
  <c r="M130" i="160"/>
  <c r="Q141" i="160"/>
  <c r="Q156" i="160"/>
  <c r="Q160" i="160"/>
  <c r="M170" i="160"/>
  <c r="K196" i="160"/>
  <c r="N196" i="160"/>
  <c r="P196" i="160"/>
  <c r="Q196" i="160" s="1"/>
  <c r="M195" i="160"/>
  <c r="Q15" i="160"/>
  <c r="Q17" i="160"/>
  <c r="Q19" i="160"/>
  <c r="Q20" i="160"/>
  <c r="Q22" i="160"/>
  <c r="M30" i="160"/>
  <c r="Q33" i="160"/>
  <c r="Q37" i="160"/>
  <c r="Q39" i="160"/>
  <c r="Q42" i="160"/>
  <c r="Q46" i="160"/>
  <c r="Q48" i="160"/>
  <c r="Q50" i="160"/>
  <c r="Q52" i="160"/>
  <c r="Q55" i="160"/>
  <c r="Q57" i="160"/>
  <c r="Q60" i="160"/>
  <c r="Q62" i="160"/>
  <c r="Q64" i="160"/>
  <c r="Q66" i="160"/>
  <c r="M68" i="160"/>
  <c r="M73" i="160"/>
  <c r="M75" i="160"/>
  <c r="Q78" i="160"/>
  <c r="M79" i="160"/>
  <c r="Q80" i="160"/>
  <c r="Q81" i="160"/>
  <c r="Q83" i="160"/>
  <c r="M84" i="160"/>
  <c r="Q84" i="160"/>
  <c r="Q86" i="160"/>
  <c r="M88" i="160"/>
  <c r="M90" i="160"/>
  <c r="Q94" i="160"/>
  <c r="Q96" i="160"/>
  <c r="Q98" i="160"/>
  <c r="Q100" i="160"/>
  <c r="M102" i="160"/>
  <c r="M108" i="160"/>
  <c r="Q111" i="160"/>
  <c r="Q120" i="160"/>
  <c r="Q122" i="160"/>
  <c r="M124" i="160"/>
  <c r="Q128" i="160"/>
  <c r="Q131" i="160"/>
  <c r="Q133" i="160"/>
  <c r="M135" i="160"/>
  <c r="Q137" i="160"/>
  <c r="M139" i="160"/>
  <c r="M140" i="160"/>
  <c r="M144" i="160"/>
  <c r="M147" i="160"/>
  <c r="M149" i="160"/>
  <c r="M156" i="160"/>
  <c r="M160" i="160"/>
  <c r="Q163" i="160"/>
  <c r="Q165" i="160"/>
  <c r="Q168" i="160"/>
  <c r="Q170" i="160"/>
  <c r="M172" i="160"/>
  <c r="Q172" i="160"/>
  <c r="M177" i="160"/>
  <c r="M182" i="160"/>
  <c r="M185" i="160"/>
  <c r="M187" i="160"/>
  <c r="M189" i="160"/>
  <c r="Q191" i="160"/>
  <c r="M10" i="160"/>
  <c r="Q10" i="160"/>
  <c r="P104" i="159"/>
  <c r="P100" i="159"/>
  <c r="P64" i="159"/>
  <c r="P46" i="159"/>
  <c r="P42" i="159"/>
  <c r="L171" i="159"/>
  <c r="L162" i="159"/>
  <c r="L133" i="159"/>
  <c r="L122" i="159"/>
  <c r="L115" i="159"/>
  <c r="L111" i="159"/>
  <c r="L104" i="159"/>
  <c r="L102" i="159"/>
  <c r="L100" i="159"/>
  <c r="L92" i="159"/>
  <c r="L88" i="159"/>
  <c r="L80" i="159"/>
  <c r="L76" i="159"/>
  <c r="L64" i="159"/>
  <c r="L46" i="159"/>
  <c r="L42" i="159"/>
  <c r="L29" i="159"/>
  <c r="K162" i="159"/>
  <c r="K104" i="159"/>
  <c r="O100" i="159"/>
  <c r="K100" i="159"/>
  <c r="K111" i="159"/>
  <c r="K102" i="159"/>
  <c r="K88" i="159"/>
  <c r="K80" i="159"/>
  <c r="K76" i="159"/>
  <c r="K115" i="159"/>
  <c r="K29" i="159"/>
  <c r="K122" i="159"/>
  <c r="K92" i="159"/>
  <c r="K171" i="159"/>
  <c r="K133" i="159"/>
  <c r="O104" i="159"/>
  <c r="O64" i="159"/>
  <c r="K64" i="159"/>
  <c r="O46" i="159"/>
  <c r="K46" i="159"/>
  <c r="O42" i="159"/>
  <c r="K42" i="159"/>
  <c r="M196" i="160" l="1"/>
  <c r="N190" i="159"/>
  <c r="J190" i="159"/>
  <c r="J116" i="159"/>
  <c r="J90" i="159"/>
  <c r="J62" i="159"/>
  <c r="J37" i="159"/>
  <c r="J19" i="159"/>
  <c r="J22" i="159"/>
  <c r="N147" i="159" l="1"/>
  <c r="J147" i="159"/>
  <c r="J141" i="159"/>
  <c r="N76" i="159" l="1"/>
  <c r="J76" i="159"/>
  <c r="N104" i="159"/>
  <c r="J104" i="159"/>
  <c r="N184" i="159"/>
  <c r="J184" i="159"/>
  <c r="N181" i="159"/>
  <c r="J181" i="159"/>
  <c r="J155" i="159"/>
  <c r="N143" i="159"/>
  <c r="J143" i="159"/>
  <c r="N135" i="159"/>
  <c r="J131" i="159"/>
  <c r="N126" i="159"/>
  <c r="J126" i="159"/>
  <c r="J118" i="159"/>
  <c r="J108" i="159"/>
  <c r="J100" i="159"/>
  <c r="J78" i="159"/>
  <c r="J80" i="159"/>
  <c r="N64" i="159"/>
  <c r="J64" i="159"/>
  <c r="J57" i="159"/>
  <c r="N55" i="159" l="1"/>
  <c r="J55" i="159"/>
  <c r="J12" i="159"/>
  <c r="N46" i="159"/>
  <c r="J46" i="159"/>
  <c r="N29" i="159"/>
  <c r="J29" i="159"/>
  <c r="J15" i="159"/>
  <c r="J13" i="159"/>
  <c r="N10" i="159"/>
  <c r="I195" i="159"/>
  <c r="H195" i="159"/>
  <c r="P194" i="159"/>
  <c r="O194" i="159"/>
  <c r="N194" i="159"/>
  <c r="L194" i="159"/>
  <c r="K194" i="159"/>
  <c r="J194" i="159"/>
  <c r="Q192" i="159"/>
  <c r="M192" i="159"/>
  <c r="Q191" i="159"/>
  <c r="M191" i="159"/>
  <c r="P190" i="159"/>
  <c r="O190" i="159"/>
  <c r="L190" i="159"/>
  <c r="K190" i="159"/>
  <c r="Q189" i="159"/>
  <c r="M189" i="159"/>
  <c r="P188" i="159"/>
  <c r="O188" i="159"/>
  <c r="N188" i="159"/>
  <c r="L188" i="159"/>
  <c r="K188" i="159"/>
  <c r="J188" i="159"/>
  <c r="Q187" i="159"/>
  <c r="M187" i="159"/>
  <c r="P186" i="159"/>
  <c r="O186" i="159"/>
  <c r="N186" i="159"/>
  <c r="L186" i="159"/>
  <c r="K186" i="159"/>
  <c r="J186" i="159"/>
  <c r="Q185" i="159"/>
  <c r="M185" i="159"/>
  <c r="P184" i="159"/>
  <c r="O184" i="159"/>
  <c r="L184" i="159"/>
  <c r="K184" i="159"/>
  <c r="Q183" i="159"/>
  <c r="N183" i="159"/>
  <c r="M183" i="159"/>
  <c r="J183" i="159"/>
  <c r="Q182" i="159"/>
  <c r="M182" i="159"/>
  <c r="P181" i="159"/>
  <c r="O181" i="159"/>
  <c r="L181" i="159"/>
  <c r="K181" i="159"/>
  <c r="Q180" i="159"/>
  <c r="M180" i="159"/>
  <c r="M179" i="159"/>
  <c r="M178" i="159"/>
  <c r="Q177" i="159"/>
  <c r="M177" i="159"/>
  <c r="P176" i="159"/>
  <c r="O176" i="159"/>
  <c r="N176" i="159"/>
  <c r="L176" i="159"/>
  <c r="K176" i="159"/>
  <c r="J176" i="159"/>
  <c r="Q175" i="159"/>
  <c r="M175" i="159"/>
  <c r="Q174" i="159"/>
  <c r="M174" i="159"/>
  <c r="L173" i="159"/>
  <c r="K173" i="159"/>
  <c r="J173" i="159"/>
  <c r="Q172" i="159"/>
  <c r="M172" i="159"/>
  <c r="P171" i="159"/>
  <c r="O171" i="159"/>
  <c r="N171" i="159"/>
  <c r="M171" i="159"/>
  <c r="J171" i="159"/>
  <c r="Q170" i="159"/>
  <c r="M170" i="159"/>
  <c r="P169" i="159"/>
  <c r="O169" i="159"/>
  <c r="Q169" i="159" s="1"/>
  <c r="N169" i="159"/>
  <c r="L169" i="159"/>
  <c r="K169" i="159"/>
  <c r="J169" i="159"/>
  <c r="Q168" i="159"/>
  <c r="M168" i="159"/>
  <c r="P167" i="159"/>
  <c r="O167" i="159"/>
  <c r="Q167" i="159" s="1"/>
  <c r="N167" i="159"/>
  <c r="L167" i="159"/>
  <c r="K167" i="159"/>
  <c r="J167" i="159"/>
  <c r="Q166" i="159"/>
  <c r="M166" i="159"/>
  <c r="Q165" i="159"/>
  <c r="M165" i="159"/>
  <c r="P164" i="159"/>
  <c r="O164" i="159"/>
  <c r="Q164" i="159" s="1"/>
  <c r="N164" i="159"/>
  <c r="L164" i="159"/>
  <c r="K164" i="159"/>
  <c r="J164" i="159"/>
  <c r="Q163" i="159"/>
  <c r="M163" i="159"/>
  <c r="P162" i="159"/>
  <c r="O162" i="159"/>
  <c r="Q162" i="159" s="1"/>
  <c r="N162" i="159"/>
  <c r="M162" i="159"/>
  <c r="J162" i="159"/>
  <c r="L161" i="159"/>
  <c r="K161" i="159"/>
  <c r="J161" i="159"/>
  <c r="Q160" i="159"/>
  <c r="M160" i="159"/>
  <c r="P159" i="159"/>
  <c r="O159" i="159"/>
  <c r="Q159" i="159" s="1"/>
  <c r="N159" i="159"/>
  <c r="L159" i="159"/>
  <c r="K159" i="159"/>
  <c r="J159" i="159"/>
  <c r="Q158" i="159"/>
  <c r="M158" i="159"/>
  <c r="Q157" i="159"/>
  <c r="M157" i="159"/>
  <c r="Q156" i="159"/>
  <c r="M156" i="159"/>
  <c r="P155" i="159"/>
  <c r="O155" i="159"/>
  <c r="Q155" i="159" s="1"/>
  <c r="N155" i="159"/>
  <c r="L155" i="159"/>
  <c r="K155" i="159"/>
  <c r="Q154" i="159"/>
  <c r="M154" i="159"/>
  <c r="Q153" i="159"/>
  <c r="M153" i="159"/>
  <c r="P152" i="159"/>
  <c r="O152" i="159"/>
  <c r="N152" i="159"/>
  <c r="L152" i="159"/>
  <c r="K152" i="159"/>
  <c r="M152" i="159" s="1"/>
  <c r="J152" i="159"/>
  <c r="Q149" i="159"/>
  <c r="M149" i="159"/>
  <c r="Q148" i="159"/>
  <c r="L148" i="159"/>
  <c r="K148" i="159"/>
  <c r="M148" i="159" s="1"/>
  <c r="J148" i="159"/>
  <c r="P147" i="159"/>
  <c r="O147" i="159"/>
  <c r="L147" i="159"/>
  <c r="K147" i="159"/>
  <c r="K146" i="159"/>
  <c r="J146" i="159"/>
  <c r="Q145" i="159"/>
  <c r="M145" i="159"/>
  <c r="P144" i="159"/>
  <c r="O144" i="159"/>
  <c r="N144" i="159"/>
  <c r="L144" i="159"/>
  <c r="K144" i="159"/>
  <c r="M144" i="159" s="1"/>
  <c r="J144" i="159"/>
  <c r="P143" i="159"/>
  <c r="O143" i="159"/>
  <c r="L143" i="159"/>
  <c r="K143" i="159"/>
  <c r="Q142" i="159"/>
  <c r="M142" i="159"/>
  <c r="P141" i="159"/>
  <c r="O141" i="159"/>
  <c r="N141" i="159"/>
  <c r="L141" i="159"/>
  <c r="K141" i="159"/>
  <c r="P140" i="159"/>
  <c r="O140" i="159"/>
  <c r="Q140" i="159" s="1"/>
  <c r="N140" i="159"/>
  <c r="L140" i="159"/>
  <c r="K140" i="159"/>
  <c r="J140" i="159"/>
  <c r="P139" i="159"/>
  <c r="O139" i="159"/>
  <c r="Q139" i="159" s="1"/>
  <c r="N139" i="159"/>
  <c r="L139" i="159"/>
  <c r="K139" i="159"/>
  <c r="J139" i="159"/>
  <c r="Q138" i="159"/>
  <c r="M138" i="159"/>
  <c r="P137" i="159"/>
  <c r="O137" i="159"/>
  <c r="Q137" i="159" s="1"/>
  <c r="N137" i="159"/>
  <c r="L137" i="159"/>
  <c r="K137" i="159"/>
  <c r="J137" i="159"/>
  <c r="Q136" i="159"/>
  <c r="M136" i="159"/>
  <c r="P135" i="159"/>
  <c r="O135" i="159"/>
  <c r="Q135" i="159" s="1"/>
  <c r="L135" i="159"/>
  <c r="K135" i="159"/>
  <c r="M135" i="159" s="1"/>
  <c r="Q134" i="159"/>
  <c r="M134" i="159"/>
  <c r="P133" i="159"/>
  <c r="O133" i="159"/>
  <c r="Q133" i="159" s="1"/>
  <c r="N133" i="159"/>
  <c r="M133" i="159"/>
  <c r="J133" i="159"/>
  <c r="Q132" i="159"/>
  <c r="M132" i="159"/>
  <c r="P131" i="159"/>
  <c r="O131" i="159"/>
  <c r="N131" i="159"/>
  <c r="L131" i="159"/>
  <c r="K131" i="159"/>
  <c r="M131" i="159" s="1"/>
  <c r="Q130" i="159"/>
  <c r="L130" i="159"/>
  <c r="K130" i="159"/>
  <c r="J130" i="159"/>
  <c r="Q129" i="159"/>
  <c r="M129" i="159"/>
  <c r="P128" i="159"/>
  <c r="O128" i="159"/>
  <c r="Q128" i="159" s="1"/>
  <c r="N128" i="159"/>
  <c r="L128" i="159"/>
  <c r="K128" i="159"/>
  <c r="J128" i="159"/>
  <c r="Q127" i="159"/>
  <c r="M127" i="159"/>
  <c r="P126" i="159"/>
  <c r="O126" i="159"/>
  <c r="Q126" i="159" s="1"/>
  <c r="L126" i="159"/>
  <c r="K126" i="159"/>
  <c r="M126" i="159" s="1"/>
  <c r="Q125" i="159"/>
  <c r="M125" i="159"/>
  <c r="P124" i="159"/>
  <c r="O124" i="159"/>
  <c r="Q124" i="159" s="1"/>
  <c r="N124" i="159"/>
  <c r="L124" i="159"/>
  <c r="K124" i="159"/>
  <c r="J124" i="159"/>
  <c r="Q123" i="159"/>
  <c r="M123" i="159"/>
  <c r="P122" i="159"/>
  <c r="O122" i="159"/>
  <c r="Q122" i="159" s="1"/>
  <c r="N122" i="159"/>
  <c r="M122" i="159"/>
  <c r="J122" i="159"/>
  <c r="Q121" i="159"/>
  <c r="M121" i="159"/>
  <c r="P120" i="159"/>
  <c r="O120" i="159"/>
  <c r="N120" i="159"/>
  <c r="L120" i="159"/>
  <c r="K120" i="159"/>
  <c r="M120" i="159" s="1"/>
  <c r="J120" i="159"/>
  <c r="Q119" i="159"/>
  <c r="M119" i="159"/>
  <c r="P118" i="159"/>
  <c r="O118" i="159"/>
  <c r="N118" i="159"/>
  <c r="L118" i="159"/>
  <c r="K118" i="159"/>
  <c r="M118" i="159" s="1"/>
  <c r="Q117" i="159"/>
  <c r="M117" i="159"/>
  <c r="P116" i="159"/>
  <c r="O116" i="159"/>
  <c r="Q116" i="159" s="1"/>
  <c r="N116" i="159"/>
  <c r="L116" i="159"/>
  <c r="K116" i="159"/>
  <c r="P115" i="159"/>
  <c r="O115" i="159"/>
  <c r="N115" i="159"/>
  <c r="M115" i="159"/>
  <c r="J115" i="159"/>
  <c r="Q114" i="159"/>
  <c r="N114" i="159"/>
  <c r="M114" i="159"/>
  <c r="P113" i="159"/>
  <c r="O113" i="159"/>
  <c r="N113" i="159"/>
  <c r="L113" i="159"/>
  <c r="K113" i="159"/>
  <c r="M113" i="159" s="1"/>
  <c r="J113" i="159"/>
  <c r="Q112" i="159"/>
  <c r="M112" i="159"/>
  <c r="P111" i="159"/>
  <c r="O111" i="159"/>
  <c r="N111" i="159"/>
  <c r="M111" i="159"/>
  <c r="J111" i="159"/>
  <c r="Q110" i="159"/>
  <c r="M110" i="159"/>
  <c r="Q109" i="159"/>
  <c r="L109" i="159"/>
  <c r="K109" i="159"/>
  <c r="J109" i="159"/>
  <c r="P108" i="159"/>
  <c r="O108" i="159"/>
  <c r="Q108" i="159" s="1"/>
  <c r="N108" i="159"/>
  <c r="L108" i="159"/>
  <c r="K108" i="159"/>
  <c r="Q107" i="159"/>
  <c r="M107" i="159"/>
  <c r="P106" i="159"/>
  <c r="O106" i="159"/>
  <c r="N106" i="159"/>
  <c r="L106" i="159"/>
  <c r="K106" i="159"/>
  <c r="M106" i="159" s="1"/>
  <c r="J106" i="159"/>
  <c r="Q105" i="159"/>
  <c r="M105" i="159"/>
  <c r="Q104" i="159"/>
  <c r="M104" i="159"/>
  <c r="Q103" i="159"/>
  <c r="M103" i="159"/>
  <c r="P102" i="159"/>
  <c r="O102" i="159"/>
  <c r="N102" i="159"/>
  <c r="M102" i="159"/>
  <c r="J102" i="159"/>
  <c r="Q101" i="159"/>
  <c r="M101" i="159"/>
  <c r="Q100" i="159"/>
  <c r="N100" i="159"/>
  <c r="M100" i="159"/>
  <c r="Q99" i="159"/>
  <c r="M99" i="159"/>
  <c r="P98" i="159"/>
  <c r="O98" i="159"/>
  <c r="N98" i="159"/>
  <c r="L98" i="159"/>
  <c r="K98" i="159"/>
  <c r="M98" i="159" s="1"/>
  <c r="J98" i="159"/>
  <c r="Q97" i="159"/>
  <c r="M97" i="159"/>
  <c r="P96" i="159"/>
  <c r="O96" i="159"/>
  <c r="N96" i="159"/>
  <c r="L96" i="159"/>
  <c r="K96" i="159"/>
  <c r="M96" i="159" s="1"/>
  <c r="J96" i="159"/>
  <c r="Q95" i="159"/>
  <c r="M95" i="159"/>
  <c r="P94" i="159"/>
  <c r="O94" i="159"/>
  <c r="N94" i="159"/>
  <c r="L94" i="159"/>
  <c r="K94" i="159"/>
  <c r="M94" i="159" s="1"/>
  <c r="J94" i="159"/>
  <c r="Q93" i="159"/>
  <c r="M93" i="159"/>
  <c r="Q92" i="159"/>
  <c r="M92" i="159"/>
  <c r="J92" i="159"/>
  <c r="Q91" i="159"/>
  <c r="M91" i="159"/>
  <c r="P90" i="159"/>
  <c r="O90" i="159"/>
  <c r="Q90" i="159" s="1"/>
  <c r="N90" i="159"/>
  <c r="L90" i="159"/>
  <c r="K90" i="159"/>
  <c r="Q89" i="159"/>
  <c r="M89" i="159"/>
  <c r="P88" i="159"/>
  <c r="O88" i="159"/>
  <c r="N88" i="159"/>
  <c r="M88" i="159"/>
  <c r="J88" i="159"/>
  <c r="Q87" i="159"/>
  <c r="M87" i="159"/>
  <c r="P86" i="159"/>
  <c r="O86" i="159"/>
  <c r="Q86" i="159" s="1"/>
  <c r="N86" i="159"/>
  <c r="L86" i="159"/>
  <c r="K86" i="159"/>
  <c r="J86" i="159"/>
  <c r="Q85" i="159"/>
  <c r="M85" i="159"/>
  <c r="P84" i="159"/>
  <c r="O84" i="159"/>
  <c r="N84" i="159"/>
  <c r="L84" i="159"/>
  <c r="K84" i="159"/>
  <c r="J84" i="159"/>
  <c r="P83" i="159"/>
  <c r="O83" i="159"/>
  <c r="Q83" i="159" s="1"/>
  <c r="N83" i="159"/>
  <c r="L83" i="159"/>
  <c r="K83" i="159"/>
  <c r="J83" i="159"/>
  <c r="Q82" i="159"/>
  <c r="M82" i="159"/>
  <c r="P81" i="159"/>
  <c r="O81" i="159"/>
  <c r="Q81" i="159" s="1"/>
  <c r="N81" i="159"/>
  <c r="L81" i="159"/>
  <c r="K81" i="159"/>
  <c r="J81" i="159"/>
  <c r="P80" i="159"/>
  <c r="O80" i="159"/>
  <c r="Q80" i="159" s="1"/>
  <c r="N80" i="159"/>
  <c r="M80" i="159"/>
  <c r="P79" i="159"/>
  <c r="O79" i="159"/>
  <c r="Q79" i="159" s="1"/>
  <c r="N79" i="159"/>
  <c r="L79" i="159"/>
  <c r="K79" i="159"/>
  <c r="P78" i="159"/>
  <c r="O78" i="159"/>
  <c r="N78" i="159"/>
  <c r="L78" i="159"/>
  <c r="K78" i="159"/>
  <c r="M78" i="159" s="1"/>
  <c r="Q77" i="159"/>
  <c r="M77" i="159"/>
  <c r="P76" i="159"/>
  <c r="O76" i="159"/>
  <c r="Q76" i="159" s="1"/>
  <c r="M76" i="159"/>
  <c r="P75" i="159"/>
  <c r="O75" i="159"/>
  <c r="N75" i="159"/>
  <c r="L75" i="159"/>
  <c r="K75" i="159"/>
  <c r="M75" i="159" s="1"/>
  <c r="J75" i="159"/>
  <c r="Q74" i="159"/>
  <c r="M74" i="159"/>
  <c r="P73" i="159"/>
  <c r="O73" i="159"/>
  <c r="N73" i="159"/>
  <c r="L73" i="159"/>
  <c r="K73" i="159"/>
  <c r="M73" i="159" s="1"/>
  <c r="J73" i="159"/>
  <c r="Q72" i="159"/>
  <c r="M72" i="159"/>
  <c r="Q71" i="159"/>
  <c r="N71" i="159"/>
  <c r="M71" i="159"/>
  <c r="Q70" i="159"/>
  <c r="M70" i="159"/>
  <c r="P69" i="159"/>
  <c r="O69" i="159"/>
  <c r="Q69" i="159" s="1"/>
  <c r="N69" i="159"/>
  <c r="L69" i="159"/>
  <c r="K69" i="159"/>
  <c r="J69" i="159"/>
  <c r="P68" i="159"/>
  <c r="O68" i="159"/>
  <c r="Q68" i="159" s="1"/>
  <c r="N68" i="159"/>
  <c r="L68" i="159"/>
  <c r="K68" i="159"/>
  <c r="J68" i="159"/>
  <c r="Q67" i="159"/>
  <c r="M67" i="159"/>
  <c r="P66" i="159"/>
  <c r="O66" i="159"/>
  <c r="N66" i="159"/>
  <c r="L66" i="159"/>
  <c r="K66" i="159"/>
  <c r="J66" i="159"/>
  <c r="Q65" i="159"/>
  <c r="M65" i="159"/>
  <c r="Q64" i="159"/>
  <c r="M64" i="159"/>
  <c r="Q63" i="159"/>
  <c r="M63" i="159"/>
  <c r="P62" i="159"/>
  <c r="O62" i="159"/>
  <c r="N62" i="159"/>
  <c r="L62" i="159"/>
  <c r="K62" i="159"/>
  <c r="Q61" i="159"/>
  <c r="M61" i="159"/>
  <c r="P60" i="159"/>
  <c r="O60" i="159"/>
  <c r="N60" i="159"/>
  <c r="M60" i="159"/>
  <c r="Q59" i="159"/>
  <c r="L59" i="159"/>
  <c r="K59" i="159"/>
  <c r="J59" i="159"/>
  <c r="Q58" i="159"/>
  <c r="M58" i="159"/>
  <c r="P57" i="159"/>
  <c r="O57" i="159"/>
  <c r="N57" i="159"/>
  <c r="L57" i="159"/>
  <c r="K57" i="159"/>
  <c r="Q56" i="159"/>
  <c r="M56" i="159"/>
  <c r="P55" i="159"/>
  <c r="O55" i="159"/>
  <c r="L55" i="159"/>
  <c r="K55" i="159"/>
  <c r="Q54" i="159"/>
  <c r="M54" i="159"/>
  <c r="Q53" i="159"/>
  <c r="M53" i="159"/>
  <c r="P52" i="159"/>
  <c r="O52" i="159"/>
  <c r="Q52" i="159" s="1"/>
  <c r="N52" i="159"/>
  <c r="L52" i="159"/>
  <c r="K52" i="159"/>
  <c r="J52" i="159"/>
  <c r="Q51" i="159"/>
  <c r="M51" i="159"/>
  <c r="P50" i="159"/>
  <c r="O50" i="159"/>
  <c r="Q50" i="159" s="1"/>
  <c r="N50" i="159"/>
  <c r="L50" i="159"/>
  <c r="K50" i="159"/>
  <c r="J50" i="159"/>
  <c r="Q49" i="159"/>
  <c r="M49" i="159"/>
  <c r="P48" i="159"/>
  <c r="O48" i="159"/>
  <c r="Q48" i="159" s="1"/>
  <c r="N48" i="159"/>
  <c r="L48" i="159"/>
  <c r="K48" i="159"/>
  <c r="J48" i="159"/>
  <c r="P47" i="159"/>
  <c r="Q47" i="159" s="1"/>
  <c r="M47" i="159"/>
  <c r="Q46" i="159"/>
  <c r="M46" i="159"/>
  <c r="Q45" i="159"/>
  <c r="M45" i="159"/>
  <c r="Q44" i="159"/>
  <c r="M44" i="159"/>
  <c r="Q43" i="159"/>
  <c r="M43" i="159"/>
  <c r="Q42" i="159"/>
  <c r="N42" i="159"/>
  <c r="M42" i="159"/>
  <c r="J42" i="159"/>
  <c r="P41" i="159"/>
  <c r="O41" i="159"/>
  <c r="Q41" i="159" s="1"/>
  <c r="N41" i="159"/>
  <c r="L41" i="159"/>
  <c r="K41" i="159"/>
  <c r="J41" i="159"/>
  <c r="Q40" i="159"/>
  <c r="M40" i="159"/>
  <c r="P39" i="159"/>
  <c r="O39" i="159"/>
  <c r="Q39" i="159" s="1"/>
  <c r="N39" i="159"/>
  <c r="L39" i="159"/>
  <c r="K39" i="159"/>
  <c r="J39" i="159"/>
  <c r="Q38" i="159"/>
  <c r="M38" i="159"/>
  <c r="P37" i="159"/>
  <c r="O37" i="159"/>
  <c r="Q37" i="159" s="1"/>
  <c r="N37" i="159"/>
  <c r="L37" i="159"/>
  <c r="K37" i="159"/>
  <c r="Q36" i="159"/>
  <c r="M36" i="159"/>
  <c r="P35" i="159"/>
  <c r="O35" i="159"/>
  <c r="N35" i="159"/>
  <c r="L35" i="159"/>
  <c r="K35" i="159"/>
  <c r="M35" i="159" s="1"/>
  <c r="J35" i="159"/>
  <c r="Q34" i="159"/>
  <c r="M34" i="159"/>
  <c r="P33" i="159"/>
  <c r="O33" i="159"/>
  <c r="N33" i="159"/>
  <c r="L33" i="159"/>
  <c r="K33" i="159"/>
  <c r="M33" i="159" s="1"/>
  <c r="J33" i="159"/>
  <c r="Q32" i="159"/>
  <c r="M32" i="159"/>
  <c r="Q31" i="159"/>
  <c r="M31" i="159"/>
  <c r="Q30" i="159"/>
  <c r="L30" i="159"/>
  <c r="K30" i="159"/>
  <c r="M30" i="159" s="1"/>
  <c r="J30" i="159"/>
  <c r="P29" i="159"/>
  <c r="O29" i="159"/>
  <c r="M29" i="159"/>
  <c r="Q28" i="159"/>
  <c r="N28" i="159"/>
  <c r="L28" i="159"/>
  <c r="K28" i="159"/>
  <c r="J28" i="159"/>
  <c r="Q27" i="159"/>
  <c r="M27" i="159"/>
  <c r="P26" i="159"/>
  <c r="O26" i="159"/>
  <c r="N26" i="159"/>
  <c r="L26" i="159"/>
  <c r="K26" i="159"/>
  <c r="J26" i="159"/>
  <c r="P25" i="159"/>
  <c r="O25" i="159"/>
  <c r="N25" i="159"/>
  <c r="L25" i="159"/>
  <c r="K25" i="159"/>
  <c r="J25" i="159"/>
  <c r="K24" i="159"/>
  <c r="J24" i="159"/>
  <c r="Q23" i="159"/>
  <c r="M23" i="159"/>
  <c r="J23" i="159"/>
  <c r="P22" i="159"/>
  <c r="O22" i="159"/>
  <c r="N22" i="159"/>
  <c r="L22" i="159"/>
  <c r="K22" i="159"/>
  <c r="Q21" i="159"/>
  <c r="M21" i="159"/>
  <c r="P20" i="159"/>
  <c r="O20" i="159"/>
  <c r="N20" i="159"/>
  <c r="L20" i="159"/>
  <c r="K20" i="159"/>
  <c r="J20" i="159"/>
  <c r="P19" i="159"/>
  <c r="O19" i="159"/>
  <c r="N19" i="159"/>
  <c r="L19" i="159"/>
  <c r="K19" i="159"/>
  <c r="Q18" i="159"/>
  <c r="M18" i="159"/>
  <c r="P17" i="159"/>
  <c r="O17" i="159"/>
  <c r="N17" i="159"/>
  <c r="L17" i="159"/>
  <c r="K17" i="159"/>
  <c r="J17" i="159"/>
  <c r="Q16" i="159"/>
  <c r="M16" i="159"/>
  <c r="P15" i="159"/>
  <c r="O15" i="159"/>
  <c r="N15" i="159"/>
  <c r="L15" i="159"/>
  <c r="K15" i="159"/>
  <c r="Q14" i="159"/>
  <c r="M14" i="159"/>
  <c r="P13" i="159"/>
  <c r="O13" i="159"/>
  <c r="N13" i="159"/>
  <c r="L13" i="159"/>
  <c r="K13" i="159"/>
  <c r="Q12" i="159"/>
  <c r="L12" i="159"/>
  <c r="K12" i="159"/>
  <c r="Q11" i="159"/>
  <c r="M11" i="159"/>
  <c r="P10" i="159"/>
  <c r="O10" i="159"/>
  <c r="L10" i="159"/>
  <c r="K10" i="159"/>
  <c r="J10" i="159"/>
  <c r="B9" i="159"/>
  <c r="C9" i="159" s="1"/>
  <c r="D9" i="159" s="1"/>
  <c r="E9" i="159" s="1"/>
  <c r="F9" i="159" s="1"/>
  <c r="G9" i="159" s="1"/>
  <c r="H9" i="159" s="1"/>
  <c r="I9" i="159" s="1"/>
  <c r="J9" i="159" s="1"/>
  <c r="K9" i="159" s="1"/>
  <c r="L9" i="159" s="1"/>
  <c r="M9" i="159" s="1"/>
  <c r="N9" i="159" s="1"/>
  <c r="O9" i="159" s="1"/>
  <c r="P9" i="159" s="1"/>
  <c r="Q9" i="159" s="1"/>
  <c r="M173" i="159" l="1"/>
  <c r="Q176" i="159"/>
  <c r="M181" i="159"/>
  <c r="Q181" i="159"/>
  <c r="M184" i="159"/>
  <c r="Q184" i="159"/>
  <c r="Q186" i="159"/>
  <c r="Q188" i="159"/>
  <c r="M190" i="159"/>
  <c r="Q190" i="159"/>
  <c r="Q194" i="159"/>
  <c r="K195" i="159"/>
  <c r="O195" i="159"/>
  <c r="M12" i="159"/>
  <c r="Q13" i="159"/>
  <c r="M15" i="159"/>
  <c r="M17" i="159"/>
  <c r="Q19" i="159"/>
  <c r="Q20" i="159"/>
  <c r="M22" i="159"/>
  <c r="Q25" i="159"/>
  <c r="Q26" i="159"/>
  <c r="Q29" i="159"/>
  <c r="Q33" i="159"/>
  <c r="M41" i="159"/>
  <c r="M48" i="159"/>
  <c r="M50" i="159"/>
  <c r="M52" i="159"/>
  <c r="Q57" i="159"/>
  <c r="Q60" i="159"/>
  <c r="M62" i="159"/>
  <c r="M66" i="159"/>
  <c r="M68" i="159"/>
  <c r="M69" i="159"/>
  <c r="Q73" i="159"/>
  <c r="Q78" i="159"/>
  <c r="M84" i="159"/>
  <c r="M86" i="159"/>
  <c r="Q88" i="159"/>
  <c r="M90" i="159"/>
  <c r="Q94" i="159"/>
  <c r="Q96" i="159"/>
  <c r="Q98" i="159"/>
  <c r="Q141" i="159"/>
  <c r="M143" i="159"/>
  <c r="Q143" i="159"/>
  <c r="Q144" i="159"/>
  <c r="M147" i="159"/>
  <c r="Q152" i="159"/>
  <c r="M13" i="159"/>
  <c r="Q15" i="159"/>
  <c r="Q17" i="159"/>
  <c r="M19" i="159"/>
  <c r="M20" i="159"/>
  <c r="Q22" i="159"/>
  <c r="M25" i="159"/>
  <c r="M26" i="159"/>
  <c r="M28" i="159"/>
  <c r="M55" i="159"/>
  <c r="Q55" i="159"/>
  <c r="M57" i="159"/>
  <c r="M59" i="159"/>
  <c r="Q62" i="159"/>
  <c r="Q66" i="159"/>
  <c r="Q84" i="159"/>
  <c r="M141" i="159"/>
  <c r="Q35" i="159"/>
  <c r="M37" i="159"/>
  <c r="M39" i="159"/>
  <c r="Q75" i="159"/>
  <c r="M79" i="159"/>
  <c r="M81" i="159"/>
  <c r="M83" i="159"/>
  <c r="Q102" i="159"/>
  <c r="Q106" i="159"/>
  <c r="M108" i="159"/>
  <c r="M109" i="159"/>
  <c r="Q111" i="159"/>
  <c r="Q113" i="159"/>
  <c r="Q115" i="159"/>
  <c r="M116" i="159"/>
  <c r="Q118" i="159"/>
  <c r="Q120" i="159"/>
  <c r="M124" i="159"/>
  <c r="M128" i="159"/>
  <c r="M130" i="159"/>
  <c r="Q131" i="159"/>
  <c r="M137" i="159"/>
  <c r="M139" i="159"/>
  <c r="M140" i="159"/>
  <c r="Q147" i="159"/>
  <c r="M155" i="159"/>
  <c r="M159" i="159"/>
  <c r="M161" i="159"/>
  <c r="M164" i="159"/>
  <c r="M167" i="159"/>
  <c r="M169" i="159"/>
  <c r="Q171" i="159"/>
  <c r="M176" i="159"/>
  <c r="M186" i="159"/>
  <c r="M188" i="159"/>
  <c r="M194" i="159"/>
  <c r="J195" i="159"/>
  <c r="L195" i="159"/>
  <c r="M195" i="159" s="1"/>
  <c r="N195" i="159"/>
  <c r="P195" i="159"/>
  <c r="M10" i="159"/>
  <c r="Q10" i="159"/>
  <c r="P29" i="158"/>
  <c r="P39" i="158"/>
  <c r="P48" i="158"/>
  <c r="P78" i="158"/>
  <c r="P194" i="158"/>
  <c r="L194" i="158"/>
  <c r="L167" i="158"/>
  <c r="L159" i="158"/>
  <c r="L144" i="158"/>
  <c r="L137" i="158"/>
  <c r="L124" i="158"/>
  <c r="L116" i="158"/>
  <c r="L115" i="158"/>
  <c r="L113" i="158"/>
  <c r="L111" i="158"/>
  <c r="L106" i="158"/>
  <c r="L102" i="158"/>
  <c r="L98" i="158"/>
  <c r="L92" i="158"/>
  <c r="L90" i="158"/>
  <c r="L80" i="158"/>
  <c r="L78" i="158"/>
  <c r="L76" i="158"/>
  <c r="L75" i="158"/>
  <c r="L69" i="158"/>
  <c r="L62" i="158"/>
  <c r="L59" i="158"/>
  <c r="L57" i="158"/>
  <c r="L55" i="158"/>
  <c r="L41" i="158"/>
  <c r="L35" i="158"/>
  <c r="L29" i="158"/>
  <c r="L28" i="158"/>
  <c r="L26" i="158"/>
  <c r="L19" i="158"/>
  <c r="L15" i="158"/>
  <c r="K116" i="158"/>
  <c r="K24" i="158"/>
  <c r="K146" i="158"/>
  <c r="O78" i="158"/>
  <c r="K78" i="158"/>
  <c r="K55" i="158"/>
  <c r="O194" i="158"/>
  <c r="K194" i="158"/>
  <c r="K167" i="158"/>
  <c r="K144" i="158"/>
  <c r="K92" i="158"/>
  <c r="K137" i="158"/>
  <c r="K19" i="158"/>
  <c r="K62" i="158"/>
  <c r="K57" i="158"/>
  <c r="K124" i="158"/>
  <c r="K159" i="158"/>
  <c r="K113" i="158"/>
  <c r="K111" i="158"/>
  <c r="K106" i="158"/>
  <c r="K98" i="158"/>
  <c r="K90" i="158"/>
  <c r="K80" i="158"/>
  <c r="K75" i="158"/>
  <c r="K69" i="158"/>
  <c r="K76" i="158"/>
  <c r="O48" i="158"/>
  <c r="K115" i="158"/>
  <c r="K28" i="158"/>
  <c r="K41" i="158"/>
  <c r="O39" i="158"/>
  <c r="K35" i="158"/>
  <c r="O29" i="158"/>
  <c r="K29" i="158"/>
  <c r="K26" i="158"/>
  <c r="K15" i="158"/>
  <c r="Q195" i="159" l="1"/>
  <c r="N190" i="158"/>
  <c r="J171" i="158"/>
  <c r="N133" i="158"/>
  <c r="J133" i="158"/>
  <c r="J128" i="158"/>
  <c r="J113" i="158"/>
  <c r="J111" i="158"/>
  <c r="J109" i="158"/>
  <c r="N106" i="158"/>
  <c r="J106" i="158"/>
  <c r="N69" i="158"/>
  <c r="J48" i="158"/>
  <c r="J115" i="158"/>
  <c r="J41" i="158"/>
  <c r="J35" i="158"/>
  <c r="J33" i="158"/>
  <c r="J19" i="158"/>
  <c r="J25" i="158"/>
  <c r="J122" i="158" l="1"/>
  <c r="J102" i="158"/>
  <c r="J161" i="158" l="1"/>
  <c r="J80" i="158"/>
  <c r="J94" i="158" l="1"/>
  <c r="J28" i="158" l="1"/>
  <c r="J104" i="158"/>
  <c r="J181" i="158"/>
  <c r="J173" i="158"/>
  <c r="J176" i="158"/>
  <c r="J152" i="158"/>
  <c r="J137" i="158"/>
  <c r="J116" i="158"/>
  <c r="N118" i="158"/>
  <c r="J118" i="158"/>
  <c r="J92" i="158"/>
  <c r="N100" i="158"/>
  <c r="J100" i="158"/>
  <c r="J88" i="158"/>
  <c r="J66" i="158"/>
  <c r="J76" i="158"/>
  <c r="N46" i="158"/>
  <c r="J46" i="158"/>
  <c r="J39" i="158"/>
  <c r="N29" i="158"/>
  <c r="J15" i="158"/>
  <c r="I195" i="158"/>
  <c r="H195" i="158"/>
  <c r="Q194" i="158"/>
  <c r="N194" i="158"/>
  <c r="M194" i="158"/>
  <c r="J194" i="158"/>
  <c r="Q192" i="158"/>
  <c r="M192" i="158"/>
  <c r="Q191" i="158"/>
  <c r="M191" i="158"/>
  <c r="P190" i="158"/>
  <c r="O190" i="158"/>
  <c r="L190" i="158"/>
  <c r="K190" i="158"/>
  <c r="J190" i="158"/>
  <c r="Q189" i="158"/>
  <c r="M189" i="158"/>
  <c r="P188" i="158"/>
  <c r="O188" i="158"/>
  <c r="N188" i="158"/>
  <c r="L188" i="158"/>
  <c r="K188" i="158"/>
  <c r="J188" i="158"/>
  <c r="Q187" i="158"/>
  <c r="M187" i="158"/>
  <c r="P186" i="158"/>
  <c r="O186" i="158"/>
  <c r="N186" i="158"/>
  <c r="L186" i="158"/>
  <c r="K186" i="158"/>
  <c r="J186" i="158"/>
  <c r="Q185" i="158"/>
  <c r="M185" i="158"/>
  <c r="P184" i="158"/>
  <c r="O184" i="158"/>
  <c r="N184" i="158"/>
  <c r="L184" i="158"/>
  <c r="K184" i="158"/>
  <c r="J184" i="158"/>
  <c r="Q183" i="158"/>
  <c r="N183" i="158"/>
  <c r="M183" i="158"/>
  <c r="J183" i="158"/>
  <c r="Q182" i="158"/>
  <c r="M182" i="158"/>
  <c r="P181" i="158"/>
  <c r="O181" i="158"/>
  <c r="N181" i="158"/>
  <c r="L181" i="158"/>
  <c r="K181" i="158"/>
  <c r="Q180" i="158"/>
  <c r="M180" i="158"/>
  <c r="M179" i="158"/>
  <c r="M178" i="158"/>
  <c r="Q177" i="158"/>
  <c r="M177" i="158"/>
  <c r="P176" i="158"/>
  <c r="O176" i="158"/>
  <c r="N176" i="158"/>
  <c r="L176" i="158"/>
  <c r="K176" i="158"/>
  <c r="Q175" i="158"/>
  <c r="M175" i="158"/>
  <c r="Q174" i="158"/>
  <c r="M174" i="158"/>
  <c r="L173" i="158"/>
  <c r="K173" i="158"/>
  <c r="Q172" i="158"/>
  <c r="M172" i="158"/>
  <c r="P171" i="158"/>
  <c r="O171" i="158"/>
  <c r="N171" i="158"/>
  <c r="L171" i="158"/>
  <c r="K171" i="158"/>
  <c r="Q170" i="158"/>
  <c r="M170" i="158"/>
  <c r="P169" i="158"/>
  <c r="O169" i="158"/>
  <c r="N169" i="158"/>
  <c r="L169" i="158"/>
  <c r="K169" i="158"/>
  <c r="J169" i="158"/>
  <c r="Q168" i="158"/>
  <c r="M168" i="158"/>
  <c r="P167" i="158"/>
  <c r="O167" i="158"/>
  <c r="N167" i="158"/>
  <c r="M167" i="158"/>
  <c r="J167" i="158"/>
  <c r="Q166" i="158"/>
  <c r="M166" i="158"/>
  <c r="Q165" i="158"/>
  <c r="M165" i="158"/>
  <c r="P164" i="158"/>
  <c r="O164" i="158"/>
  <c r="N164" i="158"/>
  <c r="L164" i="158"/>
  <c r="K164" i="158"/>
  <c r="J164" i="158"/>
  <c r="Q163" i="158"/>
  <c r="M163" i="158"/>
  <c r="P162" i="158"/>
  <c r="O162" i="158"/>
  <c r="N162" i="158"/>
  <c r="L162" i="158"/>
  <c r="K162" i="158"/>
  <c r="J162" i="158"/>
  <c r="L161" i="158"/>
  <c r="K161" i="158"/>
  <c r="Q160" i="158"/>
  <c r="M160" i="158"/>
  <c r="P159" i="158"/>
  <c r="O159" i="158"/>
  <c r="N159" i="158"/>
  <c r="M159" i="158"/>
  <c r="J159" i="158"/>
  <c r="Q158" i="158"/>
  <c r="M158" i="158"/>
  <c r="Q157" i="158"/>
  <c r="M157" i="158"/>
  <c r="Q156" i="158"/>
  <c r="M156" i="158"/>
  <c r="P155" i="158"/>
  <c r="O155" i="158"/>
  <c r="N155" i="158"/>
  <c r="L155" i="158"/>
  <c r="K155" i="158"/>
  <c r="J155" i="158"/>
  <c r="Q154" i="158"/>
  <c r="M154" i="158"/>
  <c r="Q153" i="158"/>
  <c r="M153" i="158"/>
  <c r="P152" i="158"/>
  <c r="O152" i="158"/>
  <c r="N152" i="158"/>
  <c r="L152" i="158"/>
  <c r="K152" i="158"/>
  <c r="Q149" i="158"/>
  <c r="M149" i="158"/>
  <c r="Q148" i="158"/>
  <c r="L148" i="158"/>
  <c r="K148" i="158"/>
  <c r="J148" i="158"/>
  <c r="P147" i="158"/>
  <c r="O147" i="158"/>
  <c r="N147" i="158"/>
  <c r="L147" i="158"/>
  <c r="K147" i="158"/>
  <c r="J147" i="158"/>
  <c r="J146" i="158"/>
  <c r="Q145" i="158"/>
  <c r="M145" i="158"/>
  <c r="P144" i="158"/>
  <c r="O144" i="158"/>
  <c r="N144" i="158"/>
  <c r="M144" i="158"/>
  <c r="J144" i="158"/>
  <c r="P143" i="158"/>
  <c r="O143" i="158"/>
  <c r="N143" i="158"/>
  <c r="L143" i="158"/>
  <c r="K143" i="158"/>
  <c r="J143" i="158"/>
  <c r="Q142" i="158"/>
  <c r="M142" i="158"/>
  <c r="P141" i="158"/>
  <c r="O141" i="158"/>
  <c r="N141" i="158"/>
  <c r="L141" i="158"/>
  <c r="K141" i="158"/>
  <c r="J141" i="158"/>
  <c r="P140" i="158"/>
  <c r="O140" i="158"/>
  <c r="N140" i="158"/>
  <c r="L140" i="158"/>
  <c r="K140" i="158"/>
  <c r="J140" i="158"/>
  <c r="P139" i="158"/>
  <c r="O139" i="158"/>
  <c r="N139" i="158"/>
  <c r="L139" i="158"/>
  <c r="K139" i="158"/>
  <c r="J139" i="158"/>
  <c r="Q138" i="158"/>
  <c r="M138" i="158"/>
  <c r="P137" i="158"/>
  <c r="O137" i="158"/>
  <c r="N137" i="158"/>
  <c r="M137" i="158"/>
  <c r="Q136" i="158"/>
  <c r="M136" i="158"/>
  <c r="P135" i="158"/>
  <c r="O135" i="158"/>
  <c r="N135" i="158"/>
  <c r="L135" i="158"/>
  <c r="K135" i="158"/>
  <c r="Q134" i="158"/>
  <c r="M134" i="158"/>
  <c r="P133" i="158"/>
  <c r="O133" i="158"/>
  <c r="L133" i="158"/>
  <c r="K133" i="158"/>
  <c r="Q132" i="158"/>
  <c r="M132" i="158"/>
  <c r="P131" i="158"/>
  <c r="O131" i="158"/>
  <c r="N131" i="158"/>
  <c r="L131" i="158"/>
  <c r="K131" i="158"/>
  <c r="J131" i="158"/>
  <c r="Q130" i="158"/>
  <c r="L130" i="158"/>
  <c r="K130" i="158"/>
  <c r="J130" i="158"/>
  <c r="Q129" i="158"/>
  <c r="M129" i="158"/>
  <c r="P128" i="158"/>
  <c r="O128" i="158"/>
  <c r="N128" i="158"/>
  <c r="L128" i="158"/>
  <c r="K128" i="158"/>
  <c r="Q127" i="158"/>
  <c r="M127" i="158"/>
  <c r="P126" i="158"/>
  <c r="O126" i="158"/>
  <c r="N126" i="158"/>
  <c r="L126" i="158"/>
  <c r="K126" i="158"/>
  <c r="J126" i="158"/>
  <c r="Q125" i="158"/>
  <c r="M125" i="158"/>
  <c r="P124" i="158"/>
  <c r="O124" i="158"/>
  <c r="N124" i="158"/>
  <c r="M124" i="158"/>
  <c r="J124" i="158"/>
  <c r="Q123" i="158"/>
  <c r="M123" i="158"/>
  <c r="P122" i="158"/>
  <c r="O122" i="158"/>
  <c r="N122" i="158"/>
  <c r="L122" i="158"/>
  <c r="K122" i="158"/>
  <c r="Q121" i="158"/>
  <c r="M121" i="158"/>
  <c r="P120" i="158"/>
  <c r="O120" i="158"/>
  <c r="N120" i="158"/>
  <c r="L120" i="158"/>
  <c r="K120" i="158"/>
  <c r="J120" i="158"/>
  <c r="Q119" i="158"/>
  <c r="M119" i="158"/>
  <c r="P118" i="158"/>
  <c r="O118" i="158"/>
  <c r="L118" i="158"/>
  <c r="K118" i="158"/>
  <c r="Q117" i="158"/>
  <c r="M117" i="158"/>
  <c r="P116" i="158"/>
  <c r="O116" i="158"/>
  <c r="N116" i="158"/>
  <c r="M116" i="158"/>
  <c r="P115" i="158"/>
  <c r="O115" i="158"/>
  <c r="N115" i="158"/>
  <c r="M115" i="158"/>
  <c r="Q114" i="158"/>
  <c r="N114" i="158"/>
  <c r="M114" i="158"/>
  <c r="P113" i="158"/>
  <c r="O113" i="158"/>
  <c r="N113" i="158"/>
  <c r="M113" i="158"/>
  <c r="Q112" i="158"/>
  <c r="M112" i="158"/>
  <c r="P111" i="158"/>
  <c r="O111" i="158"/>
  <c r="N111" i="158"/>
  <c r="M111" i="158"/>
  <c r="Q110" i="158"/>
  <c r="M110" i="158"/>
  <c r="Q109" i="158"/>
  <c r="L109" i="158"/>
  <c r="K109" i="158"/>
  <c r="P108" i="158"/>
  <c r="O108" i="158"/>
  <c r="N108" i="158"/>
  <c r="L108" i="158"/>
  <c r="K108" i="158"/>
  <c r="J108" i="158"/>
  <c r="Q107" i="158"/>
  <c r="M107" i="158"/>
  <c r="P106" i="158"/>
  <c r="O106" i="158"/>
  <c r="M106" i="158"/>
  <c r="Q105" i="158"/>
  <c r="M105" i="158"/>
  <c r="P104" i="158"/>
  <c r="O104" i="158"/>
  <c r="N104" i="158"/>
  <c r="L104" i="158"/>
  <c r="K104" i="158"/>
  <c r="Q103" i="158"/>
  <c r="M103" i="158"/>
  <c r="P102" i="158"/>
  <c r="O102" i="158"/>
  <c r="N102" i="158"/>
  <c r="K102" i="158"/>
  <c r="M102" i="158" s="1"/>
  <c r="Q101" i="158"/>
  <c r="M101" i="158"/>
  <c r="P100" i="158"/>
  <c r="O100" i="158"/>
  <c r="L100" i="158"/>
  <c r="K100" i="158"/>
  <c r="Q99" i="158"/>
  <c r="M99" i="158"/>
  <c r="P98" i="158"/>
  <c r="O98" i="158"/>
  <c r="N98" i="158"/>
  <c r="M98" i="158"/>
  <c r="J98" i="158"/>
  <c r="Q97" i="158"/>
  <c r="M97" i="158"/>
  <c r="P96" i="158"/>
  <c r="O96" i="158"/>
  <c r="N96" i="158"/>
  <c r="L96" i="158"/>
  <c r="K96" i="158"/>
  <c r="J96" i="158"/>
  <c r="Q95" i="158"/>
  <c r="M95" i="158"/>
  <c r="P94" i="158"/>
  <c r="O94" i="158"/>
  <c r="N94" i="158"/>
  <c r="L94" i="158"/>
  <c r="K94" i="158"/>
  <c r="Q93" i="158"/>
  <c r="M93" i="158"/>
  <c r="Q92" i="158"/>
  <c r="M92" i="158"/>
  <c r="Q91" i="158"/>
  <c r="M91" i="158"/>
  <c r="P90" i="158"/>
  <c r="O90" i="158"/>
  <c r="N90" i="158"/>
  <c r="M90" i="158"/>
  <c r="J90" i="158"/>
  <c r="Q89" i="158"/>
  <c r="M89" i="158"/>
  <c r="P88" i="158"/>
  <c r="O88" i="158"/>
  <c r="N88" i="158"/>
  <c r="L88" i="158"/>
  <c r="K88" i="158"/>
  <c r="Q87" i="158"/>
  <c r="M87" i="158"/>
  <c r="P86" i="158"/>
  <c r="O86" i="158"/>
  <c r="N86" i="158"/>
  <c r="L86" i="158"/>
  <c r="K86" i="158"/>
  <c r="J86" i="158"/>
  <c r="Q85" i="158"/>
  <c r="M85" i="158"/>
  <c r="P84" i="158"/>
  <c r="O84" i="158"/>
  <c r="N84" i="158"/>
  <c r="L84" i="158"/>
  <c r="K84" i="158"/>
  <c r="J84" i="158"/>
  <c r="P83" i="158"/>
  <c r="O83" i="158"/>
  <c r="N83" i="158"/>
  <c r="L83" i="158"/>
  <c r="K83" i="158"/>
  <c r="J83" i="158"/>
  <c r="Q82" i="158"/>
  <c r="M82" i="158"/>
  <c r="P81" i="158"/>
  <c r="O81" i="158"/>
  <c r="N81" i="158"/>
  <c r="L81" i="158"/>
  <c r="K81" i="158"/>
  <c r="J81" i="158"/>
  <c r="P80" i="158"/>
  <c r="O80" i="158"/>
  <c r="N80" i="158"/>
  <c r="M80" i="158"/>
  <c r="P79" i="158"/>
  <c r="O79" i="158"/>
  <c r="N79" i="158"/>
  <c r="L79" i="158"/>
  <c r="K79" i="158"/>
  <c r="Q78" i="158"/>
  <c r="N78" i="158"/>
  <c r="M78" i="158"/>
  <c r="J78" i="158"/>
  <c r="Q77" i="158"/>
  <c r="M77" i="158"/>
  <c r="P76" i="158"/>
  <c r="O76" i="158"/>
  <c r="N76" i="158"/>
  <c r="M76" i="158"/>
  <c r="P75" i="158"/>
  <c r="O75" i="158"/>
  <c r="N75" i="158"/>
  <c r="M75" i="158"/>
  <c r="J75" i="158"/>
  <c r="Q74" i="158"/>
  <c r="M74" i="158"/>
  <c r="P73" i="158"/>
  <c r="O73" i="158"/>
  <c r="N73" i="158"/>
  <c r="L73" i="158"/>
  <c r="K73" i="158"/>
  <c r="J73" i="158"/>
  <c r="Q72" i="158"/>
  <c r="M72" i="158"/>
  <c r="Q71" i="158"/>
  <c r="N71" i="158"/>
  <c r="M71" i="158"/>
  <c r="Q70" i="158"/>
  <c r="M70" i="158"/>
  <c r="P69" i="158"/>
  <c r="O69" i="158"/>
  <c r="M69" i="158"/>
  <c r="J69" i="158"/>
  <c r="P68" i="158"/>
  <c r="O68" i="158"/>
  <c r="N68" i="158"/>
  <c r="L68" i="158"/>
  <c r="K68" i="158"/>
  <c r="J68" i="158"/>
  <c r="Q67" i="158"/>
  <c r="M67" i="158"/>
  <c r="P66" i="158"/>
  <c r="O66" i="158"/>
  <c r="N66" i="158"/>
  <c r="L66" i="158"/>
  <c r="K66" i="158"/>
  <c r="Q65" i="158"/>
  <c r="M65" i="158"/>
  <c r="P64" i="158"/>
  <c r="O64" i="158"/>
  <c r="N64" i="158"/>
  <c r="L64" i="158"/>
  <c r="K64" i="158"/>
  <c r="J64" i="158"/>
  <c r="Q63" i="158"/>
  <c r="M63" i="158"/>
  <c r="P62" i="158"/>
  <c r="O62" i="158"/>
  <c r="N62" i="158"/>
  <c r="M62" i="158"/>
  <c r="J62" i="158"/>
  <c r="Q61" i="158"/>
  <c r="M61" i="158"/>
  <c r="P60" i="158"/>
  <c r="O60" i="158"/>
  <c r="N60" i="158"/>
  <c r="M60" i="158"/>
  <c r="Q59" i="158"/>
  <c r="K59" i="158"/>
  <c r="M59" i="158" s="1"/>
  <c r="J59" i="158"/>
  <c r="Q58" i="158"/>
  <c r="M58" i="158"/>
  <c r="P57" i="158"/>
  <c r="O57" i="158"/>
  <c r="N57" i="158"/>
  <c r="M57" i="158"/>
  <c r="J57" i="158"/>
  <c r="Q56" i="158"/>
  <c r="M56" i="158"/>
  <c r="P55" i="158"/>
  <c r="O55" i="158"/>
  <c r="N55" i="158"/>
  <c r="M55" i="158"/>
  <c r="J55" i="158"/>
  <c r="Q54" i="158"/>
  <c r="M54" i="158"/>
  <c r="Q53" i="158"/>
  <c r="M53" i="158"/>
  <c r="P52" i="158"/>
  <c r="O52" i="158"/>
  <c r="N52" i="158"/>
  <c r="L52" i="158"/>
  <c r="K52" i="158"/>
  <c r="J52" i="158"/>
  <c r="Q51" i="158"/>
  <c r="M51" i="158"/>
  <c r="P50" i="158"/>
  <c r="O50" i="158"/>
  <c r="N50" i="158"/>
  <c r="L50" i="158"/>
  <c r="K50" i="158"/>
  <c r="J50" i="158"/>
  <c r="Q49" i="158"/>
  <c r="M49" i="158"/>
  <c r="Q48" i="158"/>
  <c r="N48" i="158"/>
  <c r="L48" i="158"/>
  <c r="K48" i="158"/>
  <c r="P47" i="158"/>
  <c r="Q47" i="158" s="1"/>
  <c r="M47" i="158"/>
  <c r="P46" i="158"/>
  <c r="O46" i="158"/>
  <c r="L46" i="158"/>
  <c r="K46" i="158"/>
  <c r="Q45" i="158"/>
  <c r="M45" i="158"/>
  <c r="Q44" i="158"/>
  <c r="M44" i="158"/>
  <c r="Q43" i="158"/>
  <c r="M43" i="158"/>
  <c r="P42" i="158"/>
  <c r="O42" i="158"/>
  <c r="N42" i="158"/>
  <c r="L42" i="158"/>
  <c r="K42" i="158"/>
  <c r="J42" i="158"/>
  <c r="P41" i="158"/>
  <c r="O41" i="158"/>
  <c r="N41" i="158"/>
  <c r="M41" i="158"/>
  <c r="Q40" i="158"/>
  <c r="M40" i="158"/>
  <c r="Q39" i="158"/>
  <c r="N39" i="158"/>
  <c r="L39" i="158"/>
  <c r="K39" i="158"/>
  <c r="Q38" i="158"/>
  <c r="M38" i="158"/>
  <c r="P37" i="158"/>
  <c r="O37" i="158"/>
  <c r="N37" i="158"/>
  <c r="L37" i="158"/>
  <c r="K37" i="158"/>
  <c r="J37" i="158"/>
  <c r="Q36" i="158"/>
  <c r="M36" i="158"/>
  <c r="P35" i="158"/>
  <c r="O35" i="158"/>
  <c r="N35" i="158"/>
  <c r="M35" i="158"/>
  <c r="Q34" i="158"/>
  <c r="M34" i="158"/>
  <c r="P33" i="158"/>
  <c r="O33" i="158"/>
  <c r="N33" i="158"/>
  <c r="L33" i="158"/>
  <c r="K33" i="158"/>
  <c r="Q32" i="158"/>
  <c r="M32" i="158"/>
  <c r="Q31" i="158"/>
  <c r="M31" i="158"/>
  <c r="Q30" i="158"/>
  <c r="L30" i="158"/>
  <c r="K30" i="158"/>
  <c r="J30" i="158"/>
  <c r="Q29" i="158"/>
  <c r="M29" i="158"/>
  <c r="J29" i="158"/>
  <c r="Q28" i="158"/>
  <c r="N28" i="158"/>
  <c r="M28" i="158"/>
  <c r="Q27" i="158"/>
  <c r="M27" i="158"/>
  <c r="P26" i="158"/>
  <c r="O26" i="158"/>
  <c r="N26" i="158"/>
  <c r="M26" i="158"/>
  <c r="J26" i="158"/>
  <c r="P25" i="158"/>
  <c r="O25" i="158"/>
  <c r="N25" i="158"/>
  <c r="L25" i="158"/>
  <c r="K25" i="158"/>
  <c r="J24" i="158"/>
  <c r="Q23" i="158"/>
  <c r="M23" i="158"/>
  <c r="J23" i="158"/>
  <c r="P22" i="158"/>
  <c r="O22" i="158"/>
  <c r="N22" i="158"/>
  <c r="L22" i="158"/>
  <c r="K22" i="158"/>
  <c r="J22" i="158"/>
  <c r="Q21" i="158"/>
  <c r="M21" i="158"/>
  <c r="P20" i="158"/>
  <c r="O20" i="158"/>
  <c r="N20" i="158"/>
  <c r="L20" i="158"/>
  <c r="K20" i="158"/>
  <c r="J20" i="158"/>
  <c r="P19" i="158"/>
  <c r="O19" i="158"/>
  <c r="N19" i="158"/>
  <c r="M19" i="158"/>
  <c r="Q18" i="158"/>
  <c r="M18" i="158"/>
  <c r="P17" i="158"/>
  <c r="O17" i="158"/>
  <c r="N17" i="158"/>
  <c r="L17" i="158"/>
  <c r="K17" i="158"/>
  <c r="J17" i="158"/>
  <c r="Q16" i="158"/>
  <c r="M16" i="158"/>
  <c r="P15" i="158"/>
  <c r="O15" i="158"/>
  <c r="N15" i="158"/>
  <c r="M15" i="158"/>
  <c r="Q14" i="158"/>
  <c r="M14" i="158"/>
  <c r="P13" i="158"/>
  <c r="O13" i="158"/>
  <c r="N13" i="158"/>
  <c r="L13" i="158"/>
  <c r="K13" i="158"/>
  <c r="J13" i="158"/>
  <c r="Q12" i="158"/>
  <c r="L12" i="158"/>
  <c r="K12" i="158"/>
  <c r="J12" i="158"/>
  <c r="Q11" i="158"/>
  <c r="M11" i="158"/>
  <c r="P10" i="158"/>
  <c r="O10" i="158"/>
  <c r="N10" i="158"/>
  <c r="L10" i="158"/>
  <c r="K10" i="158"/>
  <c r="J10" i="158"/>
  <c r="B9" i="158"/>
  <c r="C9" i="158" s="1"/>
  <c r="D9" i="158" s="1"/>
  <c r="E9" i="158" s="1"/>
  <c r="F9" i="158" s="1"/>
  <c r="G9" i="158" s="1"/>
  <c r="H9" i="158" s="1"/>
  <c r="I9" i="158" s="1"/>
  <c r="J9" i="158" s="1"/>
  <c r="K9" i="158" s="1"/>
  <c r="L9" i="158" s="1"/>
  <c r="M9" i="158" s="1"/>
  <c r="N9" i="158" s="1"/>
  <c r="O9" i="158" s="1"/>
  <c r="P9" i="158" s="1"/>
  <c r="Q9" i="158" s="1"/>
  <c r="J195" i="158" l="1"/>
  <c r="L195" i="158"/>
  <c r="O195" i="158"/>
  <c r="Q13" i="158"/>
  <c r="Q15" i="158"/>
  <c r="Q17" i="158"/>
  <c r="Q19" i="158"/>
  <c r="Q20" i="158"/>
  <c r="Q22" i="158"/>
  <c r="M25" i="158"/>
  <c r="Q26" i="158"/>
  <c r="M33" i="158"/>
  <c r="M37" i="158"/>
  <c r="M42" i="158"/>
  <c r="M50" i="158"/>
  <c r="M52" i="158"/>
  <c r="Q55" i="158"/>
  <c r="Q60" i="158"/>
  <c r="M64" i="158"/>
  <c r="Q66" i="158"/>
  <c r="Q68" i="158"/>
  <c r="Q69" i="158"/>
  <c r="M73" i="158"/>
  <c r="Q75" i="158"/>
  <c r="Q76" i="158"/>
  <c r="M79" i="158"/>
  <c r="M81" i="158"/>
  <c r="M83" i="158"/>
  <c r="M84" i="158"/>
  <c r="M86" i="158"/>
  <c r="Q88" i="158"/>
  <c r="Q104" i="158"/>
  <c r="M108" i="158"/>
  <c r="Q111" i="158"/>
  <c r="Q113" i="158"/>
  <c r="M120" i="158"/>
  <c r="Q122" i="158"/>
  <c r="M126" i="158"/>
  <c r="Q128" i="158"/>
  <c r="Q131" i="158"/>
  <c r="M133" i="158"/>
  <c r="Q133" i="158"/>
  <c r="M135" i="158"/>
  <c r="M139" i="158"/>
  <c r="M140" i="158"/>
  <c r="M141" i="158"/>
  <c r="M143" i="158"/>
  <c r="Q144" i="158"/>
  <c r="M147" i="158"/>
  <c r="M148" i="158"/>
  <c r="Q152" i="158"/>
  <c r="Q155" i="158"/>
  <c r="M162" i="158"/>
  <c r="M164" i="158"/>
  <c r="Q167" i="158"/>
  <c r="Q169" i="158"/>
  <c r="M171" i="158"/>
  <c r="Q176" i="158"/>
  <c r="M181" i="158"/>
  <c r="M184" i="158"/>
  <c r="M186" i="158"/>
  <c r="M188" i="158"/>
  <c r="M190" i="158"/>
  <c r="Q190" i="158"/>
  <c r="K195" i="158"/>
  <c r="M195" i="158" s="1"/>
  <c r="N195" i="158"/>
  <c r="P195" i="158"/>
  <c r="Q195" i="158" s="1"/>
  <c r="M12" i="158"/>
  <c r="M13" i="158"/>
  <c r="M17" i="158"/>
  <c r="M20" i="158"/>
  <c r="M22" i="158"/>
  <c r="Q25" i="158"/>
  <c r="M30" i="158"/>
  <c r="Q33" i="158"/>
  <c r="Q35" i="158"/>
  <c r="Q37" i="158"/>
  <c r="M39" i="158"/>
  <c r="Q41" i="158"/>
  <c r="Q42" i="158"/>
  <c r="M46" i="158"/>
  <c r="Q46" i="158"/>
  <c r="M48" i="158"/>
  <c r="Q50" i="158"/>
  <c r="Q52" i="158"/>
  <c r="Q57" i="158"/>
  <c r="Q62" i="158"/>
  <c r="Q64" i="158"/>
  <c r="M66" i="158"/>
  <c r="M68" i="158"/>
  <c r="Q73" i="158"/>
  <c r="Q79" i="158"/>
  <c r="Q80" i="158"/>
  <c r="Q81" i="158"/>
  <c r="Q83" i="158"/>
  <c r="Q84" i="158"/>
  <c r="Q86" i="158"/>
  <c r="M88" i="158"/>
  <c r="Q90" i="158"/>
  <c r="M94" i="158"/>
  <c r="M96" i="158"/>
  <c r="M100" i="158"/>
  <c r="Q102" i="158"/>
  <c r="M104" i="158"/>
  <c r="Q106" i="158"/>
  <c r="Q108" i="158"/>
  <c r="M109" i="158"/>
  <c r="Q115" i="158"/>
  <c r="Q116" i="158"/>
  <c r="M118" i="158"/>
  <c r="Q118" i="158"/>
  <c r="Q120" i="158"/>
  <c r="M122" i="158"/>
  <c r="Q124" i="158"/>
  <c r="Q126" i="158"/>
  <c r="M128" i="158"/>
  <c r="M130" i="158"/>
  <c r="M131" i="158"/>
  <c r="Q135" i="158"/>
  <c r="Q137" i="158"/>
  <c r="Q139" i="158"/>
  <c r="Q140" i="158"/>
  <c r="Q141" i="158"/>
  <c r="Q143" i="158"/>
  <c r="Q147" i="158"/>
  <c r="M152" i="158"/>
  <c r="M155" i="158"/>
  <c r="Q159" i="158"/>
  <c r="M161" i="158"/>
  <c r="Q162" i="158"/>
  <c r="Q164" i="158"/>
  <c r="M169" i="158"/>
  <c r="Q171" i="158"/>
  <c r="M173" i="158"/>
  <c r="M176" i="158"/>
  <c r="Q181" i="158"/>
  <c r="Q184" i="158"/>
  <c r="Q186" i="158"/>
  <c r="Q188" i="158"/>
  <c r="Q94" i="158"/>
  <c r="Q96" i="158"/>
  <c r="Q98" i="158"/>
  <c r="Q100" i="158"/>
  <c r="M10" i="158"/>
  <c r="Q10" i="158"/>
  <c r="L10" i="157"/>
  <c r="L12" i="157"/>
  <c r="L19" i="157"/>
  <c r="L20" i="157"/>
  <c r="L30" i="157"/>
  <c r="L35" i="157"/>
  <c r="L39" i="157"/>
  <c r="L57" i="157"/>
  <c r="L66" i="157"/>
  <c r="L73" i="157"/>
  <c r="L75" i="157"/>
  <c r="L78" i="157"/>
  <c r="L84" i="157"/>
  <c r="L88" i="157"/>
  <c r="L94" i="157"/>
  <c r="L96" i="157"/>
  <c r="L111" i="157"/>
  <c r="L116" i="157"/>
  <c r="L118" i="157"/>
  <c r="L120" i="157"/>
  <c r="L122" i="157"/>
  <c r="L126" i="157"/>
  <c r="L137" i="157"/>
  <c r="L139" i="157"/>
  <c r="L141" i="157"/>
  <c r="L147" i="157"/>
  <c r="L179" i="157"/>
  <c r="L182" i="157"/>
  <c r="L186" i="157"/>
  <c r="L188" i="157"/>
  <c r="P186" i="157"/>
  <c r="L159" i="157"/>
  <c r="P120" i="157"/>
  <c r="P116" i="157"/>
  <c r="O120" i="157"/>
  <c r="K64" i="157"/>
  <c r="K66" i="157"/>
  <c r="O46" i="157"/>
  <c r="K147" i="157"/>
  <c r="K139" i="157"/>
  <c r="K94" i="157"/>
  <c r="O116" i="157"/>
  <c r="K116" i="157"/>
  <c r="K78" i="157"/>
  <c r="K188" i="157"/>
  <c r="O186" i="157"/>
  <c r="K186" i="157"/>
  <c r="K182" i="157"/>
  <c r="K179" i="157"/>
  <c r="K159" i="157"/>
  <c r="K118" i="157"/>
  <c r="K120" i="157"/>
  <c r="K126" i="157"/>
  <c r="K137" i="157"/>
  <c r="K141" i="157"/>
  <c r="K111" i="157"/>
  <c r="K102" i="157"/>
  <c r="K96" i="157"/>
  <c r="K88" i="157"/>
  <c r="K84" i="157"/>
  <c r="K75" i="157"/>
  <c r="K73" i="157"/>
  <c r="K19" i="157"/>
  <c r="K57" i="157"/>
  <c r="K30" i="157"/>
  <c r="K12" i="157"/>
  <c r="K39" i="157"/>
  <c r="K35" i="157"/>
  <c r="K20" i="157"/>
  <c r="K122" i="157"/>
  <c r="K10" i="157"/>
  <c r="J24" i="157" l="1"/>
  <c r="J28" i="157"/>
  <c r="J76" i="157"/>
  <c r="J104" i="157"/>
  <c r="J192" i="157"/>
  <c r="N192" i="157"/>
  <c r="N169" i="157"/>
  <c r="J165" i="157"/>
  <c r="J157" i="157"/>
  <c r="J139" i="157"/>
  <c r="J137" i="157"/>
  <c r="J133" i="157"/>
  <c r="J128" i="157"/>
  <c r="J116" i="157"/>
  <c r="J113" i="157"/>
  <c r="J92" i="157"/>
  <c r="J106" i="157"/>
  <c r="J98" i="157"/>
  <c r="N90" i="157"/>
  <c r="J80" i="157"/>
  <c r="J69" i="157"/>
  <c r="N64" i="157"/>
  <c r="J64" i="157"/>
  <c r="J62" i="157"/>
  <c r="J57" i="157"/>
  <c r="J55" i="157"/>
  <c r="N48" i="157"/>
  <c r="J115" i="157"/>
  <c r="J41" i="157"/>
  <c r="N29" i="157"/>
  <c r="J29" i="157"/>
  <c r="J19" i="157"/>
  <c r="H193" i="157"/>
  <c r="P192" i="157"/>
  <c r="O192" i="157"/>
  <c r="L192" i="157"/>
  <c r="K192" i="157"/>
  <c r="I193" i="157"/>
  <c r="Q190" i="157"/>
  <c r="M190" i="157"/>
  <c r="Q189" i="157"/>
  <c r="M189" i="157"/>
  <c r="P188" i="157"/>
  <c r="O188" i="157"/>
  <c r="N188" i="157"/>
  <c r="M188" i="157"/>
  <c r="J188" i="157"/>
  <c r="Q187" i="157"/>
  <c r="M187" i="157"/>
  <c r="Q186" i="157"/>
  <c r="N186" i="157"/>
  <c r="M186" i="157"/>
  <c r="J186" i="157"/>
  <c r="Q185" i="157"/>
  <c r="M185" i="157"/>
  <c r="P184" i="157"/>
  <c r="O184" i="157"/>
  <c r="N184" i="157"/>
  <c r="L184" i="157"/>
  <c r="K184" i="157"/>
  <c r="J184" i="157"/>
  <c r="Q183" i="157"/>
  <c r="M183" i="157"/>
  <c r="P182" i="157"/>
  <c r="O182" i="157"/>
  <c r="N182" i="157"/>
  <c r="M182" i="157"/>
  <c r="J182" i="157"/>
  <c r="P181" i="157"/>
  <c r="O181" i="157"/>
  <c r="N181" i="157"/>
  <c r="M181" i="157"/>
  <c r="J181" i="157"/>
  <c r="Q180" i="157"/>
  <c r="M180" i="157"/>
  <c r="P179" i="157"/>
  <c r="O179" i="157"/>
  <c r="N179" i="157"/>
  <c r="M179" i="157"/>
  <c r="J179" i="157"/>
  <c r="Q178" i="157"/>
  <c r="M178" i="157"/>
  <c r="M177" i="157"/>
  <c r="M176" i="157"/>
  <c r="Q175" i="157"/>
  <c r="M175" i="157"/>
  <c r="P174" i="157"/>
  <c r="O174" i="157"/>
  <c r="N174" i="157"/>
  <c r="L174" i="157"/>
  <c r="K174" i="157"/>
  <c r="J174" i="157"/>
  <c r="Q173" i="157"/>
  <c r="M173" i="157"/>
  <c r="Q172" i="157"/>
  <c r="M172" i="157"/>
  <c r="L171" i="157"/>
  <c r="K171" i="157"/>
  <c r="J171" i="157"/>
  <c r="Q170" i="157"/>
  <c r="M170" i="157"/>
  <c r="P169" i="157"/>
  <c r="O169" i="157"/>
  <c r="L169" i="157"/>
  <c r="K169" i="157"/>
  <c r="J169" i="157"/>
  <c r="Q168" i="157"/>
  <c r="M168" i="157"/>
  <c r="P167" i="157"/>
  <c r="O167" i="157"/>
  <c r="N167" i="157"/>
  <c r="L167" i="157"/>
  <c r="K167" i="157"/>
  <c r="J167" i="157"/>
  <c r="Q166" i="157"/>
  <c r="M166" i="157"/>
  <c r="P165" i="157"/>
  <c r="O165" i="157"/>
  <c r="N165" i="157"/>
  <c r="L165" i="157"/>
  <c r="K165" i="157"/>
  <c r="Q164" i="157"/>
  <c r="M164" i="157"/>
  <c r="Q163" i="157"/>
  <c r="M163" i="157"/>
  <c r="P162" i="157"/>
  <c r="O162" i="157"/>
  <c r="N162" i="157"/>
  <c r="L162" i="157"/>
  <c r="K162" i="157"/>
  <c r="J162" i="157"/>
  <c r="Q161" i="157"/>
  <c r="M161" i="157"/>
  <c r="P160" i="157"/>
  <c r="O160" i="157"/>
  <c r="N160" i="157"/>
  <c r="L160" i="157"/>
  <c r="K160" i="157"/>
  <c r="J160" i="157"/>
  <c r="M159" i="157"/>
  <c r="J159" i="157"/>
  <c r="Q158" i="157"/>
  <c r="M158" i="157"/>
  <c r="P157" i="157"/>
  <c r="O157" i="157"/>
  <c r="N157" i="157"/>
  <c r="L157" i="157"/>
  <c r="K157" i="157"/>
  <c r="Q156" i="157"/>
  <c r="M156" i="157"/>
  <c r="Q155" i="157"/>
  <c r="M155" i="157"/>
  <c r="Q154" i="157"/>
  <c r="M154" i="157"/>
  <c r="P153" i="157"/>
  <c r="O153" i="157"/>
  <c r="N153" i="157"/>
  <c r="L153" i="157"/>
  <c r="K153" i="157"/>
  <c r="J153" i="157"/>
  <c r="Q152" i="157"/>
  <c r="M152" i="157"/>
  <c r="Q151" i="157"/>
  <c r="M151" i="157"/>
  <c r="P150" i="157"/>
  <c r="O150" i="157"/>
  <c r="N150" i="157"/>
  <c r="L150" i="157"/>
  <c r="K150" i="157"/>
  <c r="J150" i="157"/>
  <c r="Q149" i="157"/>
  <c r="M149" i="157"/>
  <c r="Q148" i="157"/>
  <c r="L148" i="157"/>
  <c r="K148" i="157"/>
  <c r="J148" i="157"/>
  <c r="P147" i="157"/>
  <c r="O147" i="157"/>
  <c r="N147" i="157"/>
  <c r="M147" i="157"/>
  <c r="J147" i="157"/>
  <c r="J146" i="157"/>
  <c r="Q145" i="157"/>
  <c r="M145" i="157"/>
  <c r="P144" i="157"/>
  <c r="O144" i="157"/>
  <c r="N144" i="157"/>
  <c r="L144" i="157"/>
  <c r="K144" i="157"/>
  <c r="J144" i="157"/>
  <c r="P143" i="157"/>
  <c r="O143" i="157"/>
  <c r="N143" i="157"/>
  <c r="L143" i="157"/>
  <c r="K143" i="157"/>
  <c r="J143" i="157"/>
  <c r="Q142" i="157"/>
  <c r="M142" i="157"/>
  <c r="P141" i="157"/>
  <c r="O141" i="157"/>
  <c r="N141" i="157"/>
  <c r="M141" i="157"/>
  <c r="J141" i="157"/>
  <c r="P140" i="157"/>
  <c r="O140" i="157"/>
  <c r="N140" i="157"/>
  <c r="L140" i="157"/>
  <c r="K140" i="157"/>
  <c r="J140" i="157"/>
  <c r="P139" i="157"/>
  <c r="O139" i="157"/>
  <c r="N139" i="157"/>
  <c r="M139" i="157"/>
  <c r="Q138" i="157"/>
  <c r="M138" i="157"/>
  <c r="P137" i="157"/>
  <c r="O137" i="157"/>
  <c r="N137" i="157"/>
  <c r="M137" i="157"/>
  <c r="Q136" i="157"/>
  <c r="M136" i="157"/>
  <c r="P135" i="157"/>
  <c r="O135" i="157"/>
  <c r="N135" i="157"/>
  <c r="L135" i="157"/>
  <c r="K135" i="157"/>
  <c r="Q134" i="157"/>
  <c r="M134" i="157"/>
  <c r="P133" i="157"/>
  <c r="O133" i="157"/>
  <c r="N133" i="157"/>
  <c r="L133" i="157"/>
  <c r="K133" i="157"/>
  <c r="Q132" i="157"/>
  <c r="M132" i="157"/>
  <c r="P131" i="157"/>
  <c r="O131" i="157"/>
  <c r="N131" i="157"/>
  <c r="L131" i="157"/>
  <c r="K131" i="157"/>
  <c r="J131" i="157"/>
  <c r="Q130" i="157"/>
  <c r="L130" i="157"/>
  <c r="K130" i="157"/>
  <c r="J130" i="157"/>
  <c r="Q129" i="157"/>
  <c r="M129" i="157"/>
  <c r="P128" i="157"/>
  <c r="O128" i="157"/>
  <c r="N128" i="157"/>
  <c r="L128" i="157"/>
  <c r="K128" i="157"/>
  <c r="Q127" i="157"/>
  <c r="M127" i="157"/>
  <c r="P126" i="157"/>
  <c r="O126" i="157"/>
  <c r="N126" i="157"/>
  <c r="M126" i="157"/>
  <c r="J126" i="157"/>
  <c r="Q125" i="157"/>
  <c r="M125" i="157"/>
  <c r="P124" i="157"/>
  <c r="O124" i="157"/>
  <c r="N124" i="157"/>
  <c r="L124" i="157"/>
  <c r="K124" i="157"/>
  <c r="J124" i="157"/>
  <c r="Q123" i="157"/>
  <c r="M123" i="157"/>
  <c r="P122" i="157"/>
  <c r="O122" i="157"/>
  <c r="N122" i="157"/>
  <c r="M122" i="157"/>
  <c r="J122" i="157"/>
  <c r="Q121" i="157"/>
  <c r="M121" i="157"/>
  <c r="Q120" i="157"/>
  <c r="N120" i="157"/>
  <c r="M120" i="157"/>
  <c r="J120" i="157"/>
  <c r="Q119" i="157"/>
  <c r="M119" i="157"/>
  <c r="P118" i="157"/>
  <c r="O118" i="157"/>
  <c r="N118" i="157"/>
  <c r="M118" i="157"/>
  <c r="J118" i="157"/>
  <c r="Q117" i="157"/>
  <c r="M117" i="157"/>
  <c r="Q116" i="157"/>
  <c r="N116" i="157"/>
  <c r="M116" i="157"/>
  <c r="P115" i="157"/>
  <c r="O115" i="157"/>
  <c r="N115" i="157"/>
  <c r="L115" i="157"/>
  <c r="K115" i="157"/>
  <c r="Q114" i="157"/>
  <c r="N114" i="157"/>
  <c r="M114" i="157"/>
  <c r="P113" i="157"/>
  <c r="O113" i="157"/>
  <c r="N113" i="157"/>
  <c r="L113" i="157"/>
  <c r="K113" i="157"/>
  <c r="Q112" i="157"/>
  <c r="M112" i="157"/>
  <c r="P111" i="157"/>
  <c r="O111" i="157"/>
  <c r="N111" i="157"/>
  <c r="M111" i="157"/>
  <c r="J111" i="157"/>
  <c r="Q110" i="157"/>
  <c r="M110" i="157"/>
  <c r="Q109" i="157"/>
  <c r="L109" i="157"/>
  <c r="K109" i="157"/>
  <c r="J109" i="157"/>
  <c r="P108" i="157"/>
  <c r="O108" i="157"/>
  <c r="N108" i="157"/>
  <c r="L108" i="157"/>
  <c r="K108" i="157"/>
  <c r="J108" i="157"/>
  <c r="Q107" i="157"/>
  <c r="M107" i="157"/>
  <c r="P106" i="157"/>
  <c r="O106" i="157"/>
  <c r="N106" i="157"/>
  <c r="L106" i="157"/>
  <c r="K106" i="157"/>
  <c r="Q105" i="157"/>
  <c r="M105" i="157"/>
  <c r="P104" i="157"/>
  <c r="O104" i="157"/>
  <c r="N104" i="157"/>
  <c r="L104" i="157"/>
  <c r="K104" i="157"/>
  <c r="Q103" i="157"/>
  <c r="M103" i="157"/>
  <c r="P102" i="157"/>
  <c r="O102" i="157"/>
  <c r="N102" i="157"/>
  <c r="L102" i="157"/>
  <c r="M102" i="157" s="1"/>
  <c r="J102" i="157"/>
  <c r="Q101" i="157"/>
  <c r="M101" i="157"/>
  <c r="P100" i="157"/>
  <c r="O100" i="157"/>
  <c r="N100" i="157"/>
  <c r="L100" i="157"/>
  <c r="K100" i="157"/>
  <c r="J100" i="157"/>
  <c r="Q99" i="157"/>
  <c r="M99" i="157"/>
  <c r="P98" i="157"/>
  <c r="O98" i="157"/>
  <c r="N98" i="157"/>
  <c r="L98" i="157"/>
  <c r="K98" i="157"/>
  <c r="Q97" i="157"/>
  <c r="M97" i="157"/>
  <c r="P96" i="157"/>
  <c r="O96" i="157"/>
  <c r="N96" i="157"/>
  <c r="M96" i="157"/>
  <c r="J96" i="157"/>
  <c r="Q95" i="157"/>
  <c r="M95" i="157"/>
  <c r="P94" i="157"/>
  <c r="O94" i="157"/>
  <c r="N94" i="157"/>
  <c r="M94" i="157"/>
  <c r="J94" i="157"/>
  <c r="Q93" i="157"/>
  <c r="M93" i="157"/>
  <c r="Q92" i="157"/>
  <c r="L92" i="157"/>
  <c r="K92" i="157"/>
  <c r="Q91" i="157"/>
  <c r="M91" i="157"/>
  <c r="P90" i="157"/>
  <c r="O90" i="157"/>
  <c r="L90" i="157"/>
  <c r="K90" i="157"/>
  <c r="J90" i="157"/>
  <c r="Q89" i="157"/>
  <c r="M89" i="157"/>
  <c r="P88" i="157"/>
  <c r="O88" i="157"/>
  <c r="N88" i="157"/>
  <c r="M88" i="157"/>
  <c r="J88" i="157"/>
  <c r="Q87" i="157"/>
  <c r="M87" i="157"/>
  <c r="P86" i="157"/>
  <c r="O86" i="157"/>
  <c r="N86" i="157"/>
  <c r="L86" i="157"/>
  <c r="K86" i="157"/>
  <c r="J86" i="157"/>
  <c r="Q85" i="157"/>
  <c r="M85" i="157"/>
  <c r="P84" i="157"/>
  <c r="O84" i="157"/>
  <c r="N84" i="157"/>
  <c r="M84" i="157"/>
  <c r="J84" i="157"/>
  <c r="P83" i="157"/>
  <c r="O83" i="157"/>
  <c r="N83" i="157"/>
  <c r="L83" i="157"/>
  <c r="K83" i="157"/>
  <c r="J83" i="157"/>
  <c r="Q82" i="157"/>
  <c r="M82" i="157"/>
  <c r="P81" i="157"/>
  <c r="O81" i="157"/>
  <c r="N81" i="157"/>
  <c r="L81" i="157"/>
  <c r="K81" i="157"/>
  <c r="J81" i="157"/>
  <c r="P80" i="157"/>
  <c r="O80" i="157"/>
  <c r="N80" i="157"/>
  <c r="L80" i="157"/>
  <c r="K80" i="157"/>
  <c r="P79" i="157"/>
  <c r="O79" i="157"/>
  <c r="N79" i="157"/>
  <c r="L79" i="157"/>
  <c r="K79" i="157"/>
  <c r="P78" i="157"/>
  <c r="O78" i="157"/>
  <c r="N78" i="157"/>
  <c r="J78" i="157"/>
  <c r="Q77" i="157"/>
  <c r="M77" i="157"/>
  <c r="P76" i="157"/>
  <c r="O76" i="157"/>
  <c r="N76" i="157"/>
  <c r="L76" i="157"/>
  <c r="K76" i="157"/>
  <c r="P75" i="157"/>
  <c r="O75" i="157"/>
  <c r="N75" i="157"/>
  <c r="M75" i="157"/>
  <c r="J75" i="157"/>
  <c r="Q74" i="157"/>
  <c r="M74" i="157"/>
  <c r="P73" i="157"/>
  <c r="O73" i="157"/>
  <c r="N73" i="157"/>
  <c r="M73" i="157"/>
  <c r="J73" i="157"/>
  <c r="Q72" i="157"/>
  <c r="M72" i="157"/>
  <c r="Q71" i="157"/>
  <c r="N71" i="157"/>
  <c r="M71" i="157"/>
  <c r="Q70" i="157"/>
  <c r="M70" i="157"/>
  <c r="P69" i="157"/>
  <c r="O69" i="157"/>
  <c r="N69" i="157"/>
  <c r="L69" i="157"/>
  <c r="K69" i="157"/>
  <c r="P68" i="157"/>
  <c r="O68" i="157"/>
  <c r="N68" i="157"/>
  <c r="L68" i="157"/>
  <c r="K68" i="157"/>
  <c r="J68" i="157"/>
  <c r="Q67" i="157"/>
  <c r="M67" i="157"/>
  <c r="P66" i="157"/>
  <c r="O66" i="157"/>
  <c r="N66" i="157"/>
  <c r="M66" i="157"/>
  <c r="J66" i="157"/>
  <c r="Q65" i="157"/>
  <c r="M65" i="157"/>
  <c r="P64" i="157"/>
  <c r="O64" i="157"/>
  <c r="L64" i="157"/>
  <c r="M64" i="157" s="1"/>
  <c r="Q63" i="157"/>
  <c r="M63" i="157"/>
  <c r="P62" i="157"/>
  <c r="O62" i="157"/>
  <c r="N62" i="157"/>
  <c r="L62" i="157"/>
  <c r="K62" i="157"/>
  <c r="Q61" i="157"/>
  <c r="M61" i="157"/>
  <c r="P60" i="157"/>
  <c r="O60" i="157"/>
  <c r="N60" i="157"/>
  <c r="M60" i="157"/>
  <c r="Q59" i="157"/>
  <c r="L59" i="157"/>
  <c r="K59" i="157"/>
  <c r="J59" i="157"/>
  <c r="Q58" i="157"/>
  <c r="M58" i="157"/>
  <c r="P57" i="157"/>
  <c r="O57" i="157"/>
  <c r="N57" i="157"/>
  <c r="M57" i="157"/>
  <c r="Q56" i="157"/>
  <c r="M56" i="157"/>
  <c r="P55" i="157"/>
  <c r="O55" i="157"/>
  <c r="N55" i="157"/>
  <c r="L55" i="157"/>
  <c r="K55" i="157"/>
  <c r="Q54" i="157"/>
  <c r="M54" i="157"/>
  <c r="Q53" i="157"/>
  <c r="M53" i="157"/>
  <c r="P52" i="157"/>
  <c r="O52" i="157"/>
  <c r="N52" i="157"/>
  <c r="L52" i="157"/>
  <c r="K52" i="157"/>
  <c r="J52" i="157"/>
  <c r="Q51" i="157"/>
  <c r="M51" i="157"/>
  <c r="P50" i="157"/>
  <c r="O50" i="157"/>
  <c r="N50" i="157"/>
  <c r="L50" i="157"/>
  <c r="K50" i="157"/>
  <c r="J50" i="157"/>
  <c r="Q49" i="157"/>
  <c r="M49" i="157"/>
  <c r="P48" i="157"/>
  <c r="O48" i="157"/>
  <c r="L48" i="157"/>
  <c r="K48" i="157"/>
  <c r="J48" i="157"/>
  <c r="P47" i="157"/>
  <c r="Q47" i="157" s="1"/>
  <c r="M47" i="157"/>
  <c r="P46" i="157"/>
  <c r="Q46" i="157" s="1"/>
  <c r="N46" i="157"/>
  <c r="L46" i="157"/>
  <c r="K46" i="157"/>
  <c r="J46" i="157"/>
  <c r="Q45" i="157"/>
  <c r="M45" i="157"/>
  <c r="Q44" i="157"/>
  <c r="M44" i="157"/>
  <c r="Q43" i="157"/>
  <c r="M43" i="157"/>
  <c r="P42" i="157"/>
  <c r="O42" i="157"/>
  <c r="N42" i="157"/>
  <c r="L42" i="157"/>
  <c r="K42" i="157"/>
  <c r="J42" i="157"/>
  <c r="P41" i="157"/>
  <c r="O41" i="157"/>
  <c r="N41" i="157"/>
  <c r="L41" i="157"/>
  <c r="K41" i="157"/>
  <c r="Q40" i="157"/>
  <c r="M40" i="157"/>
  <c r="P39" i="157"/>
  <c r="O39" i="157"/>
  <c r="N39" i="157"/>
  <c r="M39" i="157"/>
  <c r="J39" i="157"/>
  <c r="Q38" i="157"/>
  <c r="M38" i="157"/>
  <c r="P37" i="157"/>
  <c r="O37" i="157"/>
  <c r="N37" i="157"/>
  <c r="L37" i="157"/>
  <c r="K37" i="157"/>
  <c r="J37" i="157"/>
  <c r="Q36" i="157"/>
  <c r="M36" i="157"/>
  <c r="P35" i="157"/>
  <c r="O35" i="157"/>
  <c r="N35" i="157"/>
  <c r="M35" i="157"/>
  <c r="J35" i="157"/>
  <c r="Q34" i="157"/>
  <c r="M34" i="157"/>
  <c r="P33" i="157"/>
  <c r="O33" i="157"/>
  <c r="N33" i="157"/>
  <c r="L33" i="157"/>
  <c r="K33" i="157"/>
  <c r="J33" i="157"/>
  <c r="Q32" i="157"/>
  <c r="M32" i="157"/>
  <c r="Q31" i="157"/>
  <c r="M31" i="157"/>
  <c r="Q30" i="157"/>
  <c r="M30" i="157"/>
  <c r="J30" i="157"/>
  <c r="P29" i="157"/>
  <c r="O29" i="157"/>
  <c r="L29" i="157"/>
  <c r="K29" i="157"/>
  <c r="Q28" i="157"/>
  <c r="N28" i="157"/>
  <c r="L28" i="157"/>
  <c r="K28" i="157"/>
  <c r="Q27" i="157"/>
  <c r="M27" i="157"/>
  <c r="P26" i="157"/>
  <c r="O26" i="157"/>
  <c r="N26" i="157"/>
  <c r="L26" i="157"/>
  <c r="K26" i="157"/>
  <c r="J26" i="157"/>
  <c r="P25" i="157"/>
  <c r="O25" i="157"/>
  <c r="N25" i="157"/>
  <c r="L25" i="157"/>
  <c r="K25" i="157"/>
  <c r="J25" i="157"/>
  <c r="Q23" i="157"/>
  <c r="M23" i="157"/>
  <c r="J23" i="157"/>
  <c r="P22" i="157"/>
  <c r="O22" i="157"/>
  <c r="N22" i="157"/>
  <c r="L22" i="157"/>
  <c r="K22" i="157"/>
  <c r="J22" i="157"/>
  <c r="Q21" i="157"/>
  <c r="M21" i="157"/>
  <c r="P20" i="157"/>
  <c r="O20" i="157"/>
  <c r="N20" i="157"/>
  <c r="M20" i="157"/>
  <c r="J20" i="157"/>
  <c r="P19" i="157"/>
  <c r="O19" i="157"/>
  <c r="N19" i="157"/>
  <c r="M19" i="157"/>
  <c r="Q18" i="157"/>
  <c r="M18" i="157"/>
  <c r="P17" i="157"/>
  <c r="O17" i="157"/>
  <c r="N17" i="157"/>
  <c r="L17" i="157"/>
  <c r="K17" i="157"/>
  <c r="J17" i="157"/>
  <c r="Q16" i="157"/>
  <c r="M16" i="157"/>
  <c r="P15" i="157"/>
  <c r="O15" i="157"/>
  <c r="N15" i="157"/>
  <c r="L15" i="157"/>
  <c r="K15" i="157"/>
  <c r="J15" i="157"/>
  <c r="Q14" i="157"/>
  <c r="M14" i="157"/>
  <c r="P13" i="157"/>
  <c r="O13" i="157"/>
  <c r="N13" i="157"/>
  <c r="L13" i="157"/>
  <c r="L193" i="157" s="1"/>
  <c r="K13" i="157"/>
  <c r="J13" i="157"/>
  <c r="Q12" i="157"/>
  <c r="M12" i="157"/>
  <c r="J12" i="157"/>
  <c r="Q11" i="157"/>
  <c r="M11" i="157"/>
  <c r="P10" i="157"/>
  <c r="O10" i="157"/>
  <c r="N10" i="157"/>
  <c r="J10" i="157"/>
  <c r="B9" i="157"/>
  <c r="C9" i="157" s="1"/>
  <c r="D9" i="157" s="1"/>
  <c r="E9" i="157" s="1"/>
  <c r="F9" i="157" s="1"/>
  <c r="G9" i="157" s="1"/>
  <c r="H9" i="157" s="1"/>
  <c r="I9" i="157" s="1"/>
  <c r="J9" i="157" s="1"/>
  <c r="K9" i="157" s="1"/>
  <c r="L9" i="157" s="1"/>
  <c r="M9" i="157" s="1"/>
  <c r="N9" i="157" s="1"/>
  <c r="O9" i="157" s="1"/>
  <c r="P9" i="157" s="1"/>
  <c r="Q9" i="157" s="1"/>
  <c r="Q181" i="157" l="1"/>
  <c r="M184" i="157"/>
  <c r="Q188" i="157"/>
  <c r="Q39" i="157"/>
  <c r="M42" i="157"/>
  <c r="M46" i="157"/>
  <c r="Q62" i="157"/>
  <c r="Q66" i="157"/>
  <c r="Q68" i="157"/>
  <c r="M69" i="157"/>
  <c r="Q75" i="157"/>
  <c r="M76" i="157"/>
  <c r="Q79" i="157"/>
  <c r="M80" i="157"/>
  <c r="M81" i="157"/>
  <c r="M83" i="157"/>
  <c r="Q84" i="157"/>
  <c r="Q86" i="157"/>
  <c r="M90" i="157"/>
  <c r="Q90" i="157"/>
  <c r="M92" i="157"/>
  <c r="Q94" i="157"/>
  <c r="Q98" i="157"/>
  <c r="Q100" i="157"/>
  <c r="Q104" i="157"/>
  <c r="M106" i="157"/>
  <c r="M108" i="157"/>
  <c r="M109" i="157"/>
  <c r="Q111" i="157"/>
  <c r="M113" i="157"/>
  <c r="M115" i="157"/>
  <c r="Q122" i="157"/>
  <c r="Q124" i="157"/>
  <c r="Q128" i="157"/>
  <c r="Q131" i="157"/>
  <c r="M133" i="157"/>
  <c r="Q135" i="157"/>
  <c r="Q137" i="157"/>
  <c r="Q139" i="157"/>
  <c r="Q140" i="157"/>
  <c r="M143" i="157"/>
  <c r="M144" i="157"/>
  <c r="M148" i="157"/>
  <c r="M150" i="157"/>
  <c r="M153" i="157"/>
  <c r="Q157" i="157"/>
  <c r="Q160" i="157"/>
  <c r="Q162" i="157"/>
  <c r="M165" i="157"/>
  <c r="M167" i="157"/>
  <c r="M169" i="157"/>
  <c r="M174" i="157"/>
  <c r="Q179" i="157"/>
  <c r="Q184" i="157"/>
  <c r="M192" i="157"/>
  <c r="Q192" i="157"/>
  <c r="J193" i="157"/>
  <c r="N193" i="157"/>
  <c r="P193" i="157"/>
  <c r="Q13" i="157"/>
  <c r="Q15" i="157"/>
  <c r="Q17" i="157"/>
  <c r="Q19" i="157"/>
  <c r="M22" i="157"/>
  <c r="Q25" i="157"/>
  <c r="Q26" i="157"/>
  <c r="M28" i="157"/>
  <c r="M29" i="157"/>
  <c r="Q29" i="157"/>
  <c r="M33" i="157"/>
  <c r="Q35" i="157"/>
  <c r="Q37" i="157"/>
  <c r="Q41" i="157"/>
  <c r="Q42" i="157"/>
  <c r="M50" i="157"/>
  <c r="M52" i="157"/>
  <c r="Q55" i="157"/>
  <c r="Q57" i="157"/>
  <c r="Q60" i="157"/>
  <c r="M62" i="157"/>
  <c r="Q102" i="157"/>
  <c r="M104" i="157"/>
  <c r="Q106" i="157"/>
  <c r="Q108" i="157"/>
  <c r="Q118" i="157"/>
  <c r="Q126" i="157"/>
  <c r="M128" i="157"/>
  <c r="M140" i="157"/>
  <c r="Q141" i="157"/>
  <c r="Q143" i="157"/>
  <c r="Q150" i="157"/>
  <c r="M171" i="157"/>
  <c r="Q174" i="157"/>
  <c r="Q182" i="157"/>
  <c r="Q113" i="157"/>
  <c r="Q115" i="157"/>
  <c r="M124" i="157"/>
  <c r="M130" i="157"/>
  <c r="M131" i="157"/>
  <c r="Q133" i="157"/>
  <c r="M135" i="157"/>
  <c r="Q144" i="157"/>
  <c r="Q147" i="157"/>
  <c r="Q153" i="157"/>
  <c r="M157" i="157"/>
  <c r="M160" i="157"/>
  <c r="M162" i="157"/>
  <c r="Q165" i="157"/>
  <c r="Q167" i="157"/>
  <c r="M13" i="157"/>
  <c r="M15" i="157"/>
  <c r="M17" i="157"/>
  <c r="Q20" i="157"/>
  <c r="Q22" i="157"/>
  <c r="M25" i="157"/>
  <c r="M26" i="157"/>
  <c r="Q33" i="157"/>
  <c r="M37" i="157"/>
  <c r="M41" i="157"/>
  <c r="M48" i="157"/>
  <c r="Q48" i="157"/>
  <c r="Q50" i="157"/>
  <c r="Q52" i="157"/>
  <c r="M55" i="157"/>
  <c r="M59" i="157"/>
  <c r="Q64" i="157"/>
  <c r="M68" i="157"/>
  <c r="Q69" i="157"/>
  <c r="Q73" i="157"/>
  <c r="Q76" i="157"/>
  <c r="Q78" i="157"/>
  <c r="M79" i="157"/>
  <c r="Q80" i="157"/>
  <c r="Q81" i="157"/>
  <c r="Q83" i="157"/>
  <c r="M86" i="157"/>
  <c r="Q88" i="157"/>
  <c r="Q96" i="157"/>
  <c r="M98" i="157"/>
  <c r="M100" i="157"/>
  <c r="Q169" i="157"/>
  <c r="K193" i="157"/>
  <c r="M193" i="157" s="1"/>
  <c r="M10" i="157"/>
  <c r="O193" i="157"/>
  <c r="Q193" i="157" s="1"/>
  <c r="Q10" i="157"/>
  <c r="M78" i="157"/>
  <c r="P68" i="156"/>
  <c r="P22" i="156"/>
  <c r="L115" i="156"/>
  <c r="L86" i="156"/>
  <c r="L80" i="156"/>
  <c r="L68" i="156"/>
  <c r="L62" i="156"/>
  <c r="L28" i="156"/>
  <c r="L37" i="156"/>
  <c r="L26" i="156"/>
  <c r="K86" i="156"/>
  <c r="K80" i="156"/>
  <c r="O68" i="156"/>
  <c r="K68" i="156"/>
  <c r="K62" i="156"/>
  <c r="K115" i="156"/>
  <c r="K28" i="156"/>
  <c r="K26" i="156"/>
  <c r="O22" i="156"/>
  <c r="K37" i="156"/>
  <c r="J124" i="156" l="1"/>
  <c r="N39" i="156"/>
  <c r="J111" i="156" l="1"/>
  <c r="N35" i="156"/>
  <c r="J15" i="156"/>
  <c r="J146" i="156" l="1"/>
  <c r="J144" i="156"/>
  <c r="J35" i="156"/>
  <c r="J26" i="156"/>
  <c r="J75" i="156" l="1"/>
  <c r="J19" i="156"/>
  <c r="J159" i="156" l="1"/>
  <c r="J28" i="156"/>
  <c r="N104" i="156"/>
  <c r="J104" i="156"/>
  <c r="J188" i="156"/>
  <c r="N186" i="156"/>
  <c r="J186" i="156"/>
  <c r="J182" i="156"/>
  <c r="J179" i="156"/>
  <c r="N174" i="156"/>
  <c r="J139" i="156"/>
  <c r="J150" i="156"/>
  <c r="J147" i="156"/>
  <c r="J141" i="156"/>
  <c r="J137" i="156"/>
  <c r="J126" i="156"/>
  <c r="N120" i="156"/>
  <c r="J120" i="156"/>
  <c r="J122" i="156"/>
  <c r="N116" i="156"/>
  <c r="J116" i="156"/>
  <c r="N118" i="156"/>
  <c r="J118" i="156"/>
  <c r="N111" i="156"/>
  <c r="J94" i="156"/>
  <c r="J102" i="156"/>
  <c r="J96" i="156"/>
  <c r="N88" i="156"/>
  <c r="J86" i="156"/>
  <c r="J84" i="156"/>
  <c r="N78" i="156"/>
  <c r="J78" i="156"/>
  <c r="J66" i="156"/>
  <c r="J80" i="156"/>
  <c r="J73" i="156"/>
  <c r="N68" i="156"/>
  <c r="J68" i="156"/>
  <c r="J62" i="156"/>
  <c r="J57" i="156"/>
  <c r="J12" i="156"/>
  <c r="J115" i="156"/>
  <c r="J37" i="156"/>
  <c r="N42" i="156"/>
  <c r="J42" i="156"/>
  <c r="J39" i="156"/>
  <c r="J30" i="156"/>
  <c r="N26" i="156"/>
  <c r="N22" i="156"/>
  <c r="N20" i="156"/>
  <c r="J20" i="156"/>
  <c r="J13" i="156"/>
  <c r="H193" i="156"/>
  <c r="P192" i="156"/>
  <c r="O192" i="156"/>
  <c r="N192" i="156"/>
  <c r="L192" i="156"/>
  <c r="K192" i="156"/>
  <c r="J192" i="156"/>
  <c r="I192" i="156"/>
  <c r="I193" i="156" s="1"/>
  <c r="Q190" i="156"/>
  <c r="M190" i="156"/>
  <c r="Q189" i="156"/>
  <c r="M189" i="156"/>
  <c r="P188" i="156"/>
  <c r="O188" i="156"/>
  <c r="N188" i="156"/>
  <c r="L188" i="156"/>
  <c r="K188" i="156"/>
  <c r="Q187" i="156"/>
  <c r="M187" i="156"/>
  <c r="P186" i="156"/>
  <c r="O186" i="156"/>
  <c r="L186" i="156"/>
  <c r="K186" i="156"/>
  <c r="Q185" i="156"/>
  <c r="M185" i="156"/>
  <c r="P184" i="156"/>
  <c r="O184" i="156"/>
  <c r="N184" i="156"/>
  <c r="L184" i="156"/>
  <c r="K184" i="156"/>
  <c r="J184" i="156"/>
  <c r="Q183" i="156"/>
  <c r="M183" i="156"/>
  <c r="P182" i="156"/>
  <c r="O182" i="156"/>
  <c r="N182" i="156"/>
  <c r="L182" i="156"/>
  <c r="K182" i="156"/>
  <c r="P181" i="156"/>
  <c r="O181" i="156"/>
  <c r="N181" i="156"/>
  <c r="M181" i="156"/>
  <c r="J181" i="156"/>
  <c r="Q180" i="156"/>
  <c r="M180" i="156"/>
  <c r="P179" i="156"/>
  <c r="O179" i="156"/>
  <c r="N179" i="156"/>
  <c r="L179" i="156"/>
  <c r="K179" i="156"/>
  <c r="Q178" i="156"/>
  <c r="M178" i="156"/>
  <c r="M177" i="156"/>
  <c r="M176" i="156"/>
  <c r="Q175" i="156"/>
  <c r="M175" i="156"/>
  <c r="P174" i="156"/>
  <c r="O174" i="156"/>
  <c r="L174" i="156"/>
  <c r="K174" i="156"/>
  <c r="J174" i="156"/>
  <c r="Q173" i="156"/>
  <c r="M173" i="156"/>
  <c r="Q172" i="156"/>
  <c r="M172" i="156"/>
  <c r="L171" i="156"/>
  <c r="K171" i="156"/>
  <c r="J171" i="156"/>
  <c r="Q170" i="156"/>
  <c r="M170" i="156"/>
  <c r="P169" i="156"/>
  <c r="O169" i="156"/>
  <c r="N169" i="156"/>
  <c r="L169" i="156"/>
  <c r="K169" i="156"/>
  <c r="J169" i="156"/>
  <c r="Q168" i="156"/>
  <c r="M168" i="156"/>
  <c r="P167" i="156"/>
  <c r="O167" i="156"/>
  <c r="N167" i="156"/>
  <c r="L167" i="156"/>
  <c r="K167" i="156"/>
  <c r="J167" i="156"/>
  <c r="Q166" i="156"/>
  <c r="M166" i="156"/>
  <c r="P165" i="156"/>
  <c r="O165" i="156"/>
  <c r="N165" i="156"/>
  <c r="L165" i="156"/>
  <c r="K165" i="156"/>
  <c r="J165" i="156"/>
  <c r="Q164" i="156"/>
  <c r="M164" i="156"/>
  <c r="Q163" i="156"/>
  <c r="M163" i="156"/>
  <c r="P162" i="156"/>
  <c r="O162" i="156"/>
  <c r="N162" i="156"/>
  <c r="L162" i="156"/>
  <c r="K162" i="156"/>
  <c r="J162" i="156"/>
  <c r="Q161" i="156"/>
  <c r="M161" i="156"/>
  <c r="P160" i="156"/>
  <c r="O160" i="156"/>
  <c r="N160" i="156"/>
  <c r="L160" i="156"/>
  <c r="K160" i="156"/>
  <c r="J160" i="156"/>
  <c r="M159" i="156"/>
  <c r="Q158" i="156"/>
  <c r="M158" i="156"/>
  <c r="P157" i="156"/>
  <c r="O157" i="156"/>
  <c r="N157" i="156"/>
  <c r="L157" i="156"/>
  <c r="K157" i="156"/>
  <c r="J157" i="156"/>
  <c r="Q156" i="156"/>
  <c r="M156" i="156"/>
  <c r="Q155" i="156"/>
  <c r="L155" i="156"/>
  <c r="K155" i="156"/>
  <c r="Q154" i="156"/>
  <c r="M154" i="156"/>
  <c r="P153" i="156"/>
  <c r="O153" i="156"/>
  <c r="N153" i="156"/>
  <c r="L153" i="156"/>
  <c r="K153" i="156"/>
  <c r="J153" i="156"/>
  <c r="Q152" i="156"/>
  <c r="M152" i="156"/>
  <c r="Q151" i="156"/>
  <c r="M151" i="156"/>
  <c r="P150" i="156"/>
  <c r="O150" i="156"/>
  <c r="N150" i="156"/>
  <c r="L150" i="156"/>
  <c r="K150" i="156"/>
  <c r="Q149" i="156"/>
  <c r="M149" i="156"/>
  <c r="Q148" i="156"/>
  <c r="L148" i="156"/>
  <c r="K148" i="156"/>
  <c r="J148" i="156"/>
  <c r="P147" i="156"/>
  <c r="O147" i="156"/>
  <c r="N147" i="156"/>
  <c r="L147" i="156"/>
  <c r="K147" i="156"/>
  <c r="Q145" i="156"/>
  <c r="M145" i="156"/>
  <c r="P144" i="156"/>
  <c r="O144" i="156"/>
  <c r="N144" i="156"/>
  <c r="L144" i="156"/>
  <c r="K144" i="156"/>
  <c r="P143" i="156"/>
  <c r="O143" i="156"/>
  <c r="N143" i="156"/>
  <c r="L143" i="156"/>
  <c r="K143" i="156"/>
  <c r="J143" i="156"/>
  <c r="Q142" i="156"/>
  <c r="M142" i="156"/>
  <c r="P141" i="156"/>
  <c r="O141" i="156"/>
  <c r="N141" i="156"/>
  <c r="L141" i="156"/>
  <c r="K141" i="156"/>
  <c r="P140" i="156"/>
  <c r="O140" i="156"/>
  <c r="N140" i="156"/>
  <c r="L140" i="156"/>
  <c r="K140" i="156"/>
  <c r="J140" i="156"/>
  <c r="P139" i="156"/>
  <c r="O139" i="156"/>
  <c r="N139" i="156"/>
  <c r="L139" i="156"/>
  <c r="K139" i="156"/>
  <c r="Q138" i="156"/>
  <c r="M138" i="156"/>
  <c r="P137" i="156"/>
  <c r="O137" i="156"/>
  <c r="N137" i="156"/>
  <c r="L137" i="156"/>
  <c r="K137" i="156"/>
  <c r="Q136" i="156"/>
  <c r="M136" i="156"/>
  <c r="P135" i="156"/>
  <c r="O135" i="156"/>
  <c r="N135" i="156"/>
  <c r="L135" i="156"/>
  <c r="K135" i="156"/>
  <c r="Q134" i="156"/>
  <c r="M134" i="156"/>
  <c r="P133" i="156"/>
  <c r="O133" i="156"/>
  <c r="N133" i="156"/>
  <c r="L133" i="156"/>
  <c r="K133" i="156"/>
  <c r="J133" i="156"/>
  <c r="Q132" i="156"/>
  <c r="M132" i="156"/>
  <c r="P131" i="156"/>
  <c r="O131" i="156"/>
  <c r="N131" i="156"/>
  <c r="L131" i="156"/>
  <c r="K131" i="156"/>
  <c r="J131" i="156"/>
  <c r="Q130" i="156"/>
  <c r="L130" i="156"/>
  <c r="K130" i="156"/>
  <c r="J130" i="156"/>
  <c r="Q129" i="156"/>
  <c r="M129" i="156"/>
  <c r="P128" i="156"/>
  <c r="O128" i="156"/>
  <c r="N128" i="156"/>
  <c r="L128" i="156"/>
  <c r="K128" i="156"/>
  <c r="J128" i="156"/>
  <c r="Q127" i="156"/>
  <c r="M127" i="156"/>
  <c r="P126" i="156"/>
  <c r="O126" i="156"/>
  <c r="N126" i="156"/>
  <c r="L126" i="156"/>
  <c r="K126" i="156"/>
  <c r="Q125" i="156"/>
  <c r="M125" i="156"/>
  <c r="P124" i="156"/>
  <c r="O124" i="156"/>
  <c r="N124" i="156"/>
  <c r="L124" i="156"/>
  <c r="K124" i="156"/>
  <c r="Q123" i="156"/>
  <c r="M123" i="156"/>
  <c r="P122" i="156"/>
  <c r="O122" i="156"/>
  <c r="N122" i="156"/>
  <c r="L122" i="156"/>
  <c r="K122" i="156"/>
  <c r="Q121" i="156"/>
  <c r="M121" i="156"/>
  <c r="P120" i="156"/>
  <c r="O120" i="156"/>
  <c r="L120" i="156"/>
  <c r="K120" i="156"/>
  <c r="Q119" i="156"/>
  <c r="M119" i="156"/>
  <c r="P118" i="156"/>
  <c r="O118" i="156"/>
  <c r="L118" i="156"/>
  <c r="K118" i="156"/>
  <c r="Q117" i="156"/>
  <c r="M117" i="156"/>
  <c r="P116" i="156"/>
  <c r="O116" i="156"/>
  <c r="L116" i="156"/>
  <c r="K116" i="156"/>
  <c r="P115" i="156"/>
  <c r="O115" i="156"/>
  <c r="N115" i="156"/>
  <c r="M115" i="156"/>
  <c r="Q114" i="156"/>
  <c r="N114" i="156"/>
  <c r="M114" i="156"/>
  <c r="P113" i="156"/>
  <c r="O113" i="156"/>
  <c r="N113" i="156"/>
  <c r="L113" i="156"/>
  <c r="K113" i="156"/>
  <c r="J113" i="156"/>
  <c r="Q112" i="156"/>
  <c r="M112" i="156"/>
  <c r="P111" i="156"/>
  <c r="O111" i="156"/>
  <c r="L111" i="156"/>
  <c r="K111" i="156"/>
  <c r="Q110" i="156"/>
  <c r="M110" i="156"/>
  <c r="Q109" i="156"/>
  <c r="L109" i="156"/>
  <c r="K109" i="156"/>
  <c r="J109" i="156"/>
  <c r="P108" i="156"/>
  <c r="O108" i="156"/>
  <c r="N108" i="156"/>
  <c r="L108" i="156"/>
  <c r="K108" i="156"/>
  <c r="J108" i="156"/>
  <c r="Q107" i="156"/>
  <c r="M107" i="156"/>
  <c r="P106" i="156"/>
  <c r="O106" i="156"/>
  <c r="N106" i="156"/>
  <c r="L106" i="156"/>
  <c r="K106" i="156"/>
  <c r="J106" i="156"/>
  <c r="Q105" i="156"/>
  <c r="M105" i="156"/>
  <c r="P104" i="156"/>
  <c r="O104" i="156"/>
  <c r="L104" i="156"/>
  <c r="K104" i="156"/>
  <c r="Q103" i="156"/>
  <c r="M103" i="156"/>
  <c r="P102" i="156"/>
  <c r="O102" i="156"/>
  <c r="N102" i="156"/>
  <c r="L102" i="156"/>
  <c r="K102" i="156"/>
  <c r="Q101" i="156"/>
  <c r="M101" i="156"/>
  <c r="P100" i="156"/>
  <c r="O100" i="156"/>
  <c r="N100" i="156"/>
  <c r="L100" i="156"/>
  <c r="K100" i="156"/>
  <c r="J100" i="156"/>
  <c r="Q99" i="156"/>
  <c r="M99" i="156"/>
  <c r="P98" i="156"/>
  <c r="O98" i="156"/>
  <c r="N98" i="156"/>
  <c r="L98" i="156"/>
  <c r="K98" i="156"/>
  <c r="J98" i="156"/>
  <c r="Q97" i="156"/>
  <c r="M97" i="156"/>
  <c r="P96" i="156"/>
  <c r="O96" i="156"/>
  <c r="N96" i="156"/>
  <c r="L96" i="156"/>
  <c r="K96" i="156"/>
  <c r="Q95" i="156"/>
  <c r="M95" i="156"/>
  <c r="P94" i="156"/>
  <c r="O94" i="156"/>
  <c r="N94" i="156"/>
  <c r="L94" i="156"/>
  <c r="K94" i="156"/>
  <c r="Q93" i="156"/>
  <c r="M93" i="156"/>
  <c r="Q92" i="156"/>
  <c r="L92" i="156"/>
  <c r="K92" i="156"/>
  <c r="J92" i="156"/>
  <c r="Q91" i="156"/>
  <c r="M91" i="156"/>
  <c r="P90" i="156"/>
  <c r="O90" i="156"/>
  <c r="N90" i="156"/>
  <c r="L90" i="156"/>
  <c r="K90" i="156"/>
  <c r="J90" i="156"/>
  <c r="Q89" i="156"/>
  <c r="M89" i="156"/>
  <c r="P88" i="156"/>
  <c r="O88" i="156"/>
  <c r="L88" i="156"/>
  <c r="K88" i="156"/>
  <c r="J88" i="156"/>
  <c r="Q87" i="156"/>
  <c r="M87" i="156"/>
  <c r="P86" i="156"/>
  <c r="O86" i="156"/>
  <c r="N86" i="156"/>
  <c r="M86" i="156"/>
  <c r="Q85" i="156"/>
  <c r="M85" i="156"/>
  <c r="P84" i="156"/>
  <c r="O84" i="156"/>
  <c r="N84" i="156"/>
  <c r="L84" i="156"/>
  <c r="K84" i="156"/>
  <c r="P83" i="156"/>
  <c r="O83" i="156"/>
  <c r="N83" i="156"/>
  <c r="L83" i="156"/>
  <c r="K83" i="156"/>
  <c r="J83" i="156"/>
  <c r="Q82" i="156"/>
  <c r="M82" i="156"/>
  <c r="P81" i="156"/>
  <c r="O81" i="156"/>
  <c r="N81" i="156"/>
  <c r="L81" i="156"/>
  <c r="K81" i="156"/>
  <c r="J81" i="156"/>
  <c r="P80" i="156"/>
  <c r="O80" i="156"/>
  <c r="N80" i="156"/>
  <c r="M80" i="156"/>
  <c r="P79" i="156"/>
  <c r="O79" i="156"/>
  <c r="N79" i="156"/>
  <c r="L79" i="156"/>
  <c r="K79" i="156"/>
  <c r="P78" i="156"/>
  <c r="O78" i="156"/>
  <c r="L78" i="156"/>
  <c r="K78" i="156"/>
  <c r="Q77" i="156"/>
  <c r="M77" i="156"/>
  <c r="P76" i="156"/>
  <c r="O76" i="156"/>
  <c r="N76" i="156"/>
  <c r="L76" i="156"/>
  <c r="K76" i="156"/>
  <c r="J76" i="156"/>
  <c r="P75" i="156"/>
  <c r="O75" i="156"/>
  <c r="N75" i="156"/>
  <c r="L75" i="156"/>
  <c r="K75" i="156"/>
  <c r="Q74" i="156"/>
  <c r="M74" i="156"/>
  <c r="P73" i="156"/>
  <c r="O73" i="156"/>
  <c r="N73" i="156"/>
  <c r="L73" i="156"/>
  <c r="K73" i="156"/>
  <c r="Q72" i="156"/>
  <c r="M72" i="156"/>
  <c r="Q71" i="156"/>
  <c r="N71" i="156"/>
  <c r="M71" i="156"/>
  <c r="Q70" i="156"/>
  <c r="M70" i="156"/>
  <c r="P69" i="156"/>
  <c r="O69" i="156"/>
  <c r="N69" i="156"/>
  <c r="L69" i="156"/>
  <c r="K69" i="156"/>
  <c r="J69" i="156"/>
  <c r="Q68" i="156"/>
  <c r="M68" i="156"/>
  <c r="Q67" i="156"/>
  <c r="M67" i="156"/>
  <c r="P66" i="156"/>
  <c r="O66" i="156"/>
  <c r="N66" i="156"/>
  <c r="L66" i="156"/>
  <c r="K66" i="156"/>
  <c r="Q65" i="156"/>
  <c r="M65" i="156"/>
  <c r="P64" i="156"/>
  <c r="O64" i="156"/>
  <c r="N64" i="156"/>
  <c r="L64" i="156"/>
  <c r="K64" i="156"/>
  <c r="J64" i="156"/>
  <c r="Q63" i="156"/>
  <c r="M63" i="156"/>
  <c r="P62" i="156"/>
  <c r="O62" i="156"/>
  <c r="N62" i="156"/>
  <c r="M62" i="156"/>
  <c r="Q61" i="156"/>
  <c r="M61" i="156"/>
  <c r="P60" i="156"/>
  <c r="O60" i="156"/>
  <c r="N60" i="156"/>
  <c r="M60" i="156"/>
  <c r="Q59" i="156"/>
  <c r="L59" i="156"/>
  <c r="K59" i="156"/>
  <c r="J59" i="156"/>
  <c r="Q58" i="156"/>
  <c r="M58" i="156"/>
  <c r="P57" i="156"/>
  <c r="O57" i="156"/>
  <c r="N57" i="156"/>
  <c r="L57" i="156"/>
  <c r="K57" i="156"/>
  <c r="Q56" i="156"/>
  <c r="M56" i="156"/>
  <c r="P55" i="156"/>
  <c r="O55" i="156"/>
  <c r="N55" i="156"/>
  <c r="L55" i="156"/>
  <c r="K55" i="156"/>
  <c r="J55" i="156"/>
  <c r="Q54" i="156"/>
  <c r="M54" i="156"/>
  <c r="Q53" i="156"/>
  <c r="M53" i="156"/>
  <c r="P52" i="156"/>
  <c r="O52" i="156"/>
  <c r="N52" i="156"/>
  <c r="L52" i="156"/>
  <c r="K52" i="156"/>
  <c r="J52" i="156"/>
  <c r="Q51" i="156"/>
  <c r="M51" i="156"/>
  <c r="P50" i="156"/>
  <c r="O50" i="156"/>
  <c r="N50" i="156"/>
  <c r="L50" i="156"/>
  <c r="K50" i="156"/>
  <c r="J50" i="156"/>
  <c r="Q49" i="156"/>
  <c r="M49" i="156"/>
  <c r="P48" i="156"/>
  <c r="O48" i="156"/>
  <c r="N48" i="156"/>
  <c r="L48" i="156"/>
  <c r="K48" i="156"/>
  <c r="J48" i="156"/>
  <c r="P47" i="156"/>
  <c r="Q47" i="156" s="1"/>
  <c r="M47" i="156"/>
  <c r="P46" i="156"/>
  <c r="O46" i="156"/>
  <c r="N46" i="156"/>
  <c r="L46" i="156"/>
  <c r="K46" i="156"/>
  <c r="J46" i="156"/>
  <c r="Q45" i="156"/>
  <c r="M45" i="156"/>
  <c r="Q44" i="156"/>
  <c r="M44" i="156"/>
  <c r="Q43" i="156"/>
  <c r="M43" i="156"/>
  <c r="P42" i="156"/>
  <c r="O42" i="156"/>
  <c r="L42" i="156"/>
  <c r="K42" i="156"/>
  <c r="P41" i="156"/>
  <c r="O41" i="156"/>
  <c r="N41" i="156"/>
  <c r="L41" i="156"/>
  <c r="K41" i="156"/>
  <c r="J41" i="156"/>
  <c r="Q40" i="156"/>
  <c r="M40" i="156"/>
  <c r="P39" i="156"/>
  <c r="O39" i="156"/>
  <c r="L39" i="156"/>
  <c r="K39" i="156"/>
  <c r="Q38" i="156"/>
  <c r="M38" i="156"/>
  <c r="P37" i="156"/>
  <c r="O37" i="156"/>
  <c r="N37" i="156"/>
  <c r="M37" i="156"/>
  <c r="Q36" i="156"/>
  <c r="M36" i="156"/>
  <c r="P35" i="156"/>
  <c r="O35" i="156"/>
  <c r="L35" i="156"/>
  <c r="K35" i="156"/>
  <c r="Q34" i="156"/>
  <c r="M34" i="156"/>
  <c r="P33" i="156"/>
  <c r="O33" i="156"/>
  <c r="N33" i="156"/>
  <c r="L33" i="156"/>
  <c r="K33" i="156"/>
  <c r="J33" i="156"/>
  <c r="Q32" i="156"/>
  <c r="M32" i="156"/>
  <c r="Q31" i="156"/>
  <c r="M31" i="156"/>
  <c r="Q30" i="156"/>
  <c r="L30" i="156"/>
  <c r="K30" i="156"/>
  <c r="P29" i="156"/>
  <c r="O29" i="156"/>
  <c r="N29" i="156"/>
  <c r="L29" i="156"/>
  <c r="K29" i="156"/>
  <c r="J29" i="156"/>
  <c r="Q28" i="156"/>
  <c r="N28" i="156"/>
  <c r="Q27" i="156"/>
  <c r="M27" i="156"/>
  <c r="P26" i="156"/>
  <c r="O26" i="156"/>
  <c r="P25" i="156"/>
  <c r="O25" i="156"/>
  <c r="N25" i="156"/>
  <c r="L25" i="156"/>
  <c r="K25" i="156"/>
  <c r="J25" i="156"/>
  <c r="Q23" i="156"/>
  <c r="M23" i="156"/>
  <c r="J23" i="156"/>
  <c r="Q22" i="156"/>
  <c r="L22" i="156"/>
  <c r="K22" i="156"/>
  <c r="J22" i="156"/>
  <c r="Q21" i="156"/>
  <c r="M21" i="156"/>
  <c r="P20" i="156"/>
  <c r="O20" i="156"/>
  <c r="L20" i="156"/>
  <c r="K20" i="156"/>
  <c r="P19" i="156"/>
  <c r="O19" i="156"/>
  <c r="N19" i="156"/>
  <c r="L19" i="156"/>
  <c r="K19" i="156"/>
  <c r="Q18" i="156"/>
  <c r="M18" i="156"/>
  <c r="P17" i="156"/>
  <c r="O17" i="156"/>
  <c r="N17" i="156"/>
  <c r="L17" i="156"/>
  <c r="K17" i="156"/>
  <c r="J17" i="156"/>
  <c r="Q16" i="156"/>
  <c r="M16" i="156"/>
  <c r="P15" i="156"/>
  <c r="O15" i="156"/>
  <c r="N15" i="156"/>
  <c r="L15" i="156"/>
  <c r="K15" i="156"/>
  <c r="Q14" i="156"/>
  <c r="M14" i="156"/>
  <c r="P13" i="156"/>
  <c r="O13" i="156"/>
  <c r="N13" i="156"/>
  <c r="L13" i="156"/>
  <c r="K13" i="156"/>
  <c r="Q12" i="156"/>
  <c r="L12" i="156"/>
  <c r="K12" i="156"/>
  <c r="Q11" i="156"/>
  <c r="M11" i="156"/>
  <c r="P10" i="156"/>
  <c r="O10" i="156"/>
  <c r="N10" i="156"/>
  <c r="L10" i="156"/>
  <c r="K10" i="156"/>
  <c r="J10" i="156"/>
  <c r="B9" i="156"/>
  <c r="C9" i="156" s="1"/>
  <c r="D9" i="156" s="1"/>
  <c r="E9" i="156" s="1"/>
  <c r="F9" i="156" s="1"/>
  <c r="G9" i="156" s="1"/>
  <c r="H9" i="156" s="1"/>
  <c r="I9" i="156" s="1"/>
  <c r="J9" i="156" s="1"/>
  <c r="K9" i="156" s="1"/>
  <c r="L9" i="156" s="1"/>
  <c r="M9" i="156" s="1"/>
  <c r="N9" i="156" s="1"/>
  <c r="O9" i="156" s="1"/>
  <c r="P9" i="156" s="1"/>
  <c r="Q9" i="156" s="1"/>
  <c r="K193" i="156" l="1"/>
  <c r="N193" i="156"/>
  <c r="P193" i="156"/>
  <c r="M41" i="156"/>
  <c r="M46" i="156"/>
  <c r="M48" i="156"/>
  <c r="M50" i="156"/>
  <c r="M52" i="156"/>
  <c r="M55" i="156"/>
  <c r="M81" i="156"/>
  <c r="M83" i="156"/>
  <c r="Q122" i="156"/>
  <c r="M124" i="156"/>
  <c r="Q126" i="156"/>
  <c r="Q128" i="156"/>
  <c r="Q131" i="156"/>
  <c r="Q133" i="156"/>
  <c r="M135" i="156"/>
  <c r="Q137" i="156"/>
  <c r="M139" i="156"/>
  <c r="M140" i="156"/>
  <c r="Q141" i="156"/>
  <c r="Q143" i="156"/>
  <c r="M144" i="156"/>
  <c r="Q147" i="156"/>
  <c r="M150" i="156"/>
  <c r="M153" i="156"/>
  <c r="Q157" i="156"/>
  <c r="M160" i="156"/>
  <c r="M162" i="156"/>
  <c r="M165" i="156"/>
  <c r="M167" i="156"/>
  <c r="M169" i="156"/>
  <c r="Q192" i="156"/>
  <c r="M171" i="156"/>
  <c r="Q179" i="156"/>
  <c r="Q182" i="156"/>
  <c r="Q184" i="156"/>
  <c r="M186" i="156"/>
  <c r="Q186" i="156"/>
  <c r="M188" i="156"/>
  <c r="M25" i="156"/>
  <c r="M29" i="156"/>
  <c r="Q33" i="156"/>
  <c r="M64" i="156"/>
  <c r="Q66" i="156"/>
  <c r="Q69" i="156"/>
  <c r="Q73" i="156"/>
  <c r="M88" i="156"/>
  <c r="Q88" i="156"/>
  <c r="Q90" i="156"/>
  <c r="M94" i="156"/>
  <c r="M13" i="156"/>
  <c r="Q15" i="156"/>
  <c r="Q17" i="156"/>
  <c r="M19" i="156"/>
  <c r="M22" i="156"/>
  <c r="Q57" i="156"/>
  <c r="Q60" i="156"/>
  <c r="Q84" i="156"/>
  <c r="M35" i="156"/>
  <c r="Q35" i="156"/>
  <c r="M75" i="156"/>
  <c r="M76" i="156"/>
  <c r="Q79" i="156"/>
  <c r="Q96" i="156"/>
  <c r="Q98" i="156"/>
  <c r="Q100" i="156"/>
  <c r="M102" i="156"/>
  <c r="M106" i="156"/>
  <c r="M108" i="156"/>
  <c r="M109" i="156"/>
  <c r="M113" i="156"/>
  <c r="J193" i="156"/>
  <c r="L193" i="156"/>
  <c r="O193" i="156"/>
  <c r="Q193" i="156" s="1"/>
  <c r="M12" i="156"/>
  <c r="Q13" i="156"/>
  <c r="M15" i="156"/>
  <c r="M17" i="156"/>
  <c r="Q19" i="156"/>
  <c r="M20" i="156"/>
  <c r="Q20" i="156"/>
  <c r="Q25" i="156"/>
  <c r="M26" i="156"/>
  <c r="Q26" i="156"/>
  <c r="M28" i="156"/>
  <c r="Q29" i="156"/>
  <c r="M30" i="156"/>
  <c r="M33" i="156"/>
  <c r="Q37" i="156"/>
  <c r="M39" i="156"/>
  <c r="Q39" i="156"/>
  <c r="Q41" i="156"/>
  <c r="M42" i="156"/>
  <c r="Q42" i="156"/>
  <c r="Q46" i="156"/>
  <c r="Q48" i="156"/>
  <c r="Q50" i="156"/>
  <c r="Q52" i="156"/>
  <c r="Q55" i="156"/>
  <c r="M57" i="156"/>
  <c r="M59" i="156"/>
  <c r="Q62" i="156"/>
  <c r="Q64" i="156"/>
  <c r="M66" i="156"/>
  <c r="M69" i="156"/>
  <c r="M73" i="156"/>
  <c r="Q75" i="156"/>
  <c r="Q76" i="156"/>
  <c r="M78" i="156"/>
  <c r="Q78" i="156"/>
  <c r="M79" i="156"/>
  <c r="Q80" i="156"/>
  <c r="Q81" i="156"/>
  <c r="Q83" i="156"/>
  <c r="M84" i="156"/>
  <c r="Q86" i="156"/>
  <c r="M90" i="156"/>
  <c r="M92" i="156"/>
  <c r="Q94" i="156"/>
  <c r="M96" i="156"/>
  <c r="M98" i="156"/>
  <c r="M100" i="156"/>
  <c r="Q102" i="156"/>
  <c r="M104" i="156"/>
  <c r="Q104" i="156"/>
  <c r="Q106" i="156"/>
  <c r="Q108" i="156"/>
  <c r="M111" i="156"/>
  <c r="Q111" i="156"/>
  <c r="Q113" i="156"/>
  <c r="Q115" i="156"/>
  <c r="M116" i="156"/>
  <c r="Q116" i="156"/>
  <c r="M118" i="156"/>
  <c r="Q118" i="156"/>
  <c r="M120" i="156"/>
  <c r="Q120" i="156"/>
  <c r="M122" i="156"/>
  <c r="Q124" i="156"/>
  <c r="M126" i="156"/>
  <c r="M128" i="156"/>
  <c r="M130" i="156"/>
  <c r="M131" i="156"/>
  <c r="M133" i="156"/>
  <c r="Q135" i="156"/>
  <c r="M137" i="156"/>
  <c r="Q139" i="156"/>
  <c r="Q140" i="156"/>
  <c r="M141" i="156"/>
  <c r="M143" i="156"/>
  <c r="Q144" i="156"/>
  <c r="M147" i="156"/>
  <c r="M148" i="156"/>
  <c r="Q150" i="156"/>
  <c r="Q153" i="156"/>
  <c r="M155" i="156"/>
  <c r="M157" i="156"/>
  <c r="Q160" i="156"/>
  <c r="Q162" i="156"/>
  <c r="Q165" i="156"/>
  <c r="Q167" i="156"/>
  <c r="Q169" i="156"/>
  <c r="M174" i="156"/>
  <c r="Q174" i="156"/>
  <c r="M179" i="156"/>
  <c r="Q181" i="156"/>
  <c r="M182" i="156"/>
  <c r="M184" i="156"/>
  <c r="Q188" i="156"/>
  <c r="M192" i="156"/>
  <c r="M193" i="156"/>
  <c r="M10" i="156"/>
  <c r="Q10" i="156"/>
  <c r="P169" i="155"/>
  <c r="P137" i="155"/>
  <c r="O137" i="155"/>
  <c r="O169" i="155"/>
  <c r="P192" i="155"/>
  <c r="P184" i="155"/>
  <c r="P182" i="155"/>
  <c r="P179" i="155"/>
  <c r="P165" i="155"/>
  <c r="P167" i="155"/>
  <c r="P133" i="155"/>
  <c r="P131" i="155"/>
  <c r="P126" i="155"/>
  <c r="P122" i="155"/>
  <c r="P118" i="155"/>
  <c r="P115" i="155"/>
  <c r="P113" i="155"/>
  <c r="P106" i="155"/>
  <c r="P98" i="155"/>
  <c r="P90" i="155"/>
  <c r="P80" i="155"/>
  <c r="P78" i="155"/>
  <c r="P73" i="155"/>
  <c r="P57" i="155"/>
  <c r="P35" i="155"/>
  <c r="P26" i="155"/>
  <c r="P25" i="155"/>
  <c r="L192" i="155"/>
  <c r="L188" i="155"/>
  <c r="L182" i="155"/>
  <c r="L179" i="155"/>
  <c r="L174" i="155"/>
  <c r="L171" i="155"/>
  <c r="L167" i="155"/>
  <c r="L165" i="155"/>
  <c r="L160" i="155"/>
  <c r="L157" i="155"/>
  <c r="L155" i="155"/>
  <c r="L153" i="155"/>
  <c r="L150" i="155"/>
  <c r="L148" i="155"/>
  <c r="L144" i="155"/>
  <c r="L143" i="155"/>
  <c r="L139" i="155"/>
  <c r="L137" i="155"/>
  <c r="L133" i="155"/>
  <c r="L131" i="155"/>
  <c r="L128" i="155"/>
  <c r="L126" i="155"/>
  <c r="L124" i="155"/>
  <c r="L122" i="155"/>
  <c r="L120" i="155"/>
  <c r="L118" i="155"/>
  <c r="L116" i="155"/>
  <c r="L115" i="155"/>
  <c r="L113" i="155"/>
  <c r="L109" i="155"/>
  <c r="L111" i="155"/>
  <c r="L108" i="155"/>
  <c r="L102" i="155"/>
  <c r="L100" i="155"/>
  <c r="L98" i="155"/>
  <c r="L96" i="155"/>
  <c r="L81" i="155"/>
  <c r="L80" i="155"/>
  <c r="L78" i="155"/>
  <c r="L75" i="155"/>
  <c r="L73" i="155"/>
  <c r="L69" i="155"/>
  <c r="L66" i="155"/>
  <c r="L64" i="155"/>
  <c r="L62" i="155"/>
  <c r="L55" i="155"/>
  <c r="L48" i="155"/>
  <c r="L46" i="155"/>
  <c r="L41" i="155"/>
  <c r="L39" i="155"/>
  <c r="L37" i="155"/>
  <c r="L35" i="155"/>
  <c r="L33" i="155"/>
  <c r="L30" i="155"/>
  <c r="K33" i="155"/>
  <c r="L29" i="155"/>
  <c r="L28" i="155"/>
  <c r="L26" i="155"/>
  <c r="L25" i="155"/>
  <c r="L22" i="155"/>
  <c r="L19" i="155"/>
  <c r="L15" i="155"/>
  <c r="L13" i="155"/>
  <c r="L12" i="155"/>
  <c r="K55" i="155"/>
  <c r="K109" i="155"/>
  <c r="K128" i="155"/>
  <c r="O113" i="155"/>
  <c r="K113" i="155"/>
  <c r="O106" i="155"/>
  <c r="K81" i="155"/>
  <c r="K69" i="155"/>
  <c r="K48" i="155"/>
  <c r="K41" i="155"/>
  <c r="K116" i="155"/>
  <c r="O192" i="155"/>
  <c r="K192" i="155"/>
  <c r="K174" i="155"/>
  <c r="K188" i="155"/>
  <c r="K155" i="155"/>
  <c r="K148" i="155"/>
  <c r="K75" i="155"/>
  <c r="K46" i="155"/>
  <c r="K122" i="155"/>
  <c r="K139" i="155"/>
  <c r="K78" i="155"/>
  <c r="K171" i="155"/>
  <c r="O184" i="155"/>
  <c r="K184" i="155"/>
  <c r="O182" i="155"/>
  <c r="K182" i="155"/>
  <c r="K153" i="155"/>
  <c r="K144" i="155"/>
  <c r="O131" i="155"/>
  <c r="K131" i="155"/>
  <c r="O126" i="155"/>
  <c r="K124" i="155"/>
  <c r="O118" i="155"/>
  <c r="K118" i="155"/>
  <c r="K108" i="155"/>
  <c r="O98" i="155"/>
  <c r="K98" i="155"/>
  <c r="K100" i="155"/>
  <c r="K102" i="155"/>
  <c r="K96" i="155"/>
  <c r="O90" i="155"/>
  <c r="K80" i="155"/>
  <c r="O80" i="155"/>
  <c r="O73" i="155"/>
  <c r="K73" i="155"/>
  <c r="K19" i="155"/>
  <c r="K30" i="155"/>
  <c r="O35" i="155"/>
  <c r="K35" i="155"/>
  <c r="K28" i="155"/>
  <c r="K29" i="155"/>
  <c r="O26" i="155"/>
  <c r="K26" i="155"/>
  <c r="K22" i="155"/>
  <c r="K37" i="155"/>
  <c r="K13" i="155"/>
  <c r="M13" i="155" s="1"/>
  <c r="J81" i="155" l="1"/>
  <c r="N169" i="155"/>
  <c r="J169" i="155"/>
  <c r="J133" i="155"/>
  <c r="J128" i="155"/>
  <c r="N113" i="155"/>
  <c r="J113" i="155"/>
  <c r="J109" i="155"/>
  <c r="N106" i="155"/>
  <c r="N69" i="155"/>
  <c r="J69" i="155"/>
  <c r="J64" i="155"/>
  <c r="N55" i="155"/>
  <c r="J55" i="155"/>
  <c r="J48" i="155"/>
  <c r="J41" i="155"/>
  <c r="J33" i="155"/>
  <c r="H193" i="155"/>
  <c r="Q192" i="155"/>
  <c r="N192" i="155"/>
  <c r="M192" i="155"/>
  <c r="J192" i="155"/>
  <c r="I192" i="155"/>
  <c r="I193" i="155" s="1"/>
  <c r="Q190" i="155"/>
  <c r="M190" i="155"/>
  <c r="Q189" i="155"/>
  <c r="M189" i="155"/>
  <c r="P188" i="155"/>
  <c r="O188" i="155"/>
  <c r="N188" i="155"/>
  <c r="M188" i="155"/>
  <c r="J188" i="155"/>
  <c r="Q187" i="155"/>
  <c r="M187" i="155"/>
  <c r="P186" i="155"/>
  <c r="O186" i="155"/>
  <c r="N186" i="155"/>
  <c r="L186" i="155"/>
  <c r="K186" i="155"/>
  <c r="J186" i="155"/>
  <c r="Q185" i="155"/>
  <c r="M185" i="155"/>
  <c r="Q184" i="155"/>
  <c r="N184" i="155"/>
  <c r="L184" i="155"/>
  <c r="M184" i="155" s="1"/>
  <c r="J184" i="155"/>
  <c r="Q183" i="155"/>
  <c r="M183" i="155"/>
  <c r="Q182" i="155"/>
  <c r="N182" i="155"/>
  <c r="M182" i="155"/>
  <c r="J182" i="155"/>
  <c r="P181" i="155"/>
  <c r="O181" i="155"/>
  <c r="N181" i="155"/>
  <c r="M181" i="155"/>
  <c r="J181" i="155"/>
  <c r="Q180" i="155"/>
  <c r="M180" i="155"/>
  <c r="O179" i="155"/>
  <c r="Q179" i="155" s="1"/>
  <c r="N179" i="155"/>
  <c r="K179" i="155"/>
  <c r="M179" i="155" s="1"/>
  <c r="J179" i="155"/>
  <c r="Q178" i="155"/>
  <c r="M178" i="155"/>
  <c r="M177" i="155"/>
  <c r="M176" i="155"/>
  <c r="Q175" i="155"/>
  <c r="M175" i="155"/>
  <c r="P174" i="155"/>
  <c r="O174" i="155"/>
  <c r="N174" i="155"/>
  <c r="M174" i="155"/>
  <c r="J174" i="155"/>
  <c r="Q173" i="155"/>
  <c r="M173" i="155"/>
  <c r="Q172" i="155"/>
  <c r="M172" i="155"/>
  <c r="M171" i="155"/>
  <c r="J171" i="155"/>
  <c r="Q170" i="155"/>
  <c r="M170" i="155"/>
  <c r="Q169" i="155"/>
  <c r="L169" i="155"/>
  <c r="K169" i="155"/>
  <c r="Q168" i="155"/>
  <c r="M168" i="155"/>
  <c r="O167" i="155"/>
  <c r="Q167" i="155" s="1"/>
  <c r="N167" i="155"/>
  <c r="K167" i="155"/>
  <c r="M167" i="155" s="1"/>
  <c r="J167" i="155"/>
  <c r="Q166" i="155"/>
  <c r="M166" i="155"/>
  <c r="O165" i="155"/>
  <c r="Q165" i="155" s="1"/>
  <c r="N165" i="155"/>
  <c r="K165" i="155"/>
  <c r="M165" i="155" s="1"/>
  <c r="J165" i="155"/>
  <c r="Q164" i="155"/>
  <c r="M164" i="155"/>
  <c r="Q163" i="155"/>
  <c r="M163" i="155"/>
  <c r="P162" i="155"/>
  <c r="O162" i="155"/>
  <c r="N162" i="155"/>
  <c r="L162" i="155"/>
  <c r="K162" i="155"/>
  <c r="J162" i="155"/>
  <c r="Q161" i="155"/>
  <c r="M161" i="155"/>
  <c r="P160" i="155"/>
  <c r="O160" i="155"/>
  <c r="N160" i="155"/>
  <c r="K160" i="155"/>
  <c r="M160" i="155" s="1"/>
  <c r="J160" i="155"/>
  <c r="M159" i="155"/>
  <c r="J159" i="155"/>
  <c r="Q158" i="155"/>
  <c r="M158" i="155"/>
  <c r="P157" i="155"/>
  <c r="O157" i="155"/>
  <c r="N157" i="155"/>
  <c r="K157" i="155"/>
  <c r="M157" i="155" s="1"/>
  <c r="J157" i="155"/>
  <c r="Q156" i="155"/>
  <c r="M156" i="155"/>
  <c r="Q155" i="155"/>
  <c r="M155" i="155"/>
  <c r="Q154" i="155"/>
  <c r="M154" i="155"/>
  <c r="P153" i="155"/>
  <c r="O153" i="155"/>
  <c r="N153" i="155"/>
  <c r="M153" i="155"/>
  <c r="J153" i="155"/>
  <c r="Q152" i="155"/>
  <c r="M152" i="155"/>
  <c r="Q151" i="155"/>
  <c r="M151" i="155"/>
  <c r="P150" i="155"/>
  <c r="O150" i="155"/>
  <c r="N150" i="155"/>
  <c r="K150" i="155"/>
  <c r="M150" i="155" s="1"/>
  <c r="J150" i="155"/>
  <c r="Q149" i="155"/>
  <c r="M149" i="155"/>
  <c r="Q148" i="155"/>
  <c r="M148" i="155"/>
  <c r="J148" i="155"/>
  <c r="P147" i="155"/>
  <c r="O147" i="155"/>
  <c r="N147" i="155"/>
  <c r="L147" i="155"/>
  <c r="K147" i="155"/>
  <c r="J147" i="155"/>
  <c r="Q145" i="155"/>
  <c r="M145" i="155"/>
  <c r="P144" i="155"/>
  <c r="O144" i="155"/>
  <c r="N144" i="155"/>
  <c r="M144" i="155"/>
  <c r="J144" i="155"/>
  <c r="P143" i="155"/>
  <c r="O143" i="155"/>
  <c r="N143" i="155"/>
  <c r="K143" i="155"/>
  <c r="M143" i="155" s="1"/>
  <c r="J143" i="155"/>
  <c r="Q142" i="155"/>
  <c r="M142" i="155"/>
  <c r="P141" i="155"/>
  <c r="O141" i="155"/>
  <c r="N141" i="155"/>
  <c r="L141" i="155"/>
  <c r="K141" i="155"/>
  <c r="J141" i="155"/>
  <c r="P140" i="155"/>
  <c r="O140" i="155"/>
  <c r="N140" i="155"/>
  <c r="L140" i="155"/>
  <c r="K140" i="155"/>
  <c r="J140" i="155"/>
  <c r="P139" i="155"/>
  <c r="O139" i="155"/>
  <c r="N139" i="155"/>
  <c r="M139" i="155"/>
  <c r="J139" i="155"/>
  <c r="Q138" i="155"/>
  <c r="M138" i="155"/>
  <c r="Q137" i="155"/>
  <c r="N137" i="155"/>
  <c r="K137" i="155"/>
  <c r="M137" i="155" s="1"/>
  <c r="J137" i="155"/>
  <c r="Q136" i="155"/>
  <c r="M136" i="155"/>
  <c r="P135" i="155"/>
  <c r="O135" i="155"/>
  <c r="N135" i="155"/>
  <c r="L135" i="155"/>
  <c r="K135" i="155"/>
  <c r="Q134" i="155"/>
  <c r="M134" i="155"/>
  <c r="O133" i="155"/>
  <c r="Q133" i="155" s="1"/>
  <c r="N133" i="155"/>
  <c r="K133" i="155"/>
  <c r="M133" i="155" s="1"/>
  <c r="Q132" i="155"/>
  <c r="M132" i="155"/>
  <c r="Q131" i="155"/>
  <c r="N131" i="155"/>
  <c r="M131" i="155"/>
  <c r="J131" i="155"/>
  <c r="Q130" i="155"/>
  <c r="L130" i="155"/>
  <c r="K130" i="155"/>
  <c r="J130" i="155"/>
  <c r="Q129" i="155"/>
  <c r="M129" i="155"/>
  <c r="P128" i="155"/>
  <c r="O128" i="155"/>
  <c r="N128" i="155"/>
  <c r="M128" i="155"/>
  <c r="Q127" i="155"/>
  <c r="M127" i="155"/>
  <c r="Q126" i="155"/>
  <c r="N126" i="155"/>
  <c r="K126" i="155"/>
  <c r="M126" i="155" s="1"/>
  <c r="J126" i="155"/>
  <c r="Q125" i="155"/>
  <c r="M125" i="155"/>
  <c r="P124" i="155"/>
  <c r="O124" i="155"/>
  <c r="N124" i="155"/>
  <c r="M124" i="155"/>
  <c r="J124" i="155"/>
  <c r="Q123" i="155"/>
  <c r="M123" i="155"/>
  <c r="O122" i="155"/>
  <c r="Q122" i="155" s="1"/>
  <c r="N122" i="155"/>
  <c r="M122" i="155"/>
  <c r="J122" i="155"/>
  <c r="Q121" i="155"/>
  <c r="M121" i="155"/>
  <c r="P120" i="155"/>
  <c r="O120" i="155"/>
  <c r="N120" i="155"/>
  <c r="K120" i="155"/>
  <c r="M120" i="155" s="1"/>
  <c r="J120" i="155"/>
  <c r="Q119" i="155"/>
  <c r="M119" i="155"/>
  <c r="Q118" i="155"/>
  <c r="N118" i="155"/>
  <c r="M118" i="155"/>
  <c r="J118" i="155"/>
  <c r="Q117" i="155"/>
  <c r="M117" i="155"/>
  <c r="P116" i="155"/>
  <c r="O116" i="155"/>
  <c r="N116" i="155"/>
  <c r="M116" i="155"/>
  <c r="J116" i="155"/>
  <c r="O115" i="155"/>
  <c r="Q115" i="155" s="1"/>
  <c r="N115" i="155"/>
  <c r="K115" i="155"/>
  <c r="M115" i="155" s="1"/>
  <c r="J115" i="155"/>
  <c r="Q114" i="155"/>
  <c r="N114" i="155"/>
  <c r="M114" i="155"/>
  <c r="Q113" i="155"/>
  <c r="M113" i="155"/>
  <c r="Q112" i="155"/>
  <c r="M112" i="155"/>
  <c r="P111" i="155"/>
  <c r="O111" i="155"/>
  <c r="N111" i="155"/>
  <c r="K111" i="155"/>
  <c r="M111" i="155" s="1"/>
  <c r="J111" i="155"/>
  <c r="Q110" i="155"/>
  <c r="M110" i="155"/>
  <c r="Q109" i="155"/>
  <c r="M109" i="155"/>
  <c r="P108" i="155"/>
  <c r="O108" i="155"/>
  <c r="N108" i="155"/>
  <c r="M108" i="155"/>
  <c r="J108" i="155"/>
  <c r="Q107" i="155"/>
  <c r="M107" i="155"/>
  <c r="Q106" i="155"/>
  <c r="L106" i="155"/>
  <c r="K106" i="155"/>
  <c r="J106" i="155"/>
  <c r="Q105" i="155"/>
  <c r="M105" i="155"/>
  <c r="P104" i="155"/>
  <c r="O104" i="155"/>
  <c r="N104" i="155"/>
  <c r="L104" i="155"/>
  <c r="K104" i="155"/>
  <c r="J104" i="155"/>
  <c r="Q103" i="155"/>
  <c r="M103" i="155"/>
  <c r="P102" i="155"/>
  <c r="O102" i="155"/>
  <c r="N102" i="155"/>
  <c r="M102" i="155"/>
  <c r="J102" i="155"/>
  <c r="Q101" i="155"/>
  <c r="M101" i="155"/>
  <c r="P100" i="155"/>
  <c r="O100" i="155"/>
  <c r="N100" i="155"/>
  <c r="M100" i="155"/>
  <c r="J100" i="155"/>
  <c r="Q99" i="155"/>
  <c r="M99" i="155"/>
  <c r="Q98" i="155"/>
  <c r="N98" i="155"/>
  <c r="M98" i="155"/>
  <c r="J98" i="155"/>
  <c r="Q97" i="155"/>
  <c r="M97" i="155"/>
  <c r="P96" i="155"/>
  <c r="O96" i="155"/>
  <c r="N96" i="155"/>
  <c r="M96" i="155"/>
  <c r="J96" i="155"/>
  <c r="Q95" i="155"/>
  <c r="M95" i="155"/>
  <c r="P94" i="155"/>
  <c r="O94" i="155"/>
  <c r="N94" i="155"/>
  <c r="L94" i="155"/>
  <c r="K94" i="155"/>
  <c r="J94" i="155"/>
  <c r="Q93" i="155"/>
  <c r="M93" i="155"/>
  <c r="Q92" i="155"/>
  <c r="L92" i="155"/>
  <c r="K92" i="155"/>
  <c r="J92" i="155"/>
  <c r="Q91" i="155"/>
  <c r="M91" i="155"/>
  <c r="Q90" i="155"/>
  <c r="N90" i="155"/>
  <c r="L90" i="155"/>
  <c r="K90" i="155"/>
  <c r="J90" i="155"/>
  <c r="Q89" i="155"/>
  <c r="M89" i="155"/>
  <c r="P88" i="155"/>
  <c r="O88" i="155"/>
  <c r="N88" i="155"/>
  <c r="L88" i="155"/>
  <c r="K88" i="155"/>
  <c r="J88" i="155"/>
  <c r="Q87" i="155"/>
  <c r="M87" i="155"/>
  <c r="P86" i="155"/>
  <c r="O86" i="155"/>
  <c r="N86" i="155"/>
  <c r="L86" i="155"/>
  <c r="K86" i="155"/>
  <c r="J86" i="155"/>
  <c r="Q85" i="155"/>
  <c r="M85" i="155"/>
  <c r="P84" i="155"/>
  <c r="O84" i="155"/>
  <c r="N84" i="155"/>
  <c r="L84" i="155"/>
  <c r="K84" i="155"/>
  <c r="J84" i="155"/>
  <c r="P83" i="155"/>
  <c r="O83" i="155"/>
  <c r="N83" i="155"/>
  <c r="L83" i="155"/>
  <c r="K83" i="155"/>
  <c r="J83" i="155"/>
  <c r="Q82" i="155"/>
  <c r="M82" i="155"/>
  <c r="P81" i="155"/>
  <c r="O81" i="155"/>
  <c r="N81" i="155"/>
  <c r="M81" i="155"/>
  <c r="Q80" i="155"/>
  <c r="N80" i="155"/>
  <c r="M80" i="155"/>
  <c r="J80" i="155"/>
  <c r="P79" i="155"/>
  <c r="O79" i="155"/>
  <c r="N79" i="155"/>
  <c r="L79" i="155"/>
  <c r="K79" i="155"/>
  <c r="O78" i="155"/>
  <c r="Q78" i="155" s="1"/>
  <c r="N78" i="155"/>
  <c r="M78" i="155"/>
  <c r="J78" i="155"/>
  <c r="Q77" i="155"/>
  <c r="M77" i="155"/>
  <c r="P76" i="155"/>
  <c r="O76" i="155"/>
  <c r="N76" i="155"/>
  <c r="L76" i="155"/>
  <c r="K76" i="155"/>
  <c r="J76" i="155"/>
  <c r="P75" i="155"/>
  <c r="O75" i="155"/>
  <c r="N75" i="155"/>
  <c r="M75" i="155"/>
  <c r="J75" i="155"/>
  <c r="Q74" i="155"/>
  <c r="M74" i="155"/>
  <c r="Q73" i="155"/>
  <c r="N73" i="155"/>
  <c r="M73" i="155"/>
  <c r="J73" i="155"/>
  <c r="Q72" i="155"/>
  <c r="M72" i="155"/>
  <c r="Q71" i="155"/>
  <c r="N71" i="155"/>
  <c r="M71" i="155"/>
  <c r="Q70" i="155"/>
  <c r="M70" i="155"/>
  <c r="P69" i="155"/>
  <c r="O69" i="155"/>
  <c r="M69" i="155"/>
  <c r="P68" i="155"/>
  <c r="O68" i="155"/>
  <c r="N68" i="155"/>
  <c r="L68" i="155"/>
  <c r="K68" i="155"/>
  <c r="J68" i="155"/>
  <c r="Q67" i="155"/>
  <c r="M67" i="155"/>
  <c r="P66" i="155"/>
  <c r="O66" i="155"/>
  <c r="N66" i="155"/>
  <c r="K66" i="155"/>
  <c r="M66" i="155" s="1"/>
  <c r="J66" i="155"/>
  <c r="Q65" i="155"/>
  <c r="M65" i="155"/>
  <c r="P64" i="155"/>
  <c r="O64" i="155"/>
  <c r="N64" i="155"/>
  <c r="K64" i="155"/>
  <c r="M64" i="155" s="1"/>
  <c r="Q63" i="155"/>
  <c r="M63" i="155"/>
  <c r="P62" i="155"/>
  <c r="O62" i="155"/>
  <c r="N62" i="155"/>
  <c r="K62" i="155"/>
  <c r="M62" i="155" s="1"/>
  <c r="J62" i="155"/>
  <c r="Q61" i="155"/>
  <c r="M61" i="155"/>
  <c r="P60" i="155"/>
  <c r="O60" i="155"/>
  <c r="N60" i="155"/>
  <c r="M60" i="155"/>
  <c r="Q59" i="155"/>
  <c r="L59" i="155"/>
  <c r="K59" i="155"/>
  <c r="J59" i="155"/>
  <c r="Q58" i="155"/>
  <c r="M58" i="155"/>
  <c r="O57" i="155"/>
  <c r="Q57" i="155" s="1"/>
  <c r="N57" i="155"/>
  <c r="L57" i="155"/>
  <c r="K57" i="155"/>
  <c r="J57" i="155"/>
  <c r="Q56" i="155"/>
  <c r="M56" i="155"/>
  <c r="P55" i="155"/>
  <c r="O55" i="155"/>
  <c r="M55" i="155"/>
  <c r="Q54" i="155"/>
  <c r="M54" i="155"/>
  <c r="Q53" i="155"/>
  <c r="M53" i="155"/>
  <c r="P52" i="155"/>
  <c r="O52" i="155"/>
  <c r="N52" i="155"/>
  <c r="L52" i="155"/>
  <c r="K52" i="155"/>
  <c r="J52" i="155"/>
  <c r="Q51" i="155"/>
  <c r="M51" i="155"/>
  <c r="P50" i="155"/>
  <c r="O50" i="155"/>
  <c r="N50" i="155"/>
  <c r="L50" i="155"/>
  <c r="K50" i="155"/>
  <c r="J50" i="155"/>
  <c r="Q49" i="155"/>
  <c r="M49" i="155"/>
  <c r="P48" i="155"/>
  <c r="O48" i="155"/>
  <c r="N48" i="155"/>
  <c r="M48" i="155"/>
  <c r="P47" i="155"/>
  <c r="Q47" i="155" s="1"/>
  <c r="M47" i="155"/>
  <c r="P46" i="155"/>
  <c r="O46" i="155"/>
  <c r="N46" i="155"/>
  <c r="M46" i="155"/>
  <c r="J46" i="155"/>
  <c r="Q45" i="155"/>
  <c r="M45" i="155"/>
  <c r="Q44" i="155"/>
  <c r="M44" i="155"/>
  <c r="Q43" i="155"/>
  <c r="M43" i="155"/>
  <c r="P42" i="155"/>
  <c r="O42" i="155"/>
  <c r="N42" i="155"/>
  <c r="L42" i="155"/>
  <c r="K42" i="155"/>
  <c r="J42" i="155"/>
  <c r="P41" i="155"/>
  <c r="O41" i="155"/>
  <c r="N41" i="155"/>
  <c r="M41" i="155"/>
  <c r="Q40" i="155"/>
  <c r="M40" i="155"/>
  <c r="P39" i="155"/>
  <c r="O39" i="155"/>
  <c r="N39" i="155"/>
  <c r="K39" i="155"/>
  <c r="M39" i="155" s="1"/>
  <c r="J39" i="155"/>
  <c r="Q38" i="155"/>
  <c r="M38" i="155"/>
  <c r="P37" i="155"/>
  <c r="O37" i="155"/>
  <c r="N37" i="155"/>
  <c r="M37" i="155"/>
  <c r="J37" i="155"/>
  <c r="Q36" i="155"/>
  <c r="M36" i="155"/>
  <c r="Q35" i="155"/>
  <c r="N35" i="155"/>
  <c r="M35" i="155"/>
  <c r="J35" i="155"/>
  <c r="Q34" i="155"/>
  <c r="M34" i="155"/>
  <c r="P33" i="155"/>
  <c r="O33" i="155"/>
  <c r="N33" i="155"/>
  <c r="Q32" i="155"/>
  <c r="M32" i="155"/>
  <c r="Q31" i="155"/>
  <c r="M31" i="155"/>
  <c r="Q30" i="155"/>
  <c r="M30" i="155"/>
  <c r="J30" i="155"/>
  <c r="P29" i="155"/>
  <c r="O29" i="155"/>
  <c r="N29" i="155"/>
  <c r="M29" i="155"/>
  <c r="J29" i="155"/>
  <c r="Q28" i="155"/>
  <c r="N28" i="155"/>
  <c r="M28" i="155"/>
  <c r="J28" i="155"/>
  <c r="Q27" i="155"/>
  <c r="M27" i="155"/>
  <c r="Q26" i="155"/>
  <c r="N26" i="155"/>
  <c r="M26" i="155"/>
  <c r="J26" i="155"/>
  <c r="O25" i="155"/>
  <c r="Q25" i="155" s="1"/>
  <c r="N25" i="155"/>
  <c r="K25" i="155"/>
  <c r="M25" i="155" s="1"/>
  <c r="J25" i="155"/>
  <c r="Q23" i="155"/>
  <c r="M23" i="155"/>
  <c r="J23" i="155"/>
  <c r="P22" i="155"/>
  <c r="O22" i="155"/>
  <c r="N22" i="155"/>
  <c r="M22" i="155"/>
  <c r="J22" i="155"/>
  <c r="Q21" i="155"/>
  <c r="M21" i="155"/>
  <c r="P20" i="155"/>
  <c r="O20" i="155"/>
  <c r="N20" i="155"/>
  <c r="L20" i="155"/>
  <c r="K20" i="155"/>
  <c r="J20" i="155"/>
  <c r="P19" i="155"/>
  <c r="O19" i="155"/>
  <c r="N19" i="155"/>
  <c r="M19" i="155"/>
  <c r="J19" i="155"/>
  <c r="Q18" i="155"/>
  <c r="M18" i="155"/>
  <c r="P17" i="155"/>
  <c r="O17" i="155"/>
  <c r="N17" i="155"/>
  <c r="L17" i="155"/>
  <c r="K17" i="155"/>
  <c r="J17" i="155"/>
  <c r="Q16" i="155"/>
  <c r="M16" i="155"/>
  <c r="P15" i="155"/>
  <c r="O15" i="155"/>
  <c r="N15" i="155"/>
  <c r="K15" i="155"/>
  <c r="M15" i="155" s="1"/>
  <c r="J15" i="155"/>
  <c r="Q14" i="155"/>
  <c r="M14" i="155"/>
  <c r="P13" i="155"/>
  <c r="O13" i="155"/>
  <c r="N13" i="155"/>
  <c r="J13" i="155"/>
  <c r="Q12" i="155"/>
  <c r="K12" i="155"/>
  <c r="M12" i="155" s="1"/>
  <c r="J12" i="155"/>
  <c r="Q11" i="155"/>
  <c r="M11" i="155"/>
  <c r="P10" i="155"/>
  <c r="O10" i="155"/>
  <c r="N10" i="155"/>
  <c r="L10" i="155"/>
  <c r="K10" i="155"/>
  <c r="K193" i="155" s="1"/>
  <c r="J10" i="155"/>
  <c r="B9" i="155"/>
  <c r="C9" i="155" s="1"/>
  <c r="D9" i="155" s="1"/>
  <c r="E9" i="155" s="1"/>
  <c r="F9" i="155" s="1"/>
  <c r="G9" i="155" s="1"/>
  <c r="H9" i="155" s="1"/>
  <c r="I9" i="155" s="1"/>
  <c r="J9" i="155" s="1"/>
  <c r="K9" i="155" s="1"/>
  <c r="L9" i="155" s="1"/>
  <c r="M9" i="155" s="1"/>
  <c r="N9" i="155" s="1"/>
  <c r="O9" i="155" s="1"/>
  <c r="P9" i="155" s="1"/>
  <c r="Q9" i="155" s="1"/>
  <c r="M42" i="155" l="1"/>
  <c r="Q46" i="155"/>
  <c r="Q48" i="155"/>
  <c r="Q50" i="155"/>
  <c r="Q52" i="155"/>
  <c r="M57" i="155"/>
  <c r="Q60" i="155"/>
  <c r="Q66" i="155"/>
  <c r="Q68" i="155"/>
  <c r="M76" i="155"/>
  <c r="Q79" i="155"/>
  <c r="Q81" i="155"/>
  <c r="Q83" i="155"/>
  <c r="Q84" i="155"/>
  <c r="Q86" i="155"/>
  <c r="Q88" i="155"/>
  <c r="M92" i="155"/>
  <c r="Q96" i="155"/>
  <c r="Q102" i="155"/>
  <c r="Q104" i="155"/>
  <c r="Q186" i="155"/>
  <c r="M94" i="155"/>
  <c r="Q111" i="155"/>
  <c r="Q116" i="155"/>
  <c r="Q124" i="155"/>
  <c r="Q128" i="155"/>
  <c r="Q135" i="155"/>
  <c r="M140" i="155"/>
  <c r="M141" i="155"/>
  <c r="Q143" i="155"/>
  <c r="Q153" i="155"/>
  <c r="M147" i="155"/>
  <c r="Q160" i="155"/>
  <c r="Q162" i="155"/>
  <c r="M169" i="155"/>
  <c r="O193" i="155"/>
  <c r="Q15" i="155"/>
  <c r="Q17" i="155"/>
  <c r="M20" i="155"/>
  <c r="Q22" i="155"/>
  <c r="Q29" i="155"/>
  <c r="Q33" i="155"/>
  <c r="Q39" i="155"/>
  <c r="Q41" i="155"/>
  <c r="Q181" i="155"/>
  <c r="M186" i="155"/>
  <c r="Q188" i="155"/>
  <c r="Q13" i="155"/>
  <c r="M17" i="155"/>
  <c r="Q19" i="155"/>
  <c r="Q20" i="155"/>
  <c r="Q37" i="155"/>
  <c r="Q174" i="155"/>
  <c r="Q42" i="155"/>
  <c r="M50" i="155"/>
  <c r="M52" i="155"/>
  <c r="Q55" i="155"/>
  <c r="M59" i="155"/>
  <c r="Q62" i="155"/>
  <c r="Q64" i="155"/>
  <c r="M68" i="155"/>
  <c r="Q69" i="155"/>
  <c r="Q75" i="155"/>
  <c r="Q76" i="155"/>
  <c r="M79" i="155"/>
  <c r="M83" i="155"/>
  <c r="M84" i="155"/>
  <c r="M86" i="155"/>
  <c r="M88" i="155"/>
  <c r="M90" i="155"/>
  <c r="Q94" i="155"/>
  <c r="Q100" i="155"/>
  <c r="M104" i="155"/>
  <c r="M106" i="155"/>
  <c r="Q108" i="155"/>
  <c r="Q120" i="155"/>
  <c r="M130" i="155"/>
  <c r="M135" i="155"/>
  <c r="Q139" i="155"/>
  <c r="Q140" i="155"/>
  <c r="Q141" i="155"/>
  <c r="Q144" i="155"/>
  <c r="Q147" i="155"/>
  <c r="Q150" i="155"/>
  <c r="Q157" i="155"/>
  <c r="M162" i="155"/>
  <c r="Q10" i="155"/>
  <c r="M10" i="155"/>
  <c r="J193" i="155"/>
  <c r="L193" i="155"/>
  <c r="M193" i="155" s="1"/>
  <c r="N193" i="155"/>
  <c r="P193" i="155"/>
  <c r="Q193" i="155" s="1"/>
  <c r="M33" i="155"/>
  <c r="H193" i="154"/>
  <c r="Q192" i="154"/>
  <c r="N192" i="154"/>
  <c r="M192" i="154"/>
  <c r="J192" i="154"/>
  <c r="I192" i="154"/>
  <c r="I193" i="154" s="1"/>
  <c r="Q190" i="154"/>
  <c r="M190" i="154"/>
  <c r="Q189" i="154"/>
  <c r="M189" i="154"/>
  <c r="P188" i="154"/>
  <c r="O188" i="154"/>
  <c r="N188" i="154"/>
  <c r="L188" i="154"/>
  <c r="K188" i="154"/>
  <c r="J188" i="154"/>
  <c r="Q187" i="154"/>
  <c r="M187" i="154"/>
  <c r="P186" i="154"/>
  <c r="O186" i="154"/>
  <c r="N186" i="154"/>
  <c r="L186" i="154"/>
  <c r="K186" i="154"/>
  <c r="J186" i="154"/>
  <c r="Q185" i="154"/>
  <c r="M185" i="154"/>
  <c r="P184" i="154"/>
  <c r="O184" i="154"/>
  <c r="N184" i="154"/>
  <c r="L184" i="154"/>
  <c r="K184" i="154"/>
  <c r="J184" i="154"/>
  <c r="Q183" i="154"/>
  <c r="M183" i="154"/>
  <c r="P182" i="154"/>
  <c r="O182" i="154"/>
  <c r="N182" i="154"/>
  <c r="L182" i="154"/>
  <c r="K182" i="154"/>
  <c r="J182" i="154"/>
  <c r="P181" i="154"/>
  <c r="O181" i="154"/>
  <c r="N181" i="154"/>
  <c r="M181" i="154"/>
  <c r="J181" i="154"/>
  <c r="Q180" i="154"/>
  <c r="M180" i="154"/>
  <c r="P179" i="154"/>
  <c r="O179" i="154"/>
  <c r="N179" i="154"/>
  <c r="L179" i="154"/>
  <c r="K179" i="154"/>
  <c r="J179" i="154"/>
  <c r="Q178" i="154"/>
  <c r="M178" i="154"/>
  <c r="M177" i="154"/>
  <c r="M176" i="154"/>
  <c r="Q175" i="154"/>
  <c r="M175" i="154"/>
  <c r="P174" i="154"/>
  <c r="O174" i="154"/>
  <c r="N174" i="154"/>
  <c r="L174" i="154"/>
  <c r="K174" i="154"/>
  <c r="J174" i="154"/>
  <c r="Q173" i="154"/>
  <c r="M173" i="154"/>
  <c r="Q172" i="154"/>
  <c r="M172" i="154"/>
  <c r="L171" i="154"/>
  <c r="K171" i="154"/>
  <c r="J171" i="154"/>
  <c r="Q170" i="154"/>
  <c r="M170" i="154"/>
  <c r="P169" i="154"/>
  <c r="O169" i="154"/>
  <c r="N169" i="154"/>
  <c r="L169" i="154"/>
  <c r="K169" i="154"/>
  <c r="J169" i="154"/>
  <c r="Q168" i="154"/>
  <c r="M168" i="154"/>
  <c r="P167" i="154"/>
  <c r="O167" i="154"/>
  <c r="N167" i="154"/>
  <c r="K167" i="154"/>
  <c r="M167" i="154" s="1"/>
  <c r="J167" i="154"/>
  <c r="Q166" i="154"/>
  <c r="M166" i="154"/>
  <c r="P165" i="154"/>
  <c r="O165" i="154"/>
  <c r="N165" i="154"/>
  <c r="L165" i="154"/>
  <c r="K165" i="154"/>
  <c r="J165" i="154"/>
  <c r="Q164" i="154"/>
  <c r="M164" i="154"/>
  <c r="Q163" i="154"/>
  <c r="M163" i="154"/>
  <c r="P162" i="154"/>
  <c r="O162" i="154"/>
  <c r="N162" i="154"/>
  <c r="L162" i="154"/>
  <c r="K162" i="154"/>
  <c r="J162" i="154"/>
  <c r="Q161" i="154"/>
  <c r="M161" i="154"/>
  <c r="P160" i="154"/>
  <c r="O160" i="154"/>
  <c r="N160" i="154"/>
  <c r="L160" i="154"/>
  <c r="K160" i="154"/>
  <c r="J160" i="154"/>
  <c r="M159" i="154"/>
  <c r="J159" i="154"/>
  <c r="Q158" i="154"/>
  <c r="M158" i="154"/>
  <c r="P157" i="154"/>
  <c r="O157" i="154"/>
  <c r="N157" i="154"/>
  <c r="L157" i="154"/>
  <c r="K157" i="154"/>
  <c r="J157" i="154"/>
  <c r="Q156" i="154"/>
  <c r="M156" i="154"/>
  <c r="Q155" i="154"/>
  <c r="K155" i="154"/>
  <c r="M155" i="154" s="1"/>
  <c r="Q154" i="154"/>
  <c r="M154" i="154"/>
  <c r="P153" i="154"/>
  <c r="O153" i="154"/>
  <c r="N153" i="154"/>
  <c r="L153" i="154"/>
  <c r="K153" i="154"/>
  <c r="J153" i="154"/>
  <c r="Q152" i="154"/>
  <c r="M152" i="154"/>
  <c r="Q151" i="154"/>
  <c r="M151" i="154"/>
  <c r="P150" i="154"/>
  <c r="O150" i="154"/>
  <c r="N150" i="154"/>
  <c r="L150" i="154"/>
  <c r="K150" i="154"/>
  <c r="J150" i="154"/>
  <c r="Q149" i="154"/>
  <c r="M149" i="154"/>
  <c r="Q148" i="154"/>
  <c r="L148" i="154"/>
  <c r="K148" i="154"/>
  <c r="J148" i="154"/>
  <c r="P147" i="154"/>
  <c r="O147" i="154"/>
  <c r="N147" i="154"/>
  <c r="L147" i="154"/>
  <c r="K147" i="154"/>
  <c r="J147" i="154"/>
  <c r="Q145" i="154"/>
  <c r="M145" i="154"/>
  <c r="P144" i="154"/>
  <c r="O144" i="154"/>
  <c r="N144" i="154"/>
  <c r="L144" i="154"/>
  <c r="K144" i="154"/>
  <c r="J144" i="154"/>
  <c r="P143" i="154"/>
  <c r="O143" i="154"/>
  <c r="N143" i="154"/>
  <c r="L143" i="154"/>
  <c r="K143" i="154"/>
  <c r="J143" i="154"/>
  <c r="Q142" i="154"/>
  <c r="M142" i="154"/>
  <c r="P141" i="154"/>
  <c r="O141" i="154"/>
  <c r="N141" i="154"/>
  <c r="L141" i="154"/>
  <c r="K141" i="154"/>
  <c r="J141" i="154"/>
  <c r="P140" i="154"/>
  <c r="O140" i="154"/>
  <c r="N140" i="154"/>
  <c r="L140" i="154"/>
  <c r="K140" i="154"/>
  <c r="J140" i="154"/>
  <c r="P139" i="154"/>
  <c r="O139" i="154"/>
  <c r="N139" i="154"/>
  <c r="L139" i="154"/>
  <c r="K139" i="154"/>
  <c r="J139" i="154"/>
  <c r="Q138" i="154"/>
  <c r="M138" i="154"/>
  <c r="P137" i="154"/>
  <c r="O137" i="154"/>
  <c r="N137" i="154"/>
  <c r="K137" i="154"/>
  <c r="M137" i="154" s="1"/>
  <c r="J137" i="154"/>
  <c r="Q136" i="154"/>
  <c r="M136" i="154"/>
  <c r="P135" i="154"/>
  <c r="O135" i="154"/>
  <c r="N135" i="154"/>
  <c r="L135" i="154"/>
  <c r="K135" i="154"/>
  <c r="Q134" i="154"/>
  <c r="M134" i="154"/>
  <c r="P133" i="154"/>
  <c r="O133" i="154"/>
  <c r="N133" i="154"/>
  <c r="L133" i="154"/>
  <c r="K133" i="154"/>
  <c r="J133" i="154"/>
  <c r="Q132" i="154"/>
  <c r="M132" i="154"/>
  <c r="P131" i="154"/>
  <c r="O131" i="154"/>
  <c r="N131" i="154"/>
  <c r="L131" i="154"/>
  <c r="K131" i="154"/>
  <c r="J131" i="154"/>
  <c r="Q130" i="154"/>
  <c r="L130" i="154"/>
  <c r="K130" i="154"/>
  <c r="J130" i="154"/>
  <c r="Q129" i="154"/>
  <c r="M129" i="154"/>
  <c r="P128" i="154"/>
  <c r="O128" i="154"/>
  <c r="N128" i="154"/>
  <c r="K128" i="154"/>
  <c r="M128" i="154" s="1"/>
  <c r="J128" i="154"/>
  <c r="Q127" i="154"/>
  <c r="M127" i="154"/>
  <c r="P126" i="154"/>
  <c r="O126" i="154"/>
  <c r="N126" i="154"/>
  <c r="L126" i="154"/>
  <c r="K126" i="154"/>
  <c r="J126" i="154"/>
  <c r="Q125" i="154"/>
  <c r="M125" i="154"/>
  <c r="P124" i="154"/>
  <c r="O124" i="154"/>
  <c r="N124" i="154"/>
  <c r="L124" i="154"/>
  <c r="K124" i="154"/>
  <c r="J124" i="154"/>
  <c r="Q123" i="154"/>
  <c r="M123" i="154"/>
  <c r="P122" i="154"/>
  <c r="O122" i="154"/>
  <c r="N122" i="154"/>
  <c r="L122" i="154"/>
  <c r="K122" i="154"/>
  <c r="J122" i="154"/>
  <c r="Q121" i="154"/>
  <c r="M121" i="154"/>
  <c r="P120" i="154"/>
  <c r="O120" i="154"/>
  <c r="N120" i="154"/>
  <c r="L120" i="154"/>
  <c r="K120" i="154"/>
  <c r="J120" i="154"/>
  <c r="Q119" i="154"/>
  <c r="M119" i="154"/>
  <c r="P118" i="154"/>
  <c r="O118" i="154"/>
  <c r="N118" i="154"/>
  <c r="L118" i="154"/>
  <c r="K118" i="154"/>
  <c r="J118" i="154"/>
  <c r="Q117" i="154"/>
  <c r="M117" i="154"/>
  <c r="P116" i="154"/>
  <c r="O116" i="154"/>
  <c r="N116" i="154"/>
  <c r="L116" i="154"/>
  <c r="K116" i="154"/>
  <c r="J116" i="154"/>
  <c r="P115" i="154"/>
  <c r="O115" i="154"/>
  <c r="N115" i="154"/>
  <c r="L115" i="154"/>
  <c r="K115" i="154"/>
  <c r="J115" i="154"/>
  <c r="Q114" i="154"/>
  <c r="N114" i="154"/>
  <c r="M114" i="154"/>
  <c r="P113" i="154"/>
  <c r="O113" i="154"/>
  <c r="N113" i="154"/>
  <c r="L113" i="154"/>
  <c r="K113" i="154"/>
  <c r="J113" i="154"/>
  <c r="Q112" i="154"/>
  <c r="M112" i="154"/>
  <c r="P111" i="154"/>
  <c r="O111" i="154"/>
  <c r="N111" i="154"/>
  <c r="L111" i="154"/>
  <c r="K111" i="154"/>
  <c r="J111" i="154"/>
  <c r="Q110" i="154"/>
  <c r="M110" i="154"/>
  <c r="Q109" i="154"/>
  <c r="L109" i="154"/>
  <c r="K109" i="154"/>
  <c r="J109" i="154"/>
  <c r="P108" i="154"/>
  <c r="O108" i="154"/>
  <c r="N108" i="154"/>
  <c r="L108" i="154"/>
  <c r="K108" i="154"/>
  <c r="J108" i="154"/>
  <c r="Q107" i="154"/>
  <c r="M107" i="154"/>
  <c r="P106" i="154"/>
  <c r="O106" i="154"/>
  <c r="N106" i="154"/>
  <c r="L106" i="154"/>
  <c r="K106" i="154"/>
  <c r="J106" i="154"/>
  <c r="Q105" i="154"/>
  <c r="M105" i="154"/>
  <c r="P104" i="154"/>
  <c r="O104" i="154"/>
  <c r="N104" i="154"/>
  <c r="L104" i="154"/>
  <c r="K104" i="154"/>
  <c r="J104" i="154"/>
  <c r="Q103" i="154"/>
  <c r="M103" i="154"/>
  <c r="P102" i="154"/>
  <c r="O102" i="154"/>
  <c r="N102" i="154"/>
  <c r="L102" i="154"/>
  <c r="K102" i="154"/>
  <c r="J102" i="154"/>
  <c r="Q101" i="154"/>
  <c r="M101" i="154"/>
  <c r="P100" i="154"/>
  <c r="O100" i="154"/>
  <c r="N100" i="154"/>
  <c r="L100" i="154"/>
  <c r="K100" i="154"/>
  <c r="J100" i="154"/>
  <c r="Q99" i="154"/>
  <c r="M99" i="154"/>
  <c r="P98" i="154"/>
  <c r="O98" i="154"/>
  <c r="N98" i="154"/>
  <c r="L98" i="154"/>
  <c r="K98" i="154"/>
  <c r="J98" i="154"/>
  <c r="Q97" i="154"/>
  <c r="M97" i="154"/>
  <c r="P96" i="154"/>
  <c r="O96" i="154"/>
  <c r="N96" i="154"/>
  <c r="L96" i="154"/>
  <c r="K96" i="154"/>
  <c r="J96" i="154"/>
  <c r="Q95" i="154"/>
  <c r="M95" i="154"/>
  <c r="P94" i="154"/>
  <c r="O94" i="154"/>
  <c r="N94" i="154"/>
  <c r="L94" i="154"/>
  <c r="K94" i="154"/>
  <c r="J94" i="154"/>
  <c r="Q93" i="154"/>
  <c r="M93" i="154"/>
  <c r="Q92" i="154"/>
  <c r="L92" i="154"/>
  <c r="K92" i="154"/>
  <c r="J92" i="154"/>
  <c r="Q91" i="154"/>
  <c r="M91" i="154"/>
  <c r="P90" i="154"/>
  <c r="O90" i="154"/>
  <c r="N90" i="154"/>
  <c r="L90" i="154"/>
  <c r="K90" i="154"/>
  <c r="J90" i="154"/>
  <c r="Q89" i="154"/>
  <c r="M89" i="154"/>
  <c r="P88" i="154"/>
  <c r="O88" i="154"/>
  <c r="N88" i="154"/>
  <c r="L88" i="154"/>
  <c r="K88" i="154"/>
  <c r="J88" i="154"/>
  <c r="Q87" i="154"/>
  <c r="M87" i="154"/>
  <c r="P86" i="154"/>
  <c r="O86" i="154"/>
  <c r="N86" i="154"/>
  <c r="L86" i="154"/>
  <c r="K86" i="154"/>
  <c r="J86" i="154"/>
  <c r="Q85" i="154"/>
  <c r="M85" i="154"/>
  <c r="P84" i="154"/>
  <c r="O84" i="154"/>
  <c r="N84" i="154"/>
  <c r="L84" i="154"/>
  <c r="K84" i="154"/>
  <c r="J84" i="154"/>
  <c r="P83" i="154"/>
  <c r="O83" i="154"/>
  <c r="N83" i="154"/>
  <c r="L83" i="154"/>
  <c r="K83" i="154"/>
  <c r="J83" i="154"/>
  <c r="Q82" i="154"/>
  <c r="M82" i="154"/>
  <c r="P81" i="154"/>
  <c r="O81" i="154"/>
  <c r="N81" i="154"/>
  <c r="L81" i="154"/>
  <c r="K81" i="154"/>
  <c r="J81" i="154"/>
  <c r="P80" i="154"/>
  <c r="O80" i="154"/>
  <c r="N80" i="154"/>
  <c r="L80" i="154"/>
  <c r="K80" i="154"/>
  <c r="J80" i="154"/>
  <c r="P79" i="154"/>
  <c r="O79" i="154"/>
  <c r="N79" i="154"/>
  <c r="L79" i="154"/>
  <c r="K79" i="154"/>
  <c r="P78" i="154"/>
  <c r="O78" i="154"/>
  <c r="N78" i="154"/>
  <c r="L78" i="154"/>
  <c r="K78" i="154"/>
  <c r="J78" i="154"/>
  <c r="Q77" i="154"/>
  <c r="M77" i="154"/>
  <c r="P76" i="154"/>
  <c r="O76" i="154"/>
  <c r="N76" i="154"/>
  <c r="L76" i="154"/>
  <c r="K76" i="154"/>
  <c r="J76" i="154"/>
  <c r="P75" i="154"/>
  <c r="O75" i="154"/>
  <c r="N75" i="154"/>
  <c r="L75" i="154"/>
  <c r="K75" i="154"/>
  <c r="J75" i="154"/>
  <c r="Q74" i="154"/>
  <c r="M74" i="154"/>
  <c r="P73" i="154"/>
  <c r="O73" i="154"/>
  <c r="N73" i="154"/>
  <c r="L73" i="154"/>
  <c r="K73" i="154"/>
  <c r="J73" i="154"/>
  <c r="Q72" i="154"/>
  <c r="M72" i="154"/>
  <c r="Q71" i="154"/>
  <c r="N71" i="154"/>
  <c r="M71" i="154"/>
  <c r="Q70" i="154"/>
  <c r="M70" i="154"/>
  <c r="P69" i="154"/>
  <c r="O69" i="154"/>
  <c r="N69" i="154"/>
  <c r="L69" i="154"/>
  <c r="K69" i="154"/>
  <c r="J69" i="154"/>
  <c r="P68" i="154"/>
  <c r="O68" i="154"/>
  <c r="N68" i="154"/>
  <c r="L68" i="154"/>
  <c r="K68" i="154"/>
  <c r="J68" i="154"/>
  <c r="Q67" i="154"/>
  <c r="M67" i="154"/>
  <c r="P66" i="154"/>
  <c r="O66" i="154"/>
  <c r="N66" i="154"/>
  <c r="L66" i="154"/>
  <c r="K66" i="154"/>
  <c r="J66" i="154"/>
  <c r="Q65" i="154"/>
  <c r="M65" i="154"/>
  <c r="P64" i="154"/>
  <c r="O64" i="154"/>
  <c r="N64" i="154"/>
  <c r="L64" i="154"/>
  <c r="K64" i="154"/>
  <c r="J64" i="154"/>
  <c r="Q63" i="154"/>
  <c r="M63" i="154"/>
  <c r="P62" i="154"/>
  <c r="O62" i="154"/>
  <c r="N62" i="154"/>
  <c r="L62" i="154"/>
  <c r="K62" i="154"/>
  <c r="J62" i="154"/>
  <c r="Q61" i="154"/>
  <c r="M61" i="154"/>
  <c r="P60" i="154"/>
  <c r="O60" i="154"/>
  <c r="N60" i="154"/>
  <c r="M60" i="154"/>
  <c r="Q59" i="154"/>
  <c r="L59" i="154"/>
  <c r="K59" i="154"/>
  <c r="J59" i="154"/>
  <c r="Q58" i="154"/>
  <c r="M58" i="154"/>
  <c r="P57" i="154"/>
  <c r="O57" i="154"/>
  <c r="N57" i="154"/>
  <c r="L57" i="154"/>
  <c r="K57" i="154"/>
  <c r="J57" i="154"/>
  <c r="Q56" i="154"/>
  <c r="M56" i="154"/>
  <c r="P55" i="154"/>
  <c r="O55" i="154"/>
  <c r="N55" i="154"/>
  <c r="L55" i="154"/>
  <c r="K55" i="154"/>
  <c r="J55" i="154"/>
  <c r="Q54" i="154"/>
  <c r="M54" i="154"/>
  <c r="Q53" i="154"/>
  <c r="M53" i="154"/>
  <c r="P52" i="154"/>
  <c r="O52" i="154"/>
  <c r="N52" i="154"/>
  <c r="L52" i="154"/>
  <c r="K52" i="154"/>
  <c r="J52" i="154"/>
  <c r="Q51" i="154"/>
  <c r="M51" i="154"/>
  <c r="P50" i="154"/>
  <c r="O50" i="154"/>
  <c r="N50" i="154"/>
  <c r="L50" i="154"/>
  <c r="K50" i="154"/>
  <c r="J50" i="154"/>
  <c r="Q49" i="154"/>
  <c r="M49" i="154"/>
  <c r="P48" i="154"/>
  <c r="O48" i="154"/>
  <c r="N48" i="154"/>
  <c r="L48" i="154"/>
  <c r="K48" i="154"/>
  <c r="J48" i="154"/>
  <c r="P47" i="154"/>
  <c r="Q47" i="154" s="1"/>
  <c r="M47" i="154"/>
  <c r="P46" i="154"/>
  <c r="O46" i="154"/>
  <c r="N46" i="154"/>
  <c r="L46" i="154"/>
  <c r="K46" i="154"/>
  <c r="J46" i="154"/>
  <c r="Q45" i="154"/>
  <c r="M45" i="154"/>
  <c r="Q44" i="154"/>
  <c r="M44" i="154"/>
  <c r="Q43" i="154"/>
  <c r="M43" i="154"/>
  <c r="P42" i="154"/>
  <c r="O42" i="154"/>
  <c r="N42" i="154"/>
  <c r="L42" i="154"/>
  <c r="K42" i="154"/>
  <c r="J42" i="154"/>
  <c r="P41" i="154"/>
  <c r="O41" i="154"/>
  <c r="N41" i="154"/>
  <c r="L41" i="154"/>
  <c r="K41" i="154"/>
  <c r="J41" i="154"/>
  <c r="Q40" i="154"/>
  <c r="M40" i="154"/>
  <c r="P39" i="154"/>
  <c r="O39" i="154"/>
  <c r="N39" i="154"/>
  <c r="L39" i="154"/>
  <c r="K39" i="154"/>
  <c r="J39" i="154"/>
  <c r="Q38" i="154"/>
  <c r="M38" i="154"/>
  <c r="P37" i="154"/>
  <c r="O37" i="154"/>
  <c r="N37" i="154"/>
  <c r="L37" i="154"/>
  <c r="K37" i="154"/>
  <c r="J37" i="154"/>
  <c r="Q36" i="154"/>
  <c r="M36" i="154"/>
  <c r="P35" i="154"/>
  <c r="O35" i="154"/>
  <c r="N35" i="154"/>
  <c r="L35" i="154"/>
  <c r="K35" i="154"/>
  <c r="J35" i="154"/>
  <c r="Q34" i="154"/>
  <c r="M34" i="154"/>
  <c r="P33" i="154"/>
  <c r="O33" i="154"/>
  <c r="N33" i="154"/>
  <c r="L33" i="154"/>
  <c r="K33" i="154"/>
  <c r="J33" i="154"/>
  <c r="Q32" i="154"/>
  <c r="M32" i="154"/>
  <c r="Q31" i="154"/>
  <c r="M31" i="154"/>
  <c r="Q30" i="154"/>
  <c r="L30" i="154"/>
  <c r="K30" i="154"/>
  <c r="J30" i="154"/>
  <c r="P29" i="154"/>
  <c r="O29" i="154"/>
  <c r="N29" i="154"/>
  <c r="L29" i="154"/>
  <c r="K29" i="154"/>
  <c r="J29" i="154"/>
  <c r="Q28" i="154"/>
  <c r="N28" i="154"/>
  <c r="L28" i="154"/>
  <c r="K28" i="154"/>
  <c r="J28" i="154"/>
  <c r="Q27" i="154"/>
  <c r="M27" i="154"/>
  <c r="P26" i="154"/>
  <c r="O26" i="154"/>
  <c r="N26" i="154"/>
  <c r="L26" i="154"/>
  <c r="K26" i="154"/>
  <c r="J26" i="154"/>
  <c r="P25" i="154"/>
  <c r="O25" i="154"/>
  <c r="N25" i="154"/>
  <c r="L25" i="154"/>
  <c r="K25" i="154"/>
  <c r="J25" i="154"/>
  <c r="Q23" i="154"/>
  <c r="M23" i="154"/>
  <c r="J23" i="154"/>
  <c r="P22" i="154"/>
  <c r="O22" i="154"/>
  <c r="N22" i="154"/>
  <c r="L22" i="154"/>
  <c r="K22" i="154"/>
  <c r="J22" i="154"/>
  <c r="Q21" i="154"/>
  <c r="M21" i="154"/>
  <c r="P20" i="154"/>
  <c r="O20" i="154"/>
  <c r="N20" i="154"/>
  <c r="L20" i="154"/>
  <c r="K20" i="154"/>
  <c r="J20" i="154"/>
  <c r="P19" i="154"/>
  <c r="O19" i="154"/>
  <c r="N19" i="154"/>
  <c r="L19" i="154"/>
  <c r="K19" i="154"/>
  <c r="J19" i="154"/>
  <c r="Q18" i="154"/>
  <c r="M18" i="154"/>
  <c r="P17" i="154"/>
  <c r="O17" i="154"/>
  <c r="N17" i="154"/>
  <c r="L17" i="154"/>
  <c r="K17" i="154"/>
  <c r="J17" i="154"/>
  <c r="Q16" i="154"/>
  <c r="M16" i="154"/>
  <c r="P15" i="154"/>
  <c r="O15" i="154"/>
  <c r="N15" i="154"/>
  <c r="L15" i="154"/>
  <c r="K15" i="154"/>
  <c r="J15" i="154"/>
  <c r="Q14" i="154"/>
  <c r="M14" i="154"/>
  <c r="P13" i="154"/>
  <c r="O13" i="154"/>
  <c r="N13" i="154"/>
  <c r="L13" i="154"/>
  <c r="K13" i="154"/>
  <c r="J13" i="154"/>
  <c r="Q12" i="154"/>
  <c r="L12" i="154"/>
  <c r="K12" i="154"/>
  <c r="J12" i="154"/>
  <c r="Q11" i="154"/>
  <c r="M11" i="154"/>
  <c r="P10" i="154"/>
  <c r="O10" i="154"/>
  <c r="N10" i="154"/>
  <c r="L10" i="154"/>
  <c r="K10" i="154"/>
  <c r="J10" i="154"/>
  <c r="B9" i="154"/>
  <c r="C9" i="154" s="1"/>
  <c r="D9" i="154" s="1"/>
  <c r="E9" i="154" s="1"/>
  <c r="F9" i="154" s="1"/>
  <c r="G9" i="154" s="1"/>
  <c r="H9" i="154" s="1"/>
  <c r="I9" i="154" s="1"/>
  <c r="J9" i="154" s="1"/>
  <c r="K9" i="154" s="1"/>
  <c r="L9" i="154" s="1"/>
  <c r="M9" i="154" s="1"/>
  <c r="N9" i="154" s="1"/>
  <c r="O9" i="154" s="1"/>
  <c r="P9" i="154" s="1"/>
  <c r="Q9" i="154" s="1"/>
  <c r="M10" i="154" l="1"/>
  <c r="N193" i="154"/>
  <c r="P193" i="154"/>
  <c r="M139" i="154"/>
  <c r="M140" i="154"/>
  <c r="M141" i="154"/>
  <c r="M143" i="154"/>
  <c r="M144" i="154"/>
  <c r="M147" i="154"/>
  <c r="M148" i="154"/>
  <c r="M150" i="154"/>
  <c r="M153" i="154"/>
  <c r="M157" i="154"/>
  <c r="M160" i="154"/>
  <c r="M162" i="154"/>
  <c r="M165" i="154"/>
  <c r="Q167" i="154"/>
  <c r="Q169" i="154"/>
  <c r="M174" i="154"/>
  <c r="M179" i="154"/>
  <c r="Q181" i="154"/>
  <c r="Q182" i="154"/>
  <c r="Q184" i="154"/>
  <c r="Q186" i="154"/>
  <c r="J193" i="154"/>
  <c r="L193" i="154"/>
  <c r="Q13" i="154"/>
  <c r="Q15" i="154"/>
  <c r="Q17" i="154"/>
  <c r="Q19" i="154"/>
  <c r="Q20" i="154"/>
  <c r="Q22" i="154"/>
  <c r="M25" i="154"/>
  <c r="M26" i="154"/>
  <c r="M28" i="154"/>
  <c r="Q29" i="154"/>
  <c r="Q33" i="154"/>
  <c r="Q35" i="154"/>
  <c r="Q37" i="154"/>
  <c r="Q39" i="154"/>
  <c r="Q41" i="154"/>
  <c r="Q42" i="154"/>
  <c r="Q46" i="154"/>
  <c r="Q48" i="154"/>
  <c r="Q50" i="154"/>
  <c r="Q52" i="154"/>
  <c r="Q55" i="154"/>
  <c r="Q57" i="154"/>
  <c r="Q60" i="154"/>
  <c r="Q62" i="154"/>
  <c r="Q64" i="154"/>
  <c r="Q66" i="154"/>
  <c r="Q68" i="154"/>
  <c r="Q69" i="154"/>
  <c r="M73" i="154"/>
  <c r="M75" i="154"/>
  <c r="M76" i="154"/>
  <c r="M78" i="154"/>
  <c r="Q79" i="154"/>
  <c r="Q80" i="154"/>
  <c r="Q81" i="154"/>
  <c r="Q83" i="154"/>
  <c r="Q84" i="154"/>
  <c r="Q86" i="154"/>
  <c r="Q88" i="154"/>
  <c r="Q90" i="154"/>
  <c r="Q94" i="154"/>
  <c r="Q96" i="154"/>
  <c r="Q98" i="154"/>
  <c r="Q100" i="154"/>
  <c r="Q102" i="154"/>
  <c r="Q104" i="154"/>
  <c r="Q106" i="154"/>
  <c r="Q108" i="154"/>
  <c r="Q111" i="154"/>
  <c r="Q113" i="154"/>
  <c r="M115" i="154"/>
  <c r="M116" i="154"/>
  <c r="M118" i="154"/>
  <c r="M120" i="154"/>
  <c r="M122" i="154"/>
  <c r="M124" i="154"/>
  <c r="M126" i="154"/>
  <c r="M12" i="154"/>
  <c r="Q188" i="154"/>
  <c r="Q128" i="154"/>
  <c r="Q131" i="154"/>
  <c r="Q133" i="154"/>
  <c r="M135" i="154"/>
  <c r="Q10" i="154"/>
  <c r="M13" i="154"/>
  <c r="M15" i="154"/>
  <c r="M17" i="154"/>
  <c r="M19" i="154"/>
  <c r="M20" i="154"/>
  <c r="M22" i="154"/>
  <c r="Q25" i="154"/>
  <c r="Q26" i="154"/>
  <c r="M29" i="154"/>
  <c r="M30" i="154"/>
  <c r="M33" i="154"/>
  <c r="M35" i="154"/>
  <c r="M37" i="154"/>
  <c r="M39" i="154"/>
  <c r="M41" i="154"/>
  <c r="M42" i="154"/>
  <c r="M46" i="154"/>
  <c r="M48" i="154"/>
  <c r="M50" i="154"/>
  <c r="M52" i="154"/>
  <c r="M55" i="154"/>
  <c r="M57" i="154"/>
  <c r="M59" i="154"/>
  <c r="M62" i="154"/>
  <c r="M64" i="154"/>
  <c r="M66" i="154"/>
  <c r="M68" i="154"/>
  <c r="M69" i="154"/>
  <c r="Q73" i="154"/>
  <c r="Q75" i="154"/>
  <c r="Q76" i="154"/>
  <c r="Q78" i="154"/>
  <c r="M79" i="154"/>
  <c r="M80" i="154"/>
  <c r="M81" i="154"/>
  <c r="M83" i="154"/>
  <c r="M84" i="154"/>
  <c r="M86" i="154"/>
  <c r="M88" i="154"/>
  <c r="M90" i="154"/>
  <c r="M92" i="154"/>
  <c r="M94" i="154"/>
  <c r="M96" i="154"/>
  <c r="M98" i="154"/>
  <c r="M100" i="154"/>
  <c r="M102" i="154"/>
  <c r="M104" i="154"/>
  <c r="M106" i="154"/>
  <c r="M108" i="154"/>
  <c r="M109" i="154"/>
  <c r="M111" i="154"/>
  <c r="M113" i="154"/>
  <c r="Q115" i="154"/>
  <c r="Q116" i="154"/>
  <c r="Q118" i="154"/>
  <c r="Q120" i="154"/>
  <c r="Q122" i="154"/>
  <c r="Q124" i="154"/>
  <c r="Q126" i="154"/>
  <c r="M130" i="154"/>
  <c r="M131" i="154"/>
  <c r="M133" i="154"/>
  <c r="Q135" i="154"/>
  <c r="Q137" i="154"/>
  <c r="Q139" i="154"/>
  <c r="Q140" i="154"/>
  <c r="Q141" i="154"/>
  <c r="Q143" i="154"/>
  <c r="Q144" i="154"/>
  <c r="Q147" i="154"/>
  <c r="Q150" i="154"/>
  <c r="Q153" i="154"/>
  <c r="Q157" i="154"/>
  <c r="Q160" i="154"/>
  <c r="Q162" i="154"/>
  <c r="Q165" i="154"/>
  <c r="M169" i="154"/>
  <c r="M171" i="154"/>
  <c r="Q174" i="154"/>
  <c r="Q179" i="154"/>
  <c r="M182" i="154"/>
  <c r="M184" i="154"/>
  <c r="M186" i="154"/>
  <c r="M188" i="154"/>
  <c r="K193" i="154"/>
  <c r="O193" i="154"/>
  <c r="Q193" i="154" s="1"/>
  <c r="H193" i="152"/>
  <c r="Q192" i="152"/>
  <c r="N192" i="152"/>
  <c r="M192" i="152"/>
  <c r="J192" i="152"/>
  <c r="I192" i="152"/>
  <c r="Q190" i="152"/>
  <c r="M190" i="152"/>
  <c r="Q189" i="152"/>
  <c r="M189" i="152"/>
  <c r="P188" i="152"/>
  <c r="O188" i="152"/>
  <c r="N188" i="152"/>
  <c r="L188" i="152"/>
  <c r="K188" i="152"/>
  <c r="J188" i="152"/>
  <c r="Q187" i="152"/>
  <c r="M187" i="152"/>
  <c r="P186" i="152"/>
  <c r="O186" i="152"/>
  <c r="N186" i="152"/>
  <c r="L186" i="152"/>
  <c r="K186" i="152"/>
  <c r="J186" i="152"/>
  <c r="Q185" i="152"/>
  <c r="M185" i="152"/>
  <c r="P184" i="152"/>
  <c r="O184" i="152"/>
  <c r="N184" i="152"/>
  <c r="L184" i="152"/>
  <c r="K184" i="152"/>
  <c r="J184" i="152"/>
  <c r="Q183" i="152"/>
  <c r="M183" i="152"/>
  <c r="P182" i="152"/>
  <c r="O182" i="152"/>
  <c r="N182" i="152"/>
  <c r="L182" i="152"/>
  <c r="K182" i="152"/>
  <c r="J182" i="152"/>
  <c r="P181" i="152"/>
  <c r="O181" i="152"/>
  <c r="N181" i="152"/>
  <c r="M181" i="152"/>
  <c r="J181" i="152"/>
  <c r="Q180" i="152"/>
  <c r="M180" i="152"/>
  <c r="P179" i="152"/>
  <c r="O179" i="152"/>
  <c r="N179" i="152"/>
  <c r="L179" i="152"/>
  <c r="K179" i="152"/>
  <c r="J179" i="152"/>
  <c r="Q178" i="152"/>
  <c r="M178" i="152"/>
  <c r="M177" i="152"/>
  <c r="M176" i="152"/>
  <c r="Q175" i="152"/>
  <c r="M175" i="152"/>
  <c r="P174" i="152"/>
  <c r="O174" i="152"/>
  <c r="N174" i="152"/>
  <c r="L174" i="152"/>
  <c r="K174" i="152"/>
  <c r="J174" i="152"/>
  <c r="Q173" i="152"/>
  <c r="M173" i="152"/>
  <c r="Q172" i="152"/>
  <c r="M172" i="152"/>
  <c r="L171" i="152"/>
  <c r="K171" i="152"/>
  <c r="J171" i="152"/>
  <c r="Q170" i="152"/>
  <c r="M170" i="152"/>
  <c r="P169" i="152"/>
  <c r="O169" i="152"/>
  <c r="N169" i="152"/>
  <c r="L169" i="152"/>
  <c r="K169" i="152"/>
  <c r="J169" i="152"/>
  <c r="Q168" i="152"/>
  <c r="M168" i="152"/>
  <c r="P167" i="152"/>
  <c r="O167" i="152"/>
  <c r="N167" i="152"/>
  <c r="K167" i="152"/>
  <c r="M167" i="152" s="1"/>
  <c r="J167" i="152"/>
  <c r="Q166" i="152"/>
  <c r="M166" i="152"/>
  <c r="P165" i="152"/>
  <c r="O165" i="152"/>
  <c r="N165" i="152"/>
  <c r="L165" i="152"/>
  <c r="K165" i="152"/>
  <c r="J165" i="152"/>
  <c r="Q164" i="152"/>
  <c r="M164" i="152"/>
  <c r="Q163" i="152"/>
  <c r="M163" i="152"/>
  <c r="P162" i="152"/>
  <c r="O162" i="152"/>
  <c r="N162" i="152"/>
  <c r="L162" i="152"/>
  <c r="K162" i="152"/>
  <c r="J162" i="152"/>
  <c r="Q161" i="152"/>
  <c r="M161" i="152"/>
  <c r="P160" i="152"/>
  <c r="O160" i="152"/>
  <c r="N160" i="152"/>
  <c r="L160" i="152"/>
  <c r="K160" i="152"/>
  <c r="J160" i="152"/>
  <c r="M159" i="152"/>
  <c r="J159" i="152"/>
  <c r="Q158" i="152"/>
  <c r="M158" i="152"/>
  <c r="P157" i="152"/>
  <c r="O157" i="152"/>
  <c r="N157" i="152"/>
  <c r="L157" i="152"/>
  <c r="K157" i="152"/>
  <c r="J157" i="152"/>
  <c r="Q156" i="152"/>
  <c r="M156" i="152"/>
  <c r="Q155" i="152"/>
  <c r="K155" i="152"/>
  <c r="M155" i="152" s="1"/>
  <c r="Q154" i="152"/>
  <c r="M154" i="152"/>
  <c r="P153" i="152"/>
  <c r="O153" i="152"/>
  <c r="N153" i="152"/>
  <c r="L153" i="152"/>
  <c r="K153" i="152"/>
  <c r="J153" i="152"/>
  <c r="I193" i="152"/>
  <c r="Q152" i="152"/>
  <c r="M152" i="152"/>
  <c r="Q151" i="152"/>
  <c r="M151" i="152"/>
  <c r="P150" i="152"/>
  <c r="O150" i="152"/>
  <c r="N150" i="152"/>
  <c r="L150" i="152"/>
  <c r="K150" i="152"/>
  <c r="J150" i="152"/>
  <c r="Q149" i="152"/>
  <c r="M149" i="152"/>
  <c r="Q148" i="152"/>
  <c r="L148" i="152"/>
  <c r="K148" i="152"/>
  <c r="J148" i="152"/>
  <c r="P147" i="152"/>
  <c r="O147" i="152"/>
  <c r="N147" i="152"/>
  <c r="L147" i="152"/>
  <c r="K147" i="152"/>
  <c r="J147" i="152"/>
  <c r="Q145" i="152"/>
  <c r="M145" i="152"/>
  <c r="P144" i="152"/>
  <c r="O144" i="152"/>
  <c r="N144" i="152"/>
  <c r="L144" i="152"/>
  <c r="K144" i="152"/>
  <c r="J144" i="152"/>
  <c r="P143" i="152"/>
  <c r="O143" i="152"/>
  <c r="N143" i="152"/>
  <c r="L143" i="152"/>
  <c r="K143" i="152"/>
  <c r="J143" i="152"/>
  <c r="Q142" i="152"/>
  <c r="M142" i="152"/>
  <c r="P141" i="152"/>
  <c r="O141" i="152"/>
  <c r="N141" i="152"/>
  <c r="L141" i="152"/>
  <c r="K141" i="152"/>
  <c r="J141" i="152"/>
  <c r="P140" i="152"/>
  <c r="O140" i="152"/>
  <c r="N140" i="152"/>
  <c r="L140" i="152"/>
  <c r="K140" i="152"/>
  <c r="J140" i="152"/>
  <c r="P139" i="152"/>
  <c r="O139" i="152"/>
  <c r="N139" i="152"/>
  <c r="L139" i="152"/>
  <c r="K139" i="152"/>
  <c r="J139" i="152"/>
  <c r="Q138" i="152"/>
  <c r="M138" i="152"/>
  <c r="P137" i="152"/>
  <c r="O137" i="152"/>
  <c r="N137" i="152"/>
  <c r="K137" i="152"/>
  <c r="M137" i="152" s="1"/>
  <c r="J137" i="152"/>
  <c r="Q136" i="152"/>
  <c r="M136" i="152"/>
  <c r="P135" i="152"/>
  <c r="O135" i="152"/>
  <c r="N135" i="152"/>
  <c r="L135" i="152"/>
  <c r="K135" i="152"/>
  <c r="Q134" i="152"/>
  <c r="M134" i="152"/>
  <c r="P133" i="152"/>
  <c r="O133" i="152"/>
  <c r="N133" i="152"/>
  <c r="L133" i="152"/>
  <c r="K133" i="152"/>
  <c r="J133" i="152"/>
  <c r="Q132" i="152"/>
  <c r="M132" i="152"/>
  <c r="P131" i="152"/>
  <c r="O131" i="152"/>
  <c r="N131" i="152"/>
  <c r="L131" i="152"/>
  <c r="K131" i="152"/>
  <c r="J131" i="152"/>
  <c r="Q130" i="152"/>
  <c r="L130" i="152"/>
  <c r="K130" i="152"/>
  <c r="J130" i="152"/>
  <c r="Q129" i="152"/>
  <c r="M129" i="152"/>
  <c r="P128" i="152"/>
  <c r="O128" i="152"/>
  <c r="N128" i="152"/>
  <c r="K128" i="152"/>
  <c r="M128" i="152" s="1"/>
  <c r="J128" i="152"/>
  <c r="Q127" i="152"/>
  <c r="M127" i="152"/>
  <c r="P126" i="152"/>
  <c r="O126" i="152"/>
  <c r="N126" i="152"/>
  <c r="L126" i="152"/>
  <c r="K126" i="152"/>
  <c r="J126" i="152"/>
  <c r="Q125" i="152"/>
  <c r="M125" i="152"/>
  <c r="P124" i="152"/>
  <c r="O124" i="152"/>
  <c r="N124" i="152"/>
  <c r="L124" i="152"/>
  <c r="K124" i="152"/>
  <c r="J124" i="152"/>
  <c r="Q123" i="152"/>
  <c r="M123" i="152"/>
  <c r="P122" i="152"/>
  <c r="O122" i="152"/>
  <c r="N122" i="152"/>
  <c r="L122" i="152"/>
  <c r="K122" i="152"/>
  <c r="J122" i="152"/>
  <c r="Q121" i="152"/>
  <c r="M121" i="152"/>
  <c r="P120" i="152"/>
  <c r="O120" i="152"/>
  <c r="N120" i="152"/>
  <c r="L120" i="152"/>
  <c r="K120" i="152"/>
  <c r="J120" i="152"/>
  <c r="Q119" i="152"/>
  <c r="M119" i="152"/>
  <c r="P118" i="152"/>
  <c r="O118" i="152"/>
  <c r="N118" i="152"/>
  <c r="L118" i="152"/>
  <c r="K118" i="152"/>
  <c r="J118" i="152"/>
  <c r="Q117" i="152"/>
  <c r="M117" i="152"/>
  <c r="P116" i="152"/>
  <c r="O116" i="152"/>
  <c r="N116" i="152"/>
  <c r="L116" i="152"/>
  <c r="K116" i="152"/>
  <c r="J116" i="152"/>
  <c r="P115" i="152"/>
  <c r="O115" i="152"/>
  <c r="N115" i="152"/>
  <c r="L115" i="152"/>
  <c r="K115" i="152"/>
  <c r="J115" i="152"/>
  <c r="Q114" i="152"/>
  <c r="N114" i="152"/>
  <c r="M114" i="152"/>
  <c r="P113" i="152"/>
  <c r="O113" i="152"/>
  <c r="N113" i="152"/>
  <c r="L113" i="152"/>
  <c r="K113" i="152"/>
  <c r="J113" i="152"/>
  <c r="Q112" i="152"/>
  <c r="M112" i="152"/>
  <c r="P111" i="152"/>
  <c r="O111" i="152"/>
  <c r="N111" i="152"/>
  <c r="L111" i="152"/>
  <c r="K111" i="152"/>
  <c r="J111" i="152"/>
  <c r="Q110" i="152"/>
  <c r="M110" i="152"/>
  <c r="Q109" i="152"/>
  <c r="L109" i="152"/>
  <c r="K109" i="152"/>
  <c r="J109" i="152"/>
  <c r="P108" i="152"/>
  <c r="O108" i="152"/>
  <c r="N108" i="152"/>
  <c r="L108" i="152"/>
  <c r="K108" i="152"/>
  <c r="J108" i="152"/>
  <c r="Q107" i="152"/>
  <c r="M107" i="152"/>
  <c r="P106" i="152"/>
  <c r="O106" i="152"/>
  <c r="N106" i="152"/>
  <c r="L106" i="152"/>
  <c r="K106" i="152"/>
  <c r="J106" i="152"/>
  <c r="Q105" i="152"/>
  <c r="M105" i="152"/>
  <c r="P104" i="152"/>
  <c r="O104" i="152"/>
  <c r="N104" i="152"/>
  <c r="L104" i="152"/>
  <c r="K104" i="152"/>
  <c r="J104" i="152"/>
  <c r="Q103" i="152"/>
  <c r="M103" i="152"/>
  <c r="P102" i="152"/>
  <c r="O102" i="152"/>
  <c r="N102" i="152"/>
  <c r="L102" i="152"/>
  <c r="K102" i="152"/>
  <c r="J102" i="152"/>
  <c r="Q101" i="152"/>
  <c r="M101" i="152"/>
  <c r="P100" i="152"/>
  <c r="O100" i="152"/>
  <c r="N100" i="152"/>
  <c r="L100" i="152"/>
  <c r="K100" i="152"/>
  <c r="J100" i="152"/>
  <c r="Q99" i="152"/>
  <c r="M99" i="152"/>
  <c r="P98" i="152"/>
  <c r="O98" i="152"/>
  <c r="N98" i="152"/>
  <c r="L98" i="152"/>
  <c r="K98" i="152"/>
  <c r="J98" i="152"/>
  <c r="Q97" i="152"/>
  <c r="M97" i="152"/>
  <c r="P96" i="152"/>
  <c r="O96" i="152"/>
  <c r="N96" i="152"/>
  <c r="L96" i="152"/>
  <c r="K96" i="152"/>
  <c r="J96" i="152"/>
  <c r="Q95" i="152"/>
  <c r="M95" i="152"/>
  <c r="P94" i="152"/>
  <c r="O94" i="152"/>
  <c r="N94" i="152"/>
  <c r="L94" i="152"/>
  <c r="K94" i="152"/>
  <c r="J94" i="152"/>
  <c r="Q93" i="152"/>
  <c r="M93" i="152"/>
  <c r="Q92" i="152"/>
  <c r="L92" i="152"/>
  <c r="K92" i="152"/>
  <c r="J92" i="152"/>
  <c r="Q91" i="152"/>
  <c r="M91" i="152"/>
  <c r="P90" i="152"/>
  <c r="O90" i="152"/>
  <c r="N90" i="152"/>
  <c r="L90" i="152"/>
  <c r="K90" i="152"/>
  <c r="J90" i="152"/>
  <c r="Q89" i="152"/>
  <c r="M89" i="152"/>
  <c r="P88" i="152"/>
  <c r="O88" i="152"/>
  <c r="N88" i="152"/>
  <c r="L88" i="152"/>
  <c r="K88" i="152"/>
  <c r="J88" i="152"/>
  <c r="Q87" i="152"/>
  <c r="M87" i="152"/>
  <c r="P86" i="152"/>
  <c r="O86" i="152"/>
  <c r="N86" i="152"/>
  <c r="L86" i="152"/>
  <c r="K86" i="152"/>
  <c r="J86" i="152"/>
  <c r="Q85" i="152"/>
  <c r="M85" i="152"/>
  <c r="P84" i="152"/>
  <c r="O84" i="152"/>
  <c r="N84" i="152"/>
  <c r="L84" i="152"/>
  <c r="K84" i="152"/>
  <c r="J84" i="152"/>
  <c r="P83" i="152"/>
  <c r="O83" i="152"/>
  <c r="N83" i="152"/>
  <c r="L83" i="152"/>
  <c r="K83" i="152"/>
  <c r="J83" i="152"/>
  <c r="Q82" i="152"/>
  <c r="M82" i="152"/>
  <c r="P81" i="152"/>
  <c r="O81" i="152"/>
  <c r="N81" i="152"/>
  <c r="L81" i="152"/>
  <c r="K81" i="152"/>
  <c r="J81" i="152"/>
  <c r="P80" i="152"/>
  <c r="O80" i="152"/>
  <c r="N80" i="152"/>
  <c r="L80" i="152"/>
  <c r="K80" i="152"/>
  <c r="J80" i="152"/>
  <c r="P79" i="152"/>
  <c r="O79" i="152"/>
  <c r="N79" i="152"/>
  <c r="L79" i="152"/>
  <c r="K79" i="152"/>
  <c r="P78" i="152"/>
  <c r="O78" i="152"/>
  <c r="N78" i="152"/>
  <c r="L78" i="152"/>
  <c r="K78" i="152"/>
  <c r="J78" i="152"/>
  <c r="Q77" i="152"/>
  <c r="M77" i="152"/>
  <c r="P76" i="152"/>
  <c r="O76" i="152"/>
  <c r="N76" i="152"/>
  <c r="L76" i="152"/>
  <c r="K76" i="152"/>
  <c r="J76" i="152"/>
  <c r="P75" i="152"/>
  <c r="O75" i="152"/>
  <c r="N75" i="152"/>
  <c r="L75" i="152"/>
  <c r="K75" i="152"/>
  <c r="J75" i="152"/>
  <c r="Q74" i="152"/>
  <c r="M74" i="152"/>
  <c r="P73" i="152"/>
  <c r="O73" i="152"/>
  <c r="N73" i="152"/>
  <c r="L73" i="152"/>
  <c r="K73" i="152"/>
  <c r="J73" i="152"/>
  <c r="Q72" i="152"/>
  <c r="M72" i="152"/>
  <c r="Q71" i="152"/>
  <c r="N71" i="152"/>
  <c r="M71" i="152"/>
  <c r="Q70" i="152"/>
  <c r="M70" i="152"/>
  <c r="P69" i="152"/>
  <c r="O69" i="152"/>
  <c r="N69" i="152"/>
  <c r="L69" i="152"/>
  <c r="K69" i="152"/>
  <c r="J69" i="152"/>
  <c r="P68" i="152"/>
  <c r="O68" i="152"/>
  <c r="N68" i="152"/>
  <c r="L68" i="152"/>
  <c r="K68" i="152"/>
  <c r="J68" i="152"/>
  <c r="Q67" i="152"/>
  <c r="M67" i="152"/>
  <c r="P66" i="152"/>
  <c r="O66" i="152"/>
  <c r="N66" i="152"/>
  <c r="L66" i="152"/>
  <c r="K66" i="152"/>
  <c r="J66" i="152"/>
  <c r="Q65" i="152"/>
  <c r="M65" i="152"/>
  <c r="P64" i="152"/>
  <c r="O64" i="152"/>
  <c r="N64" i="152"/>
  <c r="L64" i="152"/>
  <c r="K64" i="152"/>
  <c r="J64" i="152"/>
  <c r="Q63" i="152"/>
  <c r="M63" i="152"/>
  <c r="P62" i="152"/>
  <c r="O62" i="152"/>
  <c r="N62" i="152"/>
  <c r="L62" i="152"/>
  <c r="K62" i="152"/>
  <c r="J62" i="152"/>
  <c r="Q61" i="152"/>
  <c r="M61" i="152"/>
  <c r="P60" i="152"/>
  <c r="O60" i="152"/>
  <c r="N60" i="152"/>
  <c r="M60" i="152"/>
  <c r="Q59" i="152"/>
  <c r="L59" i="152"/>
  <c r="K59" i="152"/>
  <c r="J59" i="152"/>
  <c r="Q58" i="152"/>
  <c r="M58" i="152"/>
  <c r="P57" i="152"/>
  <c r="O57" i="152"/>
  <c r="N57" i="152"/>
  <c r="L57" i="152"/>
  <c r="K57" i="152"/>
  <c r="J57" i="152"/>
  <c r="Q56" i="152"/>
  <c r="M56" i="152"/>
  <c r="P55" i="152"/>
  <c r="O55" i="152"/>
  <c r="N55" i="152"/>
  <c r="L55" i="152"/>
  <c r="K55" i="152"/>
  <c r="J55" i="152"/>
  <c r="Q54" i="152"/>
  <c r="M54" i="152"/>
  <c r="Q53" i="152"/>
  <c r="M53" i="152"/>
  <c r="P52" i="152"/>
  <c r="O52" i="152"/>
  <c r="N52" i="152"/>
  <c r="L52" i="152"/>
  <c r="K52" i="152"/>
  <c r="J52" i="152"/>
  <c r="Q51" i="152"/>
  <c r="M51" i="152"/>
  <c r="P50" i="152"/>
  <c r="O50" i="152"/>
  <c r="N50" i="152"/>
  <c r="L50" i="152"/>
  <c r="K50" i="152"/>
  <c r="J50" i="152"/>
  <c r="Q49" i="152"/>
  <c r="M49" i="152"/>
  <c r="P48" i="152"/>
  <c r="O48" i="152"/>
  <c r="N48" i="152"/>
  <c r="L48" i="152"/>
  <c r="K48" i="152"/>
  <c r="J48" i="152"/>
  <c r="P47" i="152"/>
  <c r="Q47" i="152" s="1"/>
  <c r="M47" i="152"/>
  <c r="P46" i="152"/>
  <c r="O46" i="152"/>
  <c r="N46" i="152"/>
  <c r="L46" i="152"/>
  <c r="K46" i="152"/>
  <c r="J46" i="152"/>
  <c r="Q45" i="152"/>
  <c r="M45" i="152"/>
  <c r="Q44" i="152"/>
  <c r="M44" i="152"/>
  <c r="Q43" i="152"/>
  <c r="M43" i="152"/>
  <c r="P42" i="152"/>
  <c r="O42" i="152"/>
  <c r="N42" i="152"/>
  <c r="L42" i="152"/>
  <c r="K42" i="152"/>
  <c r="J42" i="152"/>
  <c r="P41" i="152"/>
  <c r="O41" i="152"/>
  <c r="N41" i="152"/>
  <c r="L41" i="152"/>
  <c r="K41" i="152"/>
  <c r="J41" i="152"/>
  <c r="Q40" i="152"/>
  <c r="M40" i="152"/>
  <c r="P39" i="152"/>
  <c r="O39" i="152"/>
  <c r="N39" i="152"/>
  <c r="L39" i="152"/>
  <c r="K39" i="152"/>
  <c r="J39" i="152"/>
  <c r="Q38" i="152"/>
  <c r="M38" i="152"/>
  <c r="P37" i="152"/>
  <c r="O37" i="152"/>
  <c r="N37" i="152"/>
  <c r="L37" i="152"/>
  <c r="K37" i="152"/>
  <c r="J37" i="152"/>
  <c r="Q36" i="152"/>
  <c r="M36" i="152"/>
  <c r="P35" i="152"/>
  <c r="O35" i="152"/>
  <c r="N35" i="152"/>
  <c r="L35" i="152"/>
  <c r="K35" i="152"/>
  <c r="J35" i="152"/>
  <c r="Q34" i="152"/>
  <c r="M34" i="152"/>
  <c r="P33" i="152"/>
  <c r="O33" i="152"/>
  <c r="N33" i="152"/>
  <c r="L33" i="152"/>
  <c r="K33" i="152"/>
  <c r="J33" i="152"/>
  <c r="Q32" i="152"/>
  <c r="M32" i="152"/>
  <c r="Q31" i="152"/>
  <c r="M31" i="152"/>
  <c r="Q30" i="152"/>
  <c r="L30" i="152"/>
  <c r="K30" i="152"/>
  <c r="J30" i="152"/>
  <c r="P29" i="152"/>
  <c r="O29" i="152"/>
  <c r="N29" i="152"/>
  <c r="L29" i="152"/>
  <c r="K29" i="152"/>
  <c r="J29" i="152"/>
  <c r="Q28" i="152"/>
  <c r="N28" i="152"/>
  <c r="L28" i="152"/>
  <c r="K28" i="152"/>
  <c r="J28" i="152"/>
  <c r="Q27" i="152"/>
  <c r="M27" i="152"/>
  <c r="P26" i="152"/>
  <c r="O26" i="152"/>
  <c r="N26" i="152"/>
  <c r="L26" i="152"/>
  <c r="K26" i="152"/>
  <c r="J26" i="152"/>
  <c r="P25" i="152"/>
  <c r="O25" i="152"/>
  <c r="N25" i="152"/>
  <c r="L25" i="152"/>
  <c r="K25" i="152"/>
  <c r="J25" i="152"/>
  <c r="Q23" i="152"/>
  <c r="M23" i="152"/>
  <c r="J23" i="152"/>
  <c r="P22" i="152"/>
  <c r="O22" i="152"/>
  <c r="N22" i="152"/>
  <c r="L22" i="152"/>
  <c r="K22" i="152"/>
  <c r="J22" i="152"/>
  <c r="Q21" i="152"/>
  <c r="M21" i="152"/>
  <c r="P20" i="152"/>
  <c r="O20" i="152"/>
  <c r="N20" i="152"/>
  <c r="L20" i="152"/>
  <c r="K20" i="152"/>
  <c r="J20" i="152"/>
  <c r="P19" i="152"/>
  <c r="O19" i="152"/>
  <c r="N19" i="152"/>
  <c r="L19" i="152"/>
  <c r="K19" i="152"/>
  <c r="J19" i="152"/>
  <c r="Q18" i="152"/>
  <c r="M18" i="152"/>
  <c r="P17" i="152"/>
  <c r="O17" i="152"/>
  <c r="N17" i="152"/>
  <c r="L17" i="152"/>
  <c r="K17" i="152"/>
  <c r="J17" i="152"/>
  <c r="Q16" i="152"/>
  <c r="M16" i="152"/>
  <c r="P15" i="152"/>
  <c r="O15" i="152"/>
  <c r="N15" i="152"/>
  <c r="L15" i="152"/>
  <c r="K15" i="152"/>
  <c r="J15" i="152"/>
  <c r="Q14" i="152"/>
  <c r="M14" i="152"/>
  <c r="P13" i="152"/>
  <c r="O13" i="152"/>
  <c r="N13" i="152"/>
  <c r="L13" i="152"/>
  <c r="K13" i="152"/>
  <c r="J13" i="152"/>
  <c r="Q12" i="152"/>
  <c r="L12" i="152"/>
  <c r="K12" i="152"/>
  <c r="J12" i="152"/>
  <c r="Q11" i="152"/>
  <c r="M11" i="152"/>
  <c r="P10" i="152"/>
  <c r="O10" i="152"/>
  <c r="N10" i="152"/>
  <c r="L10" i="152"/>
  <c r="K10" i="152"/>
  <c r="J10" i="152"/>
  <c r="M119" i="153"/>
  <c r="M105" i="153"/>
  <c r="M101" i="153"/>
  <c r="M77" i="153"/>
  <c r="M193" i="154" l="1"/>
  <c r="M188" i="152"/>
  <c r="J193" i="152"/>
  <c r="L193" i="152"/>
  <c r="O193" i="152"/>
  <c r="Q13" i="152"/>
  <c r="Q15" i="152"/>
  <c r="Q17" i="152"/>
  <c r="Q19" i="152"/>
  <c r="Q20" i="152"/>
  <c r="Q22" i="152"/>
  <c r="M25" i="152"/>
  <c r="M26" i="152"/>
  <c r="M28" i="152"/>
  <c r="Q29" i="152"/>
  <c r="Q33" i="152"/>
  <c r="Q35" i="152"/>
  <c r="Q37" i="152"/>
  <c r="Q39" i="152"/>
  <c r="Q41" i="152"/>
  <c r="Q42" i="152"/>
  <c r="Q46" i="152"/>
  <c r="M48" i="152"/>
  <c r="M50" i="152"/>
  <c r="M52" i="152"/>
  <c r="M55" i="152"/>
  <c r="M57" i="152"/>
  <c r="M59" i="152"/>
  <c r="M62" i="152"/>
  <c r="M64" i="152"/>
  <c r="M66" i="152"/>
  <c r="M68" i="152"/>
  <c r="M69" i="152"/>
  <c r="Q73" i="152"/>
  <c r="Q75" i="152"/>
  <c r="Q76" i="152"/>
  <c r="Q78" i="152"/>
  <c r="M79" i="152"/>
  <c r="M80" i="152"/>
  <c r="M81" i="152"/>
  <c r="M83" i="152"/>
  <c r="M84" i="152"/>
  <c r="M86" i="152"/>
  <c r="M88" i="152"/>
  <c r="M90" i="152"/>
  <c r="M92" i="152"/>
  <c r="M94" i="152"/>
  <c r="M96" i="152"/>
  <c r="M98" i="152"/>
  <c r="M100" i="152"/>
  <c r="M102" i="152"/>
  <c r="M104" i="152"/>
  <c r="M106" i="152"/>
  <c r="M108" i="152"/>
  <c r="M109" i="152"/>
  <c r="M111" i="152"/>
  <c r="M113" i="152"/>
  <c r="Q115" i="152"/>
  <c r="Q116" i="152"/>
  <c r="Q118" i="152"/>
  <c r="Q120" i="152"/>
  <c r="Q122" i="152"/>
  <c r="Q124" i="152"/>
  <c r="Q126" i="152"/>
  <c r="Q128" i="152"/>
  <c r="Q131" i="152"/>
  <c r="Q133" i="152"/>
  <c r="M135" i="152"/>
  <c r="Q137" i="152"/>
  <c r="Q139" i="152"/>
  <c r="Q140" i="152"/>
  <c r="Q141" i="152"/>
  <c r="Q143" i="152"/>
  <c r="Q144" i="152"/>
  <c r="Q147" i="152"/>
  <c r="Q150" i="152"/>
  <c r="M153" i="152"/>
  <c r="M157" i="152"/>
  <c r="M160" i="152"/>
  <c r="M162" i="152"/>
  <c r="M165" i="152"/>
  <c r="Q167" i="152"/>
  <c r="Q169" i="152"/>
  <c r="M174" i="152"/>
  <c r="M179" i="152"/>
  <c r="Q181" i="152"/>
  <c r="Q182" i="152"/>
  <c r="Q184" i="152"/>
  <c r="Q186" i="152"/>
  <c r="M10" i="152"/>
  <c r="N193" i="152"/>
  <c r="P193" i="152"/>
  <c r="M12" i="152"/>
  <c r="M13" i="152"/>
  <c r="M15" i="152"/>
  <c r="M17" i="152"/>
  <c r="M19" i="152"/>
  <c r="M20" i="152"/>
  <c r="M22" i="152"/>
  <c r="Q25" i="152"/>
  <c r="Q26" i="152"/>
  <c r="M29" i="152"/>
  <c r="M30" i="152"/>
  <c r="M33" i="152"/>
  <c r="M35" i="152"/>
  <c r="M37" i="152"/>
  <c r="M39" i="152"/>
  <c r="M41" i="152"/>
  <c r="M42" i="152"/>
  <c r="M46" i="152"/>
  <c r="Q48" i="152"/>
  <c r="Q50" i="152"/>
  <c r="Q52" i="152"/>
  <c r="Q55" i="152"/>
  <c r="Q57" i="152"/>
  <c r="Q60" i="152"/>
  <c r="Q62" i="152"/>
  <c r="Q64" i="152"/>
  <c r="Q66" i="152"/>
  <c r="Q68" i="152"/>
  <c r="Q69" i="152"/>
  <c r="M73" i="152"/>
  <c r="M75" i="152"/>
  <c r="M76" i="152"/>
  <c r="M78" i="152"/>
  <c r="Q79" i="152"/>
  <c r="Q80" i="152"/>
  <c r="Q81" i="152"/>
  <c r="Q83" i="152"/>
  <c r="Q84" i="152"/>
  <c r="Q86" i="152"/>
  <c r="Q88" i="152"/>
  <c r="Q90" i="152"/>
  <c r="Q94" i="152"/>
  <c r="Q96" i="152"/>
  <c r="Q98" i="152"/>
  <c r="Q100" i="152"/>
  <c r="Q102" i="152"/>
  <c r="Q104" i="152"/>
  <c r="Q106" i="152"/>
  <c r="Q108" i="152"/>
  <c r="Q111" i="152"/>
  <c r="Q113" i="152"/>
  <c r="M115" i="152"/>
  <c r="M116" i="152"/>
  <c r="M118" i="152"/>
  <c r="M120" i="152"/>
  <c r="M122" i="152"/>
  <c r="M124" i="152"/>
  <c r="M126" i="152"/>
  <c r="M130" i="152"/>
  <c r="M131" i="152"/>
  <c r="M133" i="152"/>
  <c r="Q135" i="152"/>
  <c r="M139" i="152"/>
  <c r="M140" i="152"/>
  <c r="M141" i="152"/>
  <c r="M143" i="152"/>
  <c r="M144" i="152"/>
  <c r="M147" i="152"/>
  <c r="M148" i="152"/>
  <c r="M150" i="152"/>
  <c r="Q153" i="152"/>
  <c r="Q157" i="152"/>
  <c r="Q160" i="152"/>
  <c r="Q162" i="152"/>
  <c r="Q165" i="152"/>
  <c r="M169" i="152"/>
  <c r="M171" i="152"/>
  <c r="Q174" i="152"/>
  <c r="Q179" i="152"/>
  <c r="M182" i="152"/>
  <c r="M184" i="152"/>
  <c r="M186" i="152"/>
  <c r="Q188" i="152"/>
  <c r="Q10" i="152"/>
  <c r="K193" i="152"/>
  <c r="M193" i="152" s="1"/>
  <c r="N80" i="153"/>
  <c r="J80" i="153"/>
  <c r="Q193" i="152" l="1"/>
  <c r="J147" i="153"/>
  <c r="N183" i="153"/>
  <c r="N181" i="153"/>
  <c r="J181" i="153"/>
  <c r="J170" i="153"/>
  <c r="J139" i="153"/>
  <c r="J144" i="153"/>
  <c r="N131" i="153"/>
  <c r="J131" i="153"/>
  <c r="J124" i="153"/>
  <c r="N118" i="153"/>
  <c r="J118" i="153"/>
  <c r="N98" i="153"/>
  <c r="J100" i="153"/>
  <c r="J96" i="153"/>
  <c r="N90" i="153"/>
  <c r="J78" i="153"/>
  <c r="N73" i="153"/>
  <c r="J73" i="153"/>
  <c r="J35" i="153"/>
  <c r="J19" i="153"/>
  <c r="J22" i="153"/>
  <c r="J13" i="153"/>
  <c r="J190" i="153" l="1"/>
  <c r="I187" i="153"/>
  <c r="N152" i="153"/>
  <c r="I152" i="153"/>
  <c r="J30" i="153"/>
  <c r="I190" i="153" l="1"/>
  <c r="J152" i="153"/>
  <c r="I191" i="153"/>
  <c r="H191" i="153"/>
  <c r="Q190" i="153"/>
  <c r="N190" i="153"/>
  <c r="M190" i="153"/>
  <c r="Q189" i="153"/>
  <c r="M189" i="153"/>
  <c r="Q188" i="153"/>
  <c r="M188" i="153"/>
  <c r="P187" i="153"/>
  <c r="O187" i="153"/>
  <c r="N187" i="153"/>
  <c r="L187" i="153"/>
  <c r="K187" i="153"/>
  <c r="J187" i="153"/>
  <c r="Q186" i="153"/>
  <c r="M186" i="153"/>
  <c r="P185" i="153"/>
  <c r="O185" i="153"/>
  <c r="N185" i="153"/>
  <c r="L185" i="153"/>
  <c r="K185" i="153"/>
  <c r="J185" i="153"/>
  <c r="Q184" i="153"/>
  <c r="M184" i="153"/>
  <c r="P183" i="153"/>
  <c r="O183" i="153"/>
  <c r="L183" i="153"/>
  <c r="K183" i="153"/>
  <c r="J183" i="153"/>
  <c r="Q182" i="153"/>
  <c r="M182" i="153"/>
  <c r="P181" i="153"/>
  <c r="O181" i="153"/>
  <c r="L181" i="153"/>
  <c r="K181" i="153"/>
  <c r="P180" i="153"/>
  <c r="O180" i="153"/>
  <c r="N180" i="153"/>
  <c r="M180" i="153"/>
  <c r="J180" i="153"/>
  <c r="Q179" i="153"/>
  <c r="M179" i="153"/>
  <c r="P178" i="153"/>
  <c r="O178" i="153"/>
  <c r="N178" i="153"/>
  <c r="L178" i="153"/>
  <c r="K178" i="153"/>
  <c r="J178" i="153"/>
  <c r="Q177" i="153"/>
  <c r="M177" i="153"/>
  <c r="M176" i="153"/>
  <c r="M175" i="153"/>
  <c r="Q174" i="153"/>
  <c r="M174" i="153"/>
  <c r="P173" i="153"/>
  <c r="O173" i="153"/>
  <c r="N173" i="153"/>
  <c r="L173" i="153"/>
  <c r="K173" i="153"/>
  <c r="J173" i="153"/>
  <c r="Q172" i="153"/>
  <c r="M172" i="153"/>
  <c r="Q171" i="153"/>
  <c r="M171" i="153"/>
  <c r="L170" i="153"/>
  <c r="K170" i="153"/>
  <c r="Q169" i="153"/>
  <c r="M169" i="153"/>
  <c r="P168" i="153"/>
  <c r="O168" i="153"/>
  <c r="N168" i="153"/>
  <c r="L168" i="153"/>
  <c r="K168" i="153"/>
  <c r="J168" i="153"/>
  <c r="Q167" i="153"/>
  <c r="M167" i="153"/>
  <c r="P166" i="153"/>
  <c r="O166" i="153"/>
  <c r="N166" i="153"/>
  <c r="K166" i="153"/>
  <c r="M166" i="153" s="1"/>
  <c r="J166" i="153"/>
  <c r="Q165" i="153"/>
  <c r="M165" i="153"/>
  <c r="P164" i="153"/>
  <c r="O164" i="153"/>
  <c r="N164" i="153"/>
  <c r="L164" i="153"/>
  <c r="K164" i="153"/>
  <c r="J164" i="153"/>
  <c r="Q163" i="153"/>
  <c r="M163" i="153"/>
  <c r="Q162" i="153"/>
  <c r="M162" i="153"/>
  <c r="P161" i="153"/>
  <c r="O161" i="153"/>
  <c r="N161" i="153"/>
  <c r="L161" i="153"/>
  <c r="K161" i="153"/>
  <c r="J161" i="153"/>
  <c r="Q160" i="153"/>
  <c r="M160" i="153"/>
  <c r="P159" i="153"/>
  <c r="O159" i="153"/>
  <c r="N159" i="153"/>
  <c r="L159" i="153"/>
  <c r="K159" i="153"/>
  <c r="J159" i="153"/>
  <c r="M158" i="153"/>
  <c r="J158" i="153"/>
  <c r="Q157" i="153"/>
  <c r="M157" i="153"/>
  <c r="P156" i="153"/>
  <c r="O156" i="153"/>
  <c r="N156" i="153"/>
  <c r="L156" i="153"/>
  <c r="K156" i="153"/>
  <c r="J156" i="153"/>
  <c r="Q155" i="153"/>
  <c r="M155" i="153"/>
  <c r="Q154" i="153"/>
  <c r="K154" i="153"/>
  <c r="M154" i="153" s="1"/>
  <c r="Q153" i="153"/>
  <c r="M153" i="153"/>
  <c r="P152" i="153"/>
  <c r="O152" i="153"/>
  <c r="L152" i="153"/>
  <c r="K152" i="153"/>
  <c r="Q151" i="153"/>
  <c r="M151" i="153"/>
  <c r="Q150" i="153"/>
  <c r="M150" i="153"/>
  <c r="P149" i="153"/>
  <c r="O149" i="153"/>
  <c r="N149" i="153"/>
  <c r="L149" i="153"/>
  <c r="K149" i="153"/>
  <c r="J149" i="153"/>
  <c r="Q148" i="153"/>
  <c r="M148" i="153"/>
  <c r="Q147" i="153"/>
  <c r="L147" i="153"/>
  <c r="K147" i="153"/>
  <c r="P146" i="153"/>
  <c r="O146" i="153"/>
  <c r="N146" i="153"/>
  <c r="L146" i="153"/>
  <c r="K146" i="153"/>
  <c r="J146" i="153"/>
  <c r="Q145" i="153"/>
  <c r="M145" i="153"/>
  <c r="P144" i="153"/>
  <c r="O144" i="153"/>
  <c r="N144" i="153"/>
  <c r="L144" i="153"/>
  <c r="K144" i="153"/>
  <c r="P143" i="153"/>
  <c r="O143" i="153"/>
  <c r="N143" i="153"/>
  <c r="L143" i="153"/>
  <c r="K143" i="153"/>
  <c r="J143" i="153"/>
  <c r="Q142" i="153"/>
  <c r="M142" i="153"/>
  <c r="P141" i="153"/>
  <c r="O141" i="153"/>
  <c r="N141" i="153"/>
  <c r="L141" i="153"/>
  <c r="K141" i="153"/>
  <c r="J141" i="153"/>
  <c r="P140" i="153"/>
  <c r="O140" i="153"/>
  <c r="N140" i="153"/>
  <c r="L140" i="153"/>
  <c r="K140" i="153"/>
  <c r="J140" i="153"/>
  <c r="P139" i="153"/>
  <c r="O139" i="153"/>
  <c r="N139" i="153"/>
  <c r="L139" i="153"/>
  <c r="K139" i="153"/>
  <c r="Q138" i="153"/>
  <c r="M138" i="153"/>
  <c r="P137" i="153"/>
  <c r="O137" i="153"/>
  <c r="N137" i="153"/>
  <c r="K137" i="153"/>
  <c r="M137" i="153" s="1"/>
  <c r="J137" i="153"/>
  <c r="Q136" i="153"/>
  <c r="M136" i="153"/>
  <c r="P135" i="153"/>
  <c r="O135" i="153"/>
  <c r="N135" i="153"/>
  <c r="L135" i="153"/>
  <c r="K135" i="153"/>
  <c r="Q134" i="153"/>
  <c r="M134" i="153"/>
  <c r="P133" i="153"/>
  <c r="O133" i="153"/>
  <c r="N133" i="153"/>
  <c r="L133" i="153"/>
  <c r="K133" i="153"/>
  <c r="J133" i="153"/>
  <c r="Q132" i="153"/>
  <c r="M132" i="153"/>
  <c r="P131" i="153"/>
  <c r="O131" i="153"/>
  <c r="L131" i="153"/>
  <c r="K131" i="153"/>
  <c r="Q130" i="153"/>
  <c r="L130" i="153"/>
  <c r="K130" i="153"/>
  <c r="J130" i="153"/>
  <c r="Q129" i="153"/>
  <c r="M129" i="153"/>
  <c r="P128" i="153"/>
  <c r="O128" i="153"/>
  <c r="N128" i="153"/>
  <c r="K128" i="153"/>
  <c r="M128" i="153" s="1"/>
  <c r="J128" i="153"/>
  <c r="Q127" i="153"/>
  <c r="M127" i="153"/>
  <c r="P126" i="153"/>
  <c r="O126" i="153"/>
  <c r="N126" i="153"/>
  <c r="L126" i="153"/>
  <c r="K126" i="153"/>
  <c r="J126" i="153"/>
  <c r="Q125" i="153"/>
  <c r="M125" i="153"/>
  <c r="P124" i="153"/>
  <c r="O124" i="153"/>
  <c r="N124" i="153"/>
  <c r="L124" i="153"/>
  <c r="K124" i="153"/>
  <c r="Q123" i="153"/>
  <c r="M123" i="153"/>
  <c r="P122" i="153"/>
  <c r="O122" i="153"/>
  <c r="N122" i="153"/>
  <c r="L122" i="153"/>
  <c r="K122" i="153"/>
  <c r="J122" i="153"/>
  <c r="Q121" i="153"/>
  <c r="M121" i="153"/>
  <c r="P120" i="153"/>
  <c r="O120" i="153"/>
  <c r="N120" i="153"/>
  <c r="L120" i="153"/>
  <c r="K120" i="153"/>
  <c r="J120" i="153"/>
  <c r="Q119" i="153"/>
  <c r="P118" i="153"/>
  <c r="O118" i="153"/>
  <c r="L118" i="153"/>
  <c r="K118" i="153"/>
  <c r="Q117" i="153"/>
  <c r="M117" i="153"/>
  <c r="P116" i="153"/>
  <c r="O116" i="153"/>
  <c r="N116" i="153"/>
  <c r="L116" i="153"/>
  <c r="K116" i="153"/>
  <c r="J116" i="153"/>
  <c r="P115" i="153"/>
  <c r="O115" i="153"/>
  <c r="N115" i="153"/>
  <c r="L115" i="153"/>
  <c r="K115" i="153"/>
  <c r="J115" i="153"/>
  <c r="Q114" i="153"/>
  <c r="N114" i="153"/>
  <c r="M114" i="153"/>
  <c r="P113" i="153"/>
  <c r="O113" i="153"/>
  <c r="N113" i="153"/>
  <c r="L113" i="153"/>
  <c r="K113" i="153"/>
  <c r="J113" i="153"/>
  <c r="Q112" i="153"/>
  <c r="M112" i="153"/>
  <c r="P111" i="153"/>
  <c r="O111" i="153"/>
  <c r="N111" i="153"/>
  <c r="L111" i="153"/>
  <c r="K111" i="153"/>
  <c r="J111" i="153"/>
  <c r="Q110" i="153"/>
  <c r="M110" i="153"/>
  <c r="Q109" i="153"/>
  <c r="L109" i="153"/>
  <c r="K109" i="153"/>
  <c r="J109" i="153"/>
  <c r="P108" i="153"/>
  <c r="O108" i="153"/>
  <c r="N108" i="153"/>
  <c r="L108" i="153"/>
  <c r="K108" i="153"/>
  <c r="J108" i="153"/>
  <c r="Q107" i="153"/>
  <c r="M107" i="153"/>
  <c r="P106" i="153"/>
  <c r="O106" i="153"/>
  <c r="N106" i="153"/>
  <c r="L106" i="153"/>
  <c r="K106" i="153"/>
  <c r="J106" i="153"/>
  <c r="Q105" i="153"/>
  <c r="P104" i="153"/>
  <c r="O104" i="153"/>
  <c r="N104" i="153"/>
  <c r="L104" i="153"/>
  <c r="K104" i="153"/>
  <c r="J104" i="153"/>
  <c r="Q103" i="153"/>
  <c r="M103" i="153"/>
  <c r="P102" i="153"/>
  <c r="O102" i="153"/>
  <c r="N102" i="153"/>
  <c r="L102" i="153"/>
  <c r="K102" i="153"/>
  <c r="J102" i="153"/>
  <c r="Q101" i="153"/>
  <c r="P100" i="153"/>
  <c r="O100" i="153"/>
  <c r="N100" i="153"/>
  <c r="L100" i="153"/>
  <c r="K100" i="153"/>
  <c r="Q99" i="153"/>
  <c r="M99" i="153"/>
  <c r="P98" i="153"/>
  <c r="O98" i="153"/>
  <c r="L98" i="153"/>
  <c r="K98" i="153"/>
  <c r="J98" i="153"/>
  <c r="Q97" i="153"/>
  <c r="M97" i="153"/>
  <c r="P96" i="153"/>
  <c r="O96" i="153"/>
  <c r="N96" i="153"/>
  <c r="L96" i="153"/>
  <c r="K96" i="153"/>
  <c r="Q95" i="153"/>
  <c r="M95" i="153"/>
  <c r="P94" i="153"/>
  <c r="O94" i="153"/>
  <c r="N94" i="153"/>
  <c r="L94" i="153"/>
  <c r="K94" i="153"/>
  <c r="J94" i="153"/>
  <c r="Q93" i="153"/>
  <c r="M93" i="153"/>
  <c r="Q92" i="153"/>
  <c r="L92" i="153"/>
  <c r="K92" i="153"/>
  <c r="J92" i="153"/>
  <c r="Q91" i="153"/>
  <c r="M91" i="153"/>
  <c r="P90" i="153"/>
  <c r="O90" i="153"/>
  <c r="L90" i="153"/>
  <c r="K90" i="153"/>
  <c r="J90" i="153"/>
  <c r="Q89" i="153"/>
  <c r="M89" i="153"/>
  <c r="P88" i="153"/>
  <c r="O88" i="153"/>
  <c r="N88" i="153"/>
  <c r="L88" i="153"/>
  <c r="K88" i="153"/>
  <c r="J88" i="153"/>
  <c r="Q87" i="153"/>
  <c r="M87" i="153"/>
  <c r="P86" i="153"/>
  <c r="O86" i="153"/>
  <c r="N86" i="153"/>
  <c r="L86" i="153"/>
  <c r="K86" i="153"/>
  <c r="J86" i="153"/>
  <c r="Q85" i="153"/>
  <c r="M85" i="153"/>
  <c r="P84" i="153"/>
  <c r="O84" i="153"/>
  <c r="N84" i="153"/>
  <c r="L84" i="153"/>
  <c r="K84" i="153"/>
  <c r="J84" i="153"/>
  <c r="P83" i="153"/>
  <c r="O83" i="153"/>
  <c r="N83" i="153"/>
  <c r="L83" i="153"/>
  <c r="K83" i="153"/>
  <c r="J83" i="153"/>
  <c r="Q82" i="153"/>
  <c r="M82" i="153"/>
  <c r="P81" i="153"/>
  <c r="O81" i="153"/>
  <c r="N81" i="153"/>
  <c r="L81" i="153"/>
  <c r="K81" i="153"/>
  <c r="J81" i="153"/>
  <c r="P80" i="153"/>
  <c r="O80" i="153"/>
  <c r="L80" i="153"/>
  <c r="K80" i="153"/>
  <c r="P79" i="153"/>
  <c r="O79" i="153"/>
  <c r="N79" i="153"/>
  <c r="L79" i="153"/>
  <c r="K79" i="153"/>
  <c r="P78" i="153"/>
  <c r="O78" i="153"/>
  <c r="N78" i="153"/>
  <c r="L78" i="153"/>
  <c r="K78" i="153"/>
  <c r="Q77" i="153"/>
  <c r="P76" i="153"/>
  <c r="O76" i="153"/>
  <c r="N76" i="153"/>
  <c r="L76" i="153"/>
  <c r="K76" i="153"/>
  <c r="J76" i="153"/>
  <c r="P75" i="153"/>
  <c r="O75" i="153"/>
  <c r="N75" i="153"/>
  <c r="L75" i="153"/>
  <c r="K75" i="153"/>
  <c r="J75" i="153"/>
  <c r="Q74" i="153"/>
  <c r="M74" i="153"/>
  <c r="P73" i="153"/>
  <c r="O73" i="153"/>
  <c r="L73" i="153"/>
  <c r="K73" i="153"/>
  <c r="Q72" i="153"/>
  <c r="M72" i="153"/>
  <c r="Q71" i="153"/>
  <c r="N71" i="153"/>
  <c r="M71" i="153"/>
  <c r="Q70" i="153"/>
  <c r="M70" i="153"/>
  <c r="P69" i="153"/>
  <c r="O69" i="153"/>
  <c r="N69" i="153"/>
  <c r="L69" i="153"/>
  <c r="K69" i="153"/>
  <c r="J69" i="153"/>
  <c r="P68" i="153"/>
  <c r="O68" i="153"/>
  <c r="N68" i="153"/>
  <c r="L68" i="153"/>
  <c r="K68" i="153"/>
  <c r="J68" i="153"/>
  <c r="Q67" i="153"/>
  <c r="M67" i="153"/>
  <c r="P66" i="153"/>
  <c r="O66" i="153"/>
  <c r="N66" i="153"/>
  <c r="L66" i="153"/>
  <c r="K66" i="153"/>
  <c r="J66" i="153"/>
  <c r="Q65" i="153"/>
  <c r="M65" i="153"/>
  <c r="P64" i="153"/>
  <c r="O64" i="153"/>
  <c r="N64" i="153"/>
  <c r="L64" i="153"/>
  <c r="K64" i="153"/>
  <c r="J64" i="153"/>
  <c r="Q63" i="153"/>
  <c r="M63" i="153"/>
  <c r="P62" i="153"/>
  <c r="O62" i="153"/>
  <c r="N62" i="153"/>
  <c r="L62" i="153"/>
  <c r="K62" i="153"/>
  <c r="J62" i="153"/>
  <c r="Q61" i="153"/>
  <c r="M61" i="153"/>
  <c r="P60" i="153"/>
  <c r="O60" i="153"/>
  <c r="N60" i="153"/>
  <c r="M60" i="153"/>
  <c r="Q59" i="153"/>
  <c r="L59" i="153"/>
  <c r="K59" i="153"/>
  <c r="J59" i="153"/>
  <c r="Q58" i="153"/>
  <c r="M58" i="153"/>
  <c r="P57" i="153"/>
  <c r="O57" i="153"/>
  <c r="N57" i="153"/>
  <c r="L57" i="153"/>
  <c r="K57" i="153"/>
  <c r="J57" i="153"/>
  <c r="Q56" i="153"/>
  <c r="M56" i="153"/>
  <c r="P55" i="153"/>
  <c r="O55" i="153"/>
  <c r="N55" i="153"/>
  <c r="L55" i="153"/>
  <c r="K55" i="153"/>
  <c r="J55" i="153"/>
  <c r="Q54" i="153"/>
  <c r="M54" i="153"/>
  <c r="Q53" i="153"/>
  <c r="M53" i="153"/>
  <c r="P52" i="153"/>
  <c r="O52" i="153"/>
  <c r="N52" i="153"/>
  <c r="L52" i="153"/>
  <c r="K52" i="153"/>
  <c r="J52" i="153"/>
  <c r="Q51" i="153"/>
  <c r="M51" i="153"/>
  <c r="P50" i="153"/>
  <c r="O50" i="153"/>
  <c r="N50" i="153"/>
  <c r="L50" i="153"/>
  <c r="K50" i="153"/>
  <c r="J50" i="153"/>
  <c r="Q49" i="153"/>
  <c r="M49" i="153"/>
  <c r="P48" i="153"/>
  <c r="O48" i="153"/>
  <c r="N48" i="153"/>
  <c r="L48" i="153"/>
  <c r="K48" i="153"/>
  <c r="J48" i="153"/>
  <c r="P47" i="153"/>
  <c r="Q47" i="153" s="1"/>
  <c r="M47" i="153"/>
  <c r="P46" i="153"/>
  <c r="O46" i="153"/>
  <c r="N46" i="153"/>
  <c r="L46" i="153"/>
  <c r="K46" i="153"/>
  <c r="J46" i="153"/>
  <c r="Q45" i="153"/>
  <c r="M45" i="153"/>
  <c r="Q44" i="153"/>
  <c r="M44" i="153"/>
  <c r="Q43" i="153"/>
  <c r="M43" i="153"/>
  <c r="P42" i="153"/>
  <c r="O42" i="153"/>
  <c r="N42" i="153"/>
  <c r="L42" i="153"/>
  <c r="K42" i="153"/>
  <c r="J42" i="153"/>
  <c r="P41" i="153"/>
  <c r="O41" i="153"/>
  <c r="N41" i="153"/>
  <c r="L41" i="153"/>
  <c r="K41" i="153"/>
  <c r="J41" i="153"/>
  <c r="Q40" i="153"/>
  <c r="M40" i="153"/>
  <c r="P39" i="153"/>
  <c r="O39" i="153"/>
  <c r="N39" i="153"/>
  <c r="L39" i="153"/>
  <c r="K39" i="153"/>
  <c r="J39" i="153"/>
  <c r="Q38" i="153"/>
  <c r="M38" i="153"/>
  <c r="P37" i="153"/>
  <c r="O37" i="153"/>
  <c r="N37" i="153"/>
  <c r="L37" i="153"/>
  <c r="K37" i="153"/>
  <c r="J37" i="153"/>
  <c r="Q36" i="153"/>
  <c r="M36" i="153"/>
  <c r="P35" i="153"/>
  <c r="O35" i="153"/>
  <c r="N35" i="153"/>
  <c r="L35" i="153"/>
  <c r="K35" i="153"/>
  <c r="Q34" i="153"/>
  <c r="M34" i="153"/>
  <c r="P33" i="153"/>
  <c r="O33" i="153"/>
  <c r="N33" i="153"/>
  <c r="L33" i="153"/>
  <c r="K33" i="153"/>
  <c r="J33" i="153"/>
  <c r="Q32" i="153"/>
  <c r="M32" i="153"/>
  <c r="Q31" i="153"/>
  <c r="M31" i="153"/>
  <c r="Q30" i="153"/>
  <c r="L30" i="153"/>
  <c r="K30" i="153"/>
  <c r="P29" i="153"/>
  <c r="O29" i="153"/>
  <c r="N29" i="153"/>
  <c r="L29" i="153"/>
  <c r="K29" i="153"/>
  <c r="J29" i="153"/>
  <c r="Q28" i="153"/>
  <c r="N28" i="153"/>
  <c r="L28" i="153"/>
  <c r="K28" i="153"/>
  <c r="J28" i="153"/>
  <c r="Q27" i="153"/>
  <c r="M27" i="153"/>
  <c r="P26" i="153"/>
  <c r="O26" i="153"/>
  <c r="N26" i="153"/>
  <c r="L26" i="153"/>
  <c r="K26" i="153"/>
  <c r="J26" i="153"/>
  <c r="P25" i="153"/>
  <c r="O25" i="153"/>
  <c r="N25" i="153"/>
  <c r="L25" i="153"/>
  <c r="K25" i="153"/>
  <c r="J25" i="153"/>
  <c r="Q23" i="153"/>
  <c r="M23" i="153"/>
  <c r="J23" i="153"/>
  <c r="P22" i="153"/>
  <c r="O22" i="153"/>
  <c r="N22" i="153"/>
  <c r="L22" i="153"/>
  <c r="K22" i="153"/>
  <c r="Q21" i="153"/>
  <c r="M21" i="153"/>
  <c r="P20" i="153"/>
  <c r="O20" i="153"/>
  <c r="N20" i="153"/>
  <c r="L20" i="153"/>
  <c r="K20" i="153"/>
  <c r="J20" i="153"/>
  <c r="P19" i="153"/>
  <c r="O19" i="153"/>
  <c r="N19" i="153"/>
  <c r="L19" i="153"/>
  <c r="K19" i="153"/>
  <c r="Q18" i="153"/>
  <c r="M18" i="153"/>
  <c r="P17" i="153"/>
  <c r="O17" i="153"/>
  <c r="N17" i="153"/>
  <c r="L17" i="153"/>
  <c r="K17" i="153"/>
  <c r="J17" i="153"/>
  <c r="Q16" i="153"/>
  <c r="M16" i="153"/>
  <c r="P15" i="153"/>
  <c r="O15" i="153"/>
  <c r="N15" i="153"/>
  <c r="L15" i="153"/>
  <c r="K15" i="153"/>
  <c r="J15" i="153"/>
  <c r="Q14" i="153"/>
  <c r="M14" i="153"/>
  <c r="P13" i="153"/>
  <c r="O13" i="153"/>
  <c r="N13" i="153"/>
  <c r="L13" i="153"/>
  <c r="K13" i="153"/>
  <c r="Q12" i="153"/>
  <c r="L12" i="153"/>
  <c r="K12" i="153"/>
  <c r="J12" i="153"/>
  <c r="Q11" i="153"/>
  <c r="M11" i="153"/>
  <c r="P10" i="153"/>
  <c r="O10" i="153"/>
  <c r="O191" i="153" s="1"/>
  <c r="N10" i="153"/>
  <c r="L10" i="153"/>
  <c r="L191" i="153" s="1"/>
  <c r="K10" i="153"/>
  <c r="J10" i="153"/>
  <c r="J191" i="153" s="1"/>
  <c r="B9" i="153"/>
  <c r="C9" i="153" s="1"/>
  <c r="D9" i="153" s="1"/>
  <c r="E9" i="153" s="1"/>
  <c r="F9" i="153" s="1"/>
  <c r="G9" i="153" s="1"/>
  <c r="H9" i="153" s="1"/>
  <c r="I9" i="153" s="1"/>
  <c r="J9" i="153" s="1"/>
  <c r="K9" i="153" s="1"/>
  <c r="L9" i="153" s="1"/>
  <c r="M9" i="153" s="1"/>
  <c r="N9" i="153" s="1"/>
  <c r="O9" i="153" s="1"/>
  <c r="P9" i="153" s="1"/>
  <c r="Q9" i="153" s="1"/>
  <c r="M13" i="153" l="1"/>
  <c r="M15" i="153"/>
  <c r="M17" i="153"/>
  <c r="Q19" i="153"/>
  <c r="Q20" i="153"/>
  <c r="M22" i="153"/>
  <c r="Q25" i="153"/>
  <c r="Q26" i="153"/>
  <c r="M29" i="153"/>
  <c r="Q33" i="153"/>
  <c r="M35" i="153"/>
  <c r="M37" i="153"/>
  <c r="M39" i="153"/>
  <c r="M41" i="153"/>
  <c r="M42" i="153"/>
  <c r="M46" i="153"/>
  <c r="M48" i="153"/>
  <c r="M50" i="153"/>
  <c r="M52" i="153"/>
  <c r="M55" i="153"/>
  <c r="M57" i="153"/>
  <c r="M59" i="153"/>
  <c r="M62" i="153"/>
  <c r="M64" i="153"/>
  <c r="M66" i="153"/>
  <c r="M68" i="153"/>
  <c r="M69" i="153"/>
  <c r="M73" i="153"/>
  <c r="Q73" i="153"/>
  <c r="Q75" i="153"/>
  <c r="Q76" i="153"/>
  <c r="Q78" i="153"/>
  <c r="M79" i="153"/>
  <c r="M81" i="153"/>
  <c r="M83" i="153"/>
  <c r="M84" i="153"/>
  <c r="M86" i="153"/>
  <c r="M88" i="153"/>
  <c r="M90" i="153"/>
  <c r="Q90" i="153"/>
  <c r="Q94" i="153"/>
  <c r="M96" i="153"/>
  <c r="M98" i="153"/>
  <c r="Q98" i="153"/>
  <c r="M100" i="153"/>
  <c r="Q102" i="153"/>
  <c r="Q104" i="153"/>
  <c r="M106" i="153"/>
  <c r="M108" i="153"/>
  <c r="M109" i="153"/>
  <c r="M111" i="153"/>
  <c r="M113" i="153"/>
  <c r="Q115" i="153"/>
  <c r="Q116" i="153"/>
  <c r="M118" i="153"/>
  <c r="Q118" i="153"/>
  <c r="M120" i="153"/>
  <c r="M122" i="153"/>
  <c r="Q124" i="153"/>
  <c r="Q126" i="153"/>
  <c r="Q128" i="153"/>
  <c r="M131" i="153"/>
  <c r="Q131" i="153"/>
  <c r="Q133" i="153"/>
  <c r="M135" i="153"/>
  <c r="Q137" i="153"/>
  <c r="M139" i="153"/>
  <c r="M140" i="153"/>
  <c r="M141" i="153"/>
  <c r="M143" i="153"/>
  <c r="Q144" i="153"/>
  <c r="Q146" i="153"/>
  <c r="M147" i="153"/>
  <c r="M149" i="153"/>
  <c r="M156" i="153"/>
  <c r="M159" i="153"/>
  <c r="M161" i="153"/>
  <c r="M164" i="153"/>
  <c r="Q166" i="153"/>
  <c r="Q168" i="153"/>
  <c r="M170" i="153"/>
  <c r="Q173" i="153"/>
  <c r="Q178" i="153"/>
  <c r="M183" i="153"/>
  <c r="Q183" i="153"/>
  <c r="Q185" i="153"/>
  <c r="Q187" i="153"/>
  <c r="K191" i="153"/>
  <c r="M191" i="153" s="1"/>
  <c r="N191" i="153"/>
  <c r="P191" i="153"/>
  <c r="M12" i="153"/>
  <c r="Q13" i="153"/>
  <c r="Q15" i="153"/>
  <c r="Q17" i="153"/>
  <c r="M19" i="153"/>
  <c r="M20" i="153"/>
  <c r="Q22" i="153"/>
  <c r="M25" i="153"/>
  <c r="M26" i="153"/>
  <c r="M28" i="153"/>
  <c r="Q29" i="153"/>
  <c r="M30" i="153"/>
  <c r="M33" i="153"/>
  <c r="Q35" i="153"/>
  <c r="Q37" i="153"/>
  <c r="Q39" i="153"/>
  <c r="Q41" i="153"/>
  <c r="Q42" i="153"/>
  <c r="Q46" i="153"/>
  <c r="Q48" i="153"/>
  <c r="Q50" i="153"/>
  <c r="Q52" i="153"/>
  <c r="Q55" i="153"/>
  <c r="Q57" i="153"/>
  <c r="Q60" i="153"/>
  <c r="Q62" i="153"/>
  <c r="Q64" i="153"/>
  <c r="Q66" i="153"/>
  <c r="Q68" i="153"/>
  <c r="Q69" i="153"/>
  <c r="M75" i="153"/>
  <c r="M76" i="153"/>
  <c r="M78" i="153"/>
  <c r="Q79" i="153"/>
  <c r="M80" i="153"/>
  <c r="Q80" i="153"/>
  <c r="Q81" i="153"/>
  <c r="Q83" i="153"/>
  <c r="Q84" i="153"/>
  <c r="Q86" i="153"/>
  <c r="Q88" i="153"/>
  <c r="M92" i="153"/>
  <c r="M94" i="153"/>
  <c r="Q96" i="153"/>
  <c r="Q100" i="153"/>
  <c r="M102" i="153"/>
  <c r="M104" i="153"/>
  <c r="Q106" i="153"/>
  <c r="Q108" i="153"/>
  <c r="Q111" i="153"/>
  <c r="Q113" i="153"/>
  <c r="M115" i="153"/>
  <c r="M116" i="153"/>
  <c r="Q120" i="153"/>
  <c r="Q122" i="153"/>
  <c r="M124" i="153"/>
  <c r="M126" i="153"/>
  <c r="M130" i="153"/>
  <c r="M133" i="153"/>
  <c r="Q135" i="153"/>
  <c r="Q139" i="153"/>
  <c r="Q140" i="153"/>
  <c r="Q141" i="153"/>
  <c r="Q143" i="153"/>
  <c r="M144" i="153"/>
  <c r="M146" i="153"/>
  <c r="Q149" i="153"/>
  <c r="M152" i="153"/>
  <c r="Q152" i="153"/>
  <c r="Q156" i="153"/>
  <c r="Q159" i="153"/>
  <c r="Q161" i="153"/>
  <c r="Q164" i="153"/>
  <c r="M168" i="153"/>
  <c r="M173" i="153"/>
  <c r="M178" i="153"/>
  <c r="Q180" i="153"/>
  <c r="M181" i="153"/>
  <c r="Q181" i="153"/>
  <c r="M185" i="153"/>
  <c r="M187" i="153"/>
  <c r="Q191" i="153"/>
  <c r="M10" i="153"/>
  <c r="Q10" i="153"/>
  <c r="B9" i="152" l="1"/>
  <c r="C9" i="152" s="1"/>
  <c r="D9" i="152" s="1"/>
  <c r="E9" i="152" s="1"/>
  <c r="F9" i="152" s="1"/>
  <c r="G9" i="152" s="1"/>
  <c r="H9" i="152" s="1"/>
  <c r="I9" i="152" s="1"/>
  <c r="J9" i="152" s="1"/>
  <c r="K9" i="152" s="1"/>
  <c r="L9" i="152" s="1"/>
  <c r="M9" i="152" s="1"/>
  <c r="N9" i="152" s="1"/>
  <c r="O9" i="152" s="1"/>
  <c r="P9" i="152" s="1"/>
  <c r="Q9" i="152" s="1"/>
  <c r="J36" i="151" l="1"/>
  <c r="N125" i="151" l="1"/>
  <c r="J142" i="151"/>
  <c r="J13" i="151"/>
  <c r="N177" i="151" l="1"/>
  <c r="N163" i="151"/>
  <c r="J163" i="151"/>
  <c r="J143" i="151"/>
  <c r="J27" i="151" l="1"/>
  <c r="J80" i="151"/>
  <c r="J177" i="151"/>
  <c r="J169" i="151"/>
  <c r="J172" i="151"/>
  <c r="J158" i="151"/>
  <c r="N130" i="151"/>
  <c r="J130" i="151"/>
  <c r="N95" i="151"/>
  <c r="J95" i="151"/>
  <c r="J77" i="151"/>
  <c r="J65" i="151"/>
  <c r="J79" i="151"/>
  <c r="J72" i="151"/>
  <c r="N63" i="151"/>
  <c r="J63" i="151"/>
  <c r="J56" i="151"/>
  <c r="N54" i="151"/>
  <c r="J114" i="151"/>
  <c r="N34" i="151"/>
  <c r="J29" i="151"/>
  <c r="J19" i="151"/>
  <c r="I190" i="151"/>
  <c r="H190" i="151"/>
  <c r="Q189" i="151"/>
  <c r="N189" i="151"/>
  <c r="M189" i="151"/>
  <c r="J189" i="151"/>
  <c r="Q188" i="151"/>
  <c r="M188" i="151"/>
  <c r="Q187" i="151"/>
  <c r="M187" i="151"/>
  <c r="P186" i="151"/>
  <c r="O186" i="151"/>
  <c r="N186" i="151"/>
  <c r="L186" i="151"/>
  <c r="K186" i="151"/>
  <c r="J186" i="151"/>
  <c r="Q185" i="151"/>
  <c r="M185" i="151"/>
  <c r="P184" i="151"/>
  <c r="O184" i="151"/>
  <c r="N184" i="151"/>
  <c r="L184" i="151"/>
  <c r="K184" i="151"/>
  <c r="J184" i="151"/>
  <c r="Q183" i="151"/>
  <c r="M183" i="151"/>
  <c r="P182" i="151"/>
  <c r="O182" i="151"/>
  <c r="N182" i="151"/>
  <c r="L182" i="151"/>
  <c r="K182" i="151"/>
  <c r="J182" i="151"/>
  <c r="Q181" i="151"/>
  <c r="M181" i="151"/>
  <c r="P180" i="151"/>
  <c r="O180" i="151"/>
  <c r="N180" i="151"/>
  <c r="L180" i="151"/>
  <c r="K180" i="151"/>
  <c r="J180" i="151"/>
  <c r="P179" i="151"/>
  <c r="O179" i="151"/>
  <c r="N179" i="151"/>
  <c r="M179" i="151"/>
  <c r="J179" i="151"/>
  <c r="Q178" i="151"/>
  <c r="M178" i="151"/>
  <c r="P177" i="151"/>
  <c r="O177" i="151"/>
  <c r="L177" i="151"/>
  <c r="K177" i="151"/>
  <c r="Q176" i="151"/>
  <c r="M176" i="151"/>
  <c r="M175" i="151"/>
  <c r="M174" i="151"/>
  <c r="Q173" i="151"/>
  <c r="M173" i="151"/>
  <c r="P172" i="151"/>
  <c r="O172" i="151"/>
  <c r="N172" i="151"/>
  <c r="L172" i="151"/>
  <c r="K172" i="151"/>
  <c r="Q171" i="151"/>
  <c r="M171" i="151"/>
  <c r="Q170" i="151"/>
  <c r="M170" i="151"/>
  <c r="L169" i="151"/>
  <c r="K169" i="151"/>
  <c r="Q168" i="151"/>
  <c r="M168" i="151"/>
  <c r="P167" i="151"/>
  <c r="O167" i="151"/>
  <c r="N167" i="151"/>
  <c r="L167" i="151"/>
  <c r="K167" i="151"/>
  <c r="J167" i="151"/>
  <c r="Q166" i="151"/>
  <c r="M166" i="151"/>
  <c r="P165" i="151"/>
  <c r="O165" i="151"/>
  <c r="N165" i="151"/>
  <c r="M165" i="151"/>
  <c r="J165" i="151"/>
  <c r="Q164" i="151"/>
  <c r="M164" i="151"/>
  <c r="P163" i="151"/>
  <c r="O163" i="151"/>
  <c r="L163" i="151"/>
  <c r="K163" i="151"/>
  <c r="Q162" i="151"/>
  <c r="M162" i="151"/>
  <c r="Q161" i="151"/>
  <c r="M161" i="151"/>
  <c r="P160" i="151"/>
  <c r="O160" i="151"/>
  <c r="N160" i="151"/>
  <c r="L160" i="151"/>
  <c r="K160" i="151"/>
  <c r="J160" i="151"/>
  <c r="Q159" i="151"/>
  <c r="M159" i="151"/>
  <c r="P158" i="151"/>
  <c r="O158" i="151"/>
  <c r="N158" i="151"/>
  <c r="L158" i="151"/>
  <c r="K158" i="151"/>
  <c r="M157" i="151"/>
  <c r="J157" i="151"/>
  <c r="Q156" i="151"/>
  <c r="M156" i="151"/>
  <c r="P155" i="151"/>
  <c r="O155" i="151"/>
  <c r="N155" i="151"/>
  <c r="L155" i="151"/>
  <c r="K155" i="151"/>
  <c r="J155" i="151"/>
  <c r="Q154" i="151"/>
  <c r="M154" i="151"/>
  <c r="Q153" i="151"/>
  <c r="M153" i="151"/>
  <c r="Q152" i="151"/>
  <c r="M152" i="151"/>
  <c r="P151" i="151"/>
  <c r="O151" i="151"/>
  <c r="N151" i="151"/>
  <c r="L151" i="151"/>
  <c r="K151" i="151"/>
  <c r="J151" i="151"/>
  <c r="Q150" i="151"/>
  <c r="M150" i="151"/>
  <c r="Q149" i="151"/>
  <c r="M149" i="151"/>
  <c r="P148" i="151"/>
  <c r="O148" i="151"/>
  <c r="N148" i="151"/>
  <c r="L148" i="151"/>
  <c r="K148" i="151"/>
  <c r="J148" i="151"/>
  <c r="Q147" i="151"/>
  <c r="M147" i="151"/>
  <c r="Q146" i="151"/>
  <c r="L146" i="151"/>
  <c r="K146" i="151"/>
  <c r="J146" i="151"/>
  <c r="P145" i="151"/>
  <c r="O145" i="151"/>
  <c r="N145" i="151"/>
  <c r="L145" i="151"/>
  <c r="K145" i="151"/>
  <c r="J145" i="151"/>
  <c r="Q144" i="151"/>
  <c r="M144" i="151"/>
  <c r="P143" i="151"/>
  <c r="O143" i="151"/>
  <c r="N143" i="151"/>
  <c r="L143" i="151"/>
  <c r="K143" i="151"/>
  <c r="P142" i="151"/>
  <c r="O142" i="151"/>
  <c r="N142" i="151"/>
  <c r="L142" i="151"/>
  <c r="K142" i="151"/>
  <c r="Q141" i="151"/>
  <c r="M141" i="151"/>
  <c r="P140" i="151"/>
  <c r="O140" i="151"/>
  <c r="N140" i="151"/>
  <c r="L140" i="151"/>
  <c r="K140" i="151"/>
  <c r="J140" i="151"/>
  <c r="P139" i="151"/>
  <c r="O139" i="151"/>
  <c r="N139" i="151"/>
  <c r="L139" i="151"/>
  <c r="K139" i="151"/>
  <c r="J139" i="151"/>
  <c r="P138" i="151"/>
  <c r="O138" i="151"/>
  <c r="N138" i="151"/>
  <c r="L138" i="151"/>
  <c r="K138" i="151"/>
  <c r="J138" i="151"/>
  <c r="Q137" i="151"/>
  <c r="M137" i="151"/>
  <c r="P136" i="151"/>
  <c r="O136" i="151"/>
  <c r="N136" i="151"/>
  <c r="M136" i="151"/>
  <c r="J136" i="151"/>
  <c r="Q135" i="151"/>
  <c r="M135" i="151"/>
  <c r="P134" i="151"/>
  <c r="O134" i="151"/>
  <c r="N134" i="151"/>
  <c r="L134" i="151"/>
  <c r="K134" i="151"/>
  <c r="Q133" i="151"/>
  <c r="M133" i="151"/>
  <c r="P132" i="151"/>
  <c r="O132" i="151"/>
  <c r="N132" i="151"/>
  <c r="L132" i="151"/>
  <c r="K132" i="151"/>
  <c r="J132" i="151"/>
  <c r="Q131" i="151"/>
  <c r="M131" i="151"/>
  <c r="P130" i="151"/>
  <c r="O130" i="151"/>
  <c r="L130" i="151"/>
  <c r="K130" i="151"/>
  <c r="Q129" i="151"/>
  <c r="L129" i="151"/>
  <c r="K129" i="151"/>
  <c r="J129" i="151"/>
  <c r="Q128" i="151"/>
  <c r="M128" i="151"/>
  <c r="P127" i="151"/>
  <c r="O127" i="151"/>
  <c r="N127" i="151"/>
  <c r="K127" i="151"/>
  <c r="M127" i="151" s="1"/>
  <c r="J127" i="151"/>
  <c r="Q126" i="151"/>
  <c r="M126" i="151"/>
  <c r="P125" i="151"/>
  <c r="O125" i="151"/>
  <c r="L125" i="151"/>
  <c r="K125" i="151"/>
  <c r="J125" i="151"/>
  <c r="Q124" i="151"/>
  <c r="M124" i="151"/>
  <c r="P123" i="151"/>
  <c r="O123" i="151"/>
  <c r="N123" i="151"/>
  <c r="L123" i="151"/>
  <c r="K123" i="151"/>
  <c r="J123" i="151"/>
  <c r="Q122" i="151"/>
  <c r="M122" i="151"/>
  <c r="P121" i="151"/>
  <c r="O121" i="151"/>
  <c r="N121" i="151"/>
  <c r="L121" i="151"/>
  <c r="K121" i="151"/>
  <c r="J121" i="151"/>
  <c r="Q120" i="151"/>
  <c r="M120" i="151"/>
  <c r="P119" i="151"/>
  <c r="O119" i="151"/>
  <c r="N119" i="151"/>
  <c r="L119" i="151"/>
  <c r="K119" i="151"/>
  <c r="J119" i="151"/>
  <c r="Q118" i="151"/>
  <c r="M118" i="151"/>
  <c r="P117" i="151"/>
  <c r="O117" i="151"/>
  <c r="N117" i="151"/>
  <c r="L117" i="151"/>
  <c r="K117" i="151"/>
  <c r="J117" i="151"/>
  <c r="Q116" i="151"/>
  <c r="M116" i="151"/>
  <c r="P115" i="151"/>
  <c r="O115" i="151"/>
  <c r="N115" i="151"/>
  <c r="L115" i="151"/>
  <c r="K115" i="151"/>
  <c r="J115" i="151"/>
  <c r="P114" i="151"/>
  <c r="O114" i="151"/>
  <c r="N114" i="151"/>
  <c r="L114" i="151"/>
  <c r="K114" i="151"/>
  <c r="Q113" i="151"/>
  <c r="N113" i="151"/>
  <c r="M113" i="151"/>
  <c r="P112" i="151"/>
  <c r="O112" i="151"/>
  <c r="N112" i="151"/>
  <c r="L112" i="151"/>
  <c r="K112" i="151"/>
  <c r="J112" i="151"/>
  <c r="Q111" i="151"/>
  <c r="M111" i="151"/>
  <c r="P110" i="151"/>
  <c r="O110" i="151"/>
  <c r="N110" i="151"/>
  <c r="L110" i="151"/>
  <c r="K110" i="151"/>
  <c r="J110" i="151"/>
  <c r="Q109" i="151"/>
  <c r="M109" i="151"/>
  <c r="Q108" i="151"/>
  <c r="L108" i="151"/>
  <c r="K108" i="151"/>
  <c r="J108" i="151"/>
  <c r="P107" i="151"/>
  <c r="O107" i="151"/>
  <c r="N107" i="151"/>
  <c r="L107" i="151"/>
  <c r="K107" i="151"/>
  <c r="J107" i="151"/>
  <c r="Q106" i="151"/>
  <c r="M106" i="151"/>
  <c r="P105" i="151"/>
  <c r="O105" i="151"/>
  <c r="N105" i="151"/>
  <c r="L105" i="151"/>
  <c r="K105" i="151"/>
  <c r="J105" i="151"/>
  <c r="Q104" i="151"/>
  <c r="M104" i="151"/>
  <c r="P103" i="151"/>
  <c r="O103" i="151"/>
  <c r="N103" i="151"/>
  <c r="L103" i="151"/>
  <c r="K103" i="151"/>
  <c r="J103" i="151"/>
  <c r="Q102" i="151"/>
  <c r="M102" i="151"/>
  <c r="P101" i="151"/>
  <c r="O101" i="151"/>
  <c r="N101" i="151"/>
  <c r="L101" i="151"/>
  <c r="K101" i="151"/>
  <c r="J101" i="151"/>
  <c r="Q100" i="151"/>
  <c r="M100" i="151"/>
  <c r="P99" i="151"/>
  <c r="O99" i="151"/>
  <c r="N99" i="151"/>
  <c r="L99" i="151"/>
  <c r="K99" i="151"/>
  <c r="J99" i="151"/>
  <c r="Q98" i="151"/>
  <c r="M98" i="151"/>
  <c r="P97" i="151"/>
  <c r="O97" i="151"/>
  <c r="N97" i="151"/>
  <c r="L97" i="151"/>
  <c r="K97" i="151"/>
  <c r="J97" i="151"/>
  <c r="Q96" i="151"/>
  <c r="M96" i="151"/>
  <c r="P95" i="151"/>
  <c r="O95" i="151"/>
  <c r="L95" i="151"/>
  <c r="K95" i="151"/>
  <c r="Q94" i="151"/>
  <c r="M94" i="151"/>
  <c r="P93" i="151"/>
  <c r="O93" i="151"/>
  <c r="N93" i="151"/>
  <c r="L93" i="151"/>
  <c r="K93" i="151"/>
  <c r="J93" i="151"/>
  <c r="Q92" i="151"/>
  <c r="M92" i="151"/>
  <c r="Q91" i="151"/>
  <c r="L91" i="151"/>
  <c r="K91" i="151"/>
  <c r="J91" i="151"/>
  <c r="Q90" i="151"/>
  <c r="M90" i="151"/>
  <c r="P89" i="151"/>
  <c r="O89" i="151"/>
  <c r="N89" i="151"/>
  <c r="L89" i="151"/>
  <c r="K89" i="151"/>
  <c r="J89" i="151"/>
  <c r="Q88" i="151"/>
  <c r="M88" i="151"/>
  <c r="P87" i="151"/>
  <c r="O87" i="151"/>
  <c r="N87" i="151"/>
  <c r="L87" i="151"/>
  <c r="K87" i="151"/>
  <c r="J87" i="151"/>
  <c r="Q86" i="151"/>
  <c r="M86" i="151"/>
  <c r="P85" i="151"/>
  <c r="O85" i="151"/>
  <c r="N85" i="151"/>
  <c r="L85" i="151"/>
  <c r="K85" i="151"/>
  <c r="J85" i="151"/>
  <c r="Q84" i="151"/>
  <c r="M84" i="151"/>
  <c r="P83" i="151"/>
  <c r="O83" i="151"/>
  <c r="N83" i="151"/>
  <c r="L83" i="151"/>
  <c r="K83" i="151"/>
  <c r="J83" i="151"/>
  <c r="P82" i="151"/>
  <c r="O82" i="151"/>
  <c r="N82" i="151"/>
  <c r="L82" i="151"/>
  <c r="K82" i="151"/>
  <c r="J82" i="151"/>
  <c r="Q81" i="151"/>
  <c r="M81" i="151"/>
  <c r="P80" i="151"/>
  <c r="O80" i="151"/>
  <c r="N80" i="151"/>
  <c r="L80" i="151"/>
  <c r="K80" i="151"/>
  <c r="P79" i="151"/>
  <c r="O79" i="151"/>
  <c r="N79" i="151"/>
  <c r="L79" i="151"/>
  <c r="K79" i="151"/>
  <c r="P78" i="151"/>
  <c r="O78" i="151"/>
  <c r="N78" i="151"/>
  <c r="L78" i="151"/>
  <c r="K78" i="151"/>
  <c r="P77" i="151"/>
  <c r="O77" i="151"/>
  <c r="N77" i="151"/>
  <c r="L77" i="151"/>
  <c r="K77" i="151"/>
  <c r="Q76" i="151"/>
  <c r="M76" i="151"/>
  <c r="P75" i="151"/>
  <c r="O75" i="151"/>
  <c r="N75" i="151"/>
  <c r="L75" i="151"/>
  <c r="K75" i="151"/>
  <c r="J75" i="151"/>
  <c r="P74" i="151"/>
  <c r="O74" i="151"/>
  <c r="N74" i="151"/>
  <c r="L74" i="151"/>
  <c r="K74" i="151"/>
  <c r="J74" i="151"/>
  <c r="Q73" i="151"/>
  <c r="M73" i="151"/>
  <c r="P72" i="151"/>
  <c r="O72" i="151"/>
  <c r="N72" i="151"/>
  <c r="L72" i="151"/>
  <c r="K72" i="151"/>
  <c r="Q71" i="151"/>
  <c r="M71" i="151"/>
  <c r="Q70" i="151"/>
  <c r="N70" i="151"/>
  <c r="M70" i="151"/>
  <c r="Q69" i="151"/>
  <c r="M69" i="151"/>
  <c r="P68" i="151"/>
  <c r="O68" i="151"/>
  <c r="N68" i="151"/>
  <c r="L68" i="151"/>
  <c r="K68" i="151"/>
  <c r="J68" i="151"/>
  <c r="P67" i="151"/>
  <c r="O67" i="151"/>
  <c r="N67" i="151"/>
  <c r="L67" i="151"/>
  <c r="K67" i="151"/>
  <c r="J67" i="151"/>
  <c r="Q66" i="151"/>
  <c r="M66" i="151"/>
  <c r="P65" i="151"/>
  <c r="O65" i="151"/>
  <c r="N65" i="151"/>
  <c r="L65" i="151"/>
  <c r="K65" i="151"/>
  <c r="Q64" i="151"/>
  <c r="M64" i="151"/>
  <c r="P63" i="151"/>
  <c r="O63" i="151"/>
  <c r="L63" i="151"/>
  <c r="K63" i="151"/>
  <c r="Q62" i="151"/>
  <c r="M62" i="151"/>
  <c r="P61" i="151"/>
  <c r="O61" i="151"/>
  <c r="N61" i="151"/>
  <c r="L61" i="151"/>
  <c r="K61" i="151"/>
  <c r="J61" i="151"/>
  <c r="Q60" i="151"/>
  <c r="M60" i="151"/>
  <c r="P59" i="151"/>
  <c r="O59" i="151"/>
  <c r="N59" i="151"/>
  <c r="M59" i="151"/>
  <c r="Q58" i="151"/>
  <c r="L58" i="151"/>
  <c r="K58" i="151"/>
  <c r="J58" i="151"/>
  <c r="Q57" i="151"/>
  <c r="M57" i="151"/>
  <c r="P56" i="151"/>
  <c r="O56" i="151"/>
  <c r="N56" i="151"/>
  <c r="L56" i="151"/>
  <c r="K56" i="151"/>
  <c r="Q55" i="151"/>
  <c r="M55" i="151"/>
  <c r="P54" i="151"/>
  <c r="O54" i="151"/>
  <c r="L54" i="151"/>
  <c r="K54" i="151"/>
  <c r="J54" i="151"/>
  <c r="Q53" i="151"/>
  <c r="M53" i="151"/>
  <c r="Q52" i="151"/>
  <c r="M52" i="151"/>
  <c r="P51" i="151"/>
  <c r="O51" i="151"/>
  <c r="N51" i="151"/>
  <c r="L51" i="151"/>
  <c r="K51" i="151"/>
  <c r="J51" i="151"/>
  <c r="Q50" i="151"/>
  <c r="M50" i="151"/>
  <c r="P49" i="151"/>
  <c r="O49" i="151"/>
  <c r="N49" i="151"/>
  <c r="L49" i="151"/>
  <c r="K49" i="151"/>
  <c r="J49" i="151"/>
  <c r="Q48" i="151"/>
  <c r="M48" i="151"/>
  <c r="P47" i="151"/>
  <c r="O47" i="151"/>
  <c r="N47" i="151"/>
  <c r="L47" i="151"/>
  <c r="K47" i="151"/>
  <c r="J47" i="151"/>
  <c r="P46" i="151"/>
  <c r="Q46" i="151" s="1"/>
  <c r="M46" i="151"/>
  <c r="P45" i="151"/>
  <c r="O45" i="151"/>
  <c r="N45" i="151"/>
  <c r="L45" i="151"/>
  <c r="K45" i="151"/>
  <c r="J45" i="151"/>
  <c r="Q44" i="151"/>
  <c r="M44" i="151"/>
  <c r="Q43" i="151"/>
  <c r="M43" i="151"/>
  <c r="Q42" i="151"/>
  <c r="M42" i="151"/>
  <c r="P41" i="151"/>
  <c r="O41" i="151"/>
  <c r="N41" i="151"/>
  <c r="L41" i="151"/>
  <c r="K41" i="151"/>
  <c r="J41" i="151"/>
  <c r="P40" i="151"/>
  <c r="O40" i="151"/>
  <c r="N40" i="151"/>
  <c r="L40" i="151"/>
  <c r="K40" i="151"/>
  <c r="J40" i="151"/>
  <c r="Q39" i="151"/>
  <c r="M39" i="151"/>
  <c r="P38" i="151"/>
  <c r="O38" i="151"/>
  <c r="N38" i="151"/>
  <c r="L38" i="151"/>
  <c r="K38" i="151"/>
  <c r="J38" i="151"/>
  <c r="Q37" i="151"/>
  <c r="M37" i="151"/>
  <c r="P36" i="151"/>
  <c r="O36" i="151"/>
  <c r="N36" i="151"/>
  <c r="L36" i="151"/>
  <c r="K36" i="151"/>
  <c r="Q35" i="151"/>
  <c r="M35" i="151"/>
  <c r="P34" i="151"/>
  <c r="O34" i="151"/>
  <c r="L34" i="151"/>
  <c r="K34" i="151"/>
  <c r="J34" i="151"/>
  <c r="Q33" i="151"/>
  <c r="M33" i="151"/>
  <c r="P32" i="151"/>
  <c r="O32" i="151"/>
  <c r="N32" i="151"/>
  <c r="L32" i="151"/>
  <c r="K32" i="151"/>
  <c r="J32" i="151"/>
  <c r="Q31" i="151"/>
  <c r="M31" i="151"/>
  <c r="Q30" i="151"/>
  <c r="M30" i="151"/>
  <c r="Q29" i="151"/>
  <c r="L29" i="151"/>
  <c r="K29" i="151"/>
  <c r="P28" i="151"/>
  <c r="O28" i="151"/>
  <c r="N28" i="151"/>
  <c r="L28" i="151"/>
  <c r="K28" i="151"/>
  <c r="J28" i="151"/>
  <c r="Q27" i="151"/>
  <c r="N27" i="151"/>
  <c r="L27" i="151"/>
  <c r="K27" i="151"/>
  <c r="Q26" i="151"/>
  <c r="M26" i="151"/>
  <c r="P25" i="151"/>
  <c r="O25" i="151"/>
  <c r="N25" i="151"/>
  <c r="L25" i="151"/>
  <c r="K25" i="151"/>
  <c r="J25" i="151"/>
  <c r="P24" i="151"/>
  <c r="O24" i="151"/>
  <c r="N24" i="151"/>
  <c r="L24" i="151"/>
  <c r="K24" i="151"/>
  <c r="J24" i="151"/>
  <c r="Q23" i="151"/>
  <c r="M23" i="151"/>
  <c r="J23" i="151"/>
  <c r="P22" i="151"/>
  <c r="O22" i="151"/>
  <c r="N22" i="151"/>
  <c r="L22" i="151"/>
  <c r="K22" i="151"/>
  <c r="J22" i="151"/>
  <c r="Q21" i="151"/>
  <c r="M21" i="151"/>
  <c r="P20" i="151"/>
  <c r="O20" i="151"/>
  <c r="N20" i="151"/>
  <c r="L20" i="151"/>
  <c r="K20" i="151"/>
  <c r="J20" i="151"/>
  <c r="P19" i="151"/>
  <c r="O19" i="151"/>
  <c r="N19" i="151"/>
  <c r="L19" i="151"/>
  <c r="K19" i="151"/>
  <c r="Q18" i="151"/>
  <c r="M18" i="151"/>
  <c r="P17" i="151"/>
  <c r="O17" i="151"/>
  <c r="N17" i="151"/>
  <c r="L17" i="151"/>
  <c r="K17" i="151"/>
  <c r="J17" i="151"/>
  <c r="Q16" i="151"/>
  <c r="M16" i="151"/>
  <c r="P15" i="151"/>
  <c r="O15" i="151"/>
  <c r="N15" i="151"/>
  <c r="L15" i="151"/>
  <c r="K15" i="151"/>
  <c r="J15" i="151"/>
  <c r="Q14" i="151"/>
  <c r="M14" i="151"/>
  <c r="P13" i="151"/>
  <c r="O13" i="151"/>
  <c r="N13" i="151"/>
  <c r="L13" i="151"/>
  <c r="K13" i="151"/>
  <c r="Q12" i="151"/>
  <c r="L12" i="151"/>
  <c r="K12" i="151"/>
  <c r="J12" i="151"/>
  <c r="Q11" i="151"/>
  <c r="M11" i="151"/>
  <c r="P10" i="151"/>
  <c r="O10" i="151"/>
  <c r="N10" i="151"/>
  <c r="L10" i="151"/>
  <c r="K10" i="151"/>
  <c r="J10" i="151"/>
  <c r="B9" i="151"/>
  <c r="C9" i="151" s="1"/>
  <c r="D9" i="151" s="1"/>
  <c r="E9" i="151" s="1"/>
  <c r="F9" i="151" s="1"/>
  <c r="G9" i="151" s="1"/>
  <c r="H9" i="151" s="1"/>
  <c r="I9" i="151" s="1"/>
  <c r="J9" i="151" s="1"/>
  <c r="K9" i="151" s="1"/>
  <c r="L9" i="151" s="1"/>
  <c r="M9" i="151" s="1"/>
  <c r="N9" i="151" s="1"/>
  <c r="O9" i="151" s="1"/>
  <c r="P9" i="151" s="1"/>
  <c r="Q9" i="151" s="1"/>
  <c r="M11" i="150"/>
  <c r="M14" i="150"/>
  <c r="M16" i="150"/>
  <c r="M18" i="150"/>
  <c r="M21" i="150"/>
  <c r="M23" i="150"/>
  <c r="M26" i="150"/>
  <c r="M30" i="150"/>
  <c r="M31" i="150"/>
  <c r="M33" i="150"/>
  <c r="M35" i="150"/>
  <c r="M37" i="150"/>
  <c r="M39" i="150"/>
  <c r="M42" i="150"/>
  <c r="M43" i="150"/>
  <c r="M44" i="150"/>
  <c r="M46" i="150"/>
  <c r="M48" i="150"/>
  <c r="M50" i="150"/>
  <c r="M52" i="150"/>
  <c r="M53" i="150"/>
  <c r="M55" i="150"/>
  <c r="M57" i="150"/>
  <c r="M59" i="150"/>
  <c r="M60" i="150"/>
  <c r="M62" i="150"/>
  <c r="M64" i="150"/>
  <c r="M66" i="150"/>
  <c r="M69" i="150"/>
  <c r="M70" i="150"/>
  <c r="M71" i="150"/>
  <c r="M73" i="150"/>
  <c r="M76" i="150"/>
  <c r="M81" i="150"/>
  <c r="M84" i="150"/>
  <c r="M86" i="150"/>
  <c r="M88" i="150"/>
  <c r="M90" i="150"/>
  <c r="M92" i="150"/>
  <c r="M94" i="150"/>
  <c r="M96" i="150"/>
  <c r="M98" i="150"/>
  <c r="M100" i="150"/>
  <c r="M102" i="150"/>
  <c r="M104" i="150"/>
  <c r="M106" i="150"/>
  <c r="M109" i="150"/>
  <c r="M111" i="150"/>
  <c r="M113" i="150"/>
  <c r="M116" i="150"/>
  <c r="M118" i="150"/>
  <c r="M120" i="150"/>
  <c r="M122" i="150"/>
  <c r="M124" i="150"/>
  <c r="M126" i="150"/>
  <c r="M128" i="150"/>
  <c r="M131" i="150"/>
  <c r="M133" i="150"/>
  <c r="M135" i="150"/>
  <c r="M136" i="150"/>
  <c r="M137" i="150"/>
  <c r="M141" i="150"/>
  <c r="M144" i="150"/>
  <c r="M147" i="150"/>
  <c r="M149" i="150"/>
  <c r="M150" i="150"/>
  <c r="M152" i="150"/>
  <c r="M153" i="150"/>
  <c r="M154" i="150"/>
  <c r="M156" i="150"/>
  <c r="M157" i="150"/>
  <c r="M159" i="150"/>
  <c r="M161" i="150"/>
  <c r="M162" i="150"/>
  <c r="M164" i="150"/>
  <c r="M165" i="150"/>
  <c r="M166" i="150"/>
  <c r="M168" i="150"/>
  <c r="M170" i="150"/>
  <c r="M171" i="150"/>
  <c r="M173" i="150"/>
  <c r="M174" i="150"/>
  <c r="M175" i="150"/>
  <c r="M176" i="150"/>
  <c r="M178" i="150"/>
  <c r="M179" i="150"/>
  <c r="M181" i="150"/>
  <c r="M183" i="150"/>
  <c r="M185" i="150"/>
  <c r="M187" i="150"/>
  <c r="M188" i="150"/>
  <c r="M189" i="150"/>
  <c r="K190" i="151" l="1"/>
  <c r="N190" i="151"/>
  <c r="P190" i="151"/>
  <c r="M12" i="151"/>
  <c r="Q13" i="151"/>
  <c r="Q15" i="151"/>
  <c r="Q17" i="151"/>
  <c r="M19" i="151"/>
  <c r="M20" i="151"/>
  <c r="M22" i="151"/>
  <c r="Q24" i="151"/>
  <c r="Q25" i="151"/>
  <c r="M27" i="151"/>
  <c r="Q28" i="151"/>
  <c r="M29" i="151"/>
  <c r="M32" i="151"/>
  <c r="M34" i="151"/>
  <c r="Q34" i="151"/>
  <c r="M36" i="151"/>
  <c r="M38" i="151"/>
  <c r="M40" i="151"/>
  <c r="M41" i="151"/>
  <c r="M45" i="151"/>
  <c r="M47" i="151"/>
  <c r="M49" i="151"/>
  <c r="M51" i="151"/>
  <c r="M54" i="151"/>
  <c r="Q54" i="151"/>
  <c r="M56" i="151"/>
  <c r="M58" i="151"/>
  <c r="M61" i="151"/>
  <c r="Q65" i="151"/>
  <c r="Q67" i="151"/>
  <c r="Q68" i="151"/>
  <c r="Q72" i="151"/>
  <c r="Q74" i="151"/>
  <c r="Q75" i="151"/>
  <c r="M77" i="151"/>
  <c r="Q78" i="151"/>
  <c r="M79" i="151"/>
  <c r="Q80" i="151"/>
  <c r="Q82" i="151"/>
  <c r="Q83" i="151"/>
  <c r="Q85" i="151"/>
  <c r="Q87" i="151"/>
  <c r="Q89" i="151"/>
  <c r="Q93" i="151"/>
  <c r="M95" i="151"/>
  <c r="Q95" i="151"/>
  <c r="Q97" i="151"/>
  <c r="Q99" i="151"/>
  <c r="Q101" i="151"/>
  <c r="Q103" i="151"/>
  <c r="Q105" i="151"/>
  <c r="Q107" i="151"/>
  <c r="Q110" i="151"/>
  <c r="Q112" i="151"/>
  <c r="Q114" i="151"/>
  <c r="Q115" i="151"/>
  <c r="Q117" i="151"/>
  <c r="Q119" i="151"/>
  <c r="Q121" i="151"/>
  <c r="Q123" i="151"/>
  <c r="Q127" i="151"/>
  <c r="M130" i="151"/>
  <c r="Q130" i="151"/>
  <c r="Q132" i="151"/>
  <c r="M134" i="151"/>
  <c r="Q136" i="151"/>
  <c r="Q138" i="151"/>
  <c r="Q139" i="151"/>
  <c r="Q140" i="151"/>
  <c r="M142" i="151"/>
  <c r="Q143" i="151"/>
  <c r="Q145" i="151"/>
  <c r="Q148" i="151"/>
  <c r="Q151" i="151"/>
  <c r="Q155" i="151"/>
  <c r="M158" i="151"/>
  <c r="M160" i="151"/>
  <c r="Q165" i="151"/>
  <c r="Q167" i="151"/>
  <c r="M169" i="151"/>
  <c r="M172" i="151"/>
  <c r="Q179" i="151"/>
  <c r="Q180" i="151"/>
  <c r="Q182" i="151"/>
  <c r="Q184" i="151"/>
  <c r="Q186" i="151"/>
  <c r="J190" i="151"/>
  <c r="L190" i="151"/>
  <c r="O190" i="151"/>
  <c r="M13" i="151"/>
  <c r="M15" i="151"/>
  <c r="M17" i="151"/>
  <c r="Q19" i="151"/>
  <c r="Q20" i="151"/>
  <c r="Q22" i="151"/>
  <c r="M24" i="151"/>
  <c r="M25" i="151"/>
  <c r="M28" i="151"/>
  <c r="Q32" i="151"/>
  <c r="Q36" i="151"/>
  <c r="Q38" i="151"/>
  <c r="Q40" i="151"/>
  <c r="Q41" i="151"/>
  <c r="Q45" i="151"/>
  <c r="Q47" i="151"/>
  <c r="Q49" i="151"/>
  <c r="Q51" i="151"/>
  <c r="Q56" i="151"/>
  <c r="Q59" i="151"/>
  <c r="Q61" i="151"/>
  <c r="M63" i="151"/>
  <c r="Q63" i="151"/>
  <c r="M65" i="151"/>
  <c r="M67" i="151"/>
  <c r="M68" i="151"/>
  <c r="M72" i="151"/>
  <c r="M74" i="151"/>
  <c r="M75" i="151"/>
  <c r="Q77" i="151"/>
  <c r="M78" i="151"/>
  <c r="Q79" i="151"/>
  <c r="M80" i="151"/>
  <c r="M82" i="151"/>
  <c r="M83" i="151"/>
  <c r="M85" i="151"/>
  <c r="M87" i="151"/>
  <c r="M89" i="151"/>
  <c r="M91" i="151"/>
  <c r="M93" i="151"/>
  <c r="M97" i="151"/>
  <c r="M99" i="151"/>
  <c r="M101" i="151"/>
  <c r="M103" i="151"/>
  <c r="M105" i="151"/>
  <c r="M107" i="151"/>
  <c r="M108" i="151"/>
  <c r="M110" i="151"/>
  <c r="M112" i="151"/>
  <c r="M114" i="151"/>
  <c r="M115" i="151"/>
  <c r="M117" i="151"/>
  <c r="M119" i="151"/>
  <c r="M121" i="151"/>
  <c r="M123" i="151"/>
  <c r="M125" i="151"/>
  <c r="Q125" i="151"/>
  <c r="M129" i="151"/>
  <c r="M132" i="151"/>
  <c r="Q134" i="151"/>
  <c r="M138" i="151"/>
  <c r="M139" i="151"/>
  <c r="M140" i="151"/>
  <c r="Q142" i="151"/>
  <c r="M143" i="151"/>
  <c r="M145" i="151"/>
  <c r="M146" i="151"/>
  <c r="M148" i="151"/>
  <c r="M151" i="151"/>
  <c r="M155" i="151"/>
  <c r="Q158" i="151"/>
  <c r="Q160" i="151"/>
  <c r="M163" i="151"/>
  <c r="Q163" i="151"/>
  <c r="M167" i="151"/>
  <c r="Q172" i="151"/>
  <c r="M177" i="151"/>
  <c r="Q177" i="151"/>
  <c r="M180" i="151"/>
  <c r="M182" i="151"/>
  <c r="M184" i="151"/>
  <c r="M186" i="151"/>
  <c r="M190" i="151"/>
  <c r="M10" i="151"/>
  <c r="Q10" i="151"/>
  <c r="M175" i="149"/>
  <c r="M174" i="149"/>
  <c r="M131" i="149"/>
  <c r="M81" i="149"/>
  <c r="M64" i="149"/>
  <c r="M55" i="149"/>
  <c r="M43" i="149"/>
  <c r="M57" i="149"/>
  <c r="M59" i="149"/>
  <c r="M60" i="149"/>
  <c r="M62" i="149"/>
  <c r="M66" i="149"/>
  <c r="M69" i="149"/>
  <c r="Q190" i="151" l="1"/>
  <c r="P25" i="150"/>
  <c r="P184" i="150"/>
  <c r="P182" i="150"/>
  <c r="P177" i="150"/>
  <c r="P172" i="150"/>
  <c r="P167" i="150"/>
  <c r="P151" i="150"/>
  <c r="P145" i="150"/>
  <c r="P130" i="150"/>
  <c r="P125" i="150"/>
  <c r="P123" i="150"/>
  <c r="P110" i="150"/>
  <c r="P99" i="150"/>
  <c r="P95" i="150"/>
  <c r="P93" i="150"/>
  <c r="P89" i="150"/>
  <c r="P78" i="150"/>
  <c r="P75" i="150"/>
  <c r="P72" i="150"/>
  <c r="P68" i="150"/>
  <c r="P65" i="150"/>
  <c r="P61" i="150"/>
  <c r="P41" i="150"/>
  <c r="P40" i="150"/>
  <c r="P38" i="150"/>
  <c r="P28" i="150"/>
  <c r="L186" i="150"/>
  <c r="L184" i="150"/>
  <c r="L182" i="150"/>
  <c r="L180" i="150"/>
  <c r="L172" i="150"/>
  <c r="L167" i="150"/>
  <c r="L163" i="150"/>
  <c r="L158" i="150"/>
  <c r="L155" i="150"/>
  <c r="L151" i="150"/>
  <c r="L148" i="150"/>
  <c r="L145" i="150"/>
  <c r="L143" i="150"/>
  <c r="L142" i="150"/>
  <c r="L139" i="150"/>
  <c r="L138" i="150"/>
  <c r="L132" i="150"/>
  <c r="L130" i="150"/>
  <c r="L123" i="150"/>
  <c r="L129" i="150"/>
  <c r="L125" i="150"/>
  <c r="L121" i="150"/>
  <c r="L115" i="150"/>
  <c r="L114" i="150"/>
  <c r="L112" i="150"/>
  <c r="L108" i="150"/>
  <c r="L105" i="150"/>
  <c r="L101" i="150"/>
  <c r="L99" i="150"/>
  <c r="L93" i="150"/>
  <c r="L97" i="150"/>
  <c r="L95" i="150"/>
  <c r="L91" i="150"/>
  <c r="L80" i="150"/>
  <c r="L79" i="150"/>
  <c r="L75" i="150"/>
  <c r="L74" i="150"/>
  <c r="L72" i="150"/>
  <c r="L68" i="150"/>
  <c r="L67" i="150"/>
  <c r="L65" i="150"/>
  <c r="L63" i="150"/>
  <c r="L61" i="150"/>
  <c r="L58" i="150"/>
  <c r="L54" i="150"/>
  <c r="L49" i="150"/>
  <c r="L47" i="150"/>
  <c r="L45" i="150"/>
  <c r="L41" i="150"/>
  <c r="L40" i="150"/>
  <c r="L38" i="150"/>
  <c r="L32" i="150"/>
  <c r="L29" i="150"/>
  <c r="L28" i="150"/>
  <c r="L27" i="150"/>
  <c r="L25" i="150"/>
  <c r="L24" i="150"/>
  <c r="L22" i="150"/>
  <c r="L19" i="150"/>
  <c r="L17" i="150"/>
  <c r="L15" i="150"/>
  <c r="L13" i="150"/>
  <c r="L12" i="150"/>
  <c r="L10" i="150"/>
  <c r="K45" i="150"/>
  <c r="K17" i="150"/>
  <c r="M17" i="150" s="1"/>
  <c r="K112" i="150"/>
  <c r="M112" i="150" s="1"/>
  <c r="K68" i="150"/>
  <c r="K38" i="150"/>
  <c r="M38" i="150" s="1"/>
  <c r="K167" i="150"/>
  <c r="M167" i="150" s="1"/>
  <c r="K47" i="150"/>
  <c r="M47" i="150" s="1"/>
  <c r="O177" i="150"/>
  <c r="O167" i="150"/>
  <c r="O95" i="150"/>
  <c r="K138" i="150"/>
  <c r="K129" i="150"/>
  <c r="M129" i="150" s="1"/>
  <c r="K93" i="150"/>
  <c r="O172" i="150"/>
  <c r="K172" i="150"/>
  <c r="M172" i="150" s="1"/>
  <c r="K108" i="150"/>
  <c r="M108" i="150" s="1"/>
  <c r="K91" i="150"/>
  <c r="M91" i="150" s="1"/>
  <c r="K143" i="150"/>
  <c r="K142" i="150"/>
  <c r="K132" i="150"/>
  <c r="O125" i="150"/>
  <c r="K125" i="150"/>
  <c r="O123" i="150"/>
  <c r="K123" i="150"/>
  <c r="K105" i="150"/>
  <c r="M105" i="150" s="1"/>
  <c r="K99" i="150"/>
  <c r="K101" i="150"/>
  <c r="K95" i="150"/>
  <c r="M95" i="150" s="1"/>
  <c r="O72" i="150"/>
  <c r="K72" i="150"/>
  <c r="M72" i="150" s="1"/>
  <c r="K19" i="150"/>
  <c r="M19" i="150" s="1"/>
  <c r="O75" i="150"/>
  <c r="K75" i="150"/>
  <c r="O61" i="150"/>
  <c r="O41" i="150"/>
  <c r="K41" i="150"/>
  <c r="K27" i="150"/>
  <c r="M27" i="150" s="1"/>
  <c r="K40" i="150"/>
  <c r="M40" i="150" s="1"/>
  <c r="K32" i="150"/>
  <c r="O28" i="150"/>
  <c r="K28" i="150"/>
  <c r="O25" i="150"/>
  <c r="K25" i="150"/>
  <c r="K22" i="150"/>
  <c r="M22" i="150" s="1"/>
  <c r="K15" i="150"/>
  <c r="M15" i="150" s="1"/>
  <c r="K24" i="150"/>
  <c r="K85" i="150"/>
  <c r="M24" i="150" l="1"/>
  <c r="M41" i="150"/>
  <c r="M99" i="150"/>
  <c r="M123" i="150"/>
  <c r="M125" i="150"/>
  <c r="M132" i="150"/>
  <c r="M143" i="150"/>
  <c r="M68" i="150"/>
  <c r="M25" i="150"/>
  <c r="M28" i="150"/>
  <c r="M32" i="150"/>
  <c r="M75" i="150"/>
  <c r="M101" i="150"/>
  <c r="M142" i="150"/>
  <c r="M93" i="150"/>
  <c r="M138" i="150"/>
  <c r="M45" i="150"/>
  <c r="J74" i="150"/>
  <c r="N179" i="150" l="1"/>
  <c r="J179" i="150"/>
  <c r="J41" i="150" l="1"/>
  <c r="J157" i="150" l="1"/>
  <c r="J103" i="150"/>
  <c r="J180" i="150"/>
  <c r="N177" i="150"/>
  <c r="J177" i="150"/>
  <c r="J167" i="150"/>
  <c r="J132" i="150"/>
  <c r="N132" i="150"/>
  <c r="J125" i="150"/>
  <c r="J119" i="150"/>
  <c r="J115" i="150"/>
  <c r="N117" i="150"/>
  <c r="J117" i="150"/>
  <c r="J112" i="150"/>
  <c r="J108" i="150"/>
  <c r="N97" i="150"/>
  <c r="J99" i="150"/>
  <c r="N95" i="150"/>
  <c r="J65" i="150"/>
  <c r="J61" i="150"/>
  <c r="J47" i="150"/>
  <c r="J12" i="150"/>
  <c r="N114" i="150"/>
  <c r="J114" i="150"/>
  <c r="J40" i="150"/>
  <c r="N38" i="150"/>
  <c r="J38" i="150"/>
  <c r="J29" i="150"/>
  <c r="J32" i="150"/>
  <c r="N24" i="150"/>
  <c r="I190" i="150"/>
  <c r="H190" i="150"/>
  <c r="Q189" i="150"/>
  <c r="N189" i="150"/>
  <c r="J189" i="150"/>
  <c r="Q188" i="150"/>
  <c r="Q187" i="150"/>
  <c r="P186" i="150"/>
  <c r="O186" i="150"/>
  <c r="N186" i="150"/>
  <c r="K186" i="150"/>
  <c r="M186" i="150" s="1"/>
  <c r="J186" i="150"/>
  <c r="Q185" i="150"/>
  <c r="O184" i="150"/>
  <c r="Q184" i="150" s="1"/>
  <c r="N184" i="150"/>
  <c r="K184" i="150"/>
  <c r="M184" i="150" s="1"/>
  <c r="J184" i="150"/>
  <c r="Q183" i="150"/>
  <c r="O182" i="150"/>
  <c r="Q182" i="150" s="1"/>
  <c r="N182" i="150"/>
  <c r="K182" i="150"/>
  <c r="M182" i="150" s="1"/>
  <c r="J182" i="150"/>
  <c r="Q181" i="150"/>
  <c r="P180" i="150"/>
  <c r="O180" i="150"/>
  <c r="N180" i="150"/>
  <c r="K180" i="150"/>
  <c r="M180" i="150" s="1"/>
  <c r="P179" i="150"/>
  <c r="O179" i="150"/>
  <c r="Q178" i="150"/>
  <c r="Q177" i="150"/>
  <c r="L177" i="150"/>
  <c r="K177" i="150"/>
  <c r="Q176" i="150"/>
  <c r="Q173" i="150"/>
  <c r="Q172" i="150"/>
  <c r="N172" i="150"/>
  <c r="J172" i="150"/>
  <c r="Q171" i="150"/>
  <c r="Q170" i="150"/>
  <c r="L169" i="150"/>
  <c r="K169" i="150"/>
  <c r="J169" i="150"/>
  <c r="Q168" i="150"/>
  <c r="Q167" i="150"/>
  <c r="N167" i="150"/>
  <c r="Q166" i="150"/>
  <c r="P165" i="150"/>
  <c r="O165" i="150"/>
  <c r="N165" i="150"/>
  <c r="J165" i="150"/>
  <c r="Q164" i="150"/>
  <c r="P163" i="150"/>
  <c r="O163" i="150"/>
  <c r="N163" i="150"/>
  <c r="K163" i="150"/>
  <c r="M163" i="150" s="1"/>
  <c r="J163" i="150"/>
  <c r="Q162" i="150"/>
  <c r="Q161" i="150"/>
  <c r="P160" i="150"/>
  <c r="O160" i="150"/>
  <c r="N160" i="150"/>
  <c r="L160" i="150"/>
  <c r="K160" i="150"/>
  <c r="J160" i="150"/>
  <c r="Q159" i="150"/>
  <c r="P158" i="150"/>
  <c r="O158" i="150"/>
  <c r="N158" i="150"/>
  <c r="K158" i="150"/>
  <c r="M158" i="150" s="1"/>
  <c r="J158" i="150"/>
  <c r="Q156" i="150"/>
  <c r="P155" i="150"/>
  <c r="O155" i="150"/>
  <c r="N155" i="150"/>
  <c r="K155" i="150"/>
  <c r="M155" i="150" s="1"/>
  <c r="J155" i="150"/>
  <c r="Q154" i="150"/>
  <c r="Q153" i="150"/>
  <c r="Q152" i="150"/>
  <c r="O151" i="150"/>
  <c r="N151" i="150"/>
  <c r="K151" i="150"/>
  <c r="M151" i="150" s="1"/>
  <c r="J151" i="150"/>
  <c r="Q150" i="150"/>
  <c r="Q149" i="150"/>
  <c r="P148" i="150"/>
  <c r="O148" i="150"/>
  <c r="N148" i="150"/>
  <c r="K148" i="150"/>
  <c r="M148" i="150" s="1"/>
  <c r="J148" i="150"/>
  <c r="Q147" i="150"/>
  <c r="Q146" i="150"/>
  <c r="L146" i="150"/>
  <c r="K146" i="150"/>
  <c r="J146" i="150"/>
  <c r="O145" i="150"/>
  <c r="N145" i="150"/>
  <c r="K145" i="150"/>
  <c r="M145" i="150" s="1"/>
  <c r="J145" i="150"/>
  <c r="Q144" i="150"/>
  <c r="P143" i="150"/>
  <c r="O143" i="150"/>
  <c r="N143" i="150"/>
  <c r="J143" i="150"/>
  <c r="P142" i="150"/>
  <c r="O142" i="150"/>
  <c r="N142" i="150"/>
  <c r="J142" i="150"/>
  <c r="Q141" i="150"/>
  <c r="P140" i="150"/>
  <c r="O140" i="150"/>
  <c r="N140" i="150"/>
  <c r="L140" i="150"/>
  <c r="K140" i="150"/>
  <c r="J140" i="150"/>
  <c r="P139" i="150"/>
  <c r="O139" i="150"/>
  <c r="N139" i="150"/>
  <c r="K139" i="150"/>
  <c r="M139" i="150" s="1"/>
  <c r="J139" i="150"/>
  <c r="P138" i="150"/>
  <c r="O138" i="150"/>
  <c r="N138" i="150"/>
  <c r="J138" i="150"/>
  <c r="Q137" i="150"/>
  <c r="P136" i="150"/>
  <c r="O136" i="150"/>
  <c r="N136" i="150"/>
  <c r="J136" i="150"/>
  <c r="Q135" i="150"/>
  <c r="P134" i="150"/>
  <c r="O134" i="150"/>
  <c r="N134" i="150"/>
  <c r="L134" i="150"/>
  <c r="K134" i="150"/>
  <c r="Q133" i="150"/>
  <c r="P132" i="150"/>
  <c r="O132" i="150"/>
  <c r="Q131" i="150"/>
  <c r="O130" i="150"/>
  <c r="N130" i="150"/>
  <c r="K130" i="150"/>
  <c r="M130" i="150" s="1"/>
  <c r="J130" i="150"/>
  <c r="Q129" i="150"/>
  <c r="J129" i="150"/>
  <c r="Q128" i="150"/>
  <c r="P127" i="150"/>
  <c r="O127" i="150"/>
  <c r="N127" i="150"/>
  <c r="K127" i="150"/>
  <c r="M127" i="150" s="1"/>
  <c r="J127" i="150"/>
  <c r="Q126" i="150"/>
  <c r="Q125" i="150"/>
  <c r="N125" i="150"/>
  <c r="Q124" i="150"/>
  <c r="Q123" i="150"/>
  <c r="N123" i="150"/>
  <c r="J123" i="150"/>
  <c r="Q122" i="150"/>
  <c r="P121" i="150"/>
  <c r="O121" i="150"/>
  <c r="N121" i="150"/>
  <c r="K121" i="150"/>
  <c r="M121" i="150" s="1"/>
  <c r="J121" i="150"/>
  <c r="Q120" i="150"/>
  <c r="P119" i="150"/>
  <c r="O119" i="150"/>
  <c r="N119" i="150"/>
  <c r="L119" i="150"/>
  <c r="K119" i="150"/>
  <c r="Q118" i="150"/>
  <c r="P117" i="150"/>
  <c r="O117" i="150"/>
  <c r="L117" i="150"/>
  <c r="K117" i="150"/>
  <c r="Q116" i="150"/>
  <c r="P115" i="150"/>
  <c r="O115" i="150"/>
  <c r="N115" i="150"/>
  <c r="K115" i="150"/>
  <c r="M115" i="150" s="1"/>
  <c r="P114" i="150"/>
  <c r="O114" i="150"/>
  <c r="K114" i="150"/>
  <c r="M114" i="150" s="1"/>
  <c r="Q113" i="150"/>
  <c r="N113" i="150"/>
  <c r="P112" i="150"/>
  <c r="O112" i="150"/>
  <c r="N112" i="150"/>
  <c r="Q111" i="150"/>
  <c r="O110" i="150"/>
  <c r="N110" i="150"/>
  <c r="L110" i="150"/>
  <c r="K110" i="150"/>
  <c r="J110" i="150"/>
  <c r="Q109" i="150"/>
  <c r="Q108" i="150"/>
  <c r="P107" i="150"/>
  <c r="O107" i="150"/>
  <c r="N107" i="150"/>
  <c r="L107" i="150"/>
  <c r="K107" i="150"/>
  <c r="J107" i="150"/>
  <c r="Q106" i="150"/>
  <c r="P105" i="150"/>
  <c r="O105" i="150"/>
  <c r="N105" i="150"/>
  <c r="J105" i="150"/>
  <c r="Q104" i="150"/>
  <c r="P103" i="150"/>
  <c r="O103" i="150"/>
  <c r="N103" i="150"/>
  <c r="L103" i="150"/>
  <c r="K103" i="150"/>
  <c r="Q102" i="150"/>
  <c r="P101" i="150"/>
  <c r="O101" i="150"/>
  <c r="N101" i="150"/>
  <c r="J101" i="150"/>
  <c r="Q100" i="150"/>
  <c r="O99" i="150"/>
  <c r="Q99" i="150" s="1"/>
  <c r="N99" i="150"/>
  <c r="Q98" i="150"/>
  <c r="P97" i="150"/>
  <c r="O97" i="150"/>
  <c r="K97" i="150"/>
  <c r="M97" i="150" s="1"/>
  <c r="J97" i="150"/>
  <c r="Q96" i="150"/>
  <c r="Q95" i="150"/>
  <c r="J95" i="150"/>
  <c r="Q94" i="150"/>
  <c r="O93" i="150"/>
  <c r="N93" i="150"/>
  <c r="J93" i="150"/>
  <c r="Q92" i="150"/>
  <c r="Q91" i="150"/>
  <c r="J91" i="150"/>
  <c r="Q90" i="150"/>
  <c r="O89" i="150"/>
  <c r="N89" i="150"/>
  <c r="L89" i="150"/>
  <c r="K89" i="150"/>
  <c r="J89" i="150"/>
  <c r="Q88" i="150"/>
  <c r="P87" i="150"/>
  <c r="O87" i="150"/>
  <c r="N87" i="150"/>
  <c r="L87" i="150"/>
  <c r="K87" i="150"/>
  <c r="J87" i="150"/>
  <c r="Q86" i="150"/>
  <c r="P85" i="150"/>
  <c r="O85" i="150"/>
  <c r="N85" i="150"/>
  <c r="L85" i="150"/>
  <c r="M85" i="150" s="1"/>
  <c r="J85" i="150"/>
  <c r="Q84" i="150"/>
  <c r="P83" i="150"/>
  <c r="O83" i="150"/>
  <c r="N83" i="150"/>
  <c r="L83" i="150"/>
  <c r="K83" i="150"/>
  <c r="J83" i="150"/>
  <c r="P82" i="150"/>
  <c r="O82" i="150"/>
  <c r="N82" i="150"/>
  <c r="L82" i="150"/>
  <c r="K82" i="150"/>
  <c r="J82" i="150"/>
  <c r="Q81" i="150"/>
  <c r="P80" i="150"/>
  <c r="O80" i="150"/>
  <c r="N80" i="150"/>
  <c r="K80" i="150"/>
  <c r="M80" i="150" s="1"/>
  <c r="J80" i="150"/>
  <c r="P79" i="150"/>
  <c r="O79" i="150"/>
  <c r="N79" i="150"/>
  <c r="K79" i="150"/>
  <c r="M79" i="150" s="1"/>
  <c r="J79" i="150"/>
  <c r="O78" i="150"/>
  <c r="N78" i="150"/>
  <c r="L78" i="150"/>
  <c r="K78" i="150"/>
  <c r="P77" i="150"/>
  <c r="O77" i="150"/>
  <c r="N77" i="150"/>
  <c r="L77" i="150"/>
  <c r="K77" i="150"/>
  <c r="J77" i="150"/>
  <c r="Q76" i="150"/>
  <c r="Q75" i="150"/>
  <c r="N75" i="150"/>
  <c r="J75" i="150"/>
  <c r="P74" i="150"/>
  <c r="O74" i="150"/>
  <c r="N74" i="150"/>
  <c r="K74" i="150"/>
  <c r="M74" i="150" s="1"/>
  <c r="Q73" i="150"/>
  <c r="Q72" i="150"/>
  <c r="N72" i="150"/>
  <c r="J72" i="150"/>
  <c r="Q71" i="150"/>
  <c r="Q70" i="150"/>
  <c r="N70" i="150"/>
  <c r="Q69" i="150"/>
  <c r="O68" i="150"/>
  <c r="Q68" i="150" s="1"/>
  <c r="N68" i="150"/>
  <c r="J68" i="150"/>
  <c r="P67" i="150"/>
  <c r="O67" i="150"/>
  <c r="N67" i="150"/>
  <c r="K67" i="150"/>
  <c r="M67" i="150" s="1"/>
  <c r="J67" i="150"/>
  <c r="Q66" i="150"/>
  <c r="O65" i="150"/>
  <c r="Q65" i="150" s="1"/>
  <c r="N65" i="150"/>
  <c r="K65" i="150"/>
  <c r="M65" i="150" s="1"/>
  <c r="Q64" i="150"/>
  <c r="P63" i="150"/>
  <c r="O63" i="150"/>
  <c r="N63" i="150"/>
  <c r="K63" i="150"/>
  <c r="M63" i="150" s="1"/>
  <c r="J63" i="150"/>
  <c r="Q62" i="150"/>
  <c r="Q61" i="150"/>
  <c r="N61" i="150"/>
  <c r="K61" i="150"/>
  <c r="M61" i="150" s="1"/>
  <c r="Q60" i="150"/>
  <c r="P59" i="150"/>
  <c r="O59" i="150"/>
  <c r="N59" i="150"/>
  <c r="Q58" i="150"/>
  <c r="K58" i="150"/>
  <c r="M58" i="150" s="1"/>
  <c r="J58" i="150"/>
  <c r="Q57" i="150"/>
  <c r="P56" i="150"/>
  <c r="O56" i="150"/>
  <c r="N56" i="150"/>
  <c r="L56" i="150"/>
  <c r="K56" i="150"/>
  <c r="J56" i="150"/>
  <c r="Q55" i="150"/>
  <c r="P54" i="150"/>
  <c r="O54" i="150"/>
  <c r="N54" i="150"/>
  <c r="K54" i="150"/>
  <c r="M54" i="150" s="1"/>
  <c r="J54" i="150"/>
  <c r="Q53" i="150"/>
  <c r="Q52" i="150"/>
  <c r="P51" i="150"/>
  <c r="O51" i="150"/>
  <c r="N51" i="150"/>
  <c r="L51" i="150"/>
  <c r="K51" i="150"/>
  <c r="J51" i="150"/>
  <c r="Q50" i="150"/>
  <c r="P49" i="150"/>
  <c r="O49" i="150"/>
  <c r="N49" i="150"/>
  <c r="K49" i="150"/>
  <c r="M49" i="150" s="1"/>
  <c r="J49" i="150"/>
  <c r="Q48" i="150"/>
  <c r="P47" i="150"/>
  <c r="O47" i="150"/>
  <c r="N47" i="150"/>
  <c r="P46" i="150"/>
  <c r="Q46" i="150" s="1"/>
  <c r="P45" i="150"/>
  <c r="O45" i="150"/>
  <c r="N45" i="150"/>
  <c r="J45" i="150"/>
  <c r="Q44" i="150"/>
  <c r="Q43" i="150"/>
  <c r="Q42" i="150"/>
  <c r="Q41" i="150"/>
  <c r="N41" i="150"/>
  <c r="O40" i="150"/>
  <c r="N40" i="150"/>
  <c r="Q39" i="150"/>
  <c r="O38" i="150"/>
  <c r="Q37" i="150"/>
  <c r="P36" i="150"/>
  <c r="O36" i="150"/>
  <c r="N36" i="150"/>
  <c r="L36" i="150"/>
  <c r="K36" i="150"/>
  <c r="J36" i="150"/>
  <c r="Q35" i="150"/>
  <c r="P34" i="150"/>
  <c r="O34" i="150"/>
  <c r="N34" i="150"/>
  <c r="L34" i="150"/>
  <c r="K34" i="150"/>
  <c r="J34" i="150"/>
  <c r="Q33" i="150"/>
  <c r="P32" i="150"/>
  <c r="O32" i="150"/>
  <c r="N32" i="150"/>
  <c r="Q31" i="150"/>
  <c r="Q30" i="150"/>
  <c r="Q29" i="150"/>
  <c r="K29" i="150"/>
  <c r="M29" i="150" s="1"/>
  <c r="Q28" i="150"/>
  <c r="N28" i="150"/>
  <c r="J28" i="150"/>
  <c r="Q27" i="150"/>
  <c r="N27" i="150"/>
  <c r="J27" i="150"/>
  <c r="Q26" i="150"/>
  <c r="Q25" i="150"/>
  <c r="N25" i="150"/>
  <c r="J25" i="150"/>
  <c r="P24" i="150"/>
  <c r="O24" i="150"/>
  <c r="J24" i="150"/>
  <c r="Q23" i="150"/>
  <c r="J23" i="150"/>
  <c r="P22" i="150"/>
  <c r="O22" i="150"/>
  <c r="N22" i="150"/>
  <c r="J22" i="150"/>
  <c r="Q21" i="150"/>
  <c r="P20" i="150"/>
  <c r="O20" i="150"/>
  <c r="N20" i="150"/>
  <c r="L20" i="150"/>
  <c r="K20" i="150"/>
  <c r="J20" i="150"/>
  <c r="P19" i="150"/>
  <c r="O19" i="150"/>
  <c r="N19" i="150"/>
  <c r="J19" i="150"/>
  <c r="Q18" i="150"/>
  <c r="P17" i="150"/>
  <c r="O17" i="150"/>
  <c r="N17" i="150"/>
  <c r="J17" i="150"/>
  <c r="Q16" i="150"/>
  <c r="P15" i="150"/>
  <c r="O15" i="150"/>
  <c r="N15" i="150"/>
  <c r="J15" i="150"/>
  <c r="Q14" i="150"/>
  <c r="P13" i="150"/>
  <c r="O13" i="150"/>
  <c r="N13" i="150"/>
  <c r="K13" i="150"/>
  <c r="M13" i="150" s="1"/>
  <c r="J13" i="150"/>
  <c r="Q12" i="150"/>
  <c r="K12" i="150"/>
  <c r="M12" i="150" s="1"/>
  <c r="Q11" i="150"/>
  <c r="P10" i="150"/>
  <c r="O10" i="150"/>
  <c r="N10" i="150"/>
  <c r="K10" i="150"/>
  <c r="J10" i="150"/>
  <c r="B9" i="150"/>
  <c r="C9" i="150" s="1"/>
  <c r="D9" i="150" s="1"/>
  <c r="E9" i="150" s="1"/>
  <c r="F9" i="150" s="1"/>
  <c r="G9" i="150" s="1"/>
  <c r="H9" i="150" s="1"/>
  <c r="I9" i="150" s="1"/>
  <c r="J9" i="150" s="1"/>
  <c r="K9" i="150" s="1"/>
  <c r="L9" i="150" s="1"/>
  <c r="M9" i="150" s="1"/>
  <c r="N9" i="150" s="1"/>
  <c r="O9" i="150" s="1"/>
  <c r="P9" i="150" s="1"/>
  <c r="Q9" i="150" s="1"/>
  <c r="O184" i="149"/>
  <c r="O54" i="149"/>
  <c r="K184" i="149"/>
  <c r="K54" i="149"/>
  <c r="K180" i="149"/>
  <c r="K179" i="149"/>
  <c r="K139" i="149"/>
  <c r="K65" i="149"/>
  <c r="K125" i="149"/>
  <c r="O65" i="149"/>
  <c r="K79" i="149"/>
  <c r="K74" i="149"/>
  <c r="K67" i="149"/>
  <c r="K61" i="149"/>
  <c r="K45" i="149"/>
  <c r="K29" i="149"/>
  <c r="K12" i="149"/>
  <c r="K27" i="149"/>
  <c r="O28" i="149"/>
  <c r="K28" i="149"/>
  <c r="K22" i="149"/>
  <c r="K15" i="149"/>
  <c r="K121" i="149"/>
  <c r="K10" i="149"/>
  <c r="Q165" i="150" l="1"/>
  <c r="M87" i="150"/>
  <c r="M119" i="150"/>
  <c r="Q45" i="150"/>
  <c r="Q134" i="150"/>
  <c r="M140" i="150"/>
  <c r="Q143" i="150"/>
  <c r="M177" i="150"/>
  <c r="M36" i="150"/>
  <c r="Q51" i="150"/>
  <c r="Q77" i="150"/>
  <c r="M78" i="150"/>
  <c r="M89" i="150"/>
  <c r="M103" i="150"/>
  <c r="M134" i="150"/>
  <c r="Q136" i="150"/>
  <c r="Q139" i="150"/>
  <c r="M160" i="150"/>
  <c r="M20" i="150"/>
  <c r="M34" i="150"/>
  <c r="M82" i="150"/>
  <c r="M83" i="150"/>
  <c r="M107" i="150"/>
  <c r="M110" i="150"/>
  <c r="M117" i="150"/>
  <c r="Q119" i="150"/>
  <c r="Q140" i="150"/>
  <c r="M169" i="150"/>
  <c r="Q49" i="150"/>
  <c r="M51" i="150"/>
  <c r="M56" i="150"/>
  <c r="Q59" i="150"/>
  <c r="M77" i="150"/>
  <c r="M146" i="150"/>
  <c r="Q32" i="150"/>
  <c r="Q34" i="150"/>
  <c r="Q36" i="150"/>
  <c r="Q180" i="150"/>
  <c r="O190" i="150"/>
  <c r="Q38" i="150"/>
  <c r="Q47" i="150"/>
  <c r="Q54" i="150"/>
  <c r="Q56" i="150"/>
  <c r="Q67" i="150"/>
  <c r="Q74" i="150"/>
  <c r="Q101" i="150"/>
  <c r="Q110" i="150"/>
  <c r="Q114" i="150"/>
  <c r="Q121" i="150"/>
  <c r="Q138" i="150"/>
  <c r="Q142" i="150"/>
  <c r="Q145" i="150"/>
  <c r="Q148" i="150"/>
  <c r="Q151" i="150"/>
  <c r="Q155" i="150"/>
  <c r="Q158" i="150"/>
  <c r="Q179" i="150"/>
  <c r="K190" i="150"/>
  <c r="Q13" i="150"/>
  <c r="Q15" i="150"/>
  <c r="Q17" i="150"/>
  <c r="Q19" i="150"/>
  <c r="Q20" i="150"/>
  <c r="Q22" i="150"/>
  <c r="Q24" i="150"/>
  <c r="Q40" i="150"/>
  <c r="Q63" i="150"/>
  <c r="Q78" i="150"/>
  <c r="Q79" i="150"/>
  <c r="Q80" i="150"/>
  <c r="Q82" i="150"/>
  <c r="Q83" i="150"/>
  <c r="Q85" i="150"/>
  <c r="Q87" i="150"/>
  <c r="Q89" i="150"/>
  <c r="Q93" i="150"/>
  <c r="Q97" i="150"/>
  <c r="Q103" i="150"/>
  <c r="Q105" i="150"/>
  <c r="Q107" i="150"/>
  <c r="Q112" i="150"/>
  <c r="Q115" i="150"/>
  <c r="Q117" i="150"/>
  <c r="Q127" i="150"/>
  <c r="Q130" i="150"/>
  <c r="Q132" i="150"/>
  <c r="Q160" i="150"/>
  <c r="Q163" i="150"/>
  <c r="Q186" i="150"/>
  <c r="M10" i="150"/>
  <c r="J190" i="150"/>
  <c r="L190" i="150"/>
  <c r="N190" i="150"/>
  <c r="P190" i="150"/>
  <c r="Q10" i="150"/>
  <c r="J27" i="149"/>
  <c r="J129" i="149"/>
  <c r="N75" i="149"/>
  <c r="J75" i="149"/>
  <c r="N186" i="149"/>
  <c r="J186" i="149"/>
  <c r="J182" i="149"/>
  <c r="J169" i="149"/>
  <c r="N172" i="149"/>
  <c r="J172" i="149"/>
  <c r="J167" i="149"/>
  <c r="J138" i="149"/>
  <c r="J143" i="149"/>
  <c r="J142" i="149"/>
  <c r="J132" i="149"/>
  <c r="N125" i="149"/>
  <c r="J125" i="149"/>
  <c r="N123" i="149"/>
  <c r="J123" i="149"/>
  <c r="J121" i="149"/>
  <c r="J112" i="149"/>
  <c r="J108" i="149"/>
  <c r="J91" i="149"/>
  <c r="J93" i="149"/>
  <c r="J105" i="149"/>
  <c r="J99" i="149"/>
  <c r="J101" i="149"/>
  <c r="N72" i="149"/>
  <c r="N41" i="149"/>
  <c r="J41" i="149"/>
  <c r="J38" i="149"/>
  <c r="J19" i="149"/>
  <c r="J15" i="149"/>
  <c r="Q190" i="150" l="1"/>
  <c r="M190" i="150"/>
  <c r="J95" i="149"/>
  <c r="N85" i="149"/>
  <c r="J85" i="149"/>
  <c r="N65" i="149"/>
  <c r="J68" i="149"/>
  <c r="N61" i="149"/>
  <c r="J45" i="149"/>
  <c r="J40" i="149"/>
  <c r="J32" i="149"/>
  <c r="N28" i="149"/>
  <c r="J28" i="149"/>
  <c r="N27" i="149"/>
  <c r="J25" i="149"/>
  <c r="J22" i="149"/>
  <c r="J23" i="149" l="1"/>
  <c r="J24" i="149"/>
  <c r="I190" i="149"/>
  <c r="H190" i="149"/>
  <c r="P189" i="149"/>
  <c r="O189" i="149"/>
  <c r="N189" i="149"/>
  <c r="L189" i="149"/>
  <c r="K189" i="149"/>
  <c r="J189" i="149"/>
  <c r="Q188" i="149"/>
  <c r="M188" i="149"/>
  <c r="Q187" i="149"/>
  <c r="M187" i="149"/>
  <c r="P186" i="149"/>
  <c r="O186" i="149"/>
  <c r="L186" i="149"/>
  <c r="K186" i="149"/>
  <c r="Q185" i="149"/>
  <c r="M185" i="149"/>
  <c r="P184" i="149"/>
  <c r="Q184" i="149" s="1"/>
  <c r="N184" i="149"/>
  <c r="L184" i="149"/>
  <c r="J184" i="149"/>
  <c r="Q183" i="149"/>
  <c r="M183" i="149"/>
  <c r="P182" i="149"/>
  <c r="O182" i="149"/>
  <c r="N182" i="149"/>
  <c r="L182" i="149"/>
  <c r="K182" i="149"/>
  <c r="Q181" i="149"/>
  <c r="M181" i="149"/>
  <c r="P180" i="149"/>
  <c r="O180" i="149"/>
  <c r="N180" i="149"/>
  <c r="L180" i="149"/>
  <c r="M180" i="149" s="1"/>
  <c r="J180" i="149"/>
  <c r="P179" i="149"/>
  <c r="O179" i="149"/>
  <c r="N179" i="149"/>
  <c r="L179" i="149"/>
  <c r="M179" i="149" s="1"/>
  <c r="J179" i="149"/>
  <c r="Q178" i="149"/>
  <c r="M178" i="149"/>
  <c r="P177" i="149"/>
  <c r="O177" i="149"/>
  <c r="N177" i="149"/>
  <c r="L177" i="149"/>
  <c r="K177" i="149"/>
  <c r="J177" i="149"/>
  <c r="Q176" i="149"/>
  <c r="M176" i="149"/>
  <c r="Q173" i="149"/>
  <c r="M173" i="149"/>
  <c r="P172" i="149"/>
  <c r="O172" i="149"/>
  <c r="L172" i="149"/>
  <c r="K172" i="149"/>
  <c r="Q171" i="149"/>
  <c r="M171" i="149"/>
  <c r="Q170" i="149"/>
  <c r="M170" i="149"/>
  <c r="L169" i="149"/>
  <c r="K169" i="149"/>
  <c r="Q168" i="149"/>
  <c r="M168" i="149"/>
  <c r="O167" i="149"/>
  <c r="Q167" i="149" s="1"/>
  <c r="N167" i="149"/>
  <c r="L167" i="149"/>
  <c r="K167" i="149"/>
  <c r="Q166" i="149"/>
  <c r="M166" i="149"/>
  <c r="P165" i="149"/>
  <c r="O165" i="149"/>
  <c r="N165" i="149"/>
  <c r="M165" i="149"/>
  <c r="J165" i="149"/>
  <c r="Q164" i="149"/>
  <c r="M164" i="149"/>
  <c r="P163" i="149"/>
  <c r="O163" i="149"/>
  <c r="N163" i="149"/>
  <c r="L163" i="149"/>
  <c r="K163" i="149"/>
  <c r="J163" i="149"/>
  <c r="Q162" i="149"/>
  <c r="M162" i="149"/>
  <c r="Q161" i="149"/>
  <c r="M161" i="149"/>
  <c r="P160" i="149"/>
  <c r="O160" i="149"/>
  <c r="N160" i="149"/>
  <c r="L160" i="149"/>
  <c r="K160" i="149"/>
  <c r="J160" i="149"/>
  <c r="Q159" i="149"/>
  <c r="M159" i="149"/>
  <c r="P158" i="149"/>
  <c r="O158" i="149"/>
  <c r="N158" i="149"/>
  <c r="L158" i="149"/>
  <c r="K158" i="149"/>
  <c r="J158" i="149"/>
  <c r="Q156" i="149"/>
  <c r="M156" i="149"/>
  <c r="P155" i="149"/>
  <c r="O155" i="149"/>
  <c r="N155" i="149"/>
  <c r="L155" i="149"/>
  <c r="K155" i="149"/>
  <c r="J155" i="149"/>
  <c r="Q154" i="149"/>
  <c r="M154" i="149"/>
  <c r="Q153" i="149"/>
  <c r="M153" i="149"/>
  <c r="Q152" i="149"/>
  <c r="M152" i="149"/>
  <c r="P151" i="149"/>
  <c r="O151" i="149"/>
  <c r="N151" i="149"/>
  <c r="L151" i="149"/>
  <c r="K151" i="149"/>
  <c r="J151" i="149"/>
  <c r="Q150" i="149"/>
  <c r="M150" i="149"/>
  <c r="Q149" i="149"/>
  <c r="M149" i="149"/>
  <c r="P148" i="149"/>
  <c r="O148" i="149"/>
  <c r="N148" i="149"/>
  <c r="L148" i="149"/>
  <c r="K148" i="149"/>
  <c r="J148" i="149"/>
  <c r="Q147" i="149"/>
  <c r="M147" i="149"/>
  <c r="Q146" i="149"/>
  <c r="L146" i="149"/>
  <c r="K146" i="149"/>
  <c r="J146" i="149"/>
  <c r="P145" i="149"/>
  <c r="O145" i="149"/>
  <c r="N145" i="149"/>
  <c r="L145" i="149"/>
  <c r="K145" i="149"/>
  <c r="J145" i="149"/>
  <c r="Q144" i="149"/>
  <c r="M144" i="149"/>
  <c r="P143" i="149"/>
  <c r="O143" i="149"/>
  <c r="N143" i="149"/>
  <c r="L143" i="149"/>
  <c r="K143" i="149"/>
  <c r="P142" i="149"/>
  <c r="O142" i="149"/>
  <c r="N142" i="149"/>
  <c r="L142" i="149"/>
  <c r="K142" i="149"/>
  <c r="Q141" i="149"/>
  <c r="M141" i="149"/>
  <c r="P140" i="149"/>
  <c r="O140" i="149"/>
  <c r="N140" i="149"/>
  <c r="L140" i="149"/>
  <c r="K140" i="149"/>
  <c r="J140" i="149"/>
  <c r="P139" i="149"/>
  <c r="O139" i="149"/>
  <c r="N139" i="149"/>
  <c r="L139" i="149"/>
  <c r="M139" i="149" s="1"/>
  <c r="J139" i="149"/>
  <c r="P138" i="149"/>
  <c r="O138" i="149"/>
  <c r="N138" i="149"/>
  <c r="L138" i="149"/>
  <c r="K138" i="149"/>
  <c r="Q137" i="149"/>
  <c r="M137" i="149"/>
  <c r="P136" i="149"/>
  <c r="O136" i="149"/>
  <c r="N136" i="149"/>
  <c r="L136" i="149"/>
  <c r="K136" i="149"/>
  <c r="J136" i="149"/>
  <c r="Q135" i="149"/>
  <c r="M135" i="149"/>
  <c r="P134" i="149"/>
  <c r="O134" i="149"/>
  <c r="N134" i="149"/>
  <c r="L134" i="149"/>
  <c r="K134" i="149"/>
  <c r="Q133" i="149"/>
  <c r="M133" i="149"/>
  <c r="P132" i="149"/>
  <c r="O132" i="149"/>
  <c r="N132" i="149"/>
  <c r="L132" i="149"/>
  <c r="K132" i="149"/>
  <c r="Q131" i="149"/>
  <c r="P130" i="149"/>
  <c r="O130" i="149"/>
  <c r="N130" i="149"/>
  <c r="L130" i="149"/>
  <c r="K130" i="149"/>
  <c r="J130" i="149"/>
  <c r="Q129" i="149"/>
  <c r="L129" i="149"/>
  <c r="K129" i="149"/>
  <c r="Q128" i="149"/>
  <c r="M128" i="149"/>
  <c r="P127" i="149"/>
  <c r="O127" i="149"/>
  <c r="N127" i="149"/>
  <c r="L127" i="149"/>
  <c r="K127" i="149"/>
  <c r="J127" i="149"/>
  <c r="Q126" i="149"/>
  <c r="M126" i="149"/>
  <c r="P125" i="149"/>
  <c r="O125" i="149"/>
  <c r="L125" i="149"/>
  <c r="Q124" i="149"/>
  <c r="M124" i="149"/>
  <c r="P123" i="149"/>
  <c r="O123" i="149"/>
  <c r="L123" i="149"/>
  <c r="K123" i="149"/>
  <c r="Q122" i="149"/>
  <c r="M122" i="149"/>
  <c r="P121" i="149"/>
  <c r="O121" i="149"/>
  <c r="N121" i="149"/>
  <c r="L121" i="149"/>
  <c r="M121" i="149" s="1"/>
  <c r="Q120" i="149"/>
  <c r="M120" i="149"/>
  <c r="P119" i="149"/>
  <c r="O119" i="149"/>
  <c r="N119" i="149"/>
  <c r="L119" i="149"/>
  <c r="K119" i="149"/>
  <c r="J119" i="149"/>
  <c r="Q118" i="149"/>
  <c r="M118" i="149"/>
  <c r="P117" i="149"/>
  <c r="O117" i="149"/>
  <c r="N117" i="149"/>
  <c r="L117" i="149"/>
  <c r="K117" i="149"/>
  <c r="J117" i="149"/>
  <c r="Q116" i="149"/>
  <c r="M116" i="149"/>
  <c r="P115" i="149"/>
  <c r="O115" i="149"/>
  <c r="N115" i="149"/>
  <c r="L115" i="149"/>
  <c r="K115" i="149"/>
  <c r="J115" i="149"/>
  <c r="P114" i="149"/>
  <c r="O114" i="149"/>
  <c r="N114" i="149"/>
  <c r="L114" i="149"/>
  <c r="K114" i="149"/>
  <c r="J114" i="149"/>
  <c r="Q113" i="149"/>
  <c r="N113" i="149"/>
  <c r="M113" i="149"/>
  <c r="P112" i="149"/>
  <c r="O112" i="149"/>
  <c r="N112" i="149"/>
  <c r="L112" i="149"/>
  <c r="K112" i="149"/>
  <c r="Q111" i="149"/>
  <c r="M111" i="149"/>
  <c r="P110" i="149"/>
  <c r="O110" i="149"/>
  <c r="N110" i="149"/>
  <c r="L110" i="149"/>
  <c r="K110" i="149"/>
  <c r="J110" i="149"/>
  <c r="Q109" i="149"/>
  <c r="M109" i="149"/>
  <c r="Q108" i="149"/>
  <c r="L108" i="149"/>
  <c r="K108" i="149"/>
  <c r="P107" i="149"/>
  <c r="O107" i="149"/>
  <c r="N107" i="149"/>
  <c r="L107" i="149"/>
  <c r="K107" i="149"/>
  <c r="J107" i="149"/>
  <c r="Q106" i="149"/>
  <c r="M106" i="149"/>
  <c r="P105" i="149"/>
  <c r="O105" i="149"/>
  <c r="N105" i="149"/>
  <c r="L105" i="149"/>
  <c r="K105" i="149"/>
  <c r="Q104" i="149"/>
  <c r="M104" i="149"/>
  <c r="P103" i="149"/>
  <c r="O103" i="149"/>
  <c r="N103" i="149"/>
  <c r="L103" i="149"/>
  <c r="K103" i="149"/>
  <c r="J103" i="149"/>
  <c r="Q102" i="149"/>
  <c r="M102" i="149"/>
  <c r="P101" i="149"/>
  <c r="O101" i="149"/>
  <c r="N101" i="149"/>
  <c r="L101" i="149"/>
  <c r="K101" i="149"/>
  <c r="Q100" i="149"/>
  <c r="M100" i="149"/>
  <c r="P99" i="149"/>
  <c r="O99" i="149"/>
  <c r="N99" i="149"/>
  <c r="L99" i="149"/>
  <c r="K99" i="149"/>
  <c r="Q98" i="149"/>
  <c r="M98" i="149"/>
  <c r="P97" i="149"/>
  <c r="O97" i="149"/>
  <c r="N97" i="149"/>
  <c r="L97" i="149"/>
  <c r="K97" i="149"/>
  <c r="J97" i="149"/>
  <c r="Q96" i="149"/>
  <c r="M96" i="149"/>
  <c r="P95" i="149"/>
  <c r="O95" i="149"/>
  <c r="N95" i="149"/>
  <c r="L95" i="149"/>
  <c r="K95" i="149"/>
  <c r="Q94" i="149"/>
  <c r="M94" i="149"/>
  <c r="P93" i="149"/>
  <c r="O93" i="149"/>
  <c r="N93" i="149"/>
  <c r="L93" i="149"/>
  <c r="K93" i="149"/>
  <c r="Q92" i="149"/>
  <c r="M92" i="149"/>
  <c r="Q91" i="149"/>
  <c r="L91" i="149"/>
  <c r="K91" i="149"/>
  <c r="Q90" i="149"/>
  <c r="M90" i="149"/>
  <c r="P89" i="149"/>
  <c r="O89" i="149"/>
  <c r="N89" i="149"/>
  <c r="L89" i="149"/>
  <c r="K89" i="149"/>
  <c r="J89" i="149"/>
  <c r="Q88" i="149"/>
  <c r="M88" i="149"/>
  <c r="P87" i="149"/>
  <c r="O87" i="149"/>
  <c r="N87" i="149"/>
  <c r="L87" i="149"/>
  <c r="K87" i="149"/>
  <c r="J87" i="149"/>
  <c r="Q86" i="149"/>
  <c r="M86" i="149"/>
  <c r="P85" i="149"/>
  <c r="O85" i="149"/>
  <c r="L85" i="149"/>
  <c r="Q84" i="149"/>
  <c r="M84" i="149"/>
  <c r="P83" i="149"/>
  <c r="O83" i="149"/>
  <c r="N83" i="149"/>
  <c r="L83" i="149"/>
  <c r="K83" i="149"/>
  <c r="J83" i="149"/>
  <c r="P82" i="149"/>
  <c r="O82" i="149"/>
  <c r="N82" i="149"/>
  <c r="L82" i="149"/>
  <c r="K82" i="149"/>
  <c r="J82" i="149"/>
  <c r="Q81" i="149"/>
  <c r="P80" i="149"/>
  <c r="O80" i="149"/>
  <c r="N80" i="149"/>
  <c r="L80" i="149"/>
  <c r="K80" i="149"/>
  <c r="J80" i="149"/>
  <c r="P79" i="149"/>
  <c r="O79" i="149"/>
  <c r="N79" i="149"/>
  <c r="L79" i="149"/>
  <c r="M79" i="149" s="1"/>
  <c r="J79" i="149"/>
  <c r="P78" i="149"/>
  <c r="O78" i="149"/>
  <c r="N78" i="149"/>
  <c r="L78" i="149"/>
  <c r="K78" i="149"/>
  <c r="P77" i="149"/>
  <c r="O77" i="149"/>
  <c r="N77" i="149"/>
  <c r="L77" i="149"/>
  <c r="K77" i="149"/>
  <c r="J77" i="149"/>
  <c r="Q76" i="149"/>
  <c r="M76" i="149"/>
  <c r="P75" i="149"/>
  <c r="O75" i="149"/>
  <c r="L75" i="149"/>
  <c r="K75" i="149"/>
  <c r="P74" i="149"/>
  <c r="O74" i="149"/>
  <c r="N74" i="149"/>
  <c r="L74" i="149"/>
  <c r="J74" i="149"/>
  <c r="Q73" i="149"/>
  <c r="M73" i="149"/>
  <c r="P72" i="149"/>
  <c r="O72" i="149"/>
  <c r="L72" i="149"/>
  <c r="K72" i="149"/>
  <c r="J72" i="149"/>
  <c r="Q71" i="149"/>
  <c r="M71" i="149"/>
  <c r="Q70" i="149"/>
  <c r="N70" i="149"/>
  <c r="M70" i="149"/>
  <c r="Q69" i="149"/>
  <c r="P68" i="149"/>
  <c r="O68" i="149"/>
  <c r="N68" i="149"/>
  <c r="L68" i="149"/>
  <c r="K68" i="149"/>
  <c r="P67" i="149"/>
  <c r="O67" i="149"/>
  <c r="N67" i="149"/>
  <c r="L67" i="149"/>
  <c r="M67" i="149" s="1"/>
  <c r="J67" i="149"/>
  <c r="Q66" i="149"/>
  <c r="P65" i="149"/>
  <c r="L65" i="149"/>
  <c r="M65" i="149" s="1"/>
  <c r="J65" i="149"/>
  <c r="Q64" i="149"/>
  <c r="P63" i="149"/>
  <c r="O63" i="149"/>
  <c r="N63" i="149"/>
  <c r="L63" i="149"/>
  <c r="K63" i="149"/>
  <c r="J63" i="149"/>
  <c r="Q62" i="149"/>
  <c r="P61" i="149"/>
  <c r="O61" i="149"/>
  <c r="L61" i="149"/>
  <c r="M61" i="149" s="1"/>
  <c r="J61" i="149"/>
  <c r="Q60" i="149"/>
  <c r="P59" i="149"/>
  <c r="O59" i="149"/>
  <c r="N59" i="149"/>
  <c r="Q58" i="149"/>
  <c r="L58" i="149"/>
  <c r="K58" i="149"/>
  <c r="J58" i="149"/>
  <c r="Q57" i="149"/>
  <c r="P56" i="149"/>
  <c r="O56" i="149"/>
  <c r="N56" i="149"/>
  <c r="L56" i="149"/>
  <c r="K56" i="149"/>
  <c r="J56" i="149"/>
  <c r="Q55" i="149"/>
  <c r="P54" i="149"/>
  <c r="N54" i="149"/>
  <c r="L54" i="149"/>
  <c r="M54" i="149" s="1"/>
  <c r="J54" i="149"/>
  <c r="Q53" i="149"/>
  <c r="M53" i="149"/>
  <c r="Q52" i="149"/>
  <c r="M52" i="149"/>
  <c r="P51" i="149"/>
  <c r="O51" i="149"/>
  <c r="N51" i="149"/>
  <c r="L51" i="149"/>
  <c r="K51" i="149"/>
  <c r="J51" i="149"/>
  <c r="Q50" i="149"/>
  <c r="M50" i="149"/>
  <c r="P49" i="149"/>
  <c r="O49" i="149"/>
  <c r="N49" i="149"/>
  <c r="L49" i="149"/>
  <c r="K49" i="149"/>
  <c r="J49" i="149"/>
  <c r="Q48" i="149"/>
  <c r="M48" i="149"/>
  <c r="P47" i="149"/>
  <c r="O47" i="149"/>
  <c r="N47" i="149"/>
  <c r="L47" i="149"/>
  <c r="K47" i="149"/>
  <c r="J47" i="149"/>
  <c r="P46" i="149"/>
  <c r="Q46" i="149" s="1"/>
  <c r="M46" i="149"/>
  <c r="P45" i="149"/>
  <c r="O45" i="149"/>
  <c r="N45" i="149"/>
  <c r="L45" i="149"/>
  <c r="M45" i="149" s="1"/>
  <c r="Q44" i="149"/>
  <c r="M44" i="149"/>
  <c r="Q43" i="149"/>
  <c r="Q42" i="149"/>
  <c r="M42" i="149"/>
  <c r="P41" i="149"/>
  <c r="O41" i="149"/>
  <c r="L41" i="149"/>
  <c r="K41" i="149"/>
  <c r="P40" i="149"/>
  <c r="O40" i="149"/>
  <c r="N40" i="149"/>
  <c r="L40" i="149"/>
  <c r="K40" i="149"/>
  <c r="Q39" i="149"/>
  <c r="M39" i="149"/>
  <c r="P38" i="149"/>
  <c r="O38" i="149"/>
  <c r="N38" i="149"/>
  <c r="L38" i="149"/>
  <c r="K38" i="149"/>
  <c r="Q37" i="149"/>
  <c r="M37" i="149"/>
  <c r="P36" i="149"/>
  <c r="O36" i="149"/>
  <c r="N36" i="149"/>
  <c r="L36" i="149"/>
  <c r="K36" i="149"/>
  <c r="J36" i="149"/>
  <c r="Q35" i="149"/>
  <c r="M35" i="149"/>
  <c r="P34" i="149"/>
  <c r="O34" i="149"/>
  <c r="N34" i="149"/>
  <c r="L34" i="149"/>
  <c r="K34" i="149"/>
  <c r="J34" i="149"/>
  <c r="Q33" i="149"/>
  <c r="M33" i="149"/>
  <c r="P32" i="149"/>
  <c r="O32" i="149"/>
  <c r="N32" i="149"/>
  <c r="L32" i="149"/>
  <c r="K32" i="149"/>
  <c r="Q31" i="149"/>
  <c r="M31" i="149"/>
  <c r="Q30" i="149"/>
  <c r="M30" i="149"/>
  <c r="Q29" i="149"/>
  <c r="L29" i="149"/>
  <c r="M29" i="149" s="1"/>
  <c r="J29" i="149"/>
  <c r="P28" i="149"/>
  <c r="L28" i="149"/>
  <c r="Q27" i="149"/>
  <c r="L27" i="149"/>
  <c r="M27" i="149" s="1"/>
  <c r="Q26" i="149"/>
  <c r="M26" i="149"/>
  <c r="P25" i="149"/>
  <c r="O25" i="149"/>
  <c r="N25" i="149"/>
  <c r="L25" i="149"/>
  <c r="K25" i="149"/>
  <c r="P24" i="149"/>
  <c r="O24" i="149"/>
  <c r="N24" i="149"/>
  <c r="L24" i="149"/>
  <c r="K24" i="149"/>
  <c r="Q23" i="149"/>
  <c r="M23" i="149"/>
  <c r="P22" i="149"/>
  <c r="O22" i="149"/>
  <c r="N22" i="149"/>
  <c r="L22" i="149"/>
  <c r="Q21" i="149"/>
  <c r="M21" i="149"/>
  <c r="P20" i="149"/>
  <c r="O20" i="149"/>
  <c r="N20" i="149"/>
  <c r="L20" i="149"/>
  <c r="K20" i="149"/>
  <c r="J20" i="149"/>
  <c r="P19" i="149"/>
  <c r="O19" i="149"/>
  <c r="N19" i="149"/>
  <c r="L19" i="149"/>
  <c r="K19" i="149"/>
  <c r="Q18" i="149"/>
  <c r="M18" i="149"/>
  <c r="P17" i="149"/>
  <c r="O17" i="149"/>
  <c r="N17" i="149"/>
  <c r="L17" i="149"/>
  <c r="K17" i="149"/>
  <c r="J17" i="149"/>
  <c r="Q16" i="149"/>
  <c r="M16" i="149"/>
  <c r="P15" i="149"/>
  <c r="O15" i="149"/>
  <c r="N15" i="149"/>
  <c r="L15" i="149"/>
  <c r="Q14" i="149"/>
  <c r="M14" i="149"/>
  <c r="P13" i="149"/>
  <c r="O13" i="149"/>
  <c r="N13" i="149"/>
  <c r="L13" i="149"/>
  <c r="K13" i="149"/>
  <c r="J13" i="149"/>
  <c r="Q12" i="149"/>
  <c r="L12" i="149"/>
  <c r="M12" i="149" s="1"/>
  <c r="J12" i="149"/>
  <c r="Q11" i="149"/>
  <c r="M11" i="149"/>
  <c r="P10" i="149"/>
  <c r="O10" i="149"/>
  <c r="N10" i="149"/>
  <c r="L10" i="149"/>
  <c r="J10" i="149"/>
  <c r="B9" i="149"/>
  <c r="C9" i="149" s="1"/>
  <c r="D9" i="149" s="1"/>
  <c r="E9" i="149" s="1"/>
  <c r="F9" i="149" s="1"/>
  <c r="G9" i="149" s="1"/>
  <c r="H9" i="149" s="1"/>
  <c r="I9" i="149" s="1"/>
  <c r="J9" i="149" s="1"/>
  <c r="K9" i="149" s="1"/>
  <c r="L9" i="149" s="1"/>
  <c r="M9" i="149" s="1"/>
  <c r="N9" i="149" s="1"/>
  <c r="O9" i="149" s="1"/>
  <c r="P9" i="149" s="1"/>
  <c r="Q9" i="149" s="1"/>
  <c r="N190" i="149" l="1"/>
  <c r="M56" i="149"/>
  <c r="Q61" i="149"/>
  <c r="M63" i="149"/>
  <c r="Q68" i="149"/>
  <c r="Q74" i="149"/>
  <c r="M75" i="149"/>
  <c r="M132" i="149"/>
  <c r="Q134" i="149"/>
  <c r="Q136" i="149"/>
  <c r="M138" i="149"/>
  <c r="M140" i="149"/>
  <c r="Q142" i="149"/>
  <c r="M143" i="149"/>
  <c r="M145" i="149"/>
  <c r="M146" i="149"/>
  <c r="M148" i="149"/>
  <c r="M151" i="149"/>
  <c r="M155" i="149"/>
  <c r="M158" i="149"/>
  <c r="M160" i="149"/>
  <c r="M163" i="149"/>
  <c r="Q165" i="149"/>
  <c r="M167" i="149"/>
  <c r="M169" i="149"/>
  <c r="M172" i="149"/>
  <c r="Q172" i="149"/>
  <c r="M186" i="149"/>
  <c r="Q186" i="149"/>
  <c r="Q189" i="149"/>
  <c r="P190" i="149"/>
  <c r="M13" i="149"/>
  <c r="Q22" i="149"/>
  <c r="M24" i="149"/>
  <c r="Q25" i="149"/>
  <c r="Q32" i="149"/>
  <c r="Q34" i="149"/>
  <c r="Q36" i="149"/>
  <c r="M38" i="149"/>
  <c r="M58" i="149"/>
  <c r="Q63" i="149"/>
  <c r="M68" i="149"/>
  <c r="M72" i="149"/>
  <c r="M87" i="149"/>
  <c r="M89" i="149"/>
  <c r="M93" i="149"/>
  <c r="Q95" i="149"/>
  <c r="Q97" i="149"/>
  <c r="M127" i="149"/>
  <c r="Q130" i="149"/>
  <c r="Q15" i="149"/>
  <c r="Q17" i="149"/>
  <c r="M19" i="149"/>
  <c r="M20" i="149"/>
  <c r="Q72" i="149"/>
  <c r="M99" i="149"/>
  <c r="Q101" i="149"/>
  <c r="Q103" i="149"/>
  <c r="M105" i="149"/>
  <c r="M107" i="149"/>
  <c r="Q110" i="149"/>
  <c r="M112" i="149"/>
  <c r="Q114" i="149"/>
  <c r="Q115" i="149"/>
  <c r="Q117" i="149"/>
  <c r="Q119" i="149"/>
  <c r="Q40" i="149"/>
  <c r="M41" i="149"/>
  <c r="Q41" i="149"/>
  <c r="M47" i="149"/>
  <c r="M49" i="149"/>
  <c r="M51" i="149"/>
  <c r="Q75" i="149"/>
  <c r="Q77" i="149"/>
  <c r="M78" i="149"/>
  <c r="M80" i="149"/>
  <c r="M82" i="149"/>
  <c r="M83" i="149"/>
  <c r="M177" i="149"/>
  <c r="Q182" i="149"/>
  <c r="J190" i="149"/>
  <c r="L190" i="149"/>
  <c r="Q13" i="149"/>
  <c r="M15" i="149"/>
  <c r="M17" i="149"/>
  <c r="Q19" i="149"/>
  <c r="Q20" i="149"/>
  <c r="M22" i="149"/>
  <c r="Q24" i="149"/>
  <c r="M28" i="149"/>
  <c r="Q28" i="149"/>
  <c r="M32" i="149"/>
  <c r="M34" i="149"/>
  <c r="M36" i="149"/>
  <c r="Q38" i="149"/>
  <c r="M40" i="149"/>
  <c r="Q45" i="149"/>
  <c r="Q47" i="149"/>
  <c r="Q49" i="149"/>
  <c r="Q51" i="149"/>
  <c r="Q54" i="149"/>
  <c r="Q56" i="149"/>
  <c r="Q59" i="149"/>
  <c r="Q65" i="149"/>
  <c r="Q67" i="149"/>
  <c r="M74" i="149"/>
  <c r="M77" i="149"/>
  <c r="Q78" i="149"/>
  <c r="Q79" i="149"/>
  <c r="Q80" i="149"/>
  <c r="Q82" i="149"/>
  <c r="Q83" i="149"/>
  <c r="M85" i="149"/>
  <c r="Q85" i="149"/>
  <c r="Q87" i="149"/>
  <c r="Q89" i="149"/>
  <c r="M91" i="149"/>
  <c r="Q93" i="149"/>
  <c r="M95" i="149"/>
  <c r="M97" i="149"/>
  <c r="Q99" i="149"/>
  <c r="M101" i="149"/>
  <c r="M103" i="149"/>
  <c r="Q105" i="149"/>
  <c r="Q107" i="149"/>
  <c r="M108" i="149"/>
  <c r="M110" i="149"/>
  <c r="Q112" i="149"/>
  <c r="M114" i="149"/>
  <c r="M115" i="149"/>
  <c r="M117" i="149"/>
  <c r="M119" i="149"/>
  <c r="Q121" i="149"/>
  <c r="M123" i="149"/>
  <c r="Q123" i="149"/>
  <c r="M125" i="149"/>
  <c r="Q125" i="149"/>
  <c r="Q127" i="149"/>
  <c r="M129" i="149"/>
  <c r="M130" i="149"/>
  <c r="Q132" i="149"/>
  <c r="M134" i="149"/>
  <c r="M136" i="149"/>
  <c r="Q138" i="149"/>
  <c r="Q139" i="149"/>
  <c r="Q140" i="149"/>
  <c r="M142" i="149"/>
  <c r="Q143" i="149"/>
  <c r="Q145" i="149"/>
  <c r="Q148" i="149"/>
  <c r="Q151" i="149"/>
  <c r="Q155" i="149"/>
  <c r="Q158" i="149"/>
  <c r="Q160" i="149"/>
  <c r="Q163" i="149"/>
  <c r="Q177" i="149"/>
  <c r="Q179" i="149"/>
  <c r="Q180" i="149"/>
  <c r="M182" i="149"/>
  <c r="M184" i="149"/>
  <c r="M189" i="149"/>
  <c r="K190" i="149"/>
  <c r="M10" i="149"/>
  <c r="O190" i="149"/>
  <c r="Q190" i="149" s="1"/>
  <c r="Q10" i="149"/>
  <c r="M25" i="149"/>
  <c r="K145" i="148"/>
  <c r="K115" i="148"/>
  <c r="K172" i="148"/>
  <c r="K189" i="148"/>
  <c r="O167" i="148"/>
  <c r="K158" i="148"/>
  <c r="K148" i="148"/>
  <c r="O151" i="148"/>
  <c r="K151" i="148"/>
  <c r="K65" i="148"/>
  <c r="K132" i="148"/>
  <c r="K127" i="148"/>
  <c r="K105" i="148"/>
  <c r="K97" i="148"/>
  <c r="K101" i="148"/>
  <c r="K72" i="148"/>
  <c r="O68" i="148"/>
  <c r="K68" i="148"/>
  <c r="K61" i="148"/>
  <c r="K114" i="148"/>
  <c r="K27" i="148"/>
  <c r="O40" i="148"/>
  <c r="O38" i="148"/>
  <c r="K38" i="148"/>
  <c r="K25" i="148"/>
  <c r="K22" i="148"/>
  <c r="K15" i="148"/>
  <c r="K24" i="148"/>
  <c r="M190" i="149" l="1"/>
  <c r="N184" i="148"/>
  <c r="J184" i="148"/>
  <c r="N67" i="148"/>
  <c r="J61" i="148"/>
  <c r="J27" i="148" l="1"/>
  <c r="J103" i="148"/>
  <c r="J180" i="148"/>
  <c r="J139" i="148"/>
  <c r="J125" i="148"/>
  <c r="N117" i="148"/>
  <c r="J117" i="148"/>
  <c r="J110" i="148"/>
  <c r="J107" i="148"/>
  <c r="J99" i="148"/>
  <c r="J79" i="148"/>
  <c r="J74" i="148"/>
  <c r="J54" i="148"/>
  <c r="J12" i="148"/>
  <c r="J29" i="148"/>
  <c r="N28" i="148"/>
  <c r="J28" i="148"/>
  <c r="J22" i="148"/>
  <c r="J15" i="148"/>
  <c r="J10" i="148"/>
  <c r="I190" i="148"/>
  <c r="H190" i="148"/>
  <c r="P189" i="148"/>
  <c r="O189" i="148"/>
  <c r="N189" i="148"/>
  <c r="L189" i="148"/>
  <c r="M189" i="148" s="1"/>
  <c r="J189" i="148"/>
  <c r="Q188" i="148"/>
  <c r="M188" i="148"/>
  <c r="Q187" i="148"/>
  <c r="M187" i="148"/>
  <c r="P186" i="148"/>
  <c r="O186" i="148"/>
  <c r="N186" i="148"/>
  <c r="L186" i="148"/>
  <c r="K186" i="148"/>
  <c r="J186" i="148"/>
  <c r="Q185" i="148"/>
  <c r="M185" i="148"/>
  <c r="P184" i="148"/>
  <c r="O184" i="148"/>
  <c r="L184" i="148"/>
  <c r="K184" i="148"/>
  <c r="Q183" i="148"/>
  <c r="M183" i="148"/>
  <c r="P182" i="148"/>
  <c r="O182" i="148"/>
  <c r="N182" i="148"/>
  <c r="L182" i="148"/>
  <c r="K182" i="148"/>
  <c r="J182" i="148"/>
  <c r="Q181" i="148"/>
  <c r="M181" i="148"/>
  <c r="P180" i="148"/>
  <c r="O180" i="148"/>
  <c r="N180" i="148"/>
  <c r="L180" i="148"/>
  <c r="K180" i="148"/>
  <c r="P179" i="148"/>
  <c r="O179" i="148"/>
  <c r="N179" i="148"/>
  <c r="L179" i="148"/>
  <c r="K179" i="148"/>
  <c r="J179" i="148"/>
  <c r="Q178" i="148"/>
  <c r="M178" i="148"/>
  <c r="P177" i="148"/>
  <c r="O177" i="148"/>
  <c r="N177" i="148"/>
  <c r="L177" i="148"/>
  <c r="K177" i="148"/>
  <c r="J177" i="148"/>
  <c r="Q176" i="148"/>
  <c r="M176" i="148"/>
  <c r="M175" i="148"/>
  <c r="Q173" i="148"/>
  <c r="M173" i="148"/>
  <c r="P172" i="148"/>
  <c r="O172" i="148"/>
  <c r="N172" i="148"/>
  <c r="L172" i="148"/>
  <c r="M172" i="148" s="1"/>
  <c r="J172" i="148"/>
  <c r="Q171" i="148"/>
  <c r="M171" i="148"/>
  <c r="Q170" i="148"/>
  <c r="M170" i="148"/>
  <c r="L169" i="148"/>
  <c r="K169" i="148"/>
  <c r="J169" i="148"/>
  <c r="Q168" i="148"/>
  <c r="M168" i="148"/>
  <c r="Q167" i="148"/>
  <c r="N167" i="148"/>
  <c r="L167" i="148"/>
  <c r="K167" i="148"/>
  <c r="J167" i="148"/>
  <c r="Q166" i="148"/>
  <c r="M166" i="148"/>
  <c r="P165" i="148"/>
  <c r="O165" i="148"/>
  <c r="N165" i="148"/>
  <c r="M165" i="148"/>
  <c r="J165" i="148"/>
  <c r="Q164" i="148"/>
  <c r="M164" i="148"/>
  <c r="P163" i="148"/>
  <c r="O163" i="148"/>
  <c r="N163" i="148"/>
  <c r="L163" i="148"/>
  <c r="K163" i="148"/>
  <c r="J163" i="148"/>
  <c r="Q162" i="148"/>
  <c r="M162" i="148"/>
  <c r="Q161" i="148"/>
  <c r="M161" i="148"/>
  <c r="P160" i="148"/>
  <c r="O160" i="148"/>
  <c r="N160" i="148"/>
  <c r="L160" i="148"/>
  <c r="K160" i="148"/>
  <c r="J160" i="148"/>
  <c r="Q159" i="148"/>
  <c r="M159" i="148"/>
  <c r="P158" i="148"/>
  <c r="O158" i="148"/>
  <c r="N158" i="148"/>
  <c r="L158" i="148"/>
  <c r="M158" i="148" s="1"/>
  <c r="J158" i="148"/>
  <c r="Q156" i="148"/>
  <c r="M156" i="148"/>
  <c r="P155" i="148"/>
  <c r="O155" i="148"/>
  <c r="N155" i="148"/>
  <c r="L155" i="148"/>
  <c r="K155" i="148"/>
  <c r="J155" i="148"/>
  <c r="Q154" i="148"/>
  <c r="M154" i="148"/>
  <c r="Q153" i="148"/>
  <c r="M153" i="148"/>
  <c r="Q152" i="148"/>
  <c r="M152" i="148"/>
  <c r="P151" i="148"/>
  <c r="Q151" i="148" s="1"/>
  <c r="N151" i="148"/>
  <c r="L151" i="148"/>
  <c r="M151" i="148" s="1"/>
  <c r="J151" i="148"/>
  <c r="Q150" i="148"/>
  <c r="M150" i="148"/>
  <c r="Q149" i="148"/>
  <c r="M149" i="148"/>
  <c r="P148" i="148"/>
  <c r="O148" i="148"/>
  <c r="N148" i="148"/>
  <c r="L148" i="148"/>
  <c r="M148" i="148" s="1"/>
  <c r="J148" i="148"/>
  <c r="Q147" i="148"/>
  <c r="M147" i="148"/>
  <c r="Q146" i="148"/>
  <c r="L146" i="148"/>
  <c r="K146" i="148"/>
  <c r="J146" i="148"/>
  <c r="P145" i="148"/>
  <c r="O145" i="148"/>
  <c r="N145" i="148"/>
  <c r="L145" i="148"/>
  <c r="M145" i="148" s="1"/>
  <c r="J145" i="148"/>
  <c r="Q144" i="148"/>
  <c r="M144" i="148"/>
  <c r="P143" i="148"/>
  <c r="O143" i="148"/>
  <c r="N143" i="148"/>
  <c r="L143" i="148"/>
  <c r="K143" i="148"/>
  <c r="J143" i="148"/>
  <c r="P142" i="148"/>
  <c r="O142" i="148"/>
  <c r="N142" i="148"/>
  <c r="L142" i="148"/>
  <c r="K142" i="148"/>
  <c r="J142" i="148"/>
  <c r="Q141" i="148"/>
  <c r="M141" i="148"/>
  <c r="P140" i="148"/>
  <c r="O140" i="148"/>
  <c r="N140" i="148"/>
  <c r="L140" i="148"/>
  <c r="K140" i="148"/>
  <c r="J140" i="148"/>
  <c r="P139" i="148"/>
  <c r="O139" i="148"/>
  <c r="N139" i="148"/>
  <c r="L139" i="148"/>
  <c r="K139" i="148"/>
  <c r="P138" i="148"/>
  <c r="O138" i="148"/>
  <c r="N138" i="148"/>
  <c r="L138" i="148"/>
  <c r="K138" i="148"/>
  <c r="J138" i="148"/>
  <c r="Q137" i="148"/>
  <c r="M137" i="148"/>
  <c r="P136" i="148"/>
  <c r="O136" i="148"/>
  <c r="N136" i="148"/>
  <c r="L136" i="148"/>
  <c r="K136" i="148"/>
  <c r="J136" i="148"/>
  <c r="Q135" i="148"/>
  <c r="M135" i="148"/>
  <c r="P134" i="148"/>
  <c r="O134" i="148"/>
  <c r="N134" i="148"/>
  <c r="L134" i="148"/>
  <c r="K134" i="148"/>
  <c r="Q133" i="148"/>
  <c r="M133" i="148"/>
  <c r="P132" i="148"/>
  <c r="O132" i="148"/>
  <c r="N132" i="148"/>
  <c r="L132" i="148"/>
  <c r="M132" i="148" s="1"/>
  <c r="J132" i="148"/>
  <c r="Q131" i="148"/>
  <c r="M131" i="148"/>
  <c r="P130" i="148"/>
  <c r="O130" i="148"/>
  <c r="N130" i="148"/>
  <c r="L130" i="148"/>
  <c r="K130" i="148"/>
  <c r="J130" i="148"/>
  <c r="Q129" i="148"/>
  <c r="L129" i="148"/>
  <c r="K129" i="148"/>
  <c r="J129" i="148"/>
  <c r="Q128" i="148"/>
  <c r="M128" i="148"/>
  <c r="P127" i="148"/>
  <c r="O127" i="148"/>
  <c r="N127" i="148"/>
  <c r="L127" i="148"/>
  <c r="M127" i="148" s="1"/>
  <c r="J127" i="148"/>
  <c r="Q126" i="148"/>
  <c r="M126" i="148"/>
  <c r="P125" i="148"/>
  <c r="O125" i="148"/>
  <c r="N125" i="148"/>
  <c r="L125" i="148"/>
  <c r="K125" i="148"/>
  <c r="Q124" i="148"/>
  <c r="M124" i="148"/>
  <c r="P123" i="148"/>
  <c r="O123" i="148"/>
  <c r="N123" i="148"/>
  <c r="L123" i="148"/>
  <c r="K123" i="148"/>
  <c r="J123" i="148"/>
  <c r="Q122" i="148"/>
  <c r="M122" i="148"/>
  <c r="P121" i="148"/>
  <c r="O121" i="148"/>
  <c r="N121" i="148"/>
  <c r="L121" i="148"/>
  <c r="K121" i="148"/>
  <c r="J121" i="148"/>
  <c r="Q120" i="148"/>
  <c r="M120" i="148"/>
  <c r="P119" i="148"/>
  <c r="O119" i="148"/>
  <c r="N119" i="148"/>
  <c r="L119" i="148"/>
  <c r="K119" i="148"/>
  <c r="J119" i="148"/>
  <c r="Q118" i="148"/>
  <c r="M118" i="148"/>
  <c r="P117" i="148"/>
  <c r="O117" i="148"/>
  <c r="L117" i="148"/>
  <c r="K117" i="148"/>
  <c r="Q116" i="148"/>
  <c r="M116" i="148"/>
  <c r="P115" i="148"/>
  <c r="O115" i="148"/>
  <c r="N115" i="148"/>
  <c r="L115" i="148"/>
  <c r="M115" i="148" s="1"/>
  <c r="J115" i="148"/>
  <c r="P114" i="148"/>
  <c r="O114" i="148"/>
  <c r="N114" i="148"/>
  <c r="L114" i="148"/>
  <c r="M114" i="148" s="1"/>
  <c r="J114" i="148"/>
  <c r="Q113" i="148"/>
  <c r="N113" i="148"/>
  <c r="M113" i="148"/>
  <c r="P112" i="148"/>
  <c r="O112" i="148"/>
  <c r="N112" i="148"/>
  <c r="L112" i="148"/>
  <c r="K112" i="148"/>
  <c r="J112" i="148"/>
  <c r="Q111" i="148"/>
  <c r="M111" i="148"/>
  <c r="P110" i="148"/>
  <c r="O110" i="148"/>
  <c r="N110" i="148"/>
  <c r="L110" i="148"/>
  <c r="K110" i="148"/>
  <c r="Q109" i="148"/>
  <c r="M109" i="148"/>
  <c r="Q108" i="148"/>
  <c r="L108" i="148"/>
  <c r="K108" i="148"/>
  <c r="J108" i="148"/>
  <c r="P107" i="148"/>
  <c r="O107" i="148"/>
  <c r="N107" i="148"/>
  <c r="L107" i="148"/>
  <c r="K107" i="148"/>
  <c r="Q106" i="148"/>
  <c r="M106" i="148"/>
  <c r="P105" i="148"/>
  <c r="O105" i="148"/>
  <c r="N105" i="148"/>
  <c r="L105" i="148"/>
  <c r="M105" i="148" s="1"/>
  <c r="J105" i="148"/>
  <c r="Q104" i="148"/>
  <c r="M104" i="148"/>
  <c r="P103" i="148"/>
  <c r="O103" i="148"/>
  <c r="N103" i="148"/>
  <c r="L103" i="148"/>
  <c r="K103" i="148"/>
  <c r="Q102" i="148"/>
  <c r="M102" i="148"/>
  <c r="P101" i="148"/>
  <c r="O101" i="148"/>
  <c r="N101" i="148"/>
  <c r="L101" i="148"/>
  <c r="M101" i="148" s="1"/>
  <c r="J101" i="148"/>
  <c r="Q100" i="148"/>
  <c r="M100" i="148"/>
  <c r="P99" i="148"/>
  <c r="O99" i="148"/>
  <c r="N99" i="148"/>
  <c r="L99" i="148"/>
  <c r="K99" i="148"/>
  <c r="Q98" i="148"/>
  <c r="M98" i="148"/>
  <c r="P97" i="148"/>
  <c r="O97" i="148"/>
  <c r="N97" i="148"/>
  <c r="L97" i="148"/>
  <c r="M97" i="148" s="1"/>
  <c r="J97" i="148"/>
  <c r="Q96" i="148"/>
  <c r="M96" i="148"/>
  <c r="P95" i="148"/>
  <c r="O95" i="148"/>
  <c r="N95" i="148"/>
  <c r="L95" i="148"/>
  <c r="K95" i="148"/>
  <c r="J95" i="148"/>
  <c r="Q94" i="148"/>
  <c r="M94" i="148"/>
  <c r="P93" i="148"/>
  <c r="O93" i="148"/>
  <c r="N93" i="148"/>
  <c r="L93" i="148"/>
  <c r="K93" i="148"/>
  <c r="J93" i="148"/>
  <c r="Q92" i="148"/>
  <c r="M92" i="148"/>
  <c r="Q91" i="148"/>
  <c r="L91" i="148"/>
  <c r="K91" i="148"/>
  <c r="J91" i="148"/>
  <c r="Q90" i="148"/>
  <c r="M90" i="148"/>
  <c r="P89" i="148"/>
  <c r="O89" i="148"/>
  <c r="N89" i="148"/>
  <c r="L89" i="148"/>
  <c r="K89" i="148"/>
  <c r="J89" i="148"/>
  <c r="Q88" i="148"/>
  <c r="M88" i="148"/>
  <c r="P87" i="148"/>
  <c r="O87" i="148"/>
  <c r="N87" i="148"/>
  <c r="L87" i="148"/>
  <c r="K87" i="148"/>
  <c r="J87" i="148"/>
  <c r="Q86" i="148"/>
  <c r="M86" i="148"/>
  <c r="P85" i="148"/>
  <c r="O85" i="148"/>
  <c r="N85" i="148"/>
  <c r="L85" i="148"/>
  <c r="K85" i="148"/>
  <c r="J85" i="148"/>
  <c r="Q84" i="148"/>
  <c r="M84" i="148"/>
  <c r="P83" i="148"/>
  <c r="O83" i="148"/>
  <c r="N83" i="148"/>
  <c r="L83" i="148"/>
  <c r="K83" i="148"/>
  <c r="J83" i="148"/>
  <c r="P82" i="148"/>
  <c r="O82" i="148"/>
  <c r="N82" i="148"/>
  <c r="L82" i="148"/>
  <c r="K82" i="148"/>
  <c r="J82" i="148"/>
  <c r="Q81" i="148"/>
  <c r="M81" i="148"/>
  <c r="P80" i="148"/>
  <c r="O80" i="148"/>
  <c r="N80" i="148"/>
  <c r="L80" i="148"/>
  <c r="K80" i="148"/>
  <c r="J80" i="148"/>
  <c r="P79" i="148"/>
  <c r="O79" i="148"/>
  <c r="N79" i="148"/>
  <c r="L79" i="148"/>
  <c r="K79" i="148"/>
  <c r="P78" i="148"/>
  <c r="O78" i="148"/>
  <c r="N78" i="148"/>
  <c r="L78" i="148"/>
  <c r="K78" i="148"/>
  <c r="P77" i="148"/>
  <c r="O77" i="148"/>
  <c r="N77" i="148"/>
  <c r="L77" i="148"/>
  <c r="K77" i="148"/>
  <c r="J77" i="148"/>
  <c r="Q76" i="148"/>
  <c r="M76" i="148"/>
  <c r="P75" i="148"/>
  <c r="O75" i="148"/>
  <c r="N75" i="148"/>
  <c r="L75" i="148"/>
  <c r="K75" i="148"/>
  <c r="J75" i="148"/>
  <c r="P74" i="148"/>
  <c r="O74" i="148"/>
  <c r="N74" i="148"/>
  <c r="L74" i="148"/>
  <c r="K74" i="148"/>
  <c r="Q73" i="148"/>
  <c r="M73" i="148"/>
  <c r="P72" i="148"/>
  <c r="O72" i="148"/>
  <c r="N72" i="148"/>
  <c r="L72" i="148"/>
  <c r="M72" i="148" s="1"/>
  <c r="J72" i="148"/>
  <c r="Q71" i="148"/>
  <c r="M71" i="148"/>
  <c r="Q70" i="148"/>
  <c r="N70" i="148"/>
  <c r="M70" i="148"/>
  <c r="Q69" i="148"/>
  <c r="M69" i="148"/>
  <c r="P68" i="148"/>
  <c r="Q68" i="148" s="1"/>
  <c r="N68" i="148"/>
  <c r="L68" i="148"/>
  <c r="M68" i="148" s="1"/>
  <c r="J68" i="148"/>
  <c r="P67" i="148"/>
  <c r="O67" i="148"/>
  <c r="L67" i="148"/>
  <c r="K67" i="148"/>
  <c r="J67" i="148"/>
  <c r="Q66" i="148"/>
  <c r="M66" i="148"/>
  <c r="P65" i="148"/>
  <c r="O65" i="148"/>
  <c r="N65" i="148"/>
  <c r="L65" i="148"/>
  <c r="M65" i="148" s="1"/>
  <c r="J65" i="148"/>
  <c r="Q64" i="148"/>
  <c r="M64" i="148"/>
  <c r="P63" i="148"/>
  <c r="O63" i="148"/>
  <c r="N63" i="148"/>
  <c r="L63" i="148"/>
  <c r="K63" i="148"/>
  <c r="J63" i="148"/>
  <c r="Q62" i="148"/>
  <c r="M62" i="148"/>
  <c r="P61" i="148"/>
  <c r="O61" i="148"/>
  <c r="N61" i="148"/>
  <c r="L61" i="148"/>
  <c r="M61" i="148" s="1"/>
  <c r="Q60" i="148"/>
  <c r="M60" i="148"/>
  <c r="P59" i="148"/>
  <c r="O59" i="148"/>
  <c r="N59" i="148"/>
  <c r="M59" i="148"/>
  <c r="Q58" i="148"/>
  <c r="L58" i="148"/>
  <c r="K58" i="148"/>
  <c r="J58" i="148"/>
  <c r="Q57" i="148"/>
  <c r="M57" i="148"/>
  <c r="P56" i="148"/>
  <c r="O56" i="148"/>
  <c r="N56" i="148"/>
  <c r="L56" i="148"/>
  <c r="K56" i="148"/>
  <c r="J56" i="148"/>
  <c r="Q55" i="148"/>
  <c r="M55" i="148"/>
  <c r="P54" i="148"/>
  <c r="O54" i="148"/>
  <c r="N54" i="148"/>
  <c r="L54" i="148"/>
  <c r="K54" i="148"/>
  <c r="Q53" i="148"/>
  <c r="M53" i="148"/>
  <c r="Q52" i="148"/>
  <c r="M52" i="148"/>
  <c r="P51" i="148"/>
  <c r="O51" i="148"/>
  <c r="N51" i="148"/>
  <c r="L51" i="148"/>
  <c r="K51" i="148"/>
  <c r="J51" i="148"/>
  <c r="Q50" i="148"/>
  <c r="M50" i="148"/>
  <c r="P49" i="148"/>
  <c r="O49" i="148"/>
  <c r="N49" i="148"/>
  <c r="L49" i="148"/>
  <c r="K49" i="148"/>
  <c r="J49" i="148"/>
  <c r="Q48" i="148"/>
  <c r="M48" i="148"/>
  <c r="P47" i="148"/>
  <c r="O47" i="148"/>
  <c r="N47" i="148"/>
  <c r="L47" i="148"/>
  <c r="K47" i="148"/>
  <c r="J47" i="148"/>
  <c r="P46" i="148"/>
  <c r="Q46" i="148" s="1"/>
  <c r="M46" i="148"/>
  <c r="P45" i="148"/>
  <c r="O45" i="148"/>
  <c r="N45" i="148"/>
  <c r="L45" i="148"/>
  <c r="K45" i="148"/>
  <c r="J45" i="148"/>
  <c r="Q44" i="148"/>
  <c r="M44" i="148"/>
  <c r="Q43" i="148"/>
  <c r="M43" i="148"/>
  <c r="Q42" i="148"/>
  <c r="M42" i="148"/>
  <c r="P41" i="148"/>
  <c r="O41" i="148"/>
  <c r="N41" i="148"/>
  <c r="L41" i="148"/>
  <c r="K41" i="148"/>
  <c r="J41" i="148"/>
  <c r="P40" i="148"/>
  <c r="Q40" i="148" s="1"/>
  <c r="N40" i="148"/>
  <c r="L40" i="148"/>
  <c r="K40" i="148"/>
  <c r="J40" i="148"/>
  <c r="Q39" i="148"/>
  <c r="M39" i="148"/>
  <c r="P38" i="148"/>
  <c r="Q38" i="148" s="1"/>
  <c r="N38" i="148"/>
  <c r="L38" i="148"/>
  <c r="M38" i="148" s="1"/>
  <c r="J38" i="148"/>
  <c r="Q37" i="148"/>
  <c r="M37" i="148"/>
  <c r="P36" i="148"/>
  <c r="O36" i="148"/>
  <c r="N36" i="148"/>
  <c r="L36" i="148"/>
  <c r="K36" i="148"/>
  <c r="J36" i="148"/>
  <c r="Q35" i="148"/>
  <c r="M35" i="148"/>
  <c r="P34" i="148"/>
  <c r="O34" i="148"/>
  <c r="N34" i="148"/>
  <c r="L34" i="148"/>
  <c r="K34" i="148"/>
  <c r="J34" i="148"/>
  <c r="Q33" i="148"/>
  <c r="M33" i="148"/>
  <c r="P32" i="148"/>
  <c r="O32" i="148"/>
  <c r="N32" i="148"/>
  <c r="L32" i="148"/>
  <c r="K32" i="148"/>
  <c r="J32" i="148"/>
  <c r="Q31" i="148"/>
  <c r="M31" i="148"/>
  <c r="Q30" i="148"/>
  <c r="M30" i="148"/>
  <c r="Q29" i="148"/>
  <c r="L29" i="148"/>
  <c r="K29" i="148"/>
  <c r="P28" i="148"/>
  <c r="O28" i="148"/>
  <c r="L28" i="148"/>
  <c r="K28" i="148"/>
  <c r="Q27" i="148"/>
  <c r="L27" i="148"/>
  <c r="M27" i="148" s="1"/>
  <c r="Q26" i="148"/>
  <c r="M26" i="148"/>
  <c r="P25" i="148"/>
  <c r="O25" i="148"/>
  <c r="N25" i="148"/>
  <c r="L25" i="148"/>
  <c r="M25" i="148" s="1"/>
  <c r="J25" i="148"/>
  <c r="P24" i="148"/>
  <c r="O24" i="148"/>
  <c r="N24" i="148"/>
  <c r="L24" i="148"/>
  <c r="M24" i="148" s="1"/>
  <c r="J24" i="148"/>
  <c r="Q23" i="148"/>
  <c r="M23" i="148"/>
  <c r="P22" i="148"/>
  <c r="O22" i="148"/>
  <c r="N22" i="148"/>
  <c r="L22" i="148"/>
  <c r="M22" i="148" s="1"/>
  <c r="Q21" i="148"/>
  <c r="M21" i="148"/>
  <c r="P20" i="148"/>
  <c r="O20" i="148"/>
  <c r="N20" i="148"/>
  <c r="L20" i="148"/>
  <c r="K20" i="148"/>
  <c r="J20" i="148"/>
  <c r="P19" i="148"/>
  <c r="O19" i="148"/>
  <c r="N19" i="148"/>
  <c r="L19" i="148"/>
  <c r="K19" i="148"/>
  <c r="J19" i="148"/>
  <c r="Q18" i="148"/>
  <c r="M18" i="148"/>
  <c r="P17" i="148"/>
  <c r="O17" i="148"/>
  <c r="N17" i="148"/>
  <c r="L17" i="148"/>
  <c r="K17" i="148"/>
  <c r="J17" i="148"/>
  <c r="Q16" i="148"/>
  <c r="M16" i="148"/>
  <c r="P15" i="148"/>
  <c r="O15" i="148"/>
  <c r="N15" i="148"/>
  <c r="L15" i="148"/>
  <c r="M15" i="148" s="1"/>
  <c r="Q14" i="148"/>
  <c r="M14" i="148"/>
  <c r="P13" i="148"/>
  <c r="O13" i="148"/>
  <c r="N13" i="148"/>
  <c r="L13" i="148"/>
  <c r="K13" i="148"/>
  <c r="J13" i="148"/>
  <c r="Q12" i="148"/>
  <c r="L12" i="148"/>
  <c r="K12" i="148"/>
  <c r="Q11" i="148"/>
  <c r="M11" i="148"/>
  <c r="P10" i="148"/>
  <c r="O10" i="148"/>
  <c r="N10" i="148"/>
  <c r="L10" i="148"/>
  <c r="K10" i="148"/>
  <c r="B9" i="148"/>
  <c r="C9" i="148" s="1"/>
  <c r="D9" i="148" s="1"/>
  <c r="E9" i="148" s="1"/>
  <c r="F9" i="148" s="1"/>
  <c r="G9" i="148" s="1"/>
  <c r="H9" i="148" s="1"/>
  <c r="I9" i="148" s="1"/>
  <c r="J9" i="148" s="1"/>
  <c r="K9" i="148" s="1"/>
  <c r="L9" i="148" s="1"/>
  <c r="M9" i="148" s="1"/>
  <c r="N9" i="148" s="1"/>
  <c r="O9" i="148" s="1"/>
  <c r="P9" i="148" s="1"/>
  <c r="Q9" i="148" s="1"/>
  <c r="M155" i="148" l="1"/>
  <c r="Q189" i="148"/>
  <c r="M160" i="148"/>
  <c r="M163" i="148"/>
  <c r="Q165" i="148"/>
  <c r="M169" i="148"/>
  <c r="K190" i="148"/>
  <c r="N190" i="148"/>
  <c r="Q41" i="148"/>
  <c r="Q45" i="148"/>
  <c r="Q47" i="148"/>
  <c r="Q49" i="148"/>
  <c r="Q51" i="148"/>
  <c r="M54" i="148"/>
  <c r="M56" i="148"/>
  <c r="M58" i="148"/>
  <c r="Q65" i="148"/>
  <c r="Q72" i="148"/>
  <c r="M74" i="148"/>
  <c r="M75" i="148"/>
  <c r="M77" i="148"/>
  <c r="Q78" i="148"/>
  <c r="M79" i="148"/>
  <c r="M80" i="148"/>
  <c r="M82" i="148"/>
  <c r="M83" i="148"/>
  <c r="M85" i="148"/>
  <c r="M87" i="148"/>
  <c r="M89" i="148"/>
  <c r="M91" i="148"/>
  <c r="M93" i="148"/>
  <c r="M95" i="148"/>
  <c r="Q99" i="148"/>
  <c r="P190" i="148"/>
  <c r="J190" i="148"/>
  <c r="Q13" i="148"/>
  <c r="M17" i="148"/>
  <c r="M19" i="148"/>
  <c r="M20" i="148"/>
  <c r="Q24" i="148"/>
  <c r="Q114" i="148"/>
  <c r="L190" i="148"/>
  <c r="Q22" i="148"/>
  <c r="Q25" i="148"/>
  <c r="Q32" i="148"/>
  <c r="Q34" i="148"/>
  <c r="Q36" i="148"/>
  <c r="Q61" i="148"/>
  <c r="Q63" i="148"/>
  <c r="Q101" i="148"/>
  <c r="M103" i="148"/>
  <c r="Q107" i="148"/>
  <c r="M110" i="148"/>
  <c r="M112" i="148"/>
  <c r="Q115" i="148"/>
  <c r="M117" i="148"/>
  <c r="Q117" i="148"/>
  <c r="Q119" i="148"/>
  <c r="Q121" i="148"/>
  <c r="Q123" i="148"/>
  <c r="M125" i="148"/>
  <c r="M129" i="148"/>
  <c r="M130" i="148"/>
  <c r="Q134" i="148"/>
  <c r="Q136" i="148"/>
  <c r="Q138" i="148"/>
  <c r="M139" i="148"/>
  <c r="M140" i="148"/>
  <c r="M142" i="148"/>
  <c r="M143" i="148"/>
  <c r="M146" i="148"/>
  <c r="Q172" i="148"/>
  <c r="M177" i="148"/>
  <c r="M179" i="148"/>
  <c r="Q180" i="148"/>
  <c r="Q182" i="148"/>
  <c r="M184" i="148"/>
  <c r="Q184" i="148"/>
  <c r="Q186" i="148"/>
  <c r="M12" i="148"/>
  <c r="M13" i="148"/>
  <c r="Q15" i="148"/>
  <c r="Q17" i="148"/>
  <c r="Q19" i="148"/>
  <c r="Q20" i="148"/>
  <c r="M28" i="148"/>
  <c r="Q28" i="148"/>
  <c r="M29" i="148"/>
  <c r="M32" i="148"/>
  <c r="M34" i="148"/>
  <c r="M36" i="148"/>
  <c r="M40" i="148"/>
  <c r="M41" i="148"/>
  <c r="M45" i="148"/>
  <c r="M47" i="148"/>
  <c r="M49" i="148"/>
  <c r="M51" i="148"/>
  <c r="Q54" i="148"/>
  <c r="Q56" i="148"/>
  <c r="Q59" i="148"/>
  <c r="M63" i="148"/>
  <c r="M67" i="148"/>
  <c r="Q67" i="148"/>
  <c r="Q74" i="148"/>
  <c r="Q75" i="148"/>
  <c r="Q77" i="148"/>
  <c r="M78" i="148"/>
  <c r="Q79" i="148"/>
  <c r="Q80" i="148"/>
  <c r="Q82" i="148"/>
  <c r="Q83" i="148"/>
  <c r="Q85" i="148"/>
  <c r="Q87" i="148"/>
  <c r="Q89" i="148"/>
  <c r="Q93" i="148"/>
  <c r="Q95" i="148"/>
  <c r="Q97" i="148"/>
  <c r="M99" i="148"/>
  <c r="Q103" i="148"/>
  <c r="Q105" i="148"/>
  <c r="M107" i="148"/>
  <c r="M108" i="148"/>
  <c r="Q110" i="148"/>
  <c r="Q112" i="148"/>
  <c r="M119" i="148"/>
  <c r="M121" i="148"/>
  <c r="M123" i="148"/>
  <c r="Q125" i="148"/>
  <c r="Q127" i="148"/>
  <c r="Q130" i="148"/>
  <c r="Q132" i="148"/>
  <c r="M134" i="148"/>
  <c r="M136" i="148"/>
  <c r="M138" i="148"/>
  <c r="Q139" i="148"/>
  <c r="Q140" i="148"/>
  <c r="Q142" i="148"/>
  <c r="Q143" i="148"/>
  <c r="Q145" i="148"/>
  <c r="Q148" i="148"/>
  <c r="Q155" i="148"/>
  <c r="Q158" i="148"/>
  <c r="Q160" i="148"/>
  <c r="Q163" i="148"/>
  <c r="M167" i="148"/>
  <c r="Q177" i="148"/>
  <c r="Q179" i="148"/>
  <c r="M180" i="148"/>
  <c r="M182" i="148"/>
  <c r="M186" i="148"/>
  <c r="M190" i="148"/>
  <c r="M10" i="148"/>
  <c r="O190" i="148"/>
  <c r="Q190" i="148" s="1"/>
  <c r="Q10" i="148"/>
  <c r="J179" i="147"/>
  <c r="P134" i="147"/>
  <c r="O134" i="147"/>
  <c r="J145" i="147" l="1"/>
  <c r="J172" i="147" l="1"/>
  <c r="J158" i="147"/>
  <c r="J148" i="147"/>
  <c r="J132" i="147"/>
  <c r="J115" i="147"/>
  <c r="J97" i="147"/>
  <c r="J72" i="147"/>
  <c r="J61" i="147"/>
  <c r="J15" i="147"/>
  <c r="I190" i="147"/>
  <c r="H190" i="147"/>
  <c r="P189" i="147"/>
  <c r="O189" i="147"/>
  <c r="N189" i="147"/>
  <c r="L189" i="147"/>
  <c r="K189" i="147"/>
  <c r="J189" i="147"/>
  <c r="Q188" i="147"/>
  <c r="M188" i="147"/>
  <c r="Q187" i="147"/>
  <c r="M187" i="147"/>
  <c r="P186" i="147"/>
  <c r="O186" i="147"/>
  <c r="N186" i="147"/>
  <c r="L186" i="147"/>
  <c r="K186" i="147"/>
  <c r="J186" i="147"/>
  <c r="Q185" i="147"/>
  <c r="M185" i="147"/>
  <c r="P184" i="147"/>
  <c r="O184" i="147"/>
  <c r="N184" i="147"/>
  <c r="L184" i="147"/>
  <c r="K184" i="147"/>
  <c r="J184" i="147"/>
  <c r="Q183" i="147"/>
  <c r="M183" i="147"/>
  <c r="P182" i="147"/>
  <c r="O182" i="147"/>
  <c r="N182" i="147"/>
  <c r="L182" i="147"/>
  <c r="K182" i="147"/>
  <c r="J182" i="147"/>
  <c r="Q181" i="147"/>
  <c r="M181" i="147"/>
  <c r="P180" i="147"/>
  <c r="O180" i="147"/>
  <c r="N180" i="147"/>
  <c r="L180" i="147"/>
  <c r="K180" i="147"/>
  <c r="J180" i="147"/>
  <c r="P179" i="147"/>
  <c r="O179" i="147"/>
  <c r="N179" i="147"/>
  <c r="L179" i="147"/>
  <c r="K179" i="147"/>
  <c r="Q178" i="147"/>
  <c r="M178" i="147"/>
  <c r="P177" i="147"/>
  <c r="O177" i="147"/>
  <c r="N177" i="147"/>
  <c r="L177" i="147"/>
  <c r="K177" i="147"/>
  <c r="J177" i="147"/>
  <c r="Q176" i="147"/>
  <c r="M176" i="147"/>
  <c r="M175" i="147"/>
  <c r="Q173" i="147"/>
  <c r="M173" i="147"/>
  <c r="P172" i="147"/>
  <c r="O172" i="147"/>
  <c r="N172" i="147"/>
  <c r="L172" i="147"/>
  <c r="K172" i="147"/>
  <c r="Q171" i="147"/>
  <c r="M171" i="147"/>
  <c r="Q170" i="147"/>
  <c r="M170" i="147"/>
  <c r="L169" i="147"/>
  <c r="K169" i="147"/>
  <c r="J169" i="147"/>
  <c r="Q168" i="147"/>
  <c r="M168" i="147"/>
  <c r="Q167" i="147"/>
  <c r="N167" i="147"/>
  <c r="L167" i="147"/>
  <c r="K167" i="147"/>
  <c r="J167" i="147"/>
  <c r="Q166" i="147"/>
  <c r="M166" i="147"/>
  <c r="P165" i="147"/>
  <c r="O165" i="147"/>
  <c r="N165" i="147"/>
  <c r="M165" i="147"/>
  <c r="J165" i="147"/>
  <c r="Q164" i="147"/>
  <c r="M164" i="147"/>
  <c r="P163" i="147"/>
  <c r="O163" i="147"/>
  <c r="N163" i="147"/>
  <c r="L163" i="147"/>
  <c r="K163" i="147"/>
  <c r="J163" i="147"/>
  <c r="Q162" i="147"/>
  <c r="M162" i="147"/>
  <c r="Q161" i="147"/>
  <c r="M161" i="147"/>
  <c r="P160" i="147"/>
  <c r="O160" i="147"/>
  <c r="N160" i="147"/>
  <c r="L160" i="147"/>
  <c r="K160" i="147"/>
  <c r="J160" i="147"/>
  <c r="Q159" i="147"/>
  <c r="M159" i="147"/>
  <c r="P158" i="147"/>
  <c r="O158" i="147"/>
  <c r="N158" i="147"/>
  <c r="L158" i="147"/>
  <c r="K158" i="147"/>
  <c r="Q156" i="147"/>
  <c r="M156" i="147"/>
  <c r="P155" i="147"/>
  <c r="O155" i="147"/>
  <c r="N155" i="147"/>
  <c r="L155" i="147"/>
  <c r="K155" i="147"/>
  <c r="J155" i="147"/>
  <c r="Q154" i="147"/>
  <c r="M154" i="147"/>
  <c r="Q153" i="147"/>
  <c r="M153" i="147"/>
  <c r="Q152" i="147"/>
  <c r="M152" i="147"/>
  <c r="P151" i="147"/>
  <c r="O151" i="147"/>
  <c r="N151" i="147"/>
  <c r="L151" i="147"/>
  <c r="K151" i="147"/>
  <c r="J151" i="147"/>
  <c r="Q150" i="147"/>
  <c r="M150" i="147"/>
  <c r="Q149" i="147"/>
  <c r="M149" i="147"/>
  <c r="P148" i="147"/>
  <c r="O148" i="147"/>
  <c r="N148" i="147"/>
  <c r="L148" i="147"/>
  <c r="K148" i="147"/>
  <c r="Q147" i="147"/>
  <c r="M147" i="147"/>
  <c r="Q146" i="147"/>
  <c r="L146" i="147"/>
  <c r="K146" i="147"/>
  <c r="J146" i="147"/>
  <c r="P145" i="147"/>
  <c r="O145" i="147"/>
  <c r="N145" i="147"/>
  <c r="L145" i="147"/>
  <c r="K145" i="147"/>
  <c r="Q144" i="147"/>
  <c r="M144" i="147"/>
  <c r="P143" i="147"/>
  <c r="O143" i="147"/>
  <c r="N143" i="147"/>
  <c r="L143" i="147"/>
  <c r="K143" i="147"/>
  <c r="J143" i="147"/>
  <c r="P142" i="147"/>
  <c r="O142" i="147"/>
  <c r="N142" i="147"/>
  <c r="L142" i="147"/>
  <c r="K142" i="147"/>
  <c r="J142" i="147"/>
  <c r="Q141" i="147"/>
  <c r="M141" i="147"/>
  <c r="P140" i="147"/>
  <c r="O140" i="147"/>
  <c r="N140" i="147"/>
  <c r="L140" i="147"/>
  <c r="K140" i="147"/>
  <c r="J140" i="147"/>
  <c r="P139" i="147"/>
  <c r="O139" i="147"/>
  <c r="N139" i="147"/>
  <c r="L139" i="147"/>
  <c r="K139" i="147"/>
  <c r="J139" i="147"/>
  <c r="P138" i="147"/>
  <c r="O138" i="147"/>
  <c r="N138" i="147"/>
  <c r="L138" i="147"/>
  <c r="K138" i="147"/>
  <c r="J138" i="147"/>
  <c r="Q137" i="147"/>
  <c r="M137" i="147"/>
  <c r="P136" i="147"/>
  <c r="O136" i="147"/>
  <c r="N136" i="147"/>
  <c r="L136" i="147"/>
  <c r="K136" i="147"/>
  <c r="J136" i="147"/>
  <c r="Q135" i="147"/>
  <c r="M135" i="147"/>
  <c r="Q134" i="147"/>
  <c r="N134" i="147"/>
  <c r="L134" i="147"/>
  <c r="K134" i="147"/>
  <c r="Q133" i="147"/>
  <c r="M133" i="147"/>
  <c r="P132" i="147"/>
  <c r="O132" i="147"/>
  <c r="N132" i="147"/>
  <c r="L132" i="147"/>
  <c r="K132" i="147"/>
  <c r="Q131" i="147"/>
  <c r="M131" i="147"/>
  <c r="P130" i="147"/>
  <c r="O130" i="147"/>
  <c r="N130" i="147"/>
  <c r="L130" i="147"/>
  <c r="K130" i="147"/>
  <c r="J130" i="147"/>
  <c r="Q129" i="147"/>
  <c r="L129" i="147"/>
  <c r="K129" i="147"/>
  <c r="J129" i="147"/>
  <c r="Q128" i="147"/>
  <c r="M128" i="147"/>
  <c r="P127" i="147"/>
  <c r="O127" i="147"/>
  <c r="N127" i="147"/>
  <c r="L127" i="147"/>
  <c r="K127" i="147"/>
  <c r="J127" i="147"/>
  <c r="Q126" i="147"/>
  <c r="M126" i="147"/>
  <c r="P125" i="147"/>
  <c r="O125" i="147"/>
  <c r="N125" i="147"/>
  <c r="L125" i="147"/>
  <c r="K125" i="147"/>
  <c r="J125" i="147"/>
  <c r="Q124" i="147"/>
  <c r="M124" i="147"/>
  <c r="P123" i="147"/>
  <c r="O123" i="147"/>
  <c r="N123" i="147"/>
  <c r="L123" i="147"/>
  <c r="K123" i="147"/>
  <c r="J123" i="147"/>
  <c r="Q122" i="147"/>
  <c r="M122" i="147"/>
  <c r="P121" i="147"/>
  <c r="O121" i="147"/>
  <c r="N121" i="147"/>
  <c r="L121" i="147"/>
  <c r="K121" i="147"/>
  <c r="J121" i="147"/>
  <c r="Q120" i="147"/>
  <c r="M120" i="147"/>
  <c r="P119" i="147"/>
  <c r="O119" i="147"/>
  <c r="N119" i="147"/>
  <c r="L119" i="147"/>
  <c r="K119" i="147"/>
  <c r="J119" i="147"/>
  <c r="Q118" i="147"/>
  <c r="M118" i="147"/>
  <c r="P117" i="147"/>
  <c r="O117" i="147"/>
  <c r="N117" i="147"/>
  <c r="L117" i="147"/>
  <c r="K117" i="147"/>
  <c r="J117" i="147"/>
  <c r="Q116" i="147"/>
  <c r="M116" i="147"/>
  <c r="P115" i="147"/>
  <c r="O115" i="147"/>
  <c r="N115" i="147"/>
  <c r="L115" i="147"/>
  <c r="K115" i="147"/>
  <c r="P114" i="147"/>
  <c r="O114" i="147"/>
  <c r="N114" i="147"/>
  <c r="L114" i="147"/>
  <c r="K114" i="147"/>
  <c r="J114" i="147"/>
  <c r="Q113" i="147"/>
  <c r="N113" i="147"/>
  <c r="M113" i="147"/>
  <c r="P112" i="147"/>
  <c r="O112" i="147"/>
  <c r="N112" i="147"/>
  <c r="L112" i="147"/>
  <c r="K112" i="147"/>
  <c r="J112" i="147"/>
  <c r="Q111" i="147"/>
  <c r="M111" i="147"/>
  <c r="P110" i="147"/>
  <c r="O110" i="147"/>
  <c r="N110" i="147"/>
  <c r="L110" i="147"/>
  <c r="K110" i="147"/>
  <c r="J110" i="147"/>
  <c r="Q109" i="147"/>
  <c r="M109" i="147"/>
  <c r="Q108" i="147"/>
  <c r="L108" i="147"/>
  <c r="K108" i="147"/>
  <c r="J108" i="147"/>
  <c r="P107" i="147"/>
  <c r="O107" i="147"/>
  <c r="N107" i="147"/>
  <c r="L107" i="147"/>
  <c r="K107" i="147"/>
  <c r="J107" i="147"/>
  <c r="Q106" i="147"/>
  <c r="M106" i="147"/>
  <c r="P105" i="147"/>
  <c r="O105" i="147"/>
  <c r="N105" i="147"/>
  <c r="L105" i="147"/>
  <c r="K105" i="147"/>
  <c r="J105" i="147"/>
  <c r="Q104" i="147"/>
  <c r="M104" i="147"/>
  <c r="P103" i="147"/>
  <c r="O103" i="147"/>
  <c r="N103" i="147"/>
  <c r="L103" i="147"/>
  <c r="K103" i="147"/>
  <c r="J103" i="147"/>
  <c r="Q102" i="147"/>
  <c r="M102" i="147"/>
  <c r="P101" i="147"/>
  <c r="O101" i="147"/>
  <c r="N101" i="147"/>
  <c r="L101" i="147"/>
  <c r="K101" i="147"/>
  <c r="J101" i="147"/>
  <c r="Q100" i="147"/>
  <c r="M100" i="147"/>
  <c r="P99" i="147"/>
  <c r="O99" i="147"/>
  <c r="N99" i="147"/>
  <c r="L99" i="147"/>
  <c r="K99" i="147"/>
  <c r="J99" i="147"/>
  <c r="Q98" i="147"/>
  <c r="M98" i="147"/>
  <c r="P97" i="147"/>
  <c r="O97" i="147"/>
  <c r="N97" i="147"/>
  <c r="L97" i="147"/>
  <c r="K97" i="147"/>
  <c r="Q96" i="147"/>
  <c r="M96" i="147"/>
  <c r="P95" i="147"/>
  <c r="O95" i="147"/>
  <c r="N95" i="147"/>
  <c r="L95" i="147"/>
  <c r="K95" i="147"/>
  <c r="J95" i="147"/>
  <c r="Q94" i="147"/>
  <c r="M94" i="147"/>
  <c r="P93" i="147"/>
  <c r="O93" i="147"/>
  <c r="N93" i="147"/>
  <c r="L93" i="147"/>
  <c r="K93" i="147"/>
  <c r="J93" i="147"/>
  <c r="Q92" i="147"/>
  <c r="M92" i="147"/>
  <c r="Q91" i="147"/>
  <c r="L91" i="147"/>
  <c r="K91" i="147"/>
  <c r="J91" i="147"/>
  <c r="Q90" i="147"/>
  <c r="M90" i="147"/>
  <c r="P89" i="147"/>
  <c r="O89" i="147"/>
  <c r="N89" i="147"/>
  <c r="L89" i="147"/>
  <c r="K89" i="147"/>
  <c r="J89" i="147"/>
  <c r="Q88" i="147"/>
  <c r="M88" i="147"/>
  <c r="P87" i="147"/>
  <c r="O87" i="147"/>
  <c r="N87" i="147"/>
  <c r="L87" i="147"/>
  <c r="K87" i="147"/>
  <c r="J87" i="147"/>
  <c r="Q86" i="147"/>
  <c r="M86" i="147"/>
  <c r="P85" i="147"/>
  <c r="O85" i="147"/>
  <c r="N85" i="147"/>
  <c r="L85" i="147"/>
  <c r="K85" i="147"/>
  <c r="J85" i="147"/>
  <c r="Q84" i="147"/>
  <c r="M84" i="147"/>
  <c r="P83" i="147"/>
  <c r="O83" i="147"/>
  <c r="N83" i="147"/>
  <c r="L83" i="147"/>
  <c r="K83" i="147"/>
  <c r="J83" i="147"/>
  <c r="P82" i="147"/>
  <c r="O82" i="147"/>
  <c r="N82" i="147"/>
  <c r="L82" i="147"/>
  <c r="K82" i="147"/>
  <c r="J82" i="147"/>
  <c r="Q81" i="147"/>
  <c r="M81" i="147"/>
  <c r="P80" i="147"/>
  <c r="O80" i="147"/>
  <c r="N80" i="147"/>
  <c r="L80" i="147"/>
  <c r="K80" i="147"/>
  <c r="J80" i="147"/>
  <c r="P79" i="147"/>
  <c r="O79" i="147"/>
  <c r="N79" i="147"/>
  <c r="L79" i="147"/>
  <c r="K79" i="147"/>
  <c r="J79" i="147"/>
  <c r="P78" i="147"/>
  <c r="O78" i="147"/>
  <c r="N78" i="147"/>
  <c r="L78" i="147"/>
  <c r="K78" i="147"/>
  <c r="P77" i="147"/>
  <c r="O77" i="147"/>
  <c r="N77" i="147"/>
  <c r="L77" i="147"/>
  <c r="K77" i="147"/>
  <c r="J77" i="147"/>
  <c r="Q76" i="147"/>
  <c r="M76" i="147"/>
  <c r="P75" i="147"/>
  <c r="O75" i="147"/>
  <c r="N75" i="147"/>
  <c r="L75" i="147"/>
  <c r="K75" i="147"/>
  <c r="J75" i="147"/>
  <c r="P74" i="147"/>
  <c r="O74" i="147"/>
  <c r="N74" i="147"/>
  <c r="L74" i="147"/>
  <c r="K74" i="147"/>
  <c r="J74" i="147"/>
  <c r="Q73" i="147"/>
  <c r="M73" i="147"/>
  <c r="P72" i="147"/>
  <c r="O72" i="147"/>
  <c r="N72" i="147"/>
  <c r="L72" i="147"/>
  <c r="K72" i="147"/>
  <c r="Q71" i="147"/>
  <c r="M71" i="147"/>
  <c r="Q70" i="147"/>
  <c r="N70" i="147"/>
  <c r="M70" i="147"/>
  <c r="Q69" i="147"/>
  <c r="M69" i="147"/>
  <c r="P68" i="147"/>
  <c r="O68" i="147"/>
  <c r="N68" i="147"/>
  <c r="L68" i="147"/>
  <c r="K68" i="147"/>
  <c r="J68" i="147"/>
  <c r="P67" i="147"/>
  <c r="O67" i="147"/>
  <c r="N67" i="147"/>
  <c r="L67" i="147"/>
  <c r="K67" i="147"/>
  <c r="J67" i="147"/>
  <c r="Q66" i="147"/>
  <c r="M66" i="147"/>
  <c r="P65" i="147"/>
  <c r="O65" i="147"/>
  <c r="N65" i="147"/>
  <c r="L65" i="147"/>
  <c r="K65" i="147"/>
  <c r="J65" i="147"/>
  <c r="Q64" i="147"/>
  <c r="M64" i="147"/>
  <c r="P63" i="147"/>
  <c r="O63" i="147"/>
  <c r="N63" i="147"/>
  <c r="L63" i="147"/>
  <c r="K63" i="147"/>
  <c r="J63" i="147"/>
  <c r="Q62" i="147"/>
  <c r="M62" i="147"/>
  <c r="P61" i="147"/>
  <c r="O61" i="147"/>
  <c r="N61" i="147"/>
  <c r="L61" i="147"/>
  <c r="K61" i="147"/>
  <c r="Q60" i="147"/>
  <c r="M60" i="147"/>
  <c r="P59" i="147"/>
  <c r="O59" i="147"/>
  <c r="N59" i="147"/>
  <c r="M59" i="147"/>
  <c r="Q58" i="147"/>
  <c r="L58" i="147"/>
  <c r="K58" i="147"/>
  <c r="J58" i="147"/>
  <c r="Q57" i="147"/>
  <c r="M57" i="147"/>
  <c r="P56" i="147"/>
  <c r="O56" i="147"/>
  <c r="N56" i="147"/>
  <c r="L56" i="147"/>
  <c r="K56" i="147"/>
  <c r="J56" i="147"/>
  <c r="Q55" i="147"/>
  <c r="M55" i="147"/>
  <c r="P54" i="147"/>
  <c r="O54" i="147"/>
  <c r="N54" i="147"/>
  <c r="L54" i="147"/>
  <c r="K54" i="147"/>
  <c r="J54" i="147"/>
  <c r="Q53" i="147"/>
  <c r="M53" i="147"/>
  <c r="Q52" i="147"/>
  <c r="M52" i="147"/>
  <c r="P51" i="147"/>
  <c r="O51" i="147"/>
  <c r="N51" i="147"/>
  <c r="L51" i="147"/>
  <c r="K51" i="147"/>
  <c r="J51" i="147"/>
  <c r="Q50" i="147"/>
  <c r="M50" i="147"/>
  <c r="P49" i="147"/>
  <c r="O49" i="147"/>
  <c r="N49" i="147"/>
  <c r="L49" i="147"/>
  <c r="K49" i="147"/>
  <c r="J49" i="147"/>
  <c r="Q48" i="147"/>
  <c r="M48" i="147"/>
  <c r="P47" i="147"/>
  <c r="O47" i="147"/>
  <c r="N47" i="147"/>
  <c r="L47" i="147"/>
  <c r="K47" i="147"/>
  <c r="J47" i="147"/>
  <c r="P46" i="147"/>
  <c r="Q46" i="147" s="1"/>
  <c r="M46" i="147"/>
  <c r="P45" i="147"/>
  <c r="O45" i="147"/>
  <c r="N45" i="147"/>
  <c r="L45" i="147"/>
  <c r="K45" i="147"/>
  <c r="J45" i="147"/>
  <c r="Q44" i="147"/>
  <c r="M44" i="147"/>
  <c r="Q43" i="147"/>
  <c r="M43" i="147"/>
  <c r="Q42" i="147"/>
  <c r="M42" i="147"/>
  <c r="P41" i="147"/>
  <c r="O41" i="147"/>
  <c r="N41" i="147"/>
  <c r="L41" i="147"/>
  <c r="K41" i="147"/>
  <c r="J41" i="147"/>
  <c r="P40" i="147"/>
  <c r="O40" i="147"/>
  <c r="N40" i="147"/>
  <c r="L40" i="147"/>
  <c r="K40" i="147"/>
  <c r="J40" i="147"/>
  <c r="Q39" i="147"/>
  <c r="M39" i="147"/>
  <c r="P38" i="147"/>
  <c r="O38" i="147"/>
  <c r="N38" i="147"/>
  <c r="L38" i="147"/>
  <c r="K38" i="147"/>
  <c r="J38" i="147"/>
  <c r="Q37" i="147"/>
  <c r="M37" i="147"/>
  <c r="P36" i="147"/>
  <c r="O36" i="147"/>
  <c r="N36" i="147"/>
  <c r="L36" i="147"/>
  <c r="K36" i="147"/>
  <c r="J36" i="147"/>
  <c r="Q35" i="147"/>
  <c r="M35" i="147"/>
  <c r="P34" i="147"/>
  <c r="O34" i="147"/>
  <c r="N34" i="147"/>
  <c r="L34" i="147"/>
  <c r="K34" i="147"/>
  <c r="J34" i="147"/>
  <c r="Q33" i="147"/>
  <c r="M33" i="147"/>
  <c r="P32" i="147"/>
  <c r="O32" i="147"/>
  <c r="N32" i="147"/>
  <c r="L32" i="147"/>
  <c r="K32" i="147"/>
  <c r="J32" i="147"/>
  <c r="Q31" i="147"/>
  <c r="M31" i="147"/>
  <c r="Q30" i="147"/>
  <c r="M30" i="147"/>
  <c r="Q29" i="147"/>
  <c r="L29" i="147"/>
  <c r="K29" i="147"/>
  <c r="J29" i="147"/>
  <c r="P28" i="147"/>
  <c r="O28" i="147"/>
  <c r="N28" i="147"/>
  <c r="L28" i="147"/>
  <c r="K28" i="147"/>
  <c r="J28" i="147"/>
  <c r="Q27" i="147"/>
  <c r="L27" i="147"/>
  <c r="K27" i="147"/>
  <c r="J27" i="147"/>
  <c r="Q26" i="147"/>
  <c r="M26" i="147"/>
  <c r="P25" i="147"/>
  <c r="O25" i="147"/>
  <c r="N25" i="147"/>
  <c r="L25" i="147"/>
  <c r="K25" i="147"/>
  <c r="J25" i="147"/>
  <c r="P24" i="147"/>
  <c r="O24" i="147"/>
  <c r="N24" i="147"/>
  <c r="L24" i="147"/>
  <c r="K24" i="147"/>
  <c r="J24" i="147"/>
  <c r="Q23" i="147"/>
  <c r="M23" i="147"/>
  <c r="P22" i="147"/>
  <c r="O22" i="147"/>
  <c r="N22" i="147"/>
  <c r="L22" i="147"/>
  <c r="K22" i="147"/>
  <c r="J22" i="147"/>
  <c r="Q21" i="147"/>
  <c r="M21" i="147"/>
  <c r="P20" i="147"/>
  <c r="O20" i="147"/>
  <c r="N20" i="147"/>
  <c r="L20" i="147"/>
  <c r="K20" i="147"/>
  <c r="J20" i="147"/>
  <c r="P19" i="147"/>
  <c r="O19" i="147"/>
  <c r="N19" i="147"/>
  <c r="L19" i="147"/>
  <c r="K19" i="147"/>
  <c r="J19" i="147"/>
  <c r="Q18" i="147"/>
  <c r="M18" i="147"/>
  <c r="P17" i="147"/>
  <c r="O17" i="147"/>
  <c r="N17" i="147"/>
  <c r="L17" i="147"/>
  <c r="K17" i="147"/>
  <c r="J17" i="147"/>
  <c r="Q16" i="147"/>
  <c r="M16" i="147"/>
  <c r="P15" i="147"/>
  <c r="O15" i="147"/>
  <c r="N15" i="147"/>
  <c r="L15" i="147"/>
  <c r="K15" i="147"/>
  <c r="Q14" i="147"/>
  <c r="M14" i="147"/>
  <c r="P13" i="147"/>
  <c r="O13" i="147"/>
  <c r="N13" i="147"/>
  <c r="L13" i="147"/>
  <c r="K13" i="147"/>
  <c r="J13" i="147"/>
  <c r="Q12" i="147"/>
  <c r="L12" i="147"/>
  <c r="K12" i="147"/>
  <c r="J12" i="147"/>
  <c r="Q11" i="147"/>
  <c r="M11" i="147"/>
  <c r="P10" i="147"/>
  <c r="O10" i="147"/>
  <c r="N10" i="147"/>
  <c r="L10" i="147"/>
  <c r="K10" i="147"/>
  <c r="J10" i="147"/>
  <c r="B9" i="147"/>
  <c r="C9" i="147" s="1"/>
  <c r="D9" i="147" s="1"/>
  <c r="E9" i="147" s="1"/>
  <c r="F9" i="147" s="1"/>
  <c r="G9" i="147" s="1"/>
  <c r="H9" i="147" s="1"/>
  <c r="I9" i="147" s="1"/>
  <c r="J9" i="147" s="1"/>
  <c r="K9" i="147" s="1"/>
  <c r="L9" i="147" s="1"/>
  <c r="M9" i="147" s="1"/>
  <c r="N9" i="147" s="1"/>
  <c r="O9" i="147" s="1"/>
  <c r="P9" i="147" s="1"/>
  <c r="Q9" i="147" s="1"/>
  <c r="O190" i="147" l="1"/>
  <c r="Q13" i="147"/>
  <c r="M15" i="147"/>
  <c r="M17" i="147"/>
  <c r="M19" i="147"/>
  <c r="M20" i="147"/>
  <c r="M22" i="147"/>
  <c r="M24" i="147"/>
  <c r="M25" i="147"/>
  <c r="M27" i="147"/>
  <c r="M28" i="147"/>
  <c r="M29" i="147"/>
  <c r="M32" i="147"/>
  <c r="M34" i="147"/>
  <c r="M36" i="147"/>
  <c r="M38" i="147"/>
  <c r="M40" i="147"/>
  <c r="M41" i="147"/>
  <c r="M45" i="147"/>
  <c r="M47" i="147"/>
  <c r="M49" i="147"/>
  <c r="M51" i="147"/>
  <c r="M54" i="147"/>
  <c r="M56" i="147"/>
  <c r="M58" i="147"/>
  <c r="Q61" i="147"/>
  <c r="Q63" i="147"/>
  <c r="Q65" i="147"/>
  <c r="Q67" i="147"/>
  <c r="Q68" i="147"/>
  <c r="Q72" i="147"/>
  <c r="Q74" i="147"/>
  <c r="Q75" i="147"/>
  <c r="Q77" i="147"/>
  <c r="M78" i="147"/>
  <c r="M79" i="147"/>
  <c r="M80" i="147"/>
  <c r="M82" i="147"/>
  <c r="M83" i="147"/>
  <c r="M85" i="147"/>
  <c r="M87" i="147"/>
  <c r="M89" i="147"/>
  <c r="M91" i="147"/>
  <c r="M93" i="147"/>
  <c r="M95" i="147"/>
  <c r="Q97" i="147"/>
  <c r="Q99" i="147"/>
  <c r="Q101" i="147"/>
  <c r="Q103" i="147"/>
  <c r="Q105" i="147"/>
  <c r="Q107" i="147"/>
  <c r="Q110" i="147"/>
  <c r="Q112" i="147"/>
  <c r="M114" i="147"/>
  <c r="Q115" i="147"/>
  <c r="Q117" i="147"/>
  <c r="Q119" i="147"/>
  <c r="Q121" i="147"/>
  <c r="Q123" i="147"/>
  <c r="Q125" i="147"/>
  <c r="Q127" i="147"/>
  <c r="Q130" i="147"/>
  <c r="M132" i="147"/>
  <c r="M136" i="147"/>
  <c r="M138" i="147"/>
  <c r="M139" i="147"/>
  <c r="M140" i="147"/>
  <c r="M142" i="147"/>
  <c r="M143" i="147"/>
  <c r="Q145" i="147"/>
  <c r="M148" i="147"/>
  <c r="M151" i="147"/>
  <c r="M155" i="147"/>
  <c r="M167" i="147"/>
  <c r="Q158" i="147"/>
  <c r="Q160" i="147"/>
  <c r="Q172" i="147"/>
  <c r="Q163" i="147"/>
  <c r="M177" i="147"/>
  <c r="M179" i="147"/>
  <c r="M180" i="147"/>
  <c r="M182" i="147"/>
  <c r="M184" i="147"/>
  <c r="M186" i="147"/>
  <c r="M189" i="147"/>
  <c r="K190" i="147"/>
  <c r="M12" i="147"/>
  <c r="M13" i="147"/>
  <c r="Q15" i="147"/>
  <c r="Q17" i="147"/>
  <c r="Q19" i="147"/>
  <c r="Q20" i="147"/>
  <c r="Q22" i="147"/>
  <c r="Q24" i="147"/>
  <c r="Q25" i="147"/>
  <c r="Q28" i="147"/>
  <c r="Q32" i="147"/>
  <c r="Q34" i="147"/>
  <c r="Q36" i="147"/>
  <c r="Q38" i="147"/>
  <c r="Q40" i="147"/>
  <c r="Q41" i="147"/>
  <c r="Q45" i="147"/>
  <c r="Q47" i="147"/>
  <c r="Q49" i="147"/>
  <c r="Q51" i="147"/>
  <c r="Q54" i="147"/>
  <c r="Q56" i="147"/>
  <c r="Q59" i="147"/>
  <c r="M61" i="147"/>
  <c r="M63" i="147"/>
  <c r="M65" i="147"/>
  <c r="M67" i="147"/>
  <c r="M68" i="147"/>
  <c r="M72" i="147"/>
  <c r="M74" i="147"/>
  <c r="M75" i="147"/>
  <c r="M77" i="147"/>
  <c r="Q78" i="147"/>
  <c r="Q79" i="147"/>
  <c r="Q80" i="147"/>
  <c r="Q82" i="147"/>
  <c r="Q83" i="147"/>
  <c r="Q85" i="147"/>
  <c r="Q87" i="147"/>
  <c r="Q89" i="147"/>
  <c r="Q93" i="147"/>
  <c r="Q95" i="147"/>
  <c r="M97" i="147"/>
  <c r="M99" i="147"/>
  <c r="M101" i="147"/>
  <c r="M103" i="147"/>
  <c r="M105" i="147"/>
  <c r="M107" i="147"/>
  <c r="M108" i="147"/>
  <c r="M110" i="147"/>
  <c r="M112" i="147"/>
  <c r="Q114" i="147"/>
  <c r="M115" i="147"/>
  <c r="M117" i="147"/>
  <c r="M119" i="147"/>
  <c r="M121" i="147"/>
  <c r="M123" i="147"/>
  <c r="M125" i="147"/>
  <c r="M127" i="147"/>
  <c r="M129" i="147"/>
  <c r="M130" i="147"/>
  <c r="Q132" i="147"/>
  <c r="M134" i="147"/>
  <c r="Q136" i="147"/>
  <c r="Q138" i="147"/>
  <c r="Q139" i="147"/>
  <c r="Q140" i="147"/>
  <c r="Q142" i="147"/>
  <c r="Q143" i="147"/>
  <c r="M145" i="147"/>
  <c r="M146" i="147"/>
  <c r="Q148" i="147"/>
  <c r="Q151" i="147"/>
  <c r="Q155" i="147"/>
  <c r="M158" i="147"/>
  <c r="M160" i="147"/>
  <c r="M163" i="147"/>
  <c r="Q165" i="147"/>
  <c r="M169" i="147"/>
  <c r="M172" i="147"/>
  <c r="Q177" i="147"/>
  <c r="Q179" i="147"/>
  <c r="Q180" i="147"/>
  <c r="Q182" i="147"/>
  <c r="Q184" i="147"/>
  <c r="Q186" i="147"/>
  <c r="Q189" i="147"/>
  <c r="M10" i="147"/>
  <c r="Q10" i="147"/>
  <c r="J190" i="147"/>
  <c r="L190" i="147"/>
  <c r="N190" i="147"/>
  <c r="P190" i="147"/>
  <c r="Q190" i="147" s="1"/>
  <c r="M11" i="146"/>
  <c r="K54" i="146"/>
  <c r="K148" i="146"/>
  <c r="O130" i="146"/>
  <c r="K130" i="146"/>
  <c r="K80" i="146"/>
  <c r="K67" i="146"/>
  <c r="K63" i="146"/>
  <c r="K22" i="146"/>
  <c r="K138" i="146"/>
  <c r="O93" i="146"/>
  <c r="K93" i="146"/>
  <c r="K58" i="146"/>
  <c r="K184" i="146"/>
  <c r="O180" i="146"/>
  <c r="K180" i="146"/>
  <c r="K65" i="146"/>
  <c r="K123" i="146"/>
  <c r="K155" i="146"/>
  <c r="K95" i="146"/>
  <c r="K85" i="146"/>
  <c r="K74" i="146"/>
  <c r="K45" i="146"/>
  <c r="K115" i="146"/>
  <c r="L168" i="146"/>
  <c r="K168" i="146"/>
  <c r="K178" i="146"/>
  <c r="L175" i="146"/>
  <c r="K175" i="146"/>
  <c r="L166" i="146"/>
  <c r="K166" i="146"/>
  <c r="P142" i="146"/>
  <c r="O142" i="146"/>
  <c r="K142" i="146"/>
  <c r="L132" i="146"/>
  <c r="K132" i="146"/>
  <c r="K112" i="146"/>
  <c r="O112" i="146"/>
  <c r="O110" i="146"/>
  <c r="P103" i="146"/>
  <c r="O103" i="146"/>
  <c r="K103" i="146"/>
  <c r="P105" i="146"/>
  <c r="O105" i="146"/>
  <c r="L105" i="146"/>
  <c r="K105" i="146"/>
  <c r="O99" i="146"/>
  <c r="L99" i="146"/>
  <c r="K99" i="146"/>
  <c r="O89" i="146"/>
  <c r="K89" i="146"/>
  <c r="L56" i="146"/>
  <c r="K56" i="146"/>
  <c r="L47" i="146"/>
  <c r="K49" i="146"/>
  <c r="K47" i="146"/>
  <c r="L27" i="146"/>
  <c r="K27" i="146"/>
  <c r="L40" i="146"/>
  <c r="K40" i="146"/>
  <c r="K38" i="146"/>
  <c r="L24" i="146"/>
  <c r="K24" i="146"/>
  <c r="K13" i="146"/>
  <c r="O145" i="146"/>
  <c r="K162" i="146"/>
  <c r="K91" i="146"/>
  <c r="O78" i="146"/>
  <c r="K72" i="146"/>
  <c r="O25" i="146"/>
  <c r="K25" i="146"/>
  <c r="P175" i="146"/>
  <c r="P125" i="146"/>
  <c r="P74" i="146"/>
  <c r="L184" i="146"/>
  <c r="L178" i="146"/>
  <c r="L146" i="146"/>
  <c r="L138" i="146"/>
  <c r="L136" i="146"/>
  <c r="L125" i="146"/>
  <c r="L123" i="146"/>
  <c r="L119" i="146"/>
  <c r="L117" i="146"/>
  <c r="L114" i="146"/>
  <c r="L107" i="146"/>
  <c r="L103" i="146"/>
  <c r="L97" i="146"/>
  <c r="L91" i="146"/>
  <c r="L85" i="146"/>
  <c r="L79" i="146"/>
  <c r="L77" i="146"/>
  <c r="L75" i="146"/>
  <c r="L65" i="146"/>
  <c r="L45" i="146"/>
  <c r="L28" i="146"/>
  <c r="L13" i="146"/>
  <c r="L12" i="146"/>
  <c r="K77" i="146"/>
  <c r="O175" i="146"/>
  <c r="K136" i="146"/>
  <c r="K146" i="146"/>
  <c r="O125" i="146"/>
  <c r="K125" i="146"/>
  <c r="K119" i="146"/>
  <c r="K117" i="146"/>
  <c r="K107" i="146"/>
  <c r="K97" i="146"/>
  <c r="K79" i="146"/>
  <c r="O74" i="146"/>
  <c r="K75" i="146"/>
  <c r="K12" i="146"/>
  <c r="K114" i="146"/>
  <c r="K28" i="146"/>
  <c r="M190" i="147" l="1"/>
  <c r="N166" i="146"/>
  <c r="N68" i="146"/>
  <c r="J22" i="146"/>
  <c r="J27" i="146" l="1"/>
  <c r="J25" i="146"/>
  <c r="J121" i="146" l="1"/>
  <c r="J101" i="146"/>
  <c r="J65" i="146"/>
  <c r="J80" i="146" l="1"/>
  <c r="J187" i="146"/>
  <c r="J148" i="146"/>
  <c r="N130" i="146"/>
  <c r="J130" i="146"/>
  <c r="J132" i="146"/>
  <c r="J127" i="146"/>
  <c r="J105" i="146"/>
  <c r="J68" i="146"/>
  <c r="J67" i="146"/>
  <c r="N63" i="146"/>
  <c r="J63" i="146"/>
  <c r="J54" i="146"/>
  <c r="J114" i="146"/>
  <c r="N40" i="146"/>
  <c r="N38" i="146"/>
  <c r="J38" i="146"/>
  <c r="J24" i="146"/>
  <c r="I188" i="146"/>
  <c r="H188" i="146"/>
  <c r="P187" i="146"/>
  <c r="O187" i="146"/>
  <c r="N187" i="146"/>
  <c r="L187" i="146"/>
  <c r="K187" i="146"/>
  <c r="Q186" i="146"/>
  <c r="M186" i="146"/>
  <c r="Q185" i="146"/>
  <c r="M185" i="146"/>
  <c r="P184" i="146"/>
  <c r="O184" i="146"/>
  <c r="N184" i="146"/>
  <c r="M184" i="146"/>
  <c r="J184" i="146"/>
  <c r="Q183" i="146"/>
  <c r="M183" i="146"/>
  <c r="P182" i="146"/>
  <c r="O182" i="146"/>
  <c r="N182" i="146"/>
  <c r="L182" i="146"/>
  <c r="K182" i="146"/>
  <c r="J182" i="146"/>
  <c r="Q181" i="146"/>
  <c r="M181" i="146"/>
  <c r="P180" i="146"/>
  <c r="N180" i="146"/>
  <c r="L180" i="146"/>
  <c r="M180" i="146" s="1"/>
  <c r="J180" i="146"/>
  <c r="Q179" i="146"/>
  <c r="M179" i="146"/>
  <c r="P178" i="146"/>
  <c r="O178" i="146"/>
  <c r="N178" i="146"/>
  <c r="M178" i="146"/>
  <c r="J178" i="146"/>
  <c r="P177" i="146"/>
  <c r="O177" i="146"/>
  <c r="N177" i="146"/>
  <c r="L177" i="146"/>
  <c r="K177" i="146"/>
  <c r="J177" i="146"/>
  <c r="Q176" i="146"/>
  <c r="M176" i="146"/>
  <c r="N175" i="146"/>
  <c r="M175" i="146"/>
  <c r="J175" i="146"/>
  <c r="Q174" i="146"/>
  <c r="M174" i="146"/>
  <c r="M173" i="146"/>
  <c r="Q172" i="146"/>
  <c r="M172" i="146"/>
  <c r="P171" i="146"/>
  <c r="O171" i="146"/>
  <c r="N171" i="146"/>
  <c r="L171" i="146"/>
  <c r="K171" i="146"/>
  <c r="J171" i="146"/>
  <c r="Q170" i="146"/>
  <c r="M170" i="146"/>
  <c r="Q169" i="146"/>
  <c r="M169" i="146"/>
  <c r="M168" i="146"/>
  <c r="J168" i="146"/>
  <c r="Q167" i="146"/>
  <c r="M167" i="146"/>
  <c r="P166" i="146"/>
  <c r="O166" i="146"/>
  <c r="J166" i="146"/>
  <c r="Q165" i="146"/>
  <c r="M165" i="146"/>
  <c r="P164" i="146"/>
  <c r="O164" i="146"/>
  <c r="N164" i="146"/>
  <c r="M164" i="146"/>
  <c r="J164" i="146"/>
  <c r="Q163" i="146"/>
  <c r="M163" i="146"/>
  <c r="P162" i="146"/>
  <c r="O162" i="146"/>
  <c r="N162" i="146"/>
  <c r="L162" i="146"/>
  <c r="M162" i="146" s="1"/>
  <c r="J162" i="146"/>
  <c r="Q161" i="146"/>
  <c r="M161" i="146"/>
  <c r="Q160" i="146"/>
  <c r="M160" i="146"/>
  <c r="P159" i="146"/>
  <c r="O159" i="146"/>
  <c r="N159" i="146"/>
  <c r="L159" i="146"/>
  <c r="K159" i="146"/>
  <c r="J159" i="146"/>
  <c r="Q158" i="146"/>
  <c r="M158" i="146"/>
  <c r="P157" i="146"/>
  <c r="O157" i="146"/>
  <c r="N157" i="146"/>
  <c r="L157" i="146"/>
  <c r="K157" i="146"/>
  <c r="J157" i="146"/>
  <c r="Q156" i="146"/>
  <c r="M156" i="146"/>
  <c r="P155" i="146"/>
  <c r="O155" i="146"/>
  <c r="N155" i="146"/>
  <c r="L155" i="146"/>
  <c r="M155" i="146" s="1"/>
  <c r="J155" i="146"/>
  <c r="Q154" i="146"/>
  <c r="M154" i="146"/>
  <c r="Q153" i="146"/>
  <c r="M153" i="146"/>
  <c r="Q152" i="146"/>
  <c r="M152" i="146"/>
  <c r="P151" i="146"/>
  <c r="O151" i="146"/>
  <c r="N151" i="146"/>
  <c r="L151" i="146"/>
  <c r="K151" i="146"/>
  <c r="J151" i="146"/>
  <c r="Q150" i="146"/>
  <c r="M150" i="146"/>
  <c r="Q149" i="146"/>
  <c r="M149" i="146"/>
  <c r="P148" i="146"/>
  <c r="O148" i="146"/>
  <c r="N148" i="146"/>
  <c r="L148" i="146"/>
  <c r="M148" i="146" s="1"/>
  <c r="Q147" i="146"/>
  <c r="M147" i="146"/>
  <c r="Q146" i="146"/>
  <c r="J146" i="146"/>
  <c r="P145" i="146"/>
  <c r="Q145" i="146" s="1"/>
  <c r="N145" i="146"/>
  <c r="L145" i="146"/>
  <c r="K145" i="146"/>
  <c r="J145" i="146"/>
  <c r="Q144" i="146"/>
  <c r="M144" i="146"/>
  <c r="P143" i="146"/>
  <c r="O143" i="146"/>
  <c r="N143" i="146"/>
  <c r="L143" i="146"/>
  <c r="K143" i="146"/>
  <c r="J143" i="146"/>
  <c r="Q142" i="146"/>
  <c r="N142" i="146"/>
  <c r="L142" i="146"/>
  <c r="J142" i="146"/>
  <c r="Q141" i="146"/>
  <c r="M141" i="146"/>
  <c r="P140" i="146"/>
  <c r="O140" i="146"/>
  <c r="N140" i="146"/>
  <c r="L140" i="146"/>
  <c r="K140" i="146"/>
  <c r="J140" i="146"/>
  <c r="P139" i="146"/>
  <c r="O139" i="146"/>
  <c r="N139" i="146"/>
  <c r="L139" i="146"/>
  <c r="K139" i="146"/>
  <c r="J139" i="146"/>
  <c r="P138" i="146"/>
  <c r="O138" i="146"/>
  <c r="N138" i="146"/>
  <c r="J138" i="146"/>
  <c r="Q137" i="146"/>
  <c r="M137" i="146"/>
  <c r="P136" i="146"/>
  <c r="O136" i="146"/>
  <c r="N136" i="146"/>
  <c r="J136" i="146"/>
  <c r="Q135" i="146"/>
  <c r="M135" i="146"/>
  <c r="P134" i="146"/>
  <c r="O134" i="146"/>
  <c r="N134" i="146"/>
  <c r="L134" i="146"/>
  <c r="K134" i="146"/>
  <c r="Q133" i="146"/>
  <c r="M133" i="146"/>
  <c r="P132" i="146"/>
  <c r="O132" i="146"/>
  <c r="N132" i="146"/>
  <c r="M132" i="146"/>
  <c r="Q131" i="146"/>
  <c r="M131" i="146"/>
  <c r="P130" i="146"/>
  <c r="Q130" i="146" s="1"/>
  <c r="L130" i="146"/>
  <c r="M130" i="146" s="1"/>
  <c r="Q129" i="146"/>
  <c r="L129" i="146"/>
  <c r="K129" i="146"/>
  <c r="J129" i="146"/>
  <c r="Q128" i="146"/>
  <c r="M128" i="146"/>
  <c r="P127" i="146"/>
  <c r="O127" i="146"/>
  <c r="N127" i="146"/>
  <c r="L127" i="146"/>
  <c r="K127" i="146"/>
  <c r="Q126" i="146"/>
  <c r="M126" i="146"/>
  <c r="N125" i="146"/>
  <c r="M125" i="146"/>
  <c r="J125" i="146"/>
  <c r="Q124" i="146"/>
  <c r="M124" i="146"/>
  <c r="P123" i="146"/>
  <c r="O123" i="146"/>
  <c r="N123" i="146"/>
  <c r="M123" i="146"/>
  <c r="J123" i="146"/>
  <c r="Q122" i="146"/>
  <c r="M122" i="146"/>
  <c r="P121" i="146"/>
  <c r="O121" i="146"/>
  <c r="N121" i="146"/>
  <c r="L121" i="146"/>
  <c r="K121" i="146"/>
  <c r="Q120" i="146"/>
  <c r="M120" i="146"/>
  <c r="P119" i="146"/>
  <c r="O119" i="146"/>
  <c r="N119" i="146"/>
  <c r="J119" i="146"/>
  <c r="Q118" i="146"/>
  <c r="M118" i="146"/>
  <c r="P117" i="146"/>
  <c r="O117" i="146"/>
  <c r="N117" i="146"/>
  <c r="J117" i="146"/>
  <c r="Q116" i="146"/>
  <c r="M116" i="146"/>
  <c r="P115" i="146"/>
  <c r="O115" i="146"/>
  <c r="N115" i="146"/>
  <c r="L115" i="146"/>
  <c r="J115" i="146"/>
  <c r="P114" i="146"/>
  <c r="O114" i="146"/>
  <c r="N114" i="146"/>
  <c r="Q113" i="146"/>
  <c r="N113" i="146"/>
  <c r="M113" i="146"/>
  <c r="P112" i="146"/>
  <c r="Q112" i="146" s="1"/>
  <c r="N112" i="146"/>
  <c r="L112" i="146"/>
  <c r="J112" i="146"/>
  <c r="Q111" i="146"/>
  <c r="M111" i="146"/>
  <c r="P110" i="146"/>
  <c r="Q110" i="146" s="1"/>
  <c r="N110" i="146"/>
  <c r="L110" i="146"/>
  <c r="K110" i="146"/>
  <c r="J110" i="146"/>
  <c r="Q109" i="146"/>
  <c r="M109" i="146"/>
  <c r="Q108" i="146"/>
  <c r="L108" i="146"/>
  <c r="K108" i="146"/>
  <c r="J108" i="146"/>
  <c r="P107" i="146"/>
  <c r="O107" i="146"/>
  <c r="N107" i="146"/>
  <c r="J107" i="146"/>
  <c r="Q106" i="146"/>
  <c r="M106" i="146"/>
  <c r="Q105" i="146"/>
  <c r="N105" i="146"/>
  <c r="Q104" i="146"/>
  <c r="M104" i="146"/>
  <c r="N103" i="146"/>
  <c r="M103" i="146"/>
  <c r="J103" i="146"/>
  <c r="Q102" i="146"/>
  <c r="M102" i="146"/>
  <c r="P101" i="146"/>
  <c r="O101" i="146"/>
  <c r="N101" i="146"/>
  <c r="L101" i="146"/>
  <c r="K101" i="146"/>
  <c r="Q100" i="146"/>
  <c r="M100" i="146"/>
  <c r="P99" i="146"/>
  <c r="Q99" i="146" s="1"/>
  <c r="N99" i="146"/>
  <c r="J99" i="146"/>
  <c r="Q98" i="146"/>
  <c r="M98" i="146"/>
  <c r="P97" i="146"/>
  <c r="O97" i="146"/>
  <c r="N97" i="146"/>
  <c r="J97" i="146"/>
  <c r="Q96" i="146"/>
  <c r="M96" i="146"/>
  <c r="P95" i="146"/>
  <c r="O95" i="146"/>
  <c r="N95" i="146"/>
  <c r="L95" i="146"/>
  <c r="J95" i="146"/>
  <c r="Q94" i="146"/>
  <c r="M94" i="146"/>
  <c r="P93" i="146"/>
  <c r="Q93" i="146" s="1"/>
  <c r="N93" i="146"/>
  <c r="L93" i="146"/>
  <c r="J93" i="146"/>
  <c r="Q92" i="146"/>
  <c r="M92" i="146"/>
  <c r="Q91" i="146"/>
  <c r="J91" i="146"/>
  <c r="Q90" i="146"/>
  <c r="M90" i="146"/>
  <c r="P89" i="146"/>
  <c r="Q89" i="146" s="1"/>
  <c r="N89" i="146"/>
  <c r="L89" i="146"/>
  <c r="J89" i="146"/>
  <c r="Q88" i="146"/>
  <c r="M88" i="146"/>
  <c r="P87" i="146"/>
  <c r="O87" i="146"/>
  <c r="N87" i="146"/>
  <c r="L87" i="146"/>
  <c r="K87" i="146"/>
  <c r="J87" i="146"/>
  <c r="Q86" i="146"/>
  <c r="M86" i="146"/>
  <c r="P85" i="146"/>
  <c r="O85" i="146"/>
  <c r="N85" i="146"/>
  <c r="J85" i="146"/>
  <c r="Q84" i="146"/>
  <c r="M84" i="146"/>
  <c r="P83" i="146"/>
  <c r="O83" i="146"/>
  <c r="N83" i="146"/>
  <c r="L83" i="146"/>
  <c r="K83" i="146"/>
  <c r="J83" i="146"/>
  <c r="P82" i="146"/>
  <c r="O82" i="146"/>
  <c r="N82" i="146"/>
  <c r="L82" i="146"/>
  <c r="K82" i="146"/>
  <c r="J82" i="146"/>
  <c r="Q81" i="146"/>
  <c r="M81" i="146"/>
  <c r="P80" i="146"/>
  <c r="O80" i="146"/>
  <c r="N80" i="146"/>
  <c r="L80" i="146"/>
  <c r="P79" i="146"/>
  <c r="O79" i="146"/>
  <c r="N79" i="146"/>
  <c r="M79" i="146"/>
  <c r="J79" i="146"/>
  <c r="P78" i="146"/>
  <c r="N78" i="146"/>
  <c r="L78" i="146"/>
  <c r="K78" i="146"/>
  <c r="P77" i="146"/>
  <c r="O77" i="146"/>
  <c r="N77" i="146"/>
  <c r="J77" i="146"/>
  <c r="Q76" i="146"/>
  <c r="M76" i="146"/>
  <c r="P75" i="146"/>
  <c r="O75" i="146"/>
  <c r="N75" i="146"/>
  <c r="J75" i="146"/>
  <c r="Q74" i="146"/>
  <c r="N74" i="146"/>
  <c r="L74" i="146"/>
  <c r="J74" i="146"/>
  <c r="Q73" i="146"/>
  <c r="M73" i="146"/>
  <c r="P72" i="146"/>
  <c r="O72" i="146"/>
  <c r="N72" i="146"/>
  <c r="L72" i="146"/>
  <c r="J72" i="146"/>
  <c r="Q71" i="146"/>
  <c r="M71" i="146"/>
  <c r="Q70" i="146"/>
  <c r="N70" i="146"/>
  <c r="M70" i="146"/>
  <c r="Q69" i="146"/>
  <c r="M69" i="146"/>
  <c r="P68" i="146"/>
  <c r="O68" i="146"/>
  <c r="L68" i="146"/>
  <c r="K68" i="146"/>
  <c r="P67" i="146"/>
  <c r="O67" i="146"/>
  <c r="N67" i="146"/>
  <c r="L67" i="146"/>
  <c r="M67" i="146" s="1"/>
  <c r="Q66" i="146"/>
  <c r="M66" i="146"/>
  <c r="P65" i="146"/>
  <c r="O65" i="146"/>
  <c r="N65" i="146"/>
  <c r="Q64" i="146"/>
  <c r="M64" i="146"/>
  <c r="P63" i="146"/>
  <c r="O63" i="146"/>
  <c r="L63" i="146"/>
  <c r="Q62" i="146"/>
  <c r="M62" i="146"/>
  <c r="P61" i="146"/>
  <c r="O61" i="146"/>
  <c r="N61" i="146"/>
  <c r="L61" i="146"/>
  <c r="K61" i="146"/>
  <c r="J61" i="146"/>
  <c r="Q60" i="146"/>
  <c r="M60" i="146"/>
  <c r="P59" i="146"/>
  <c r="O59" i="146"/>
  <c r="N59" i="146"/>
  <c r="M59" i="146"/>
  <c r="Q58" i="146"/>
  <c r="L58" i="146"/>
  <c r="M58" i="146" s="1"/>
  <c r="J58" i="146"/>
  <c r="Q57" i="146"/>
  <c r="M57" i="146"/>
  <c r="P56" i="146"/>
  <c r="O56" i="146"/>
  <c r="N56" i="146"/>
  <c r="M56" i="146"/>
  <c r="J56" i="146"/>
  <c r="Q55" i="146"/>
  <c r="M55" i="146"/>
  <c r="P54" i="146"/>
  <c r="O54" i="146"/>
  <c r="N54" i="146"/>
  <c r="L54" i="146"/>
  <c r="M54" i="146" s="1"/>
  <c r="Q53" i="146"/>
  <c r="M53" i="146"/>
  <c r="Q52" i="146"/>
  <c r="M52" i="146"/>
  <c r="P51" i="146"/>
  <c r="O51" i="146"/>
  <c r="N51" i="146"/>
  <c r="L51" i="146"/>
  <c r="K51" i="146"/>
  <c r="J51" i="146"/>
  <c r="Q50" i="146"/>
  <c r="M50" i="146"/>
  <c r="P49" i="146"/>
  <c r="O49" i="146"/>
  <c r="N49" i="146"/>
  <c r="L49" i="146"/>
  <c r="J49" i="146"/>
  <c r="Q48" i="146"/>
  <c r="M48" i="146"/>
  <c r="P47" i="146"/>
  <c r="O47" i="146"/>
  <c r="N47" i="146"/>
  <c r="J47" i="146"/>
  <c r="P46" i="146"/>
  <c r="Q46" i="146" s="1"/>
  <c r="M46" i="146"/>
  <c r="P45" i="146"/>
  <c r="O45" i="146"/>
  <c r="N45" i="146"/>
  <c r="J45" i="146"/>
  <c r="Q44" i="146"/>
  <c r="M44" i="146"/>
  <c r="Q43" i="146"/>
  <c r="M43" i="146"/>
  <c r="Q42" i="146"/>
  <c r="M42" i="146"/>
  <c r="P41" i="146"/>
  <c r="O41" i="146"/>
  <c r="N41" i="146"/>
  <c r="L41" i="146"/>
  <c r="K41" i="146"/>
  <c r="J41" i="146"/>
  <c r="P40" i="146"/>
  <c r="O40" i="146"/>
  <c r="M40" i="146"/>
  <c r="J40" i="146"/>
  <c r="Q39" i="146"/>
  <c r="M39" i="146"/>
  <c r="P38" i="146"/>
  <c r="O38" i="146"/>
  <c r="L38" i="146"/>
  <c r="Q37" i="146"/>
  <c r="M37" i="146"/>
  <c r="P36" i="146"/>
  <c r="O36" i="146"/>
  <c r="N36" i="146"/>
  <c r="L36" i="146"/>
  <c r="K36" i="146"/>
  <c r="J36" i="146"/>
  <c r="Q35" i="146"/>
  <c r="M35" i="146"/>
  <c r="P34" i="146"/>
  <c r="O34" i="146"/>
  <c r="N34" i="146"/>
  <c r="L34" i="146"/>
  <c r="K34" i="146"/>
  <c r="J34" i="146"/>
  <c r="Q33" i="146"/>
  <c r="M33" i="146"/>
  <c r="P32" i="146"/>
  <c r="O32" i="146"/>
  <c r="N32" i="146"/>
  <c r="L32" i="146"/>
  <c r="K32" i="146"/>
  <c r="J32" i="146"/>
  <c r="Q31" i="146"/>
  <c r="M31" i="146"/>
  <c r="Q30" i="146"/>
  <c r="M30" i="146"/>
  <c r="Q29" i="146"/>
  <c r="L29" i="146"/>
  <c r="K29" i="146"/>
  <c r="J29" i="146"/>
  <c r="P28" i="146"/>
  <c r="O28" i="146"/>
  <c r="N28" i="146"/>
  <c r="M28" i="146"/>
  <c r="J28" i="146"/>
  <c r="Q27" i="146"/>
  <c r="M27" i="146"/>
  <c r="Q26" i="146"/>
  <c r="M26" i="146"/>
  <c r="P25" i="146"/>
  <c r="Q25" i="146" s="1"/>
  <c r="N25" i="146"/>
  <c r="L25" i="146"/>
  <c r="P24" i="146"/>
  <c r="O24" i="146"/>
  <c r="N24" i="146"/>
  <c r="M24" i="146"/>
  <c r="Q23" i="146"/>
  <c r="M23" i="146"/>
  <c r="P22" i="146"/>
  <c r="O22" i="146"/>
  <c r="N22" i="146"/>
  <c r="L22" i="146"/>
  <c r="Q21" i="146"/>
  <c r="M21" i="146"/>
  <c r="P20" i="146"/>
  <c r="O20" i="146"/>
  <c r="N20" i="146"/>
  <c r="L20" i="146"/>
  <c r="K20" i="146"/>
  <c r="J20" i="146"/>
  <c r="P19" i="146"/>
  <c r="O19" i="146"/>
  <c r="N19" i="146"/>
  <c r="L19" i="146"/>
  <c r="K19" i="146"/>
  <c r="J19" i="146"/>
  <c r="Q18" i="146"/>
  <c r="M18" i="146"/>
  <c r="P17" i="146"/>
  <c r="O17" i="146"/>
  <c r="N17" i="146"/>
  <c r="L17" i="146"/>
  <c r="K17" i="146"/>
  <c r="J17" i="146"/>
  <c r="Q16" i="146"/>
  <c r="M16" i="146"/>
  <c r="P15" i="146"/>
  <c r="O15" i="146"/>
  <c r="N15" i="146"/>
  <c r="L15" i="146"/>
  <c r="K15" i="146"/>
  <c r="J15" i="146"/>
  <c r="Q14" i="146"/>
  <c r="M14" i="146"/>
  <c r="P13" i="146"/>
  <c r="O13" i="146"/>
  <c r="N13" i="146"/>
  <c r="J13" i="146"/>
  <c r="Q12" i="146"/>
  <c r="J12" i="146"/>
  <c r="Q11" i="146"/>
  <c r="P10" i="146"/>
  <c r="O10" i="146"/>
  <c r="N10" i="146"/>
  <c r="L10" i="146"/>
  <c r="K10" i="146"/>
  <c r="K188" i="146" s="1"/>
  <c r="J10" i="146"/>
  <c r="B9" i="146"/>
  <c r="C9" i="146" s="1"/>
  <c r="D9" i="146" s="1"/>
  <c r="E9" i="146" s="1"/>
  <c r="F9" i="146" s="1"/>
  <c r="G9" i="146" s="1"/>
  <c r="H9" i="146" s="1"/>
  <c r="I9" i="146" s="1"/>
  <c r="J9" i="146" s="1"/>
  <c r="K9" i="146" s="1"/>
  <c r="L9" i="146" s="1"/>
  <c r="M9" i="146" s="1"/>
  <c r="N9" i="146" s="1"/>
  <c r="O9" i="146" s="1"/>
  <c r="P9" i="146" s="1"/>
  <c r="Q9" i="146" s="1"/>
  <c r="Q187" i="146" l="1"/>
  <c r="Q171" i="146"/>
  <c r="Q13" i="146"/>
  <c r="Q15" i="146"/>
  <c r="Q17" i="146"/>
  <c r="Q22" i="146"/>
  <c r="M29" i="146"/>
  <c r="M32" i="146"/>
  <c r="M34" i="146"/>
  <c r="M36" i="146"/>
  <c r="Q40" i="146"/>
  <c r="Q115" i="146"/>
  <c r="Q41" i="146"/>
  <c r="Q45" i="146"/>
  <c r="Q47" i="146"/>
  <c r="Q117" i="146"/>
  <c r="Q72" i="146"/>
  <c r="Q75" i="146"/>
  <c r="Q77" i="146"/>
  <c r="M78" i="146"/>
  <c r="Q119" i="146"/>
  <c r="M121" i="146"/>
  <c r="Q127" i="146"/>
  <c r="M61" i="146"/>
  <c r="Q95" i="146"/>
  <c r="Q97" i="146"/>
  <c r="M101" i="146"/>
  <c r="Q107" i="146"/>
  <c r="O188" i="146"/>
  <c r="M20" i="146"/>
  <c r="Q49" i="146"/>
  <c r="Q51" i="146"/>
  <c r="Q65" i="146"/>
  <c r="Q80" i="146"/>
  <c r="Q82" i="146"/>
  <c r="Q83" i="146"/>
  <c r="Q85" i="146"/>
  <c r="Q87" i="146"/>
  <c r="Q114" i="146"/>
  <c r="Q134" i="146"/>
  <c r="Q136" i="146"/>
  <c r="Q138" i="146"/>
  <c r="Q139" i="146"/>
  <c r="Q140" i="146"/>
  <c r="Q143" i="146"/>
  <c r="M151" i="146"/>
  <c r="M157" i="146"/>
  <c r="M159" i="146"/>
  <c r="Q164" i="146"/>
  <c r="M177" i="146"/>
  <c r="M182" i="146"/>
  <c r="M12" i="146"/>
  <c r="M13" i="146"/>
  <c r="M15" i="146"/>
  <c r="M17" i="146"/>
  <c r="M19" i="146"/>
  <c r="Q19" i="146"/>
  <c r="Q20" i="146"/>
  <c r="M22" i="146"/>
  <c r="Q24" i="146"/>
  <c r="M25" i="146"/>
  <c r="Q28" i="146"/>
  <c r="Q32" i="146"/>
  <c r="Q34" i="146"/>
  <c r="Q36" i="146"/>
  <c r="M38" i="146"/>
  <c r="Q38" i="146"/>
  <c r="M41" i="146"/>
  <c r="M45" i="146"/>
  <c r="M47" i="146"/>
  <c r="M49" i="146"/>
  <c r="M51" i="146"/>
  <c r="Q54" i="146"/>
  <c r="Q56" i="146"/>
  <c r="Q59" i="146"/>
  <c r="Q61" i="146"/>
  <c r="M63" i="146"/>
  <c r="Q63" i="146"/>
  <c r="M65" i="146"/>
  <c r="Q67" i="146"/>
  <c r="M68" i="146"/>
  <c r="Q68" i="146"/>
  <c r="M72" i="146"/>
  <c r="M74" i="146"/>
  <c r="M75" i="146"/>
  <c r="M77" i="146"/>
  <c r="Q78" i="146"/>
  <c r="Q79" i="146"/>
  <c r="M80" i="146"/>
  <c r="M82" i="146"/>
  <c r="M83" i="146"/>
  <c r="M85" i="146"/>
  <c r="M87" i="146"/>
  <c r="M89" i="146"/>
  <c r="M91" i="146"/>
  <c r="M93" i="146"/>
  <c r="M95" i="146"/>
  <c r="M97" i="146"/>
  <c r="M99" i="146"/>
  <c r="Q101" i="146"/>
  <c r="Q103" i="146"/>
  <c r="M105" i="146"/>
  <c r="M107" i="146"/>
  <c r="M108" i="146"/>
  <c r="M110" i="146"/>
  <c r="M112" i="146"/>
  <c r="M114" i="146"/>
  <c r="M115" i="146"/>
  <c r="M117" i="146"/>
  <c r="M119" i="146"/>
  <c r="Q121" i="146"/>
  <c r="Q123" i="146"/>
  <c r="Q125" i="146"/>
  <c r="M127" i="146"/>
  <c r="M129" i="146"/>
  <c r="Q132" i="146"/>
  <c r="M134" i="146"/>
  <c r="M136" i="146"/>
  <c r="M138" i="146"/>
  <c r="M139" i="146"/>
  <c r="M140" i="146"/>
  <c r="M142" i="146"/>
  <c r="M143" i="146"/>
  <c r="M145" i="146"/>
  <c r="M146" i="146"/>
  <c r="Q148" i="146"/>
  <c r="Q151" i="146"/>
  <c r="Q155" i="146"/>
  <c r="Q157" i="146"/>
  <c r="Q159" i="146"/>
  <c r="Q162" i="146"/>
  <c r="M166" i="146"/>
  <c r="Q166" i="146"/>
  <c r="M171" i="146"/>
  <c r="Q175" i="146"/>
  <c r="Q177" i="146"/>
  <c r="Q178" i="146"/>
  <c r="Q180" i="146"/>
  <c r="Q182" i="146"/>
  <c r="Q184" i="146"/>
  <c r="M187" i="146"/>
  <c r="M10" i="146"/>
  <c r="Q10" i="146"/>
  <c r="J188" i="146"/>
  <c r="L188" i="146"/>
  <c r="M188" i="146" s="1"/>
  <c r="N188" i="146"/>
  <c r="P188" i="146"/>
  <c r="Q188" i="146" s="1"/>
  <c r="J184" i="145"/>
  <c r="J27" i="145"/>
  <c r="J58" i="145"/>
  <c r="N103" i="145"/>
  <c r="N180" i="145"/>
  <c r="J180" i="145"/>
  <c r="J178" i="145"/>
  <c r="J175" i="145"/>
  <c r="J168" i="145"/>
  <c r="J166" i="145"/>
  <c r="J155" i="145"/>
  <c r="J138" i="145"/>
  <c r="N142" i="145"/>
  <c r="J142" i="145"/>
  <c r="N132" i="145"/>
  <c r="J132" i="145"/>
  <c r="J123" i="145"/>
  <c r="J112" i="145"/>
  <c r="N110" i="145"/>
  <c r="J110" i="145"/>
  <c r="N93" i="145"/>
  <c r="J93" i="145"/>
  <c r="N105" i="145"/>
  <c r="J105" i="145"/>
  <c r="N99" i="145"/>
  <c r="J99" i="145"/>
  <c r="J95" i="145"/>
  <c r="N89" i="145"/>
  <c r="J89" i="145"/>
  <c r="J85" i="145"/>
  <c r="J65" i="145"/>
  <c r="J74" i="145"/>
  <c r="J56" i="145"/>
  <c r="J47" i="145"/>
  <c r="J45" i="145"/>
  <c r="J40" i="145"/>
  <c r="N38" i="145"/>
  <c r="J38" i="145"/>
  <c r="J24" i="145"/>
  <c r="J13" i="145"/>
  <c r="I188" i="145"/>
  <c r="H188" i="145"/>
  <c r="P187" i="145"/>
  <c r="O187" i="145"/>
  <c r="N187" i="145"/>
  <c r="L187" i="145"/>
  <c r="K187" i="145"/>
  <c r="J187" i="145"/>
  <c r="Q186" i="145"/>
  <c r="M186" i="145"/>
  <c r="Q185" i="145"/>
  <c r="M185" i="145"/>
  <c r="P184" i="145"/>
  <c r="O184" i="145"/>
  <c r="N184" i="145"/>
  <c r="L184" i="145"/>
  <c r="K184" i="145"/>
  <c r="Q183" i="145"/>
  <c r="M183" i="145"/>
  <c r="P182" i="145"/>
  <c r="O182" i="145"/>
  <c r="N182" i="145"/>
  <c r="L182" i="145"/>
  <c r="K182" i="145"/>
  <c r="J182" i="145"/>
  <c r="Q181" i="145"/>
  <c r="M181" i="145"/>
  <c r="P180" i="145"/>
  <c r="O180" i="145"/>
  <c r="L180" i="145"/>
  <c r="K180" i="145"/>
  <c r="Q179" i="145"/>
  <c r="M179" i="145"/>
  <c r="P178" i="145"/>
  <c r="O178" i="145"/>
  <c r="N178" i="145"/>
  <c r="L178" i="145"/>
  <c r="K178" i="145"/>
  <c r="P177" i="145"/>
  <c r="O177" i="145"/>
  <c r="N177" i="145"/>
  <c r="L177" i="145"/>
  <c r="K177" i="145"/>
  <c r="J177" i="145"/>
  <c r="Q176" i="145"/>
  <c r="M176" i="145"/>
  <c r="P175" i="145"/>
  <c r="O175" i="145"/>
  <c r="N175" i="145"/>
  <c r="L175" i="145"/>
  <c r="K175" i="145"/>
  <c r="Q174" i="145"/>
  <c r="M174" i="145"/>
  <c r="M173" i="145"/>
  <c r="Q172" i="145"/>
  <c r="M172" i="145"/>
  <c r="P171" i="145"/>
  <c r="O171" i="145"/>
  <c r="N171" i="145"/>
  <c r="L171" i="145"/>
  <c r="K171" i="145"/>
  <c r="J171" i="145"/>
  <c r="Q170" i="145"/>
  <c r="M170" i="145"/>
  <c r="Q169" i="145"/>
  <c r="M169" i="145"/>
  <c r="L168" i="145"/>
  <c r="K168" i="145"/>
  <c r="Q167" i="145"/>
  <c r="M167" i="145"/>
  <c r="P166" i="145"/>
  <c r="O166" i="145"/>
  <c r="N166" i="145"/>
  <c r="L166" i="145"/>
  <c r="K166" i="145"/>
  <c r="Q165" i="145"/>
  <c r="M165" i="145"/>
  <c r="P164" i="145"/>
  <c r="O164" i="145"/>
  <c r="N164" i="145"/>
  <c r="M164" i="145"/>
  <c r="J164" i="145"/>
  <c r="Q163" i="145"/>
  <c r="M163" i="145"/>
  <c r="P162" i="145"/>
  <c r="O162" i="145"/>
  <c r="N162" i="145"/>
  <c r="L162" i="145"/>
  <c r="K162" i="145"/>
  <c r="J162" i="145"/>
  <c r="Q161" i="145"/>
  <c r="M161" i="145"/>
  <c r="Q160" i="145"/>
  <c r="M160" i="145"/>
  <c r="P159" i="145"/>
  <c r="O159" i="145"/>
  <c r="N159" i="145"/>
  <c r="L159" i="145"/>
  <c r="K159" i="145"/>
  <c r="J159" i="145"/>
  <c r="Q158" i="145"/>
  <c r="M158" i="145"/>
  <c r="P157" i="145"/>
  <c r="O157" i="145"/>
  <c r="N157" i="145"/>
  <c r="L157" i="145"/>
  <c r="K157" i="145"/>
  <c r="J157" i="145"/>
  <c r="Q156" i="145"/>
  <c r="M156" i="145"/>
  <c r="P155" i="145"/>
  <c r="O155" i="145"/>
  <c r="N155" i="145"/>
  <c r="L155" i="145"/>
  <c r="K155" i="145"/>
  <c r="Q154" i="145"/>
  <c r="M154" i="145"/>
  <c r="Q153" i="145"/>
  <c r="M153" i="145"/>
  <c r="Q152" i="145"/>
  <c r="M152" i="145"/>
  <c r="P151" i="145"/>
  <c r="O151" i="145"/>
  <c r="N151" i="145"/>
  <c r="L151" i="145"/>
  <c r="K151" i="145"/>
  <c r="J151" i="145"/>
  <c r="Q150" i="145"/>
  <c r="M150" i="145"/>
  <c r="Q149" i="145"/>
  <c r="M149" i="145"/>
  <c r="P148" i="145"/>
  <c r="O148" i="145"/>
  <c r="N148" i="145"/>
  <c r="L148" i="145"/>
  <c r="K148" i="145"/>
  <c r="J148" i="145"/>
  <c r="Q147" i="145"/>
  <c r="M147" i="145"/>
  <c r="Q146" i="145"/>
  <c r="L146" i="145"/>
  <c r="K146" i="145"/>
  <c r="J146" i="145"/>
  <c r="P145" i="145"/>
  <c r="O145" i="145"/>
  <c r="N145" i="145"/>
  <c r="L145" i="145"/>
  <c r="K145" i="145"/>
  <c r="J145" i="145"/>
  <c r="Q144" i="145"/>
  <c r="M144" i="145"/>
  <c r="P143" i="145"/>
  <c r="O143" i="145"/>
  <c r="N143" i="145"/>
  <c r="L143" i="145"/>
  <c r="K143" i="145"/>
  <c r="J143" i="145"/>
  <c r="P142" i="145"/>
  <c r="O142" i="145"/>
  <c r="L142" i="145"/>
  <c r="K142" i="145"/>
  <c r="Q141" i="145"/>
  <c r="M141" i="145"/>
  <c r="P140" i="145"/>
  <c r="O140" i="145"/>
  <c r="N140" i="145"/>
  <c r="L140" i="145"/>
  <c r="K140" i="145"/>
  <c r="J140" i="145"/>
  <c r="P139" i="145"/>
  <c r="O139" i="145"/>
  <c r="N139" i="145"/>
  <c r="L139" i="145"/>
  <c r="K139" i="145"/>
  <c r="J139" i="145"/>
  <c r="P138" i="145"/>
  <c r="O138" i="145"/>
  <c r="N138" i="145"/>
  <c r="L138" i="145"/>
  <c r="K138" i="145"/>
  <c r="Q137" i="145"/>
  <c r="M137" i="145"/>
  <c r="P136" i="145"/>
  <c r="O136" i="145"/>
  <c r="N136" i="145"/>
  <c r="L136" i="145"/>
  <c r="K136" i="145"/>
  <c r="J136" i="145"/>
  <c r="Q135" i="145"/>
  <c r="M135" i="145"/>
  <c r="P134" i="145"/>
  <c r="O134" i="145"/>
  <c r="N134" i="145"/>
  <c r="L134" i="145"/>
  <c r="K134" i="145"/>
  <c r="Q133" i="145"/>
  <c r="M133" i="145"/>
  <c r="P132" i="145"/>
  <c r="O132" i="145"/>
  <c r="L132" i="145"/>
  <c r="K132" i="145"/>
  <c r="Q131" i="145"/>
  <c r="M131" i="145"/>
  <c r="P130" i="145"/>
  <c r="O130" i="145"/>
  <c r="N130" i="145"/>
  <c r="L130" i="145"/>
  <c r="K130" i="145"/>
  <c r="J130" i="145"/>
  <c r="Q129" i="145"/>
  <c r="L129" i="145"/>
  <c r="K129" i="145"/>
  <c r="J129" i="145"/>
  <c r="Q128" i="145"/>
  <c r="M128" i="145"/>
  <c r="P127" i="145"/>
  <c r="O127" i="145"/>
  <c r="N127" i="145"/>
  <c r="L127" i="145"/>
  <c r="K127" i="145"/>
  <c r="J127" i="145"/>
  <c r="Q126" i="145"/>
  <c r="M126" i="145"/>
  <c r="P125" i="145"/>
  <c r="O125" i="145"/>
  <c r="N125" i="145"/>
  <c r="L125" i="145"/>
  <c r="K125" i="145"/>
  <c r="J125" i="145"/>
  <c r="Q124" i="145"/>
  <c r="M124" i="145"/>
  <c r="P123" i="145"/>
  <c r="O123" i="145"/>
  <c r="N123" i="145"/>
  <c r="L123" i="145"/>
  <c r="K123" i="145"/>
  <c r="Q122" i="145"/>
  <c r="M122" i="145"/>
  <c r="P121" i="145"/>
  <c r="O121" i="145"/>
  <c r="N121" i="145"/>
  <c r="L121" i="145"/>
  <c r="K121" i="145"/>
  <c r="J121" i="145"/>
  <c r="Q120" i="145"/>
  <c r="M120" i="145"/>
  <c r="P119" i="145"/>
  <c r="O119" i="145"/>
  <c r="N119" i="145"/>
  <c r="L119" i="145"/>
  <c r="K119" i="145"/>
  <c r="J119" i="145"/>
  <c r="Q118" i="145"/>
  <c r="M118" i="145"/>
  <c r="P117" i="145"/>
  <c r="O117" i="145"/>
  <c r="N117" i="145"/>
  <c r="L117" i="145"/>
  <c r="K117" i="145"/>
  <c r="J117" i="145"/>
  <c r="Q116" i="145"/>
  <c r="M116" i="145"/>
  <c r="P115" i="145"/>
  <c r="O115" i="145"/>
  <c r="N115" i="145"/>
  <c r="L115" i="145"/>
  <c r="K115" i="145"/>
  <c r="J115" i="145"/>
  <c r="P114" i="145"/>
  <c r="O114" i="145"/>
  <c r="N114" i="145"/>
  <c r="L114" i="145"/>
  <c r="K114" i="145"/>
  <c r="J114" i="145"/>
  <c r="Q113" i="145"/>
  <c r="N113" i="145"/>
  <c r="M113" i="145"/>
  <c r="P112" i="145"/>
  <c r="O112" i="145"/>
  <c r="N112" i="145"/>
  <c r="L112" i="145"/>
  <c r="K112" i="145"/>
  <c r="Q111" i="145"/>
  <c r="M111" i="145"/>
  <c r="P110" i="145"/>
  <c r="O110" i="145"/>
  <c r="L110" i="145"/>
  <c r="K110" i="145"/>
  <c r="Q109" i="145"/>
  <c r="M109" i="145"/>
  <c r="Q108" i="145"/>
  <c r="L108" i="145"/>
  <c r="K108" i="145"/>
  <c r="J108" i="145"/>
  <c r="P107" i="145"/>
  <c r="O107" i="145"/>
  <c r="N107" i="145"/>
  <c r="L107" i="145"/>
  <c r="K107" i="145"/>
  <c r="J107" i="145"/>
  <c r="Q106" i="145"/>
  <c r="M106" i="145"/>
  <c r="P105" i="145"/>
  <c r="O105" i="145"/>
  <c r="L105" i="145"/>
  <c r="K105" i="145"/>
  <c r="Q104" i="145"/>
  <c r="M104" i="145"/>
  <c r="P103" i="145"/>
  <c r="O103" i="145"/>
  <c r="L103" i="145"/>
  <c r="K103" i="145"/>
  <c r="J103" i="145"/>
  <c r="Q102" i="145"/>
  <c r="M102" i="145"/>
  <c r="P101" i="145"/>
  <c r="O101" i="145"/>
  <c r="N101" i="145"/>
  <c r="L101" i="145"/>
  <c r="K101" i="145"/>
  <c r="J101" i="145"/>
  <c r="Q100" i="145"/>
  <c r="M100" i="145"/>
  <c r="P99" i="145"/>
  <c r="O99" i="145"/>
  <c r="L99" i="145"/>
  <c r="K99" i="145"/>
  <c r="Q98" i="145"/>
  <c r="M98" i="145"/>
  <c r="P97" i="145"/>
  <c r="O97" i="145"/>
  <c r="N97" i="145"/>
  <c r="L97" i="145"/>
  <c r="K97" i="145"/>
  <c r="J97" i="145"/>
  <c r="Q96" i="145"/>
  <c r="M96" i="145"/>
  <c r="P95" i="145"/>
  <c r="O95" i="145"/>
  <c r="N95" i="145"/>
  <c r="L95" i="145"/>
  <c r="K95" i="145"/>
  <c r="Q94" i="145"/>
  <c r="M94" i="145"/>
  <c r="P93" i="145"/>
  <c r="O93" i="145"/>
  <c r="L93" i="145"/>
  <c r="K93" i="145"/>
  <c r="Q92" i="145"/>
  <c r="M92" i="145"/>
  <c r="Q91" i="145"/>
  <c r="L91" i="145"/>
  <c r="K91" i="145"/>
  <c r="J91" i="145"/>
  <c r="Q90" i="145"/>
  <c r="M90" i="145"/>
  <c r="P89" i="145"/>
  <c r="O89" i="145"/>
  <c r="L89" i="145"/>
  <c r="K89" i="145"/>
  <c r="Q88" i="145"/>
  <c r="M88" i="145"/>
  <c r="P87" i="145"/>
  <c r="O87" i="145"/>
  <c r="N87" i="145"/>
  <c r="L87" i="145"/>
  <c r="K87" i="145"/>
  <c r="J87" i="145"/>
  <c r="Q86" i="145"/>
  <c r="M86" i="145"/>
  <c r="P85" i="145"/>
  <c r="O85" i="145"/>
  <c r="N85" i="145"/>
  <c r="L85" i="145"/>
  <c r="K85" i="145"/>
  <c r="Q84" i="145"/>
  <c r="M84" i="145"/>
  <c r="P83" i="145"/>
  <c r="O83" i="145"/>
  <c r="N83" i="145"/>
  <c r="L83" i="145"/>
  <c r="K83" i="145"/>
  <c r="J83" i="145"/>
  <c r="P82" i="145"/>
  <c r="O82" i="145"/>
  <c r="N82" i="145"/>
  <c r="L82" i="145"/>
  <c r="K82" i="145"/>
  <c r="J82" i="145"/>
  <c r="Q81" i="145"/>
  <c r="M81" i="145"/>
  <c r="P80" i="145"/>
  <c r="O80" i="145"/>
  <c r="N80" i="145"/>
  <c r="L80" i="145"/>
  <c r="K80" i="145"/>
  <c r="J80" i="145"/>
  <c r="P79" i="145"/>
  <c r="O79" i="145"/>
  <c r="N79" i="145"/>
  <c r="L79" i="145"/>
  <c r="K79" i="145"/>
  <c r="J79" i="145"/>
  <c r="P78" i="145"/>
  <c r="O78" i="145"/>
  <c r="N78" i="145"/>
  <c r="L78" i="145"/>
  <c r="K78" i="145"/>
  <c r="P77" i="145"/>
  <c r="O77" i="145"/>
  <c r="N77" i="145"/>
  <c r="L77" i="145"/>
  <c r="K77" i="145"/>
  <c r="J77" i="145"/>
  <c r="Q76" i="145"/>
  <c r="M76" i="145"/>
  <c r="P75" i="145"/>
  <c r="O75" i="145"/>
  <c r="N75" i="145"/>
  <c r="L75" i="145"/>
  <c r="K75" i="145"/>
  <c r="J75" i="145"/>
  <c r="P74" i="145"/>
  <c r="O74" i="145"/>
  <c r="N74" i="145"/>
  <c r="L74" i="145"/>
  <c r="K74" i="145"/>
  <c r="Q73" i="145"/>
  <c r="M73" i="145"/>
  <c r="P72" i="145"/>
  <c r="O72" i="145"/>
  <c r="N72" i="145"/>
  <c r="L72" i="145"/>
  <c r="K72" i="145"/>
  <c r="J72" i="145"/>
  <c r="Q71" i="145"/>
  <c r="M71" i="145"/>
  <c r="Q70" i="145"/>
  <c r="N70" i="145"/>
  <c r="M70" i="145"/>
  <c r="Q69" i="145"/>
  <c r="M69" i="145"/>
  <c r="P68" i="145"/>
  <c r="O68" i="145"/>
  <c r="N68" i="145"/>
  <c r="L68" i="145"/>
  <c r="K68" i="145"/>
  <c r="J68" i="145"/>
  <c r="P67" i="145"/>
  <c r="O67" i="145"/>
  <c r="N67" i="145"/>
  <c r="L67" i="145"/>
  <c r="K67" i="145"/>
  <c r="J67" i="145"/>
  <c r="Q66" i="145"/>
  <c r="M66" i="145"/>
  <c r="P65" i="145"/>
  <c r="O65" i="145"/>
  <c r="N65" i="145"/>
  <c r="L65" i="145"/>
  <c r="K65" i="145"/>
  <c r="Q64" i="145"/>
  <c r="M64" i="145"/>
  <c r="P63" i="145"/>
  <c r="O63" i="145"/>
  <c r="N63" i="145"/>
  <c r="L63" i="145"/>
  <c r="K63" i="145"/>
  <c r="J63" i="145"/>
  <c r="Q62" i="145"/>
  <c r="M62" i="145"/>
  <c r="P61" i="145"/>
  <c r="O61" i="145"/>
  <c r="N61" i="145"/>
  <c r="L61" i="145"/>
  <c r="K61" i="145"/>
  <c r="J61" i="145"/>
  <c r="Q60" i="145"/>
  <c r="M60" i="145"/>
  <c r="P59" i="145"/>
  <c r="O59" i="145"/>
  <c r="N59" i="145"/>
  <c r="M59" i="145"/>
  <c r="Q58" i="145"/>
  <c r="L58" i="145"/>
  <c r="K58" i="145"/>
  <c r="Q57" i="145"/>
  <c r="M57" i="145"/>
  <c r="P56" i="145"/>
  <c r="O56" i="145"/>
  <c r="N56" i="145"/>
  <c r="L56" i="145"/>
  <c r="K56" i="145"/>
  <c r="Q55" i="145"/>
  <c r="M55" i="145"/>
  <c r="P54" i="145"/>
  <c r="O54" i="145"/>
  <c r="N54" i="145"/>
  <c r="L54" i="145"/>
  <c r="K54" i="145"/>
  <c r="J54" i="145"/>
  <c r="Q53" i="145"/>
  <c r="M53" i="145"/>
  <c r="Q52" i="145"/>
  <c r="M52" i="145"/>
  <c r="P51" i="145"/>
  <c r="O51" i="145"/>
  <c r="N51" i="145"/>
  <c r="L51" i="145"/>
  <c r="K51" i="145"/>
  <c r="J51" i="145"/>
  <c r="Q50" i="145"/>
  <c r="M50" i="145"/>
  <c r="P49" i="145"/>
  <c r="O49" i="145"/>
  <c r="N49" i="145"/>
  <c r="L49" i="145"/>
  <c r="K49" i="145"/>
  <c r="J49" i="145"/>
  <c r="Q48" i="145"/>
  <c r="M48" i="145"/>
  <c r="P47" i="145"/>
  <c r="O47" i="145"/>
  <c r="N47" i="145"/>
  <c r="L47" i="145"/>
  <c r="K47" i="145"/>
  <c r="P46" i="145"/>
  <c r="Q46" i="145" s="1"/>
  <c r="M46" i="145"/>
  <c r="P45" i="145"/>
  <c r="O45" i="145"/>
  <c r="N45" i="145"/>
  <c r="L45" i="145"/>
  <c r="K45" i="145"/>
  <c r="Q44" i="145"/>
  <c r="M44" i="145"/>
  <c r="Q43" i="145"/>
  <c r="M43" i="145"/>
  <c r="Q42" i="145"/>
  <c r="M42" i="145"/>
  <c r="P41" i="145"/>
  <c r="O41" i="145"/>
  <c r="N41" i="145"/>
  <c r="L41" i="145"/>
  <c r="K41" i="145"/>
  <c r="J41" i="145"/>
  <c r="P40" i="145"/>
  <c r="O40" i="145"/>
  <c r="N40" i="145"/>
  <c r="L40" i="145"/>
  <c r="K40" i="145"/>
  <c r="Q39" i="145"/>
  <c r="M39" i="145"/>
  <c r="P38" i="145"/>
  <c r="O38" i="145"/>
  <c r="L38" i="145"/>
  <c r="K38" i="145"/>
  <c r="Q37" i="145"/>
  <c r="M37" i="145"/>
  <c r="P36" i="145"/>
  <c r="O36" i="145"/>
  <c r="N36" i="145"/>
  <c r="L36" i="145"/>
  <c r="K36" i="145"/>
  <c r="J36" i="145"/>
  <c r="Q35" i="145"/>
  <c r="M35" i="145"/>
  <c r="P34" i="145"/>
  <c r="O34" i="145"/>
  <c r="N34" i="145"/>
  <c r="L34" i="145"/>
  <c r="K34" i="145"/>
  <c r="J34" i="145"/>
  <c r="Q33" i="145"/>
  <c r="M33" i="145"/>
  <c r="P32" i="145"/>
  <c r="O32" i="145"/>
  <c r="N32" i="145"/>
  <c r="L32" i="145"/>
  <c r="K32" i="145"/>
  <c r="J32" i="145"/>
  <c r="Q31" i="145"/>
  <c r="M31" i="145"/>
  <c r="Q30" i="145"/>
  <c r="M30" i="145"/>
  <c r="Q29" i="145"/>
  <c r="L29" i="145"/>
  <c r="K29" i="145"/>
  <c r="J29" i="145"/>
  <c r="P28" i="145"/>
  <c r="O28" i="145"/>
  <c r="N28" i="145"/>
  <c r="L28" i="145"/>
  <c r="K28" i="145"/>
  <c r="J28" i="145"/>
  <c r="Q27" i="145"/>
  <c r="L27" i="145"/>
  <c r="K27" i="145"/>
  <c r="Q26" i="145"/>
  <c r="M26" i="145"/>
  <c r="P25" i="145"/>
  <c r="O25" i="145"/>
  <c r="N25" i="145"/>
  <c r="L25" i="145"/>
  <c r="K25" i="145"/>
  <c r="J25" i="145"/>
  <c r="P24" i="145"/>
  <c r="O24" i="145"/>
  <c r="N24" i="145"/>
  <c r="L24" i="145"/>
  <c r="K24" i="145"/>
  <c r="Q23" i="145"/>
  <c r="M23" i="145"/>
  <c r="P22" i="145"/>
  <c r="O22" i="145"/>
  <c r="N22" i="145"/>
  <c r="L22" i="145"/>
  <c r="K22" i="145"/>
  <c r="J22" i="145"/>
  <c r="Q21" i="145"/>
  <c r="M21" i="145"/>
  <c r="P20" i="145"/>
  <c r="O20" i="145"/>
  <c r="N20" i="145"/>
  <c r="L20" i="145"/>
  <c r="K20" i="145"/>
  <c r="J20" i="145"/>
  <c r="P19" i="145"/>
  <c r="O19" i="145"/>
  <c r="N19" i="145"/>
  <c r="L19" i="145"/>
  <c r="K19" i="145"/>
  <c r="J19" i="145"/>
  <c r="Q18" i="145"/>
  <c r="M18" i="145"/>
  <c r="P17" i="145"/>
  <c r="O17" i="145"/>
  <c r="N17" i="145"/>
  <c r="L17" i="145"/>
  <c r="K17" i="145"/>
  <c r="J17" i="145"/>
  <c r="Q16" i="145"/>
  <c r="M16" i="145"/>
  <c r="P15" i="145"/>
  <c r="O15" i="145"/>
  <c r="N15" i="145"/>
  <c r="L15" i="145"/>
  <c r="K15" i="145"/>
  <c r="J15" i="145"/>
  <c r="Q14" i="145"/>
  <c r="M14" i="145"/>
  <c r="P13" i="145"/>
  <c r="O13" i="145"/>
  <c r="N13" i="145"/>
  <c r="L13" i="145"/>
  <c r="K13" i="145"/>
  <c r="Q12" i="145"/>
  <c r="L12" i="145"/>
  <c r="K12" i="145"/>
  <c r="J12" i="145"/>
  <c r="Q11" i="145"/>
  <c r="M11" i="145"/>
  <c r="P10" i="145"/>
  <c r="O10" i="145"/>
  <c r="N10" i="145"/>
  <c r="L10" i="145"/>
  <c r="K10" i="145"/>
  <c r="J10" i="145"/>
  <c r="B9" i="145"/>
  <c r="C9" i="145" s="1"/>
  <c r="D9" i="145" s="1"/>
  <c r="E9" i="145" s="1"/>
  <c r="F9" i="145" s="1"/>
  <c r="G9" i="145" s="1"/>
  <c r="H9" i="145" s="1"/>
  <c r="I9" i="145" s="1"/>
  <c r="J9" i="145" s="1"/>
  <c r="K9" i="145" s="1"/>
  <c r="L9" i="145" s="1"/>
  <c r="M9" i="145" s="1"/>
  <c r="N9" i="145" s="1"/>
  <c r="O9" i="145" s="1"/>
  <c r="P9" i="145" s="1"/>
  <c r="Q9" i="145" s="1"/>
  <c r="M17" i="145" l="1"/>
  <c r="M19" i="145"/>
  <c r="M20" i="145"/>
  <c r="M22" i="145"/>
  <c r="Q24" i="145"/>
  <c r="Q25" i="145"/>
  <c r="M27" i="145"/>
  <c r="M28" i="145"/>
  <c r="M29" i="145"/>
  <c r="M32" i="145"/>
  <c r="M34" i="145"/>
  <c r="M36" i="145"/>
  <c r="Q40" i="145"/>
  <c r="Q101" i="145"/>
  <c r="M107" i="145"/>
  <c r="M108" i="145"/>
  <c r="Q112" i="145"/>
  <c r="M114" i="145"/>
  <c r="M115" i="145"/>
  <c r="M117" i="145"/>
  <c r="M119" i="145"/>
  <c r="M121" i="145"/>
  <c r="Q123" i="145"/>
  <c r="Q125" i="145"/>
  <c r="Q127" i="145"/>
  <c r="Q130" i="145"/>
  <c r="M132" i="145"/>
  <c r="Q132" i="145"/>
  <c r="M134" i="145"/>
  <c r="M136" i="145"/>
  <c r="Q138" i="145"/>
  <c r="Q139" i="145"/>
  <c r="Q140" i="145"/>
  <c r="M142" i="145"/>
  <c r="Q142" i="145"/>
  <c r="Q143" i="145"/>
  <c r="Q145" i="145"/>
  <c r="Q148" i="145"/>
  <c r="Q151" i="145"/>
  <c r="Q41" i="145"/>
  <c r="M45" i="145"/>
  <c r="Q47" i="145"/>
  <c r="Q49" i="145"/>
  <c r="Q51" i="145"/>
  <c r="Q54" i="145"/>
  <c r="M56" i="145"/>
  <c r="Q59" i="145"/>
  <c r="Q61" i="145"/>
  <c r="Q63" i="145"/>
  <c r="M65" i="145"/>
  <c r="M67" i="145"/>
  <c r="M68" i="145"/>
  <c r="Q72" i="145"/>
  <c r="M74" i="145"/>
  <c r="M75" i="145"/>
  <c r="M77" i="145"/>
  <c r="Q78" i="145"/>
  <c r="Q79" i="145"/>
  <c r="Q80" i="145"/>
  <c r="Q82" i="145"/>
  <c r="Q83" i="145"/>
  <c r="M85" i="145"/>
  <c r="M87" i="145"/>
  <c r="M91" i="145"/>
  <c r="Q95" i="145"/>
  <c r="Q97" i="145"/>
  <c r="M99" i="145"/>
  <c r="Q99" i="145"/>
  <c r="M155" i="145"/>
  <c r="M157" i="145"/>
  <c r="M159" i="145"/>
  <c r="M162" i="145"/>
  <c r="Q164" i="145"/>
  <c r="M166" i="145"/>
  <c r="M171" i="145"/>
  <c r="M175" i="145"/>
  <c r="M177" i="145"/>
  <c r="Q178" i="145"/>
  <c r="M180" i="145"/>
  <c r="Q180" i="145"/>
  <c r="Q182" i="145"/>
  <c r="M184" i="145"/>
  <c r="M187" i="145"/>
  <c r="K188" i="145"/>
  <c r="M12" i="145"/>
  <c r="Q13" i="145"/>
  <c r="O188" i="145"/>
  <c r="M13" i="145"/>
  <c r="M15" i="145"/>
  <c r="Q15" i="145"/>
  <c r="Q17" i="145"/>
  <c r="Q19" i="145"/>
  <c r="Q20" i="145"/>
  <c r="Q22" i="145"/>
  <c r="M24" i="145"/>
  <c r="M25" i="145"/>
  <c r="Q28" i="145"/>
  <c r="Q32" i="145"/>
  <c r="Q34" i="145"/>
  <c r="Q36" i="145"/>
  <c r="Q38" i="145"/>
  <c r="M40" i="145"/>
  <c r="M41" i="145"/>
  <c r="Q45" i="145"/>
  <c r="M47" i="145"/>
  <c r="M49" i="145"/>
  <c r="M51" i="145"/>
  <c r="M54" i="145"/>
  <c r="Q56" i="145"/>
  <c r="M58" i="145"/>
  <c r="M61" i="145"/>
  <c r="M63" i="145"/>
  <c r="Q65" i="145"/>
  <c r="Q67" i="145"/>
  <c r="Q68" i="145"/>
  <c r="M72" i="145"/>
  <c r="Q74" i="145"/>
  <c r="Q75" i="145"/>
  <c r="Q77" i="145"/>
  <c r="M78" i="145"/>
  <c r="M79" i="145"/>
  <c r="M80" i="145"/>
  <c r="M82" i="145"/>
  <c r="M83" i="145"/>
  <c r="Q85" i="145"/>
  <c r="Q87" i="145"/>
  <c r="M89" i="145"/>
  <c r="Q89" i="145"/>
  <c r="M93" i="145"/>
  <c r="Q93" i="145"/>
  <c r="M95" i="145"/>
  <c r="M97" i="145"/>
  <c r="M101" i="145"/>
  <c r="M103" i="145"/>
  <c r="Q103" i="145"/>
  <c r="M105" i="145"/>
  <c r="Q105" i="145"/>
  <c r="Q107" i="145"/>
  <c r="M110" i="145"/>
  <c r="Q110" i="145"/>
  <c r="M112" i="145"/>
  <c r="Q114" i="145"/>
  <c r="Q115" i="145"/>
  <c r="Q117" i="145"/>
  <c r="Q119" i="145"/>
  <c r="Q121" i="145"/>
  <c r="M123" i="145"/>
  <c r="M125" i="145"/>
  <c r="M127" i="145"/>
  <c r="M129" i="145"/>
  <c r="M130" i="145"/>
  <c r="Q134" i="145"/>
  <c r="Q136" i="145"/>
  <c r="M138" i="145"/>
  <c r="M139" i="145"/>
  <c r="M140" i="145"/>
  <c r="M143" i="145"/>
  <c r="M145" i="145"/>
  <c r="M146" i="145"/>
  <c r="M148" i="145"/>
  <c r="M151" i="145"/>
  <c r="Q155" i="145"/>
  <c r="Q157" i="145"/>
  <c r="Q159" i="145"/>
  <c r="Q162" i="145"/>
  <c r="Q166" i="145"/>
  <c r="M168" i="145"/>
  <c r="Q171" i="145"/>
  <c r="Q175" i="145"/>
  <c r="Q177" i="145"/>
  <c r="M178" i="145"/>
  <c r="M182" i="145"/>
  <c r="Q184" i="145"/>
  <c r="Q187" i="145"/>
  <c r="M10" i="145"/>
  <c r="Q10" i="145"/>
  <c r="J188" i="145"/>
  <c r="L188" i="145"/>
  <c r="N188" i="145"/>
  <c r="P188" i="145"/>
  <c r="M38" i="145"/>
  <c r="J91" i="144"/>
  <c r="M188" i="145" l="1"/>
  <c r="Q188" i="145"/>
  <c r="N162" i="144"/>
  <c r="J162" i="144"/>
  <c r="J145" i="144"/>
  <c r="N78" i="144"/>
  <c r="J72" i="144"/>
  <c r="N25" i="144"/>
  <c r="J146" i="144" l="1"/>
  <c r="N103" i="144"/>
  <c r="J103" i="144"/>
  <c r="J184" i="144"/>
  <c r="N178" i="144"/>
  <c r="J178" i="144"/>
  <c r="N175" i="144"/>
  <c r="J138" i="144"/>
  <c r="J136" i="144"/>
  <c r="N125" i="144"/>
  <c r="J125" i="144"/>
  <c r="J115" i="144"/>
  <c r="N117" i="144"/>
  <c r="J117" i="144"/>
  <c r="N107" i="144"/>
  <c r="J97" i="144"/>
  <c r="J85" i="144"/>
  <c r="J77" i="144"/>
  <c r="J79" i="144"/>
  <c r="N74" i="144"/>
  <c r="J74" i="144"/>
  <c r="J75" i="144"/>
  <c r="J56" i="144"/>
  <c r="J12" i="144"/>
  <c r="N45" i="144" l="1"/>
  <c r="J45" i="144"/>
  <c r="J114" i="144"/>
  <c r="J28" i="144"/>
  <c r="N13" i="144"/>
  <c r="J13" i="144"/>
  <c r="P175" i="144" l="1"/>
  <c r="P155" i="144"/>
  <c r="P123" i="144"/>
  <c r="P114" i="144"/>
  <c r="L184" i="144"/>
  <c r="L175" i="144"/>
  <c r="L166" i="144"/>
  <c r="L168" i="144"/>
  <c r="L155" i="144"/>
  <c r="L146" i="144"/>
  <c r="L132" i="144"/>
  <c r="L127" i="144"/>
  <c r="L125" i="144"/>
  <c r="L114" i="144"/>
  <c r="L108" i="144"/>
  <c r="L105" i="144"/>
  <c r="L93" i="144"/>
  <c r="L91" i="144"/>
  <c r="L89" i="144"/>
  <c r="L87" i="144"/>
  <c r="L79" i="144"/>
  <c r="L77" i="144"/>
  <c r="L72" i="144"/>
  <c r="L67" i="144"/>
  <c r="L65" i="144"/>
  <c r="L61" i="144"/>
  <c r="L45" i="144"/>
  <c r="L41" i="144"/>
  <c r="L36" i="144"/>
  <c r="L27" i="144"/>
  <c r="L25" i="144"/>
  <c r="L24" i="144"/>
  <c r="L19" i="144"/>
  <c r="L15" i="144"/>
  <c r="L12" i="144"/>
  <c r="I188" i="144"/>
  <c r="H188" i="144"/>
  <c r="P187" i="144"/>
  <c r="O187" i="144"/>
  <c r="N187" i="144"/>
  <c r="L187" i="144"/>
  <c r="K187" i="144"/>
  <c r="J187" i="144"/>
  <c r="Q186" i="144"/>
  <c r="M186" i="144"/>
  <c r="Q185" i="144"/>
  <c r="M185" i="144"/>
  <c r="P184" i="144"/>
  <c r="O184" i="144"/>
  <c r="N184" i="144"/>
  <c r="K184" i="144"/>
  <c r="M184" i="144" s="1"/>
  <c r="Q183" i="144"/>
  <c r="M183" i="144"/>
  <c r="P182" i="144"/>
  <c r="O182" i="144"/>
  <c r="N182" i="144"/>
  <c r="L182" i="144"/>
  <c r="K182" i="144"/>
  <c r="J182" i="144"/>
  <c r="Q181" i="144"/>
  <c r="M181" i="144"/>
  <c r="P180" i="144"/>
  <c r="O180" i="144"/>
  <c r="N180" i="144"/>
  <c r="L180" i="144"/>
  <c r="K180" i="144"/>
  <c r="J180" i="144"/>
  <c r="Q179" i="144"/>
  <c r="M179" i="144"/>
  <c r="P178" i="144"/>
  <c r="O178" i="144"/>
  <c r="L178" i="144"/>
  <c r="K178" i="144"/>
  <c r="P177" i="144"/>
  <c r="O177" i="144"/>
  <c r="N177" i="144"/>
  <c r="L177" i="144"/>
  <c r="K177" i="144"/>
  <c r="J177" i="144"/>
  <c r="Q176" i="144"/>
  <c r="M176" i="144"/>
  <c r="O175" i="144"/>
  <c r="K175" i="144"/>
  <c r="J175" i="144"/>
  <c r="Q174" i="144"/>
  <c r="M174" i="144"/>
  <c r="M173" i="144"/>
  <c r="Q172" i="144"/>
  <c r="M172" i="144"/>
  <c r="P171" i="144"/>
  <c r="O171" i="144"/>
  <c r="N171" i="144"/>
  <c r="L171" i="144"/>
  <c r="K171" i="144"/>
  <c r="J171" i="144"/>
  <c r="Q170" i="144"/>
  <c r="M170" i="144"/>
  <c r="Q169" i="144"/>
  <c r="M169" i="144"/>
  <c r="K168" i="144"/>
  <c r="M168" i="144" s="1"/>
  <c r="J168" i="144"/>
  <c r="Q167" i="144"/>
  <c r="M167" i="144"/>
  <c r="P166" i="144"/>
  <c r="O166" i="144"/>
  <c r="N166" i="144"/>
  <c r="K166" i="144"/>
  <c r="M166" i="144" s="1"/>
  <c r="J166" i="144"/>
  <c r="Q165" i="144"/>
  <c r="M165" i="144"/>
  <c r="P164" i="144"/>
  <c r="O164" i="144"/>
  <c r="N164" i="144"/>
  <c r="M164" i="144"/>
  <c r="J164" i="144"/>
  <c r="Q163" i="144"/>
  <c r="M163" i="144"/>
  <c r="P162" i="144"/>
  <c r="O162" i="144"/>
  <c r="L162" i="144"/>
  <c r="K162" i="144"/>
  <c r="Q161" i="144"/>
  <c r="M161" i="144"/>
  <c r="Q160" i="144"/>
  <c r="M160" i="144"/>
  <c r="P159" i="144"/>
  <c r="O159" i="144"/>
  <c r="N159" i="144"/>
  <c r="L159" i="144"/>
  <c r="K159" i="144"/>
  <c r="J159" i="144"/>
  <c r="Q158" i="144"/>
  <c r="M158" i="144"/>
  <c r="P157" i="144"/>
  <c r="O157" i="144"/>
  <c r="N157" i="144"/>
  <c r="L157" i="144"/>
  <c r="K157" i="144"/>
  <c r="J157" i="144"/>
  <c r="Q156" i="144"/>
  <c r="M156" i="144"/>
  <c r="O155" i="144"/>
  <c r="N155" i="144"/>
  <c r="K155" i="144"/>
  <c r="J155" i="144"/>
  <c r="Q154" i="144"/>
  <c r="M154" i="144"/>
  <c r="Q153" i="144"/>
  <c r="M153" i="144"/>
  <c r="Q152" i="144"/>
  <c r="M152" i="144"/>
  <c r="P151" i="144"/>
  <c r="O151" i="144"/>
  <c r="N151" i="144"/>
  <c r="L151" i="144"/>
  <c r="K151" i="144"/>
  <c r="J151" i="144"/>
  <c r="Q150" i="144"/>
  <c r="M150" i="144"/>
  <c r="Q149" i="144"/>
  <c r="M149" i="144"/>
  <c r="P148" i="144"/>
  <c r="O148" i="144"/>
  <c r="N148" i="144"/>
  <c r="L148" i="144"/>
  <c r="K148" i="144"/>
  <c r="J148" i="144"/>
  <c r="Q147" i="144"/>
  <c r="M147" i="144"/>
  <c r="Q146" i="144"/>
  <c r="K146" i="144"/>
  <c r="P145" i="144"/>
  <c r="O145" i="144"/>
  <c r="N145" i="144"/>
  <c r="L145" i="144"/>
  <c r="K145" i="144"/>
  <c r="Q144" i="144"/>
  <c r="M144" i="144"/>
  <c r="P143" i="144"/>
  <c r="O143" i="144"/>
  <c r="N143" i="144"/>
  <c r="L143" i="144"/>
  <c r="K143" i="144"/>
  <c r="J143" i="144"/>
  <c r="P142" i="144"/>
  <c r="O142" i="144"/>
  <c r="N142" i="144"/>
  <c r="L142" i="144"/>
  <c r="K142" i="144"/>
  <c r="J142" i="144"/>
  <c r="Q141" i="144"/>
  <c r="M141" i="144"/>
  <c r="P140" i="144"/>
  <c r="O140" i="144"/>
  <c r="N140" i="144"/>
  <c r="L140" i="144"/>
  <c r="K140" i="144"/>
  <c r="J140" i="144"/>
  <c r="P139" i="144"/>
  <c r="O139" i="144"/>
  <c r="N139" i="144"/>
  <c r="L139" i="144"/>
  <c r="K139" i="144"/>
  <c r="J139" i="144"/>
  <c r="P138" i="144"/>
  <c r="O138" i="144"/>
  <c r="N138" i="144"/>
  <c r="L138" i="144"/>
  <c r="K138" i="144"/>
  <c r="Q137" i="144"/>
  <c r="M137" i="144"/>
  <c r="P136" i="144"/>
  <c r="O136" i="144"/>
  <c r="N136" i="144"/>
  <c r="L136" i="144"/>
  <c r="K136" i="144"/>
  <c r="Q135" i="144"/>
  <c r="M135" i="144"/>
  <c r="P134" i="144"/>
  <c r="O134" i="144"/>
  <c r="N134" i="144"/>
  <c r="L134" i="144"/>
  <c r="K134" i="144"/>
  <c r="Q133" i="144"/>
  <c r="M133" i="144"/>
  <c r="P132" i="144"/>
  <c r="O132" i="144"/>
  <c r="N132" i="144"/>
  <c r="K132" i="144"/>
  <c r="M132" i="144" s="1"/>
  <c r="J132" i="144"/>
  <c r="Q131" i="144"/>
  <c r="M131" i="144"/>
  <c r="P130" i="144"/>
  <c r="O130" i="144"/>
  <c r="N130" i="144"/>
  <c r="L130" i="144"/>
  <c r="K130" i="144"/>
  <c r="J130" i="144"/>
  <c r="Q129" i="144"/>
  <c r="L129" i="144"/>
  <c r="K129" i="144"/>
  <c r="J129" i="144"/>
  <c r="Q128" i="144"/>
  <c r="M128" i="144"/>
  <c r="P127" i="144"/>
  <c r="O127" i="144"/>
  <c r="N127" i="144"/>
  <c r="K127" i="144"/>
  <c r="J127" i="144"/>
  <c r="Q126" i="144"/>
  <c r="M126" i="144"/>
  <c r="P125" i="144"/>
  <c r="O125" i="144"/>
  <c r="K125" i="144"/>
  <c r="Q124" i="144"/>
  <c r="M124" i="144"/>
  <c r="O123" i="144"/>
  <c r="Q123" i="144" s="1"/>
  <c r="N123" i="144"/>
  <c r="L123" i="144"/>
  <c r="K123" i="144"/>
  <c r="J123" i="144"/>
  <c r="Q122" i="144"/>
  <c r="M122" i="144"/>
  <c r="P121" i="144"/>
  <c r="O121" i="144"/>
  <c r="N121" i="144"/>
  <c r="L121" i="144"/>
  <c r="K121" i="144"/>
  <c r="J121" i="144"/>
  <c r="Q120" i="144"/>
  <c r="M120" i="144"/>
  <c r="P119" i="144"/>
  <c r="O119" i="144"/>
  <c r="N119" i="144"/>
  <c r="L119" i="144"/>
  <c r="K119" i="144"/>
  <c r="J119" i="144"/>
  <c r="Q118" i="144"/>
  <c r="M118" i="144"/>
  <c r="P117" i="144"/>
  <c r="O117" i="144"/>
  <c r="L117" i="144"/>
  <c r="K117" i="144"/>
  <c r="Q116" i="144"/>
  <c r="M116" i="144"/>
  <c r="P115" i="144"/>
  <c r="O115" i="144"/>
  <c r="N115" i="144"/>
  <c r="L115" i="144"/>
  <c r="K115" i="144"/>
  <c r="O114" i="144"/>
  <c r="N114" i="144"/>
  <c r="K114" i="144"/>
  <c r="Q113" i="144"/>
  <c r="N113" i="144"/>
  <c r="M113" i="144"/>
  <c r="P112" i="144"/>
  <c r="O112" i="144"/>
  <c r="N112" i="144"/>
  <c r="L112" i="144"/>
  <c r="K112" i="144"/>
  <c r="J112" i="144"/>
  <c r="Q111" i="144"/>
  <c r="M111" i="144"/>
  <c r="P110" i="144"/>
  <c r="O110" i="144"/>
  <c r="N110" i="144"/>
  <c r="L110" i="144"/>
  <c r="K110" i="144"/>
  <c r="J110" i="144"/>
  <c r="Q109" i="144"/>
  <c r="M109" i="144"/>
  <c r="Q108" i="144"/>
  <c r="K108" i="144"/>
  <c r="J108" i="144"/>
  <c r="P107" i="144"/>
  <c r="O107" i="144"/>
  <c r="L107" i="144"/>
  <c r="K107" i="144"/>
  <c r="J107" i="144"/>
  <c r="Q106" i="144"/>
  <c r="M106" i="144"/>
  <c r="P105" i="144"/>
  <c r="O105" i="144"/>
  <c r="N105" i="144"/>
  <c r="K105" i="144"/>
  <c r="M105" i="144" s="1"/>
  <c r="J105" i="144"/>
  <c r="Q104" i="144"/>
  <c r="M104" i="144"/>
  <c r="P103" i="144"/>
  <c r="O103" i="144"/>
  <c r="L103" i="144"/>
  <c r="K103" i="144"/>
  <c r="Q102" i="144"/>
  <c r="M102" i="144"/>
  <c r="P101" i="144"/>
  <c r="O101" i="144"/>
  <c r="N101" i="144"/>
  <c r="L101" i="144"/>
  <c r="K101" i="144"/>
  <c r="J101" i="144"/>
  <c r="Q100" i="144"/>
  <c r="M100" i="144"/>
  <c r="P99" i="144"/>
  <c r="O99" i="144"/>
  <c r="N99" i="144"/>
  <c r="L99" i="144"/>
  <c r="K99" i="144"/>
  <c r="J99" i="144"/>
  <c r="Q98" i="144"/>
  <c r="M98" i="144"/>
  <c r="P97" i="144"/>
  <c r="O97" i="144"/>
  <c r="N97" i="144"/>
  <c r="L97" i="144"/>
  <c r="K97" i="144"/>
  <c r="Q96" i="144"/>
  <c r="M96" i="144"/>
  <c r="P95" i="144"/>
  <c r="O95" i="144"/>
  <c r="N95" i="144"/>
  <c r="L95" i="144"/>
  <c r="K95" i="144"/>
  <c r="J95" i="144"/>
  <c r="Q94" i="144"/>
  <c r="M94" i="144"/>
  <c r="P93" i="144"/>
  <c r="O93" i="144"/>
  <c r="N93" i="144"/>
  <c r="K93" i="144"/>
  <c r="J93" i="144"/>
  <c r="Q92" i="144"/>
  <c r="M92" i="144"/>
  <c r="Q91" i="144"/>
  <c r="K91" i="144"/>
  <c r="Q90" i="144"/>
  <c r="M90" i="144"/>
  <c r="P89" i="144"/>
  <c r="O89" i="144"/>
  <c r="N89" i="144"/>
  <c r="K89" i="144"/>
  <c r="M89" i="144" s="1"/>
  <c r="J89" i="144"/>
  <c r="Q88" i="144"/>
  <c r="M88" i="144"/>
  <c r="P87" i="144"/>
  <c r="O87" i="144"/>
  <c r="N87" i="144"/>
  <c r="K87" i="144"/>
  <c r="M87" i="144" s="1"/>
  <c r="J87" i="144"/>
  <c r="Q86" i="144"/>
  <c r="M86" i="144"/>
  <c r="P85" i="144"/>
  <c r="O85" i="144"/>
  <c r="N85" i="144"/>
  <c r="L85" i="144"/>
  <c r="K85" i="144"/>
  <c r="Q84" i="144"/>
  <c r="M84" i="144"/>
  <c r="P83" i="144"/>
  <c r="O83" i="144"/>
  <c r="N83" i="144"/>
  <c r="L83" i="144"/>
  <c r="K83" i="144"/>
  <c r="J83" i="144"/>
  <c r="P82" i="144"/>
  <c r="O82" i="144"/>
  <c r="N82" i="144"/>
  <c r="L82" i="144"/>
  <c r="K82" i="144"/>
  <c r="J82" i="144"/>
  <c r="Q81" i="144"/>
  <c r="M81" i="144"/>
  <c r="P80" i="144"/>
  <c r="O80" i="144"/>
  <c r="N80" i="144"/>
  <c r="L80" i="144"/>
  <c r="K80" i="144"/>
  <c r="J80" i="144"/>
  <c r="P79" i="144"/>
  <c r="O79" i="144"/>
  <c r="N79" i="144"/>
  <c r="K79" i="144"/>
  <c r="P78" i="144"/>
  <c r="O78" i="144"/>
  <c r="L78" i="144"/>
  <c r="K78" i="144"/>
  <c r="P77" i="144"/>
  <c r="O77" i="144"/>
  <c r="N77" i="144"/>
  <c r="K77" i="144"/>
  <c r="Q76" i="144"/>
  <c r="M76" i="144"/>
  <c r="P75" i="144"/>
  <c r="O75" i="144"/>
  <c r="N75" i="144"/>
  <c r="L75" i="144"/>
  <c r="K75" i="144"/>
  <c r="P74" i="144"/>
  <c r="O74" i="144"/>
  <c r="L74" i="144"/>
  <c r="K74" i="144"/>
  <c r="Q73" i="144"/>
  <c r="M73" i="144"/>
  <c r="P72" i="144"/>
  <c r="O72" i="144"/>
  <c r="N72" i="144"/>
  <c r="K72" i="144"/>
  <c r="M72" i="144" s="1"/>
  <c r="Q71" i="144"/>
  <c r="M71" i="144"/>
  <c r="Q70" i="144"/>
  <c r="N70" i="144"/>
  <c r="M70" i="144"/>
  <c r="Q69" i="144"/>
  <c r="M69" i="144"/>
  <c r="P68" i="144"/>
  <c r="O68" i="144"/>
  <c r="N68" i="144"/>
  <c r="L68" i="144"/>
  <c r="K68" i="144"/>
  <c r="J68" i="144"/>
  <c r="P67" i="144"/>
  <c r="O67" i="144"/>
  <c r="N67" i="144"/>
  <c r="K67" i="144"/>
  <c r="M67" i="144" s="1"/>
  <c r="J67" i="144"/>
  <c r="Q66" i="144"/>
  <c r="M66" i="144"/>
  <c r="P65" i="144"/>
  <c r="O65" i="144"/>
  <c r="N65" i="144"/>
  <c r="K65" i="144"/>
  <c r="M65" i="144" s="1"/>
  <c r="J65" i="144"/>
  <c r="Q64" i="144"/>
  <c r="M64" i="144"/>
  <c r="P63" i="144"/>
  <c r="O63" i="144"/>
  <c r="N63" i="144"/>
  <c r="L63" i="144"/>
  <c r="K63" i="144"/>
  <c r="J63" i="144"/>
  <c r="Q62" i="144"/>
  <c r="M62" i="144"/>
  <c r="P61" i="144"/>
  <c r="O61" i="144"/>
  <c r="N61" i="144"/>
  <c r="K61" i="144"/>
  <c r="M61" i="144" s="1"/>
  <c r="J61" i="144"/>
  <c r="Q60" i="144"/>
  <c r="M60" i="144"/>
  <c r="P59" i="144"/>
  <c r="O59" i="144"/>
  <c r="N59" i="144"/>
  <c r="M59" i="144"/>
  <c r="Q58" i="144"/>
  <c r="L58" i="144"/>
  <c r="K58" i="144"/>
  <c r="J58" i="144"/>
  <c r="Q57" i="144"/>
  <c r="M57" i="144"/>
  <c r="P56" i="144"/>
  <c r="O56" i="144"/>
  <c r="N56" i="144"/>
  <c r="L56" i="144"/>
  <c r="K56" i="144"/>
  <c r="Q55" i="144"/>
  <c r="M55" i="144"/>
  <c r="P54" i="144"/>
  <c r="O54" i="144"/>
  <c r="N54" i="144"/>
  <c r="L54" i="144"/>
  <c r="K54" i="144"/>
  <c r="J54" i="144"/>
  <c r="Q53" i="144"/>
  <c r="M53" i="144"/>
  <c r="Q52" i="144"/>
  <c r="M52" i="144"/>
  <c r="P51" i="144"/>
  <c r="O51" i="144"/>
  <c r="N51" i="144"/>
  <c r="L51" i="144"/>
  <c r="K51" i="144"/>
  <c r="J51" i="144"/>
  <c r="Q50" i="144"/>
  <c r="M50" i="144"/>
  <c r="P49" i="144"/>
  <c r="O49" i="144"/>
  <c r="N49" i="144"/>
  <c r="L49" i="144"/>
  <c r="K49" i="144"/>
  <c r="J49" i="144"/>
  <c r="Q48" i="144"/>
  <c r="M48" i="144"/>
  <c r="P47" i="144"/>
  <c r="O47" i="144"/>
  <c r="N47" i="144"/>
  <c r="L47" i="144"/>
  <c r="K47" i="144"/>
  <c r="J47" i="144"/>
  <c r="P46" i="144"/>
  <c r="Q46" i="144" s="1"/>
  <c r="M46" i="144"/>
  <c r="P45" i="144"/>
  <c r="O45" i="144"/>
  <c r="K45" i="144"/>
  <c r="Q44" i="144"/>
  <c r="M44" i="144"/>
  <c r="Q43" i="144"/>
  <c r="M43" i="144"/>
  <c r="Q42" i="144"/>
  <c r="M42" i="144"/>
  <c r="P41" i="144"/>
  <c r="O41" i="144"/>
  <c r="N41" i="144"/>
  <c r="K41" i="144"/>
  <c r="J41" i="144"/>
  <c r="P40" i="144"/>
  <c r="O40" i="144"/>
  <c r="N40" i="144"/>
  <c r="L40" i="144"/>
  <c r="K40" i="144"/>
  <c r="J40" i="144"/>
  <c r="Q39" i="144"/>
  <c r="M39" i="144"/>
  <c r="P38" i="144"/>
  <c r="O38" i="144"/>
  <c r="N38" i="144"/>
  <c r="L38" i="144"/>
  <c r="K38" i="144"/>
  <c r="J38" i="144"/>
  <c r="Q37" i="144"/>
  <c r="M37" i="144"/>
  <c r="P36" i="144"/>
  <c r="O36" i="144"/>
  <c r="N36" i="144"/>
  <c r="K36" i="144"/>
  <c r="M36" i="144" s="1"/>
  <c r="J36" i="144"/>
  <c r="Q35" i="144"/>
  <c r="M35" i="144"/>
  <c r="P34" i="144"/>
  <c r="O34" i="144"/>
  <c r="N34" i="144"/>
  <c r="L34" i="144"/>
  <c r="K34" i="144"/>
  <c r="J34" i="144"/>
  <c r="Q33" i="144"/>
  <c r="M33" i="144"/>
  <c r="P32" i="144"/>
  <c r="O32" i="144"/>
  <c r="N32" i="144"/>
  <c r="L32" i="144"/>
  <c r="K32" i="144"/>
  <c r="J32" i="144"/>
  <c r="Q31" i="144"/>
  <c r="M31" i="144"/>
  <c r="Q30" i="144"/>
  <c r="M30" i="144"/>
  <c r="Q29" i="144"/>
  <c r="L29" i="144"/>
  <c r="K29" i="144"/>
  <c r="J29" i="144"/>
  <c r="P28" i="144"/>
  <c r="O28" i="144"/>
  <c r="N28" i="144"/>
  <c r="L28" i="144"/>
  <c r="K28" i="144"/>
  <c r="Q27" i="144"/>
  <c r="K27" i="144"/>
  <c r="J27" i="144"/>
  <c r="Q26" i="144"/>
  <c r="M26" i="144"/>
  <c r="P25" i="144"/>
  <c r="O25" i="144"/>
  <c r="K25" i="144"/>
  <c r="M25" i="144" s="1"/>
  <c r="J25" i="144"/>
  <c r="P24" i="144"/>
  <c r="O24" i="144"/>
  <c r="N24" i="144"/>
  <c r="K24" i="144"/>
  <c r="J24" i="144"/>
  <c r="Q23" i="144"/>
  <c r="M23" i="144"/>
  <c r="P22" i="144"/>
  <c r="O22" i="144"/>
  <c r="N22" i="144"/>
  <c r="L22" i="144"/>
  <c r="K22" i="144"/>
  <c r="J22" i="144"/>
  <c r="Q21" i="144"/>
  <c r="M21" i="144"/>
  <c r="P20" i="144"/>
  <c r="O20" i="144"/>
  <c r="N20" i="144"/>
  <c r="L20" i="144"/>
  <c r="K20" i="144"/>
  <c r="J20" i="144"/>
  <c r="P19" i="144"/>
  <c r="O19" i="144"/>
  <c r="N19" i="144"/>
  <c r="K19" i="144"/>
  <c r="M19" i="144" s="1"/>
  <c r="J19" i="144"/>
  <c r="Q18" i="144"/>
  <c r="M18" i="144"/>
  <c r="P17" i="144"/>
  <c r="O17" i="144"/>
  <c r="N17" i="144"/>
  <c r="L17" i="144"/>
  <c r="K17" i="144"/>
  <c r="J17" i="144"/>
  <c r="Q16" i="144"/>
  <c r="M16" i="144"/>
  <c r="P15" i="144"/>
  <c r="O15" i="144"/>
  <c r="N15" i="144"/>
  <c r="K15" i="144"/>
  <c r="J15" i="144"/>
  <c r="Q14" i="144"/>
  <c r="M14" i="144"/>
  <c r="P13" i="144"/>
  <c r="O13" i="144"/>
  <c r="L13" i="144"/>
  <c r="K13" i="144"/>
  <c r="Q12" i="144"/>
  <c r="K12" i="144"/>
  <c r="M12" i="144" s="1"/>
  <c r="Q11" i="144"/>
  <c r="M11" i="144"/>
  <c r="P10" i="144"/>
  <c r="O10" i="144"/>
  <c r="N10" i="144"/>
  <c r="L10" i="144"/>
  <c r="K10" i="144"/>
  <c r="J10" i="144"/>
  <c r="B9" i="144"/>
  <c r="C9" i="144" s="1"/>
  <c r="D9" i="144" s="1"/>
  <c r="E9" i="144" s="1"/>
  <c r="F9" i="144" s="1"/>
  <c r="G9" i="144" s="1"/>
  <c r="H9" i="144" s="1"/>
  <c r="I9" i="144" s="1"/>
  <c r="J9" i="144" s="1"/>
  <c r="K9" i="144" s="1"/>
  <c r="L9" i="144" s="1"/>
  <c r="M9" i="144" s="1"/>
  <c r="N9" i="144" s="1"/>
  <c r="O9" i="144" s="1"/>
  <c r="P9" i="144" s="1"/>
  <c r="Q9" i="144" s="1"/>
  <c r="Q13" i="144" l="1"/>
  <c r="M17" i="144"/>
  <c r="Q19" i="144"/>
  <c r="Q20" i="144"/>
  <c r="Q22" i="144"/>
  <c r="M28" i="144"/>
  <c r="M29" i="144"/>
  <c r="M32" i="144"/>
  <c r="M34" i="144"/>
  <c r="Q36" i="144"/>
  <c r="Q38" i="144"/>
  <c r="Q40" i="144"/>
  <c r="Q45" i="144"/>
  <c r="M47" i="144"/>
  <c r="M49" i="144"/>
  <c r="M51" i="144"/>
  <c r="M54" i="144"/>
  <c r="Q72" i="144"/>
  <c r="Q74" i="144"/>
  <c r="M80" i="144"/>
  <c r="M82" i="144"/>
  <c r="M83" i="144"/>
  <c r="M91" i="144"/>
  <c r="M95" i="144"/>
  <c r="M103" i="144"/>
  <c r="Q107" i="144"/>
  <c r="M110" i="144"/>
  <c r="M112" i="144"/>
  <c r="Q115" i="144"/>
  <c r="Q117" i="144"/>
  <c r="Q119" i="144"/>
  <c r="Q121" i="144"/>
  <c r="Q125" i="144"/>
  <c r="M129" i="144"/>
  <c r="M130" i="144"/>
  <c r="Q132" i="144"/>
  <c r="M134" i="144"/>
  <c r="M138" i="144"/>
  <c r="M139" i="144"/>
  <c r="M140" i="144"/>
  <c r="M142" i="144"/>
  <c r="M143" i="144"/>
  <c r="M146" i="144"/>
  <c r="Q148" i="144"/>
  <c r="Q151" i="144"/>
  <c r="Q157" i="144"/>
  <c r="Q159" i="144"/>
  <c r="Q177" i="144"/>
  <c r="Q178" i="144"/>
  <c r="M45" i="144"/>
  <c r="M79" i="144"/>
  <c r="M93" i="144"/>
  <c r="M108" i="144"/>
  <c r="M125" i="144"/>
  <c r="M155" i="144"/>
  <c r="Q164" i="144"/>
  <c r="Q175" i="144"/>
  <c r="M187" i="144"/>
  <c r="M56" i="144"/>
  <c r="Q180" i="144"/>
  <c r="Q182" i="144"/>
  <c r="K188" i="144"/>
  <c r="N188" i="144"/>
  <c r="P188" i="144"/>
  <c r="Q25" i="144"/>
  <c r="M58" i="144"/>
  <c r="Q61" i="144"/>
  <c r="Q63" i="144"/>
  <c r="Q67" i="144"/>
  <c r="Q68" i="144"/>
  <c r="Q75" i="144"/>
  <c r="Q78" i="144"/>
  <c r="M85" i="144"/>
  <c r="Q87" i="144"/>
  <c r="M97" i="144"/>
  <c r="M99" i="144"/>
  <c r="M101" i="144"/>
  <c r="Q105" i="144"/>
  <c r="M136" i="144"/>
  <c r="M145" i="144"/>
  <c r="M171" i="144"/>
  <c r="Q162" i="144"/>
  <c r="J188" i="144"/>
  <c r="L188" i="144"/>
  <c r="O188" i="144"/>
  <c r="M13" i="144"/>
  <c r="M15" i="144"/>
  <c r="Q15" i="144"/>
  <c r="Q17" i="144"/>
  <c r="M20" i="144"/>
  <c r="M22" i="144"/>
  <c r="M24" i="144"/>
  <c r="Q24" i="144"/>
  <c r="M27" i="144"/>
  <c r="Q28" i="144"/>
  <c r="Q32" i="144"/>
  <c r="Q34" i="144"/>
  <c r="M38" i="144"/>
  <c r="M40" i="144"/>
  <c r="M41" i="144"/>
  <c r="Q41" i="144"/>
  <c r="Q47" i="144"/>
  <c r="Q49" i="144"/>
  <c r="Q51" i="144"/>
  <c r="Q54" i="144"/>
  <c r="Q56" i="144"/>
  <c r="Q59" i="144"/>
  <c r="M63" i="144"/>
  <c r="Q65" i="144"/>
  <c r="M68" i="144"/>
  <c r="M74" i="144"/>
  <c r="M75" i="144"/>
  <c r="M77" i="144"/>
  <c r="Q77" i="144"/>
  <c r="M78" i="144"/>
  <c r="Q79" i="144"/>
  <c r="Q80" i="144"/>
  <c r="Q82" i="144"/>
  <c r="Q83" i="144"/>
  <c r="Q85" i="144"/>
  <c r="Q89" i="144"/>
  <c r="Q93" i="144"/>
  <c r="Q95" i="144"/>
  <c r="Q97" i="144"/>
  <c r="Q99" i="144"/>
  <c r="Q101" i="144"/>
  <c r="Q103" i="144"/>
  <c r="M107" i="144"/>
  <c r="Q110" i="144"/>
  <c r="Q112" i="144"/>
  <c r="M114" i="144"/>
  <c r="Q114" i="144"/>
  <c r="M115" i="144"/>
  <c r="M117" i="144"/>
  <c r="M119" i="144"/>
  <c r="M121" i="144"/>
  <c r="M123" i="144"/>
  <c r="M127" i="144"/>
  <c r="Q127" i="144"/>
  <c r="Q130" i="144"/>
  <c r="Q134" i="144"/>
  <c r="Q136" i="144"/>
  <c r="Q138" i="144"/>
  <c r="Q139" i="144"/>
  <c r="Q140" i="144"/>
  <c r="Q142" i="144"/>
  <c r="Q143" i="144"/>
  <c r="Q145" i="144"/>
  <c r="M148" i="144"/>
  <c r="M151" i="144"/>
  <c r="Q155" i="144"/>
  <c r="M157" i="144"/>
  <c r="M159" i="144"/>
  <c r="M162" i="144"/>
  <c r="Q166" i="144"/>
  <c r="Q171" i="144"/>
  <c r="M175" i="144"/>
  <c r="M177" i="144"/>
  <c r="M178" i="144"/>
  <c r="M180" i="144"/>
  <c r="M182" i="144"/>
  <c r="Q184" i="144"/>
  <c r="Q187" i="144"/>
  <c r="M10" i="144"/>
  <c r="Q10" i="144"/>
  <c r="K166" i="143"/>
  <c r="K93" i="143"/>
  <c r="K77" i="143"/>
  <c r="K184" i="143"/>
  <c r="O175" i="143"/>
  <c r="K175" i="143"/>
  <c r="K108" i="143"/>
  <c r="K91" i="143"/>
  <c r="K65" i="143"/>
  <c r="K146" i="143"/>
  <c r="K132" i="143"/>
  <c r="K127" i="143"/>
  <c r="O123" i="143"/>
  <c r="K123" i="143"/>
  <c r="O155" i="143"/>
  <c r="K155" i="143"/>
  <c r="L155" i="143"/>
  <c r="K105" i="143"/>
  <c r="K89" i="143"/>
  <c r="K87" i="143"/>
  <c r="K79" i="143"/>
  <c r="K72" i="143"/>
  <c r="L67" i="143"/>
  <c r="K67" i="143"/>
  <c r="K61" i="143"/>
  <c r="K45" i="143"/>
  <c r="K12" i="143"/>
  <c r="K41" i="143"/>
  <c r="K27" i="143"/>
  <c r="K25" i="143"/>
  <c r="K15" i="143"/>
  <c r="K24" i="143"/>
  <c r="K36" i="143"/>
  <c r="K19" i="143"/>
  <c r="P187" i="143"/>
  <c r="P182" i="143"/>
  <c r="P166" i="143"/>
  <c r="P151" i="143"/>
  <c r="P145" i="143"/>
  <c r="P142" i="143"/>
  <c r="P112" i="143"/>
  <c r="P105" i="143"/>
  <c r="P103" i="143"/>
  <c r="P99" i="143"/>
  <c r="P82" i="143"/>
  <c r="P79" i="143"/>
  <c r="P75" i="143"/>
  <c r="P72" i="143"/>
  <c r="P68" i="143"/>
  <c r="P49" i="143"/>
  <c r="P40" i="143"/>
  <c r="P38" i="143"/>
  <c r="P28" i="143"/>
  <c r="P25" i="143"/>
  <c r="P19" i="143"/>
  <c r="P15" i="143"/>
  <c r="P10" i="143"/>
  <c r="L187" i="143"/>
  <c r="L182" i="143"/>
  <c r="L180" i="143"/>
  <c r="L178" i="143"/>
  <c r="L177" i="143"/>
  <c r="L171" i="143"/>
  <c r="L168" i="143"/>
  <c r="L166" i="143"/>
  <c r="L157" i="143"/>
  <c r="L151" i="143"/>
  <c r="L148" i="143"/>
  <c r="L146" i="143"/>
  <c r="L142" i="143"/>
  <c r="L140" i="143"/>
  <c r="L136" i="143"/>
  <c r="L132" i="143"/>
  <c r="L129" i="143"/>
  <c r="L121" i="143"/>
  <c r="L119" i="143"/>
  <c r="L117" i="143"/>
  <c r="L112" i="143"/>
  <c r="L114" i="143"/>
  <c r="L110" i="143"/>
  <c r="L108" i="143"/>
  <c r="L105" i="143"/>
  <c r="L103" i="143"/>
  <c r="L101" i="143"/>
  <c r="L99" i="143"/>
  <c r="L95" i="143"/>
  <c r="L93" i="143"/>
  <c r="L89" i="143"/>
  <c r="L79" i="143"/>
  <c r="L78" i="143"/>
  <c r="L77" i="143"/>
  <c r="L75" i="143"/>
  <c r="L72" i="143"/>
  <c r="L68" i="143"/>
  <c r="L65" i="143"/>
  <c r="L63" i="143"/>
  <c r="L61" i="143"/>
  <c r="L49" i="143"/>
  <c r="L47" i="143"/>
  <c r="L45" i="143"/>
  <c r="L34" i="143"/>
  <c r="L32" i="143"/>
  <c r="L29" i="143"/>
  <c r="L28" i="143"/>
  <c r="L27" i="143"/>
  <c r="L15" i="143"/>
  <c r="L24" i="143"/>
  <c r="L22" i="143"/>
  <c r="L19" i="143"/>
  <c r="M188" i="144" l="1"/>
  <c r="Q188" i="144"/>
  <c r="I188" i="143"/>
  <c r="H188" i="143"/>
  <c r="O187" i="143"/>
  <c r="Q187" i="143" s="1"/>
  <c r="N187" i="143"/>
  <c r="K187" i="143"/>
  <c r="M187" i="143" s="1"/>
  <c r="J187" i="143"/>
  <c r="Q186" i="143"/>
  <c r="M186" i="143"/>
  <c r="Q185" i="143"/>
  <c r="M185" i="143"/>
  <c r="P184" i="143"/>
  <c r="O184" i="143"/>
  <c r="N184" i="143"/>
  <c r="L184" i="143"/>
  <c r="M184" i="143" s="1"/>
  <c r="J184" i="143"/>
  <c r="Q183" i="143"/>
  <c r="M183" i="143"/>
  <c r="O182" i="143"/>
  <c r="N182" i="143"/>
  <c r="K182" i="143"/>
  <c r="M182" i="143" s="1"/>
  <c r="J182" i="143"/>
  <c r="Q181" i="143"/>
  <c r="M181" i="143"/>
  <c r="P180" i="143"/>
  <c r="O180" i="143"/>
  <c r="N180" i="143"/>
  <c r="K180" i="143"/>
  <c r="M180" i="143" s="1"/>
  <c r="J180" i="143"/>
  <c r="Q179" i="143"/>
  <c r="M179" i="143"/>
  <c r="P178" i="143"/>
  <c r="O178" i="143"/>
  <c r="N178" i="143"/>
  <c r="K178" i="143"/>
  <c r="M178" i="143" s="1"/>
  <c r="J178" i="143"/>
  <c r="P177" i="143"/>
  <c r="O177" i="143"/>
  <c r="N177" i="143"/>
  <c r="K177" i="143"/>
  <c r="M177" i="143" s="1"/>
  <c r="J177" i="143"/>
  <c r="Q176" i="143"/>
  <c r="M176" i="143"/>
  <c r="P175" i="143"/>
  <c r="N175" i="143"/>
  <c r="L175" i="143"/>
  <c r="M175" i="143" s="1"/>
  <c r="J175" i="143"/>
  <c r="Q174" i="143"/>
  <c r="M174" i="143"/>
  <c r="M173" i="143"/>
  <c r="Q172" i="143"/>
  <c r="M172" i="143"/>
  <c r="P171" i="143"/>
  <c r="O171" i="143"/>
  <c r="N171" i="143"/>
  <c r="K171" i="143"/>
  <c r="J171" i="143"/>
  <c r="Q170" i="143"/>
  <c r="M170" i="143"/>
  <c r="Q169" i="143"/>
  <c r="M169" i="143"/>
  <c r="K168" i="143"/>
  <c r="M168" i="143" s="1"/>
  <c r="J168" i="143"/>
  <c r="Q167" i="143"/>
  <c r="M167" i="143"/>
  <c r="O166" i="143"/>
  <c r="N166" i="143"/>
  <c r="J166" i="143"/>
  <c r="Q165" i="143"/>
  <c r="M165" i="143"/>
  <c r="P164" i="143"/>
  <c r="O164" i="143"/>
  <c r="N164" i="143"/>
  <c r="M164" i="143"/>
  <c r="J164" i="143"/>
  <c r="M163" i="143"/>
  <c r="P162" i="143"/>
  <c r="O162" i="143"/>
  <c r="N162" i="143"/>
  <c r="L162" i="143"/>
  <c r="K162" i="143"/>
  <c r="J162" i="143"/>
  <c r="Q161" i="143"/>
  <c r="M161" i="143"/>
  <c r="Q160" i="143"/>
  <c r="M160" i="143"/>
  <c r="P159" i="143"/>
  <c r="O159" i="143"/>
  <c r="N159" i="143"/>
  <c r="L159" i="143"/>
  <c r="K159" i="143"/>
  <c r="J159" i="143"/>
  <c r="Q158" i="143"/>
  <c r="M158" i="143"/>
  <c r="P157" i="143"/>
  <c r="O157" i="143"/>
  <c r="N157" i="143"/>
  <c r="K157" i="143"/>
  <c r="J157" i="143"/>
  <c r="Q156" i="143"/>
  <c r="M156" i="143"/>
  <c r="P155" i="143"/>
  <c r="N155" i="143"/>
  <c r="J155" i="143"/>
  <c r="Q154" i="143"/>
  <c r="M154" i="143"/>
  <c r="Q153" i="143"/>
  <c r="M153" i="143"/>
  <c r="Q152" i="143"/>
  <c r="M152" i="143"/>
  <c r="O151" i="143"/>
  <c r="Q151" i="143" s="1"/>
  <c r="N151" i="143"/>
  <c r="K151" i="143"/>
  <c r="J151" i="143"/>
  <c r="Q150" i="143"/>
  <c r="M150" i="143"/>
  <c r="Q149" i="143"/>
  <c r="M149" i="143"/>
  <c r="P148" i="143"/>
  <c r="O148" i="143"/>
  <c r="N148" i="143"/>
  <c r="K148" i="143"/>
  <c r="J148" i="143"/>
  <c r="Q147" i="143"/>
  <c r="M147" i="143"/>
  <c r="Q146" i="143"/>
  <c r="J146" i="143"/>
  <c r="O145" i="143"/>
  <c r="N145" i="143"/>
  <c r="L145" i="143"/>
  <c r="K145" i="143"/>
  <c r="J145" i="143"/>
  <c r="Q144" i="143"/>
  <c r="M144" i="143"/>
  <c r="P143" i="143"/>
  <c r="O143" i="143"/>
  <c r="N143" i="143"/>
  <c r="L143" i="143"/>
  <c r="K143" i="143"/>
  <c r="J143" i="143"/>
  <c r="O142" i="143"/>
  <c r="N142" i="143"/>
  <c r="K142" i="143"/>
  <c r="J142" i="143"/>
  <c r="Q141" i="143"/>
  <c r="M141" i="143"/>
  <c r="P140" i="143"/>
  <c r="O140" i="143"/>
  <c r="N140" i="143"/>
  <c r="K140" i="143"/>
  <c r="J140" i="143"/>
  <c r="P139" i="143"/>
  <c r="O139" i="143"/>
  <c r="N139" i="143"/>
  <c r="L139" i="143"/>
  <c r="K139" i="143"/>
  <c r="J139" i="143"/>
  <c r="P138" i="143"/>
  <c r="O138" i="143"/>
  <c r="N138" i="143"/>
  <c r="L138" i="143"/>
  <c r="K138" i="143"/>
  <c r="J138" i="143"/>
  <c r="Q137" i="143"/>
  <c r="M137" i="143"/>
  <c r="P136" i="143"/>
  <c r="O136" i="143"/>
  <c r="N136" i="143"/>
  <c r="K136" i="143"/>
  <c r="J136" i="143"/>
  <c r="Q135" i="143"/>
  <c r="M135" i="143"/>
  <c r="P134" i="143"/>
  <c r="O134" i="143"/>
  <c r="N134" i="143"/>
  <c r="L134" i="143"/>
  <c r="K134" i="143"/>
  <c r="Q133" i="143"/>
  <c r="M133" i="143"/>
  <c r="P132" i="143"/>
  <c r="O132" i="143"/>
  <c r="N132" i="143"/>
  <c r="M132" i="143"/>
  <c r="J132" i="143"/>
  <c r="Q131" i="143"/>
  <c r="M131" i="143"/>
  <c r="P130" i="143"/>
  <c r="O130" i="143"/>
  <c r="N130" i="143"/>
  <c r="L130" i="143"/>
  <c r="K130" i="143"/>
  <c r="J130" i="143"/>
  <c r="Q129" i="143"/>
  <c r="K129" i="143"/>
  <c r="M129" i="143" s="1"/>
  <c r="J129" i="143"/>
  <c r="Q128" i="143"/>
  <c r="M128" i="143"/>
  <c r="P127" i="143"/>
  <c r="O127" i="143"/>
  <c r="N127" i="143"/>
  <c r="L127" i="143"/>
  <c r="J127" i="143"/>
  <c r="Q126" i="143"/>
  <c r="M126" i="143"/>
  <c r="P125" i="143"/>
  <c r="O125" i="143"/>
  <c r="N125" i="143"/>
  <c r="L125" i="143"/>
  <c r="K125" i="143"/>
  <c r="J125" i="143"/>
  <c r="Q124" i="143"/>
  <c r="M124" i="143"/>
  <c r="P123" i="143"/>
  <c r="N123" i="143"/>
  <c r="L123" i="143"/>
  <c r="J123" i="143"/>
  <c r="Q122" i="143"/>
  <c r="M122" i="143"/>
  <c r="P121" i="143"/>
  <c r="O121" i="143"/>
  <c r="N121" i="143"/>
  <c r="K121" i="143"/>
  <c r="J121" i="143"/>
  <c r="Q120" i="143"/>
  <c r="M120" i="143"/>
  <c r="P119" i="143"/>
  <c r="O119" i="143"/>
  <c r="N119" i="143"/>
  <c r="K119" i="143"/>
  <c r="J119" i="143"/>
  <c r="Q118" i="143"/>
  <c r="M118" i="143"/>
  <c r="P117" i="143"/>
  <c r="O117" i="143"/>
  <c r="N117" i="143"/>
  <c r="K117" i="143"/>
  <c r="J117" i="143"/>
  <c r="Q116" i="143"/>
  <c r="M116" i="143"/>
  <c r="P115" i="143"/>
  <c r="O115" i="143"/>
  <c r="N115" i="143"/>
  <c r="L115" i="143"/>
  <c r="K115" i="143"/>
  <c r="J115" i="143"/>
  <c r="P114" i="143"/>
  <c r="O114" i="143"/>
  <c r="N114" i="143"/>
  <c r="K114" i="143"/>
  <c r="J114" i="143"/>
  <c r="Q113" i="143"/>
  <c r="N113" i="143"/>
  <c r="M113" i="143"/>
  <c r="O112" i="143"/>
  <c r="N112" i="143"/>
  <c r="K112" i="143"/>
  <c r="M112" i="143" s="1"/>
  <c r="J112" i="143"/>
  <c r="Q111" i="143"/>
  <c r="M111" i="143"/>
  <c r="P110" i="143"/>
  <c r="O110" i="143"/>
  <c r="N110" i="143"/>
  <c r="K110" i="143"/>
  <c r="M110" i="143" s="1"/>
  <c r="J110" i="143"/>
  <c r="Q109" i="143"/>
  <c r="M109" i="143"/>
  <c r="Q108" i="143"/>
  <c r="M108" i="143"/>
  <c r="J108" i="143"/>
  <c r="P107" i="143"/>
  <c r="O107" i="143"/>
  <c r="N107" i="143"/>
  <c r="L107" i="143"/>
  <c r="K107" i="143"/>
  <c r="J107" i="143"/>
  <c r="Q106" i="143"/>
  <c r="M106" i="143"/>
  <c r="O105" i="143"/>
  <c r="N105" i="143"/>
  <c r="M105" i="143"/>
  <c r="J105" i="143"/>
  <c r="Q104" i="143"/>
  <c r="M104" i="143"/>
  <c r="O103" i="143"/>
  <c r="N103" i="143"/>
  <c r="K103" i="143"/>
  <c r="M103" i="143" s="1"/>
  <c r="J103" i="143"/>
  <c r="Q102" i="143"/>
  <c r="M102" i="143"/>
  <c r="P101" i="143"/>
  <c r="O101" i="143"/>
  <c r="N101" i="143"/>
  <c r="K101" i="143"/>
  <c r="M101" i="143" s="1"/>
  <c r="J101" i="143"/>
  <c r="Q100" i="143"/>
  <c r="M100" i="143"/>
  <c r="O99" i="143"/>
  <c r="N99" i="143"/>
  <c r="K99" i="143"/>
  <c r="M99" i="143" s="1"/>
  <c r="J99" i="143"/>
  <c r="Q98" i="143"/>
  <c r="M98" i="143"/>
  <c r="P97" i="143"/>
  <c r="O97" i="143"/>
  <c r="N97" i="143"/>
  <c r="L97" i="143"/>
  <c r="K97" i="143"/>
  <c r="J97" i="143"/>
  <c r="Q96" i="143"/>
  <c r="M96" i="143"/>
  <c r="P95" i="143"/>
  <c r="O95" i="143"/>
  <c r="N95" i="143"/>
  <c r="K95" i="143"/>
  <c r="M95" i="143" s="1"/>
  <c r="J95" i="143"/>
  <c r="Q94" i="143"/>
  <c r="M94" i="143"/>
  <c r="P93" i="143"/>
  <c r="O93" i="143"/>
  <c r="N93" i="143"/>
  <c r="M93" i="143"/>
  <c r="J93" i="143"/>
  <c r="Q92" i="143"/>
  <c r="M92" i="143"/>
  <c r="Q91" i="143"/>
  <c r="L91" i="143"/>
  <c r="M91" i="143" s="1"/>
  <c r="J91" i="143"/>
  <c r="Q90" i="143"/>
  <c r="M90" i="143"/>
  <c r="P89" i="143"/>
  <c r="O89" i="143"/>
  <c r="N89" i="143"/>
  <c r="M89" i="143"/>
  <c r="J89" i="143"/>
  <c r="Q88" i="143"/>
  <c r="M88" i="143"/>
  <c r="P87" i="143"/>
  <c r="O87" i="143"/>
  <c r="N87" i="143"/>
  <c r="L87" i="143"/>
  <c r="J87" i="143"/>
  <c r="Q86" i="143"/>
  <c r="M86" i="143"/>
  <c r="P85" i="143"/>
  <c r="O85" i="143"/>
  <c r="N85" i="143"/>
  <c r="L85" i="143"/>
  <c r="K85" i="143"/>
  <c r="J85" i="143"/>
  <c r="Q84" i="143"/>
  <c r="M84" i="143"/>
  <c r="P83" i="143"/>
  <c r="O83" i="143"/>
  <c r="N83" i="143"/>
  <c r="L83" i="143"/>
  <c r="K83" i="143"/>
  <c r="J83" i="143"/>
  <c r="O82" i="143"/>
  <c r="N82" i="143"/>
  <c r="L82" i="143"/>
  <c r="K82" i="143"/>
  <c r="J82" i="143"/>
  <c r="Q81" i="143"/>
  <c r="M81" i="143"/>
  <c r="P80" i="143"/>
  <c r="O80" i="143"/>
  <c r="N80" i="143"/>
  <c r="L80" i="143"/>
  <c r="K80" i="143"/>
  <c r="J80" i="143"/>
  <c r="O79" i="143"/>
  <c r="N79" i="143"/>
  <c r="M79" i="143"/>
  <c r="J79" i="143"/>
  <c r="P78" i="143"/>
  <c r="O78" i="143"/>
  <c r="N78" i="143"/>
  <c r="K78" i="143"/>
  <c r="M78" i="143" s="1"/>
  <c r="P77" i="143"/>
  <c r="O77" i="143"/>
  <c r="N77" i="143"/>
  <c r="J77" i="143"/>
  <c r="Q76" i="143"/>
  <c r="M76" i="143"/>
  <c r="O75" i="143"/>
  <c r="Q75" i="143" s="1"/>
  <c r="N75" i="143"/>
  <c r="K75" i="143"/>
  <c r="M75" i="143" s="1"/>
  <c r="J75" i="143"/>
  <c r="P74" i="143"/>
  <c r="O74" i="143"/>
  <c r="N74" i="143"/>
  <c r="L74" i="143"/>
  <c r="K74" i="143"/>
  <c r="J74" i="143"/>
  <c r="Q73" i="143"/>
  <c r="M73" i="143"/>
  <c r="O72" i="143"/>
  <c r="Q72" i="143" s="1"/>
  <c r="N72" i="143"/>
  <c r="J72" i="143"/>
  <c r="Q71" i="143"/>
  <c r="M71" i="143"/>
  <c r="Q70" i="143"/>
  <c r="N70" i="143"/>
  <c r="M70" i="143"/>
  <c r="Q69" i="143"/>
  <c r="M69" i="143"/>
  <c r="O68" i="143"/>
  <c r="N68" i="143"/>
  <c r="K68" i="143"/>
  <c r="M68" i="143" s="1"/>
  <c r="J68" i="143"/>
  <c r="P67" i="143"/>
  <c r="O67" i="143"/>
  <c r="N67" i="143"/>
  <c r="M67" i="143"/>
  <c r="J67" i="143"/>
  <c r="Q66" i="143"/>
  <c r="M66" i="143"/>
  <c r="P65" i="143"/>
  <c r="O65" i="143"/>
  <c r="N65" i="143"/>
  <c r="M65" i="143"/>
  <c r="J65" i="143"/>
  <c r="Q64" i="143"/>
  <c r="M64" i="143"/>
  <c r="P63" i="143"/>
  <c r="O63" i="143"/>
  <c r="N63" i="143"/>
  <c r="K63" i="143"/>
  <c r="J63" i="143"/>
  <c r="Q62" i="143"/>
  <c r="M62" i="143"/>
  <c r="P61" i="143"/>
  <c r="O61" i="143"/>
  <c r="N61" i="143"/>
  <c r="J61" i="143"/>
  <c r="Q60" i="143"/>
  <c r="M60" i="143"/>
  <c r="P59" i="143"/>
  <c r="O59" i="143"/>
  <c r="N59" i="143"/>
  <c r="M59" i="143"/>
  <c r="Q58" i="143"/>
  <c r="L58" i="143"/>
  <c r="K58" i="143"/>
  <c r="J58" i="143"/>
  <c r="Q57" i="143"/>
  <c r="M57" i="143"/>
  <c r="P56" i="143"/>
  <c r="O56" i="143"/>
  <c r="N56" i="143"/>
  <c r="L56" i="143"/>
  <c r="K56" i="143"/>
  <c r="J56" i="143"/>
  <c r="Q55" i="143"/>
  <c r="M55" i="143"/>
  <c r="P54" i="143"/>
  <c r="O54" i="143"/>
  <c r="N54" i="143"/>
  <c r="L54" i="143"/>
  <c r="K54" i="143"/>
  <c r="J54" i="143"/>
  <c r="Q53" i="143"/>
  <c r="M53" i="143"/>
  <c r="Q52" i="143"/>
  <c r="M52" i="143"/>
  <c r="P51" i="143"/>
  <c r="O51" i="143"/>
  <c r="N51" i="143"/>
  <c r="L51" i="143"/>
  <c r="K51" i="143"/>
  <c r="J51" i="143"/>
  <c r="Q50" i="143"/>
  <c r="M50" i="143"/>
  <c r="O49" i="143"/>
  <c r="N49" i="143"/>
  <c r="K49" i="143"/>
  <c r="J49" i="143"/>
  <c r="Q48" i="143"/>
  <c r="M48" i="143"/>
  <c r="P47" i="143"/>
  <c r="O47" i="143"/>
  <c r="N47" i="143"/>
  <c r="K47" i="143"/>
  <c r="J47" i="143"/>
  <c r="P46" i="143"/>
  <c r="Q46" i="143" s="1"/>
  <c r="M46" i="143"/>
  <c r="P45" i="143"/>
  <c r="O45" i="143"/>
  <c r="N45" i="143"/>
  <c r="J45" i="143"/>
  <c r="Q44" i="143"/>
  <c r="M44" i="143"/>
  <c r="Q43" i="143"/>
  <c r="M43" i="143"/>
  <c r="Q42" i="143"/>
  <c r="M42" i="143"/>
  <c r="P41" i="143"/>
  <c r="O41" i="143"/>
  <c r="N41" i="143"/>
  <c r="L41" i="143"/>
  <c r="J41" i="143"/>
  <c r="O40" i="143"/>
  <c r="N40" i="143"/>
  <c r="L40" i="143"/>
  <c r="K40" i="143"/>
  <c r="J40" i="143"/>
  <c r="Q39" i="143"/>
  <c r="M39" i="143"/>
  <c r="O38" i="143"/>
  <c r="N38" i="143"/>
  <c r="L38" i="143"/>
  <c r="K38" i="143"/>
  <c r="J38" i="143"/>
  <c r="Q37" i="143"/>
  <c r="M37" i="143"/>
  <c r="P36" i="143"/>
  <c r="O36" i="143"/>
  <c r="N36" i="143"/>
  <c r="L36" i="143"/>
  <c r="J36" i="143"/>
  <c r="Q35" i="143"/>
  <c r="M35" i="143"/>
  <c r="P34" i="143"/>
  <c r="O34" i="143"/>
  <c r="N34" i="143"/>
  <c r="K34" i="143"/>
  <c r="J34" i="143"/>
  <c r="Q33" i="143"/>
  <c r="M33" i="143"/>
  <c r="P32" i="143"/>
  <c r="O32" i="143"/>
  <c r="N32" i="143"/>
  <c r="K32" i="143"/>
  <c r="J32" i="143"/>
  <c r="Q31" i="143"/>
  <c r="M31" i="143"/>
  <c r="Q30" i="143"/>
  <c r="M30" i="143"/>
  <c r="Q29" i="143"/>
  <c r="K29" i="143"/>
  <c r="M29" i="143" s="1"/>
  <c r="J29" i="143"/>
  <c r="O28" i="143"/>
  <c r="N28" i="143"/>
  <c r="K28" i="143"/>
  <c r="M28" i="143" s="1"/>
  <c r="J28" i="143"/>
  <c r="Q27" i="143"/>
  <c r="M27" i="143"/>
  <c r="J27" i="143"/>
  <c r="Q26" i="143"/>
  <c r="M26" i="143"/>
  <c r="O25" i="143"/>
  <c r="Q25" i="143" s="1"/>
  <c r="N25" i="143"/>
  <c r="L25" i="143"/>
  <c r="J25" i="143"/>
  <c r="P24" i="143"/>
  <c r="O24" i="143"/>
  <c r="N24" i="143"/>
  <c r="J24" i="143"/>
  <c r="Q23" i="143"/>
  <c r="M23" i="143"/>
  <c r="P22" i="143"/>
  <c r="O22" i="143"/>
  <c r="N22" i="143"/>
  <c r="K22" i="143"/>
  <c r="M22" i="143" s="1"/>
  <c r="J22" i="143"/>
  <c r="Q21" i="143"/>
  <c r="M21" i="143"/>
  <c r="P20" i="143"/>
  <c r="O20" i="143"/>
  <c r="N20" i="143"/>
  <c r="L20" i="143"/>
  <c r="K20" i="143"/>
  <c r="J20" i="143"/>
  <c r="O19" i="143"/>
  <c r="Q19" i="143" s="1"/>
  <c r="N19" i="143"/>
  <c r="J19" i="143"/>
  <c r="Q18" i="143"/>
  <c r="M18" i="143"/>
  <c r="P17" i="143"/>
  <c r="O17" i="143"/>
  <c r="N17" i="143"/>
  <c r="L17" i="143"/>
  <c r="K17" i="143"/>
  <c r="J17" i="143"/>
  <c r="Q16" i="143"/>
  <c r="M16" i="143"/>
  <c r="O15" i="143"/>
  <c r="Q15" i="143" s="1"/>
  <c r="N15" i="143"/>
  <c r="J15" i="143"/>
  <c r="Q14" i="143"/>
  <c r="M14" i="143"/>
  <c r="P13" i="143"/>
  <c r="O13" i="143"/>
  <c r="N13" i="143"/>
  <c r="L13" i="143"/>
  <c r="K13" i="143"/>
  <c r="J13" i="143"/>
  <c r="Q12" i="143"/>
  <c r="L12" i="143"/>
  <c r="J12" i="143"/>
  <c r="Q11" i="143"/>
  <c r="M11" i="143"/>
  <c r="O10" i="143"/>
  <c r="N10" i="143"/>
  <c r="L10" i="143"/>
  <c r="K10" i="143"/>
  <c r="J10" i="143"/>
  <c r="B9" i="143"/>
  <c r="C9" i="143" s="1"/>
  <c r="D9" i="143" s="1"/>
  <c r="E9" i="143" s="1"/>
  <c r="F9" i="143" s="1"/>
  <c r="G9" i="143" s="1"/>
  <c r="H9" i="143" s="1"/>
  <c r="I9" i="143" s="1"/>
  <c r="J9" i="143" s="1"/>
  <c r="K9" i="143" s="1"/>
  <c r="L9" i="143" s="1"/>
  <c r="M9" i="143" s="1"/>
  <c r="N9" i="143" s="1"/>
  <c r="O9" i="143" s="1"/>
  <c r="P9" i="143" s="1"/>
  <c r="Q9" i="143" s="1"/>
  <c r="P188" i="143" l="1"/>
  <c r="M97" i="143"/>
  <c r="Q114" i="143"/>
  <c r="Q115" i="143"/>
  <c r="Q119" i="143"/>
  <c r="K188" i="143"/>
  <c r="N188" i="143"/>
  <c r="Q47" i="143"/>
  <c r="Q61" i="143"/>
  <c r="Q180" i="143"/>
  <c r="J188" i="143"/>
  <c r="L188" i="143"/>
  <c r="M188" i="143" s="1"/>
  <c r="Q74" i="143"/>
  <c r="M107" i="143"/>
  <c r="Q134" i="143"/>
  <c r="Q140" i="143"/>
  <c r="Q157" i="143"/>
  <c r="Q159" i="143"/>
  <c r="Q162" i="143"/>
  <c r="Q164" i="143"/>
  <c r="Q171" i="143"/>
  <c r="O188" i="143"/>
  <c r="Q13" i="143"/>
  <c r="Q17" i="143"/>
  <c r="Q20" i="143"/>
  <c r="Q24" i="143"/>
  <c r="Q49" i="143"/>
  <c r="Q51" i="143"/>
  <c r="Q54" i="143"/>
  <c r="Q56" i="143"/>
  <c r="Q59" i="143"/>
  <c r="Q63" i="143"/>
  <c r="Q77" i="143"/>
  <c r="M80" i="143"/>
  <c r="M82" i="143"/>
  <c r="M83" i="143"/>
  <c r="M85" i="143"/>
  <c r="M87" i="143"/>
  <c r="Q117" i="143"/>
  <c r="Q121" i="143"/>
  <c r="Q123" i="143"/>
  <c r="Q125" i="143"/>
  <c r="Q127" i="143"/>
  <c r="M130" i="143"/>
  <c r="Q136" i="143"/>
  <c r="Q138" i="143"/>
  <c r="Q139" i="143"/>
  <c r="Q142" i="143"/>
  <c r="Q143" i="143"/>
  <c r="Q145" i="143"/>
  <c r="Q148" i="143"/>
  <c r="Q155" i="143"/>
  <c r="Q166" i="143"/>
  <c r="Q182" i="143"/>
  <c r="M12" i="143"/>
  <c r="M13" i="143"/>
  <c r="M15" i="143"/>
  <c r="M17" i="143"/>
  <c r="M19" i="143"/>
  <c r="M20" i="143"/>
  <c r="M24" i="143"/>
  <c r="M25" i="143"/>
  <c r="Q28" i="143"/>
  <c r="Q32" i="143"/>
  <c r="Q34" i="143"/>
  <c r="Q36" i="143"/>
  <c r="Q38" i="143"/>
  <c r="Q40" i="143"/>
  <c r="Q41" i="143"/>
  <c r="Q45" i="143"/>
  <c r="M47" i="143"/>
  <c r="M49" i="143"/>
  <c r="M51" i="143"/>
  <c r="M54" i="143"/>
  <c r="M56" i="143"/>
  <c r="M58" i="143"/>
  <c r="M61" i="143"/>
  <c r="M63" i="143"/>
  <c r="Q65" i="143"/>
  <c r="Q67" i="143"/>
  <c r="Q68" i="143"/>
  <c r="M72" i="143"/>
  <c r="M74" i="143"/>
  <c r="M77" i="143"/>
  <c r="Q78" i="143"/>
  <c r="Q79" i="143"/>
  <c r="Q80" i="143"/>
  <c r="Q82" i="143"/>
  <c r="Q83" i="143"/>
  <c r="Q85" i="143"/>
  <c r="Q87" i="143"/>
  <c r="Q89" i="143"/>
  <c r="Q93" i="143"/>
  <c r="Q95" i="143"/>
  <c r="Q97" i="143"/>
  <c r="Q99" i="143"/>
  <c r="Q101" i="143"/>
  <c r="Q103" i="143"/>
  <c r="Q105" i="143"/>
  <c r="Q107" i="143"/>
  <c r="Q110" i="143"/>
  <c r="Q112" i="143"/>
  <c r="M114" i="143"/>
  <c r="M115" i="143"/>
  <c r="M117" i="143"/>
  <c r="M119" i="143"/>
  <c r="M121" i="143"/>
  <c r="M123" i="143"/>
  <c r="M125" i="143"/>
  <c r="M127" i="143"/>
  <c r="Q130" i="143"/>
  <c r="Q132" i="143"/>
  <c r="M134" i="143"/>
  <c r="M136" i="143"/>
  <c r="M138" i="143"/>
  <c r="M139" i="143"/>
  <c r="M140" i="143"/>
  <c r="M142" i="143"/>
  <c r="M143" i="143"/>
  <c r="M145" i="143"/>
  <c r="M146" i="143"/>
  <c r="M148" i="143"/>
  <c r="M151" i="143"/>
  <c r="M155" i="143"/>
  <c r="M157" i="143"/>
  <c r="M159" i="143"/>
  <c r="M162" i="143"/>
  <c r="Q163" i="143"/>
  <c r="M166" i="143"/>
  <c r="M171" i="143"/>
  <c r="Q175" i="143"/>
  <c r="Q177" i="143"/>
  <c r="Q178" i="143"/>
  <c r="Q184" i="143"/>
  <c r="Q22" i="143"/>
  <c r="M32" i="143"/>
  <c r="M34" i="143"/>
  <c r="M36" i="143"/>
  <c r="M38" i="143"/>
  <c r="M40" i="143"/>
  <c r="M41" i="143"/>
  <c r="M45" i="143"/>
  <c r="M10" i="143"/>
  <c r="Q10" i="143"/>
  <c r="J12" i="142"/>
  <c r="J185" i="142"/>
  <c r="N167" i="142"/>
  <c r="J132" i="142"/>
  <c r="J127" i="142"/>
  <c r="J123" i="142"/>
  <c r="N119" i="142"/>
  <c r="J119" i="142"/>
  <c r="J108" i="142"/>
  <c r="J91" i="142"/>
  <c r="J93" i="142"/>
  <c r="J105" i="142"/>
  <c r="J89" i="142"/>
  <c r="N87" i="142"/>
  <c r="J77" i="142"/>
  <c r="J65" i="142"/>
  <c r="J72" i="142"/>
  <c r="N67" i="142"/>
  <c r="J67" i="142"/>
  <c r="J61" i="142"/>
  <c r="J45" i="142"/>
  <c r="J36" i="142"/>
  <c r="J25" i="142"/>
  <c r="J15" i="142"/>
  <c r="N24" i="142"/>
  <c r="J24" i="142"/>
  <c r="Q188" i="143" l="1"/>
  <c r="O99" i="142"/>
  <c r="K99" i="142"/>
  <c r="K95" i="142"/>
  <c r="K78" i="142"/>
  <c r="K79" i="142"/>
  <c r="O72" i="142"/>
  <c r="K72" i="142"/>
  <c r="O19" i="142"/>
  <c r="K19" i="142"/>
  <c r="K63" i="142"/>
  <c r="K61" i="142"/>
  <c r="O49" i="142"/>
  <c r="K49" i="142"/>
  <c r="K114" i="142"/>
  <c r="K34" i="142"/>
  <c r="O25" i="142"/>
  <c r="K25" i="142"/>
  <c r="M131" i="142"/>
  <c r="J27" i="142" l="1"/>
  <c r="J147" i="142"/>
  <c r="N183" i="142"/>
  <c r="J183" i="142"/>
  <c r="N176" i="142"/>
  <c r="J176" i="142"/>
  <c r="J172" i="142"/>
  <c r="N156" i="142"/>
  <c r="J156" i="142"/>
  <c r="J139" i="142"/>
  <c r="J130" i="142"/>
  <c r="N123" i="142"/>
  <c r="J95" i="142"/>
  <c r="J79" i="142"/>
  <c r="J63" i="142"/>
  <c r="J54" i="142"/>
  <c r="N41" i="142"/>
  <c r="J41" i="142"/>
  <c r="J34" i="142"/>
  <c r="J19" i="142"/>
  <c r="J20" i="142"/>
  <c r="J10" i="142"/>
  <c r="I189" i="142"/>
  <c r="H189" i="142"/>
  <c r="P188" i="142"/>
  <c r="O188" i="142"/>
  <c r="N188" i="142"/>
  <c r="K188" i="142"/>
  <c r="M188" i="142" s="1"/>
  <c r="J188" i="142"/>
  <c r="Q187" i="142"/>
  <c r="M187" i="142"/>
  <c r="Q186" i="142"/>
  <c r="M186" i="142"/>
  <c r="P185" i="142"/>
  <c r="O185" i="142"/>
  <c r="N185" i="142"/>
  <c r="L185" i="142"/>
  <c r="K185" i="142"/>
  <c r="Q184" i="142"/>
  <c r="M184" i="142"/>
  <c r="P183" i="142"/>
  <c r="O183" i="142"/>
  <c r="L183" i="142"/>
  <c r="K183" i="142"/>
  <c r="Q182" i="142"/>
  <c r="M182" i="142"/>
  <c r="P181" i="142"/>
  <c r="O181" i="142"/>
  <c r="N181" i="142"/>
  <c r="L181" i="142"/>
  <c r="K181" i="142"/>
  <c r="J181" i="142"/>
  <c r="Q180" i="142"/>
  <c r="M180" i="142"/>
  <c r="P179" i="142"/>
  <c r="O179" i="142"/>
  <c r="N179" i="142"/>
  <c r="L179" i="142"/>
  <c r="K179" i="142"/>
  <c r="J179" i="142"/>
  <c r="P178" i="142"/>
  <c r="O178" i="142"/>
  <c r="N178" i="142"/>
  <c r="L178" i="142"/>
  <c r="K178" i="142"/>
  <c r="J178" i="142"/>
  <c r="Q177" i="142"/>
  <c r="M177" i="142"/>
  <c r="P176" i="142"/>
  <c r="O176" i="142"/>
  <c r="L176" i="142"/>
  <c r="K176" i="142"/>
  <c r="Q175" i="142"/>
  <c r="M175" i="142"/>
  <c r="M174" i="142"/>
  <c r="Q173" i="142"/>
  <c r="M173" i="142"/>
  <c r="P172" i="142"/>
  <c r="O172" i="142"/>
  <c r="N172" i="142"/>
  <c r="L172" i="142"/>
  <c r="K172" i="142"/>
  <c r="Q171" i="142"/>
  <c r="M171" i="142"/>
  <c r="Q170" i="142"/>
  <c r="M170" i="142"/>
  <c r="K169" i="142"/>
  <c r="M169" i="142" s="1"/>
  <c r="J169" i="142"/>
  <c r="Q168" i="142"/>
  <c r="M168" i="142"/>
  <c r="P167" i="142"/>
  <c r="O167" i="142"/>
  <c r="L167" i="142"/>
  <c r="K167" i="142"/>
  <c r="J167" i="142"/>
  <c r="Q166" i="142"/>
  <c r="M166" i="142"/>
  <c r="P165" i="142"/>
  <c r="O165" i="142"/>
  <c r="N165" i="142"/>
  <c r="M165" i="142"/>
  <c r="J165" i="142"/>
  <c r="P164" i="142"/>
  <c r="O164" i="142"/>
  <c r="M164" i="142"/>
  <c r="P163" i="142"/>
  <c r="O163" i="142"/>
  <c r="N163" i="142"/>
  <c r="L163" i="142"/>
  <c r="K163" i="142"/>
  <c r="J163" i="142"/>
  <c r="Q162" i="142"/>
  <c r="M162" i="142"/>
  <c r="Q161" i="142"/>
  <c r="M161" i="142"/>
  <c r="P160" i="142"/>
  <c r="O160" i="142"/>
  <c r="N160" i="142"/>
  <c r="L160" i="142"/>
  <c r="K160" i="142"/>
  <c r="J160" i="142"/>
  <c r="Q159" i="142"/>
  <c r="M159" i="142"/>
  <c r="P158" i="142"/>
  <c r="O158" i="142"/>
  <c r="N158" i="142"/>
  <c r="L158" i="142"/>
  <c r="K158" i="142"/>
  <c r="J158" i="142"/>
  <c r="Q157" i="142"/>
  <c r="M157" i="142"/>
  <c r="P156" i="142"/>
  <c r="O156" i="142"/>
  <c r="L156" i="142"/>
  <c r="K156" i="142"/>
  <c r="Q155" i="142"/>
  <c r="M155" i="142"/>
  <c r="Q154" i="142"/>
  <c r="M154" i="142"/>
  <c r="Q153" i="142"/>
  <c r="M153" i="142"/>
  <c r="P152" i="142"/>
  <c r="O152" i="142"/>
  <c r="N152" i="142"/>
  <c r="L152" i="142"/>
  <c r="K152" i="142"/>
  <c r="J152" i="142"/>
  <c r="Q151" i="142"/>
  <c r="M151" i="142"/>
  <c r="Q150" i="142"/>
  <c r="M150" i="142"/>
  <c r="P149" i="142"/>
  <c r="O149" i="142"/>
  <c r="N149" i="142"/>
  <c r="L149" i="142"/>
  <c r="K149" i="142"/>
  <c r="J149" i="142"/>
  <c r="Q148" i="142"/>
  <c r="M148" i="142"/>
  <c r="Q147" i="142"/>
  <c r="L147" i="142"/>
  <c r="K147" i="142"/>
  <c r="P146" i="142"/>
  <c r="O146" i="142"/>
  <c r="N146" i="142"/>
  <c r="L146" i="142"/>
  <c r="K146" i="142"/>
  <c r="J146" i="142"/>
  <c r="Q145" i="142"/>
  <c r="M145" i="142"/>
  <c r="P144" i="142"/>
  <c r="O144" i="142"/>
  <c r="N144" i="142"/>
  <c r="L144" i="142"/>
  <c r="K144" i="142"/>
  <c r="J144" i="142"/>
  <c r="P143" i="142"/>
  <c r="O143" i="142"/>
  <c r="N143" i="142"/>
  <c r="L143" i="142"/>
  <c r="K143" i="142"/>
  <c r="J143" i="142"/>
  <c r="Q142" i="142"/>
  <c r="M142" i="142"/>
  <c r="Q141" i="142"/>
  <c r="M141" i="142"/>
  <c r="P140" i="142"/>
  <c r="O140" i="142"/>
  <c r="N140" i="142"/>
  <c r="L140" i="142"/>
  <c r="K140" i="142"/>
  <c r="J140" i="142"/>
  <c r="P139" i="142"/>
  <c r="O139" i="142"/>
  <c r="N139" i="142"/>
  <c r="L139" i="142"/>
  <c r="K139" i="142"/>
  <c r="P138" i="142"/>
  <c r="O138" i="142"/>
  <c r="N138" i="142"/>
  <c r="L138" i="142"/>
  <c r="K138" i="142"/>
  <c r="J138" i="142"/>
  <c r="Q137" i="142"/>
  <c r="M137" i="142"/>
  <c r="P136" i="142"/>
  <c r="O136" i="142"/>
  <c r="N136" i="142"/>
  <c r="L136" i="142"/>
  <c r="K136" i="142"/>
  <c r="J136" i="142"/>
  <c r="Q135" i="142"/>
  <c r="M135" i="142"/>
  <c r="P134" i="142"/>
  <c r="O134" i="142"/>
  <c r="N134" i="142"/>
  <c r="L134" i="142"/>
  <c r="K134" i="142"/>
  <c r="Q133" i="142"/>
  <c r="M133" i="142"/>
  <c r="P132" i="142"/>
  <c r="O132" i="142"/>
  <c r="N132" i="142"/>
  <c r="L132" i="142"/>
  <c r="K132" i="142"/>
  <c r="Q131" i="142"/>
  <c r="P130" i="142"/>
  <c r="O130" i="142"/>
  <c r="N130" i="142"/>
  <c r="L130" i="142"/>
  <c r="K130" i="142"/>
  <c r="Q129" i="142"/>
  <c r="K129" i="142"/>
  <c r="M129" i="142" s="1"/>
  <c r="J129" i="142"/>
  <c r="Q128" i="142"/>
  <c r="M128" i="142"/>
  <c r="P127" i="142"/>
  <c r="O127" i="142"/>
  <c r="N127" i="142"/>
  <c r="L127" i="142"/>
  <c r="K127" i="142"/>
  <c r="Q126" i="142"/>
  <c r="M126" i="142"/>
  <c r="P125" i="142"/>
  <c r="O125" i="142"/>
  <c r="N125" i="142"/>
  <c r="L125" i="142"/>
  <c r="K125" i="142"/>
  <c r="J125" i="142"/>
  <c r="Q124" i="142"/>
  <c r="M124" i="142"/>
  <c r="P123" i="142"/>
  <c r="O123" i="142"/>
  <c r="L123" i="142"/>
  <c r="K123" i="142"/>
  <c r="Q122" i="142"/>
  <c r="M122" i="142"/>
  <c r="P121" i="142"/>
  <c r="O121" i="142"/>
  <c r="N121" i="142"/>
  <c r="L121" i="142"/>
  <c r="K121" i="142"/>
  <c r="J121" i="142"/>
  <c r="Q120" i="142"/>
  <c r="M120" i="142"/>
  <c r="P119" i="142"/>
  <c r="O119" i="142"/>
  <c r="L119" i="142"/>
  <c r="K119" i="142"/>
  <c r="Q118" i="142"/>
  <c r="M118" i="142"/>
  <c r="P117" i="142"/>
  <c r="O117" i="142"/>
  <c r="N117" i="142"/>
  <c r="L117" i="142"/>
  <c r="K117" i="142"/>
  <c r="J117" i="142"/>
  <c r="Q116" i="142"/>
  <c r="M116" i="142"/>
  <c r="P115" i="142"/>
  <c r="O115" i="142"/>
  <c r="N115" i="142"/>
  <c r="L115" i="142"/>
  <c r="K115" i="142"/>
  <c r="J115" i="142"/>
  <c r="P114" i="142"/>
  <c r="O114" i="142"/>
  <c r="N114" i="142"/>
  <c r="L114" i="142"/>
  <c r="J114" i="142"/>
  <c r="Q113" i="142"/>
  <c r="N113" i="142"/>
  <c r="M113" i="142"/>
  <c r="P112" i="142"/>
  <c r="O112" i="142"/>
  <c r="N112" i="142"/>
  <c r="L112" i="142"/>
  <c r="K112" i="142"/>
  <c r="J112" i="142"/>
  <c r="Q111" i="142"/>
  <c r="M111" i="142"/>
  <c r="P110" i="142"/>
  <c r="O110" i="142"/>
  <c r="N110" i="142"/>
  <c r="L110" i="142"/>
  <c r="K110" i="142"/>
  <c r="J110" i="142"/>
  <c r="Q109" i="142"/>
  <c r="M109" i="142"/>
  <c r="Q108" i="142"/>
  <c r="K108" i="142"/>
  <c r="M108" i="142" s="1"/>
  <c r="P107" i="142"/>
  <c r="O107" i="142"/>
  <c r="N107" i="142"/>
  <c r="L107" i="142"/>
  <c r="K107" i="142"/>
  <c r="J107" i="142"/>
  <c r="Q106" i="142"/>
  <c r="M106" i="142"/>
  <c r="P105" i="142"/>
  <c r="O105" i="142"/>
  <c r="N105" i="142"/>
  <c r="L105" i="142"/>
  <c r="K105" i="142"/>
  <c r="Q104" i="142"/>
  <c r="M104" i="142"/>
  <c r="P103" i="142"/>
  <c r="O103" i="142"/>
  <c r="N103" i="142"/>
  <c r="L103" i="142"/>
  <c r="K103" i="142"/>
  <c r="J103" i="142"/>
  <c r="Q102" i="142"/>
  <c r="M102" i="142"/>
  <c r="P101" i="142"/>
  <c r="O101" i="142"/>
  <c r="N101" i="142"/>
  <c r="L101" i="142"/>
  <c r="K101" i="142"/>
  <c r="J101" i="142"/>
  <c r="Q100" i="142"/>
  <c r="M100" i="142"/>
  <c r="P99" i="142"/>
  <c r="Q99" i="142" s="1"/>
  <c r="N99" i="142"/>
  <c r="L99" i="142"/>
  <c r="J99" i="142"/>
  <c r="Q98" i="142"/>
  <c r="M98" i="142"/>
  <c r="P97" i="142"/>
  <c r="O97" i="142"/>
  <c r="N97" i="142"/>
  <c r="L97" i="142"/>
  <c r="K97" i="142"/>
  <c r="J97" i="142"/>
  <c r="Q96" i="142"/>
  <c r="M96" i="142"/>
  <c r="P95" i="142"/>
  <c r="O95" i="142"/>
  <c r="N95" i="142"/>
  <c r="L95" i="142"/>
  <c r="Q94" i="142"/>
  <c r="M94" i="142"/>
  <c r="P93" i="142"/>
  <c r="O93" i="142"/>
  <c r="N93" i="142"/>
  <c r="L93" i="142"/>
  <c r="K93" i="142"/>
  <c r="Q92" i="142"/>
  <c r="M92" i="142"/>
  <c r="Q91" i="142"/>
  <c r="L91" i="142"/>
  <c r="K91" i="142"/>
  <c r="Q90" i="142"/>
  <c r="M90" i="142"/>
  <c r="P89" i="142"/>
  <c r="O89" i="142"/>
  <c r="N89" i="142"/>
  <c r="L89" i="142"/>
  <c r="K89" i="142"/>
  <c r="Q88" i="142"/>
  <c r="M88" i="142"/>
  <c r="P87" i="142"/>
  <c r="O87" i="142"/>
  <c r="L87" i="142"/>
  <c r="K87" i="142"/>
  <c r="J87" i="142"/>
  <c r="Q86" i="142"/>
  <c r="M86" i="142"/>
  <c r="P85" i="142"/>
  <c r="O85" i="142"/>
  <c r="N85" i="142"/>
  <c r="L85" i="142"/>
  <c r="K85" i="142"/>
  <c r="J85" i="142"/>
  <c r="Q84" i="142"/>
  <c r="M84" i="142"/>
  <c r="P83" i="142"/>
  <c r="O83" i="142"/>
  <c r="N83" i="142"/>
  <c r="L83" i="142"/>
  <c r="K83" i="142"/>
  <c r="J83" i="142"/>
  <c r="P82" i="142"/>
  <c r="O82" i="142"/>
  <c r="N82" i="142"/>
  <c r="L82" i="142"/>
  <c r="K82" i="142"/>
  <c r="J82" i="142"/>
  <c r="Q81" i="142"/>
  <c r="M81" i="142"/>
  <c r="P80" i="142"/>
  <c r="O80" i="142"/>
  <c r="N80" i="142"/>
  <c r="L80" i="142"/>
  <c r="K80" i="142"/>
  <c r="J80" i="142"/>
  <c r="P79" i="142"/>
  <c r="O79" i="142"/>
  <c r="N79" i="142"/>
  <c r="L79" i="142"/>
  <c r="P78" i="142"/>
  <c r="O78" i="142"/>
  <c r="N78" i="142"/>
  <c r="M78" i="142"/>
  <c r="P77" i="142"/>
  <c r="O77" i="142"/>
  <c r="N77" i="142"/>
  <c r="L77" i="142"/>
  <c r="K77" i="142"/>
  <c r="Q76" i="142"/>
  <c r="M76" i="142"/>
  <c r="P75" i="142"/>
  <c r="O75" i="142"/>
  <c r="N75" i="142"/>
  <c r="K75" i="142"/>
  <c r="M75" i="142" s="1"/>
  <c r="J75" i="142"/>
  <c r="P74" i="142"/>
  <c r="O74" i="142"/>
  <c r="N74" i="142"/>
  <c r="L74" i="142"/>
  <c r="K74" i="142"/>
  <c r="J74" i="142"/>
  <c r="Q73" i="142"/>
  <c r="M73" i="142"/>
  <c r="P72" i="142"/>
  <c r="Q72" i="142" s="1"/>
  <c r="N72" i="142"/>
  <c r="L72" i="142"/>
  <c r="Q71" i="142"/>
  <c r="M71" i="142"/>
  <c r="Q70" i="142"/>
  <c r="N70" i="142"/>
  <c r="M70" i="142"/>
  <c r="Q69" i="142"/>
  <c r="M69" i="142"/>
  <c r="P68" i="142"/>
  <c r="O68" i="142"/>
  <c r="N68" i="142"/>
  <c r="L68" i="142"/>
  <c r="K68" i="142"/>
  <c r="J68" i="142"/>
  <c r="P67" i="142"/>
  <c r="O67" i="142"/>
  <c r="L67" i="142"/>
  <c r="K67" i="142"/>
  <c r="Q66" i="142"/>
  <c r="M66" i="142"/>
  <c r="P65" i="142"/>
  <c r="O65" i="142"/>
  <c r="N65" i="142"/>
  <c r="L65" i="142"/>
  <c r="K65" i="142"/>
  <c r="Q64" i="142"/>
  <c r="M64" i="142"/>
  <c r="P63" i="142"/>
  <c r="O63" i="142"/>
  <c r="N63" i="142"/>
  <c r="L63" i="142"/>
  <c r="Q62" i="142"/>
  <c r="M62" i="142"/>
  <c r="P61" i="142"/>
  <c r="O61" i="142"/>
  <c r="N61" i="142"/>
  <c r="L61" i="142"/>
  <c r="M61" i="142" s="1"/>
  <c r="Q60" i="142"/>
  <c r="M60" i="142"/>
  <c r="P59" i="142"/>
  <c r="O59" i="142"/>
  <c r="N59" i="142"/>
  <c r="M59" i="142"/>
  <c r="Q58" i="142"/>
  <c r="L58" i="142"/>
  <c r="K58" i="142"/>
  <c r="J58" i="142"/>
  <c r="Q57" i="142"/>
  <c r="M57" i="142"/>
  <c r="P56" i="142"/>
  <c r="O56" i="142"/>
  <c r="N56" i="142"/>
  <c r="L56" i="142"/>
  <c r="K56" i="142"/>
  <c r="J56" i="142"/>
  <c r="Q55" i="142"/>
  <c r="M55" i="142"/>
  <c r="P54" i="142"/>
  <c r="O54" i="142"/>
  <c r="N54" i="142"/>
  <c r="L54" i="142"/>
  <c r="K54" i="142"/>
  <c r="Q53" i="142"/>
  <c r="M53" i="142"/>
  <c r="Q52" i="142"/>
  <c r="M52" i="142"/>
  <c r="P51" i="142"/>
  <c r="O51" i="142"/>
  <c r="N51" i="142"/>
  <c r="L51" i="142"/>
  <c r="K51" i="142"/>
  <c r="J51" i="142"/>
  <c r="Q50" i="142"/>
  <c r="M50" i="142"/>
  <c r="P49" i="142"/>
  <c r="Q49" i="142" s="1"/>
  <c r="N49" i="142"/>
  <c r="L49" i="142"/>
  <c r="J49" i="142"/>
  <c r="Q48" i="142"/>
  <c r="M48" i="142"/>
  <c r="P47" i="142"/>
  <c r="O47" i="142"/>
  <c r="N47" i="142"/>
  <c r="L47" i="142"/>
  <c r="K47" i="142"/>
  <c r="J47" i="142"/>
  <c r="P46" i="142"/>
  <c r="Q46" i="142" s="1"/>
  <c r="M46" i="142"/>
  <c r="P45" i="142"/>
  <c r="O45" i="142"/>
  <c r="N45" i="142"/>
  <c r="L45" i="142"/>
  <c r="K45" i="142"/>
  <c r="Q44" i="142"/>
  <c r="M44" i="142"/>
  <c r="Q43" i="142"/>
  <c r="M43" i="142"/>
  <c r="Q42" i="142"/>
  <c r="M42" i="142"/>
  <c r="P41" i="142"/>
  <c r="O41" i="142"/>
  <c r="L41" i="142"/>
  <c r="K41" i="142"/>
  <c r="P40" i="142"/>
  <c r="O40" i="142"/>
  <c r="N40" i="142"/>
  <c r="L40" i="142"/>
  <c r="K40" i="142"/>
  <c r="J40" i="142"/>
  <c r="Q39" i="142"/>
  <c r="M39" i="142"/>
  <c r="P38" i="142"/>
  <c r="O38" i="142"/>
  <c r="N38" i="142"/>
  <c r="L38" i="142"/>
  <c r="K38" i="142"/>
  <c r="J38" i="142"/>
  <c r="Q37" i="142"/>
  <c r="M37" i="142"/>
  <c r="P36" i="142"/>
  <c r="O36" i="142"/>
  <c r="N36" i="142"/>
  <c r="L36" i="142"/>
  <c r="K36" i="142"/>
  <c r="Q35" i="142"/>
  <c r="M35" i="142"/>
  <c r="P34" i="142"/>
  <c r="O34" i="142"/>
  <c r="N34" i="142"/>
  <c r="L34" i="142"/>
  <c r="M34" i="142" s="1"/>
  <c r="Q33" i="142"/>
  <c r="M33" i="142"/>
  <c r="P32" i="142"/>
  <c r="O32" i="142"/>
  <c r="N32" i="142"/>
  <c r="L32" i="142"/>
  <c r="K32" i="142"/>
  <c r="J32" i="142"/>
  <c r="Q31" i="142"/>
  <c r="M31" i="142"/>
  <c r="Q30" i="142"/>
  <c r="M30" i="142"/>
  <c r="Q29" i="142"/>
  <c r="L29" i="142"/>
  <c r="K29" i="142"/>
  <c r="J29" i="142"/>
  <c r="P28" i="142"/>
  <c r="O28" i="142"/>
  <c r="N28" i="142"/>
  <c r="L28" i="142"/>
  <c r="K28" i="142"/>
  <c r="J28" i="142"/>
  <c r="Q27" i="142"/>
  <c r="K27" i="142"/>
  <c r="M27" i="142" s="1"/>
  <c r="Q26" i="142"/>
  <c r="M26" i="142"/>
  <c r="P25" i="142"/>
  <c r="Q25" i="142" s="1"/>
  <c r="N25" i="142"/>
  <c r="L25" i="142"/>
  <c r="P24" i="142"/>
  <c r="O24" i="142"/>
  <c r="L24" i="142"/>
  <c r="K24" i="142"/>
  <c r="P23" i="142"/>
  <c r="Q23" i="142" s="1"/>
  <c r="M23" i="142"/>
  <c r="P22" i="142"/>
  <c r="O22" i="142"/>
  <c r="N22" i="142"/>
  <c r="K22" i="142"/>
  <c r="M22" i="142" s="1"/>
  <c r="J22" i="142"/>
  <c r="Q21" i="142"/>
  <c r="M21" i="142"/>
  <c r="P20" i="142"/>
  <c r="O20" i="142"/>
  <c r="N20" i="142"/>
  <c r="L20" i="142"/>
  <c r="K20" i="142"/>
  <c r="P19" i="142"/>
  <c r="N19" i="142"/>
  <c r="L19" i="142"/>
  <c r="Q18" i="142"/>
  <c r="M18" i="142"/>
  <c r="P17" i="142"/>
  <c r="O17" i="142"/>
  <c r="N17" i="142"/>
  <c r="L17" i="142"/>
  <c r="K17" i="142"/>
  <c r="J17" i="142"/>
  <c r="Q16" i="142"/>
  <c r="M16" i="142"/>
  <c r="P15" i="142"/>
  <c r="O15" i="142"/>
  <c r="N15" i="142"/>
  <c r="L15" i="142"/>
  <c r="K15" i="142"/>
  <c r="Q14" i="142"/>
  <c r="M14" i="142"/>
  <c r="P13" i="142"/>
  <c r="O13" i="142"/>
  <c r="N13" i="142"/>
  <c r="L13" i="142"/>
  <c r="K13" i="142"/>
  <c r="J13" i="142"/>
  <c r="Q12" i="142"/>
  <c r="L12" i="142"/>
  <c r="K12" i="142"/>
  <c r="Q11" i="142"/>
  <c r="M11" i="142"/>
  <c r="P10" i="142"/>
  <c r="O10" i="142"/>
  <c r="N10" i="142"/>
  <c r="L10" i="142"/>
  <c r="K10" i="142"/>
  <c r="B9" i="142"/>
  <c r="C9" i="142" s="1"/>
  <c r="D9" i="142" s="1"/>
  <c r="E9" i="142" s="1"/>
  <c r="F9" i="142" s="1"/>
  <c r="G9" i="142" s="1"/>
  <c r="H9" i="142" s="1"/>
  <c r="I9" i="142" s="1"/>
  <c r="J9" i="142" s="1"/>
  <c r="K9" i="142" s="1"/>
  <c r="L9" i="142" s="1"/>
  <c r="M9" i="142" s="1"/>
  <c r="N9" i="142" s="1"/>
  <c r="O9" i="142" s="1"/>
  <c r="P9" i="142" s="1"/>
  <c r="Q9" i="142" s="1"/>
  <c r="Q28" i="142" l="1"/>
  <c r="Q32" i="142"/>
  <c r="Q51" i="142"/>
  <c r="M77" i="142"/>
  <c r="Q114" i="142"/>
  <c r="Q115" i="142"/>
  <c r="Q117" i="142"/>
  <c r="Q119" i="142"/>
  <c r="Q121" i="142"/>
  <c r="M127" i="142"/>
  <c r="M54" i="142"/>
  <c r="M130" i="142"/>
  <c r="M36" i="142"/>
  <c r="M38" i="142"/>
  <c r="M40" i="142"/>
  <c r="Q63" i="142"/>
  <c r="M65" i="142"/>
  <c r="Q74" i="142"/>
  <c r="Q95" i="142"/>
  <c r="Q97" i="142"/>
  <c r="M125" i="142"/>
  <c r="Q24" i="142"/>
  <c r="M56" i="142"/>
  <c r="M58" i="142"/>
  <c r="Q45" i="142"/>
  <c r="Q47" i="142"/>
  <c r="M67" i="142"/>
  <c r="M68" i="142"/>
  <c r="Q79" i="142"/>
  <c r="Q80" i="142"/>
  <c r="Q82" i="142"/>
  <c r="Q83" i="142"/>
  <c r="Q85" i="142"/>
  <c r="Q87" i="142"/>
  <c r="Q89" i="142"/>
  <c r="M91" i="142"/>
  <c r="M93" i="142"/>
  <c r="Q101" i="142"/>
  <c r="Q103" i="142"/>
  <c r="Q105" i="142"/>
  <c r="Q107" i="142"/>
  <c r="M110" i="142"/>
  <c r="M112" i="142"/>
  <c r="K189" i="142"/>
  <c r="N189" i="142"/>
  <c r="P189" i="142"/>
  <c r="J189" i="142"/>
  <c r="Q13" i="142"/>
  <c r="Q15" i="142"/>
  <c r="Q17" i="142"/>
  <c r="M19" i="142"/>
  <c r="Q20" i="142"/>
  <c r="M132" i="142"/>
  <c r="Q134" i="142"/>
  <c r="Q136" i="142"/>
  <c r="Q138" i="142"/>
  <c r="M139" i="142"/>
  <c r="M140" i="142"/>
  <c r="M143" i="142"/>
  <c r="M144" i="142"/>
  <c r="M146" i="142"/>
  <c r="Q149" i="142"/>
  <c r="Q152" i="142"/>
  <c r="M156" i="142"/>
  <c r="Q156" i="142"/>
  <c r="Q158" i="142"/>
  <c r="Q160" i="142"/>
  <c r="Q163" i="142"/>
  <c r="Q165" i="142"/>
  <c r="Q167" i="142"/>
  <c r="M172" i="142"/>
  <c r="M176" i="142"/>
  <c r="Q176" i="142"/>
  <c r="Q178" i="142"/>
  <c r="Q179" i="142"/>
  <c r="Q181" i="142"/>
  <c r="M183" i="142"/>
  <c r="Q183" i="142"/>
  <c r="Q185" i="142"/>
  <c r="L189" i="142"/>
  <c r="O189" i="142"/>
  <c r="M12" i="142"/>
  <c r="M13" i="142"/>
  <c r="M15" i="142"/>
  <c r="M17" i="142"/>
  <c r="Q19" i="142"/>
  <c r="M20" i="142"/>
  <c r="Q22" i="142"/>
  <c r="M24" i="142"/>
  <c r="M25" i="142"/>
  <c r="M28" i="142"/>
  <c r="M29" i="142"/>
  <c r="M32" i="142"/>
  <c r="Q34" i="142"/>
  <c r="Q36" i="142"/>
  <c r="Q38" i="142"/>
  <c r="Q40" i="142"/>
  <c r="M41" i="142"/>
  <c r="Q41" i="142"/>
  <c r="M45" i="142"/>
  <c r="M47" i="142"/>
  <c r="M49" i="142"/>
  <c r="M51" i="142"/>
  <c r="Q54" i="142"/>
  <c r="Q56" i="142"/>
  <c r="Q59" i="142"/>
  <c r="Q61" i="142"/>
  <c r="M63" i="142"/>
  <c r="Q65" i="142"/>
  <c r="Q67" i="142"/>
  <c r="Q68" i="142"/>
  <c r="M72" i="142"/>
  <c r="M74" i="142"/>
  <c r="Q75" i="142"/>
  <c r="Q77" i="142"/>
  <c r="Q78" i="142"/>
  <c r="M79" i="142"/>
  <c r="M80" i="142"/>
  <c r="M82" i="142"/>
  <c r="M83" i="142"/>
  <c r="M85" i="142"/>
  <c r="M87" i="142"/>
  <c r="M89" i="142"/>
  <c r="Q93" i="142"/>
  <c r="M95" i="142"/>
  <c r="M97" i="142"/>
  <c r="M99" i="142"/>
  <c r="M101" i="142"/>
  <c r="M103" i="142"/>
  <c r="M105" i="142"/>
  <c r="M107" i="142"/>
  <c r="Q110" i="142"/>
  <c r="Q112" i="142"/>
  <c r="M114" i="142"/>
  <c r="M115" i="142"/>
  <c r="M117" i="142"/>
  <c r="M119" i="142"/>
  <c r="M121" i="142"/>
  <c r="M123" i="142"/>
  <c r="Q123" i="142"/>
  <c r="Q125" i="142"/>
  <c r="Q127" i="142"/>
  <c r="Q130" i="142"/>
  <c r="Q132" i="142"/>
  <c r="M134" i="142"/>
  <c r="M136" i="142"/>
  <c r="M138" i="142"/>
  <c r="Q139" i="142"/>
  <c r="Q140" i="142"/>
  <c r="Q143" i="142"/>
  <c r="Q144" i="142"/>
  <c r="Q146" i="142"/>
  <c r="M147" i="142"/>
  <c r="M149" i="142"/>
  <c r="M152" i="142"/>
  <c r="M158" i="142"/>
  <c r="M160" i="142"/>
  <c r="M163" i="142"/>
  <c r="Q164" i="142"/>
  <c r="M167" i="142"/>
  <c r="Q172" i="142"/>
  <c r="M178" i="142"/>
  <c r="M179" i="142"/>
  <c r="M181" i="142"/>
  <c r="M185" i="142"/>
  <c r="Q188" i="142"/>
  <c r="M10" i="142"/>
  <c r="Q10" i="142"/>
  <c r="Q27" i="141"/>
  <c r="Q29" i="141"/>
  <c r="Q31" i="141"/>
  <c r="M31" i="141"/>
  <c r="Q91" i="141"/>
  <c r="Q110" i="141"/>
  <c r="Q111" i="141"/>
  <c r="Q131" i="141"/>
  <c r="Q149" i="141"/>
  <c r="M111" i="141"/>
  <c r="K110" i="141"/>
  <c r="M110" i="141" s="1"/>
  <c r="Q143" i="141"/>
  <c r="M188" i="141"/>
  <c r="K131" i="141"/>
  <c r="K169" i="141"/>
  <c r="K134" i="141"/>
  <c r="K107" i="141"/>
  <c r="K68" i="141"/>
  <c r="K47" i="141"/>
  <c r="O40" i="141"/>
  <c r="K32" i="141"/>
  <c r="K142" i="141"/>
  <c r="O107" i="141"/>
  <c r="K103" i="141"/>
  <c r="Q189" i="142" l="1"/>
  <c r="M189" i="142"/>
  <c r="J187" i="141"/>
  <c r="J169" i="141"/>
  <c r="N165" i="141"/>
  <c r="J165" i="141"/>
  <c r="J140" i="141"/>
  <c r="N146" i="141"/>
  <c r="J146" i="141"/>
  <c r="N141" i="141"/>
  <c r="J141" i="141"/>
  <c r="J142" i="141"/>
  <c r="N138" i="141"/>
  <c r="J138" i="141"/>
  <c r="N127" i="141"/>
  <c r="J127" i="141"/>
  <c r="J125" i="141"/>
  <c r="N105" i="141"/>
  <c r="J91" i="141"/>
  <c r="J99" i="141"/>
  <c r="N101" i="141"/>
  <c r="J101" i="141"/>
  <c r="N65" i="141"/>
  <c r="N78" i="141"/>
  <c r="J79" i="141"/>
  <c r="N72" i="141"/>
  <c r="J72" i="141"/>
  <c r="N49" i="141"/>
  <c r="J49" i="141"/>
  <c r="J116" i="141"/>
  <c r="J36" i="141"/>
  <c r="N34" i="141"/>
  <c r="J34" i="141"/>
  <c r="J29" i="141"/>
  <c r="N25" i="141"/>
  <c r="J19" i="141"/>
  <c r="J20" i="141"/>
  <c r="I191" i="141" l="1"/>
  <c r="H191" i="141"/>
  <c r="P190" i="141"/>
  <c r="O190" i="141"/>
  <c r="N190" i="141"/>
  <c r="K190" i="141"/>
  <c r="M190" i="141" s="1"/>
  <c r="J190" i="141"/>
  <c r="Q189" i="141"/>
  <c r="M189" i="141"/>
  <c r="Q188" i="141"/>
  <c r="P187" i="141"/>
  <c r="O187" i="141"/>
  <c r="N187" i="141"/>
  <c r="L187" i="141"/>
  <c r="K187" i="141"/>
  <c r="Q186" i="141"/>
  <c r="M186" i="141"/>
  <c r="P185" i="141"/>
  <c r="O185" i="141"/>
  <c r="N185" i="141"/>
  <c r="L185" i="141"/>
  <c r="K185" i="141"/>
  <c r="J185" i="141"/>
  <c r="Q184" i="141"/>
  <c r="M184" i="141"/>
  <c r="P183" i="141"/>
  <c r="O183" i="141"/>
  <c r="N183" i="141"/>
  <c r="L183" i="141"/>
  <c r="K183" i="141"/>
  <c r="J183" i="141"/>
  <c r="Q182" i="141"/>
  <c r="M182" i="141"/>
  <c r="P181" i="141"/>
  <c r="O181" i="141"/>
  <c r="N181" i="141"/>
  <c r="L181" i="141"/>
  <c r="K181" i="141"/>
  <c r="J181" i="141"/>
  <c r="P180" i="141"/>
  <c r="O180" i="141"/>
  <c r="N180" i="141"/>
  <c r="L180" i="141"/>
  <c r="K180" i="141"/>
  <c r="J180" i="141"/>
  <c r="Q179" i="141"/>
  <c r="M179" i="141"/>
  <c r="P178" i="141"/>
  <c r="O178" i="141"/>
  <c r="N178" i="141"/>
  <c r="L178" i="141"/>
  <c r="K178" i="141"/>
  <c r="J178" i="141"/>
  <c r="Q177" i="141"/>
  <c r="M177" i="141"/>
  <c r="M176" i="141"/>
  <c r="Q175" i="141"/>
  <c r="M175" i="141"/>
  <c r="P174" i="141"/>
  <c r="O174" i="141"/>
  <c r="N174" i="141"/>
  <c r="L174" i="141"/>
  <c r="K174" i="141"/>
  <c r="J174" i="141"/>
  <c r="Q173" i="141"/>
  <c r="M173" i="141"/>
  <c r="Q172" i="141"/>
  <c r="M172" i="141"/>
  <c r="K171" i="141"/>
  <c r="M171" i="141" s="1"/>
  <c r="J171" i="141"/>
  <c r="Q170" i="141"/>
  <c r="M170" i="141"/>
  <c r="P169" i="141"/>
  <c r="O169" i="141"/>
  <c r="N169" i="141"/>
  <c r="L169" i="141"/>
  <c r="M169" i="141" s="1"/>
  <c r="Q168" i="141"/>
  <c r="M168" i="141"/>
  <c r="P167" i="141"/>
  <c r="O167" i="141"/>
  <c r="N167" i="141"/>
  <c r="M167" i="141"/>
  <c r="J167" i="141"/>
  <c r="P166" i="141"/>
  <c r="O166" i="141"/>
  <c r="M166" i="141"/>
  <c r="P165" i="141"/>
  <c r="O165" i="141"/>
  <c r="L165" i="141"/>
  <c r="K165" i="141"/>
  <c r="Q164" i="141"/>
  <c r="M164" i="141"/>
  <c r="Q163" i="141"/>
  <c r="M163" i="141"/>
  <c r="P162" i="141"/>
  <c r="O162" i="141"/>
  <c r="N162" i="141"/>
  <c r="L162" i="141"/>
  <c r="K162" i="141"/>
  <c r="J162" i="141"/>
  <c r="Q161" i="141"/>
  <c r="M161" i="141"/>
  <c r="P160" i="141"/>
  <c r="O160" i="141"/>
  <c r="N160" i="141"/>
  <c r="L160" i="141"/>
  <c r="K160" i="141"/>
  <c r="J160" i="141"/>
  <c r="Q159" i="141"/>
  <c r="M159" i="141"/>
  <c r="P158" i="141"/>
  <c r="O158" i="141"/>
  <c r="N158" i="141"/>
  <c r="L158" i="141"/>
  <c r="K158" i="141"/>
  <c r="J158" i="141"/>
  <c r="Q157" i="141"/>
  <c r="M157" i="141"/>
  <c r="Q156" i="141"/>
  <c r="M156" i="141"/>
  <c r="Q155" i="141"/>
  <c r="M155" i="141"/>
  <c r="P154" i="141"/>
  <c r="O154" i="141"/>
  <c r="N154" i="141"/>
  <c r="L154" i="141"/>
  <c r="K154" i="141"/>
  <c r="J154" i="141"/>
  <c r="Q153" i="141"/>
  <c r="M153" i="141"/>
  <c r="Q152" i="141"/>
  <c r="M152" i="141"/>
  <c r="P151" i="141"/>
  <c r="O151" i="141"/>
  <c r="N151" i="141"/>
  <c r="L151" i="141"/>
  <c r="K151" i="141"/>
  <c r="J151" i="141"/>
  <c r="Q150" i="141"/>
  <c r="M150" i="141"/>
  <c r="L149" i="141"/>
  <c r="K149" i="141"/>
  <c r="J149" i="141"/>
  <c r="P148" i="141"/>
  <c r="O148" i="141"/>
  <c r="N148" i="141"/>
  <c r="L148" i="141"/>
  <c r="K148" i="141"/>
  <c r="J148" i="141"/>
  <c r="Q147" i="141"/>
  <c r="M147" i="141"/>
  <c r="P146" i="141"/>
  <c r="O146" i="141"/>
  <c r="L146" i="141"/>
  <c r="K146" i="141"/>
  <c r="P145" i="141"/>
  <c r="O145" i="141"/>
  <c r="N145" i="141"/>
  <c r="L145" i="141"/>
  <c r="K145" i="141"/>
  <c r="J145" i="141"/>
  <c r="Q144" i="141"/>
  <c r="M144" i="141"/>
  <c r="M143" i="141"/>
  <c r="P142" i="141"/>
  <c r="O142" i="141"/>
  <c r="N142" i="141"/>
  <c r="L142" i="141"/>
  <c r="M142" i="141" s="1"/>
  <c r="P141" i="141"/>
  <c r="O141" i="141"/>
  <c r="L141" i="141"/>
  <c r="K141" i="141"/>
  <c r="P140" i="141"/>
  <c r="O140" i="141"/>
  <c r="N140" i="141"/>
  <c r="L140" i="141"/>
  <c r="K140" i="141"/>
  <c r="Q139" i="141"/>
  <c r="M139" i="141"/>
  <c r="P138" i="141"/>
  <c r="O138" i="141"/>
  <c r="L138" i="141"/>
  <c r="K138" i="141"/>
  <c r="Q137" i="141"/>
  <c r="M137" i="141"/>
  <c r="P136" i="141"/>
  <c r="O136" i="141"/>
  <c r="N136" i="141"/>
  <c r="L136" i="141"/>
  <c r="K136" i="141"/>
  <c r="Q135" i="141"/>
  <c r="M135" i="141"/>
  <c r="P134" i="141"/>
  <c r="O134" i="141"/>
  <c r="N134" i="141"/>
  <c r="L134" i="141"/>
  <c r="M134" i="141" s="1"/>
  <c r="J134" i="141"/>
  <c r="Q133" i="141"/>
  <c r="M133" i="141"/>
  <c r="P132" i="141"/>
  <c r="O132" i="141"/>
  <c r="N132" i="141"/>
  <c r="L132" i="141"/>
  <c r="K132" i="141"/>
  <c r="J132" i="141"/>
  <c r="M131" i="141"/>
  <c r="J131" i="141"/>
  <c r="Q130" i="141"/>
  <c r="M130" i="141"/>
  <c r="P129" i="141"/>
  <c r="O129" i="141"/>
  <c r="N129" i="141"/>
  <c r="L129" i="141"/>
  <c r="K129" i="141"/>
  <c r="J129" i="141"/>
  <c r="Q128" i="141"/>
  <c r="M128" i="141"/>
  <c r="P127" i="141"/>
  <c r="O127" i="141"/>
  <c r="L127" i="141"/>
  <c r="K127" i="141"/>
  <c r="Q126" i="141"/>
  <c r="M126" i="141"/>
  <c r="P125" i="141"/>
  <c r="O125" i="141"/>
  <c r="N125" i="141"/>
  <c r="L125" i="141"/>
  <c r="K125" i="141"/>
  <c r="Q124" i="141"/>
  <c r="M124" i="141"/>
  <c r="P123" i="141"/>
  <c r="O123" i="141"/>
  <c r="N123" i="141"/>
  <c r="L123" i="141"/>
  <c r="K123" i="141"/>
  <c r="J123" i="141"/>
  <c r="Q122" i="141"/>
  <c r="M122" i="141"/>
  <c r="P121" i="141"/>
  <c r="O121" i="141"/>
  <c r="N121" i="141"/>
  <c r="L121" i="141"/>
  <c r="K121" i="141"/>
  <c r="J121" i="141"/>
  <c r="Q120" i="141"/>
  <c r="M120" i="141"/>
  <c r="P119" i="141"/>
  <c r="O119" i="141"/>
  <c r="N119" i="141"/>
  <c r="L119" i="141"/>
  <c r="K119" i="141"/>
  <c r="J119" i="141"/>
  <c r="Q118" i="141"/>
  <c r="M118" i="141"/>
  <c r="P117" i="141"/>
  <c r="O117" i="141"/>
  <c r="N117" i="141"/>
  <c r="L117" i="141"/>
  <c r="K117" i="141"/>
  <c r="J117" i="141"/>
  <c r="P116" i="141"/>
  <c r="O116" i="141"/>
  <c r="N116" i="141"/>
  <c r="L116" i="141"/>
  <c r="K116" i="141"/>
  <c r="Q115" i="141"/>
  <c r="N115" i="141"/>
  <c r="M115" i="141"/>
  <c r="P114" i="141"/>
  <c r="O114" i="141"/>
  <c r="N114" i="141"/>
  <c r="L114" i="141"/>
  <c r="K114" i="141"/>
  <c r="J114" i="141"/>
  <c r="Q113" i="141"/>
  <c r="M113" i="141"/>
  <c r="P112" i="141"/>
  <c r="O112" i="141"/>
  <c r="N112" i="141"/>
  <c r="L112" i="141"/>
  <c r="K112" i="141"/>
  <c r="J112" i="141"/>
  <c r="J110" i="141"/>
  <c r="P109" i="141"/>
  <c r="O109" i="141"/>
  <c r="N109" i="141"/>
  <c r="L109" i="141"/>
  <c r="K109" i="141"/>
  <c r="J109" i="141"/>
  <c r="Q108" i="141"/>
  <c r="M108" i="141"/>
  <c r="P107" i="141"/>
  <c r="N107" i="141"/>
  <c r="L107" i="141"/>
  <c r="M107" i="141" s="1"/>
  <c r="J107" i="141"/>
  <c r="Q106" i="141"/>
  <c r="M106" i="141"/>
  <c r="P105" i="141"/>
  <c r="O105" i="141"/>
  <c r="L105" i="141"/>
  <c r="K105" i="141"/>
  <c r="J105" i="141"/>
  <c r="Q104" i="141"/>
  <c r="M104" i="141"/>
  <c r="P103" i="141"/>
  <c r="O103" i="141"/>
  <c r="N103" i="141"/>
  <c r="L103" i="141"/>
  <c r="J103" i="141"/>
  <c r="Q102" i="141"/>
  <c r="M102" i="141"/>
  <c r="P101" i="141"/>
  <c r="O101" i="141"/>
  <c r="L101" i="141"/>
  <c r="K101" i="141"/>
  <c r="Q100" i="141"/>
  <c r="M100" i="141"/>
  <c r="P99" i="141"/>
  <c r="O99" i="141"/>
  <c r="N99" i="141"/>
  <c r="L99" i="141"/>
  <c r="K99" i="141"/>
  <c r="Q98" i="141"/>
  <c r="M98" i="141"/>
  <c r="Q97" i="141"/>
  <c r="M97" i="141"/>
  <c r="P96" i="141"/>
  <c r="O96" i="141"/>
  <c r="N96" i="141"/>
  <c r="L96" i="141"/>
  <c r="K96" i="141"/>
  <c r="J96" i="141"/>
  <c r="Q95" i="141"/>
  <c r="M95" i="141"/>
  <c r="P94" i="141"/>
  <c r="O94" i="141"/>
  <c r="N94" i="141"/>
  <c r="L94" i="141"/>
  <c r="K94" i="141"/>
  <c r="J94" i="141"/>
  <c r="Q93" i="141"/>
  <c r="M93" i="141"/>
  <c r="Q92" i="141"/>
  <c r="M92" i="141"/>
  <c r="L91" i="141"/>
  <c r="K91" i="141"/>
  <c r="Q90" i="141"/>
  <c r="M90" i="141"/>
  <c r="P89" i="141"/>
  <c r="O89" i="141"/>
  <c r="N89" i="141"/>
  <c r="L89" i="141"/>
  <c r="K89" i="141"/>
  <c r="J89" i="141"/>
  <c r="Q88" i="141"/>
  <c r="M88" i="141"/>
  <c r="P87" i="141"/>
  <c r="O87" i="141"/>
  <c r="N87" i="141"/>
  <c r="L87" i="141"/>
  <c r="K87" i="141"/>
  <c r="J87" i="141"/>
  <c r="Q86" i="141"/>
  <c r="M86" i="141"/>
  <c r="P85" i="141"/>
  <c r="O85" i="141"/>
  <c r="N85" i="141"/>
  <c r="L85" i="141"/>
  <c r="K85" i="141"/>
  <c r="J85" i="141"/>
  <c r="Q84" i="141"/>
  <c r="M84" i="141"/>
  <c r="P83" i="141"/>
  <c r="O83" i="141"/>
  <c r="N83" i="141"/>
  <c r="L83" i="141"/>
  <c r="K83" i="141"/>
  <c r="J83" i="141"/>
  <c r="P82" i="141"/>
  <c r="O82" i="141"/>
  <c r="N82" i="141"/>
  <c r="L82" i="141"/>
  <c r="K82" i="141"/>
  <c r="J82" i="141"/>
  <c r="Q81" i="141"/>
  <c r="M81" i="141"/>
  <c r="P80" i="141"/>
  <c r="O80" i="141"/>
  <c r="N80" i="141"/>
  <c r="L80" i="141"/>
  <c r="K80" i="141"/>
  <c r="J80" i="141"/>
  <c r="P79" i="141"/>
  <c r="O79" i="141"/>
  <c r="N79" i="141"/>
  <c r="L79" i="141"/>
  <c r="K79" i="141"/>
  <c r="P78" i="141"/>
  <c r="O78" i="141"/>
  <c r="M78" i="141"/>
  <c r="P77" i="141"/>
  <c r="O77" i="141"/>
  <c r="N77" i="141"/>
  <c r="L77" i="141"/>
  <c r="K77" i="141"/>
  <c r="J77" i="141"/>
  <c r="Q76" i="141"/>
  <c r="M76" i="141"/>
  <c r="P75" i="141"/>
  <c r="O75" i="141"/>
  <c r="N75" i="141"/>
  <c r="K75" i="141"/>
  <c r="M75" i="141" s="1"/>
  <c r="J75" i="141"/>
  <c r="P74" i="141"/>
  <c r="O74" i="141"/>
  <c r="N74" i="141"/>
  <c r="L74" i="141"/>
  <c r="K74" i="141"/>
  <c r="J74" i="141"/>
  <c r="Q73" i="141"/>
  <c r="M73" i="141"/>
  <c r="P72" i="141"/>
  <c r="O72" i="141"/>
  <c r="L72" i="141"/>
  <c r="K72" i="141"/>
  <c r="Q71" i="141"/>
  <c r="M71" i="141"/>
  <c r="Q70" i="141"/>
  <c r="N70" i="141"/>
  <c r="M70" i="141"/>
  <c r="Q69" i="141"/>
  <c r="M69" i="141"/>
  <c r="P68" i="141"/>
  <c r="O68" i="141"/>
  <c r="N68" i="141"/>
  <c r="L68" i="141"/>
  <c r="J68" i="141"/>
  <c r="P67" i="141"/>
  <c r="O67" i="141"/>
  <c r="N67" i="141"/>
  <c r="L67" i="141"/>
  <c r="K67" i="141"/>
  <c r="J67" i="141"/>
  <c r="Q66" i="141"/>
  <c r="M66" i="141"/>
  <c r="P65" i="141"/>
  <c r="O65" i="141"/>
  <c r="L65" i="141"/>
  <c r="K65" i="141"/>
  <c r="J65" i="141"/>
  <c r="Q64" i="141"/>
  <c r="M64" i="141"/>
  <c r="P63" i="141"/>
  <c r="O63" i="141"/>
  <c r="N63" i="141"/>
  <c r="L63" i="141"/>
  <c r="K63" i="141"/>
  <c r="J63" i="141"/>
  <c r="Q62" i="141"/>
  <c r="M62" i="141"/>
  <c r="P61" i="141"/>
  <c r="O61" i="141"/>
  <c r="N61" i="141"/>
  <c r="L61" i="141"/>
  <c r="K61" i="141"/>
  <c r="J61" i="141"/>
  <c r="Q60" i="141"/>
  <c r="M60" i="141"/>
  <c r="P59" i="141"/>
  <c r="O59" i="141"/>
  <c r="N59" i="141"/>
  <c r="M59" i="141"/>
  <c r="Q58" i="141"/>
  <c r="L58" i="141"/>
  <c r="K58" i="141"/>
  <c r="J58" i="141"/>
  <c r="Q57" i="141"/>
  <c r="M57" i="141"/>
  <c r="P56" i="141"/>
  <c r="O56" i="141"/>
  <c r="N56" i="141"/>
  <c r="L56" i="141"/>
  <c r="K56" i="141"/>
  <c r="J56" i="141"/>
  <c r="Q55" i="141"/>
  <c r="M55" i="141"/>
  <c r="P54" i="141"/>
  <c r="O54" i="141"/>
  <c r="N54" i="141"/>
  <c r="L54" i="141"/>
  <c r="K54" i="141"/>
  <c r="J54" i="141"/>
  <c r="Q53" i="141"/>
  <c r="M53" i="141"/>
  <c r="Q52" i="141"/>
  <c r="M52" i="141"/>
  <c r="P51" i="141"/>
  <c r="O51" i="141"/>
  <c r="N51" i="141"/>
  <c r="L51" i="141"/>
  <c r="K51" i="141"/>
  <c r="J51" i="141"/>
  <c r="Q50" i="141"/>
  <c r="M50" i="141"/>
  <c r="P49" i="141"/>
  <c r="O49" i="141"/>
  <c r="L49" i="141"/>
  <c r="K49" i="141"/>
  <c r="Q48" i="141"/>
  <c r="M48" i="141"/>
  <c r="P47" i="141"/>
  <c r="O47" i="141"/>
  <c r="N47" i="141"/>
  <c r="L47" i="141"/>
  <c r="M47" i="141" s="1"/>
  <c r="J47" i="141"/>
  <c r="P46" i="141"/>
  <c r="Q46" i="141" s="1"/>
  <c r="M46" i="141"/>
  <c r="P45" i="141"/>
  <c r="O45" i="141"/>
  <c r="N45" i="141"/>
  <c r="L45" i="141"/>
  <c r="K45" i="141"/>
  <c r="J45" i="141"/>
  <c r="Q44" i="141"/>
  <c r="M44" i="141"/>
  <c r="Q43" i="141"/>
  <c r="M43" i="141"/>
  <c r="Q42" i="141"/>
  <c r="M42" i="141"/>
  <c r="P41" i="141"/>
  <c r="O41" i="141"/>
  <c r="N41" i="141"/>
  <c r="L41" i="141"/>
  <c r="K41" i="141"/>
  <c r="J41" i="141"/>
  <c r="P40" i="141"/>
  <c r="N40" i="141"/>
  <c r="L40" i="141"/>
  <c r="K40" i="141"/>
  <c r="J40" i="141"/>
  <c r="Q39" i="141"/>
  <c r="M39" i="141"/>
  <c r="P38" i="141"/>
  <c r="O38" i="141"/>
  <c r="N38" i="141"/>
  <c r="L38" i="141"/>
  <c r="K38" i="141"/>
  <c r="J38" i="141"/>
  <c r="Q37" i="141"/>
  <c r="M37" i="141"/>
  <c r="P36" i="141"/>
  <c r="O36" i="141"/>
  <c r="N36" i="141"/>
  <c r="L36" i="141"/>
  <c r="K36" i="141"/>
  <c r="Q35" i="141"/>
  <c r="M35" i="141"/>
  <c r="P34" i="141"/>
  <c r="O34" i="141"/>
  <c r="L34" i="141"/>
  <c r="K34" i="141"/>
  <c r="Q33" i="141"/>
  <c r="M33" i="141"/>
  <c r="P32" i="141"/>
  <c r="O32" i="141"/>
  <c r="N32" i="141"/>
  <c r="L32" i="141"/>
  <c r="M32" i="141" s="1"/>
  <c r="J32" i="141"/>
  <c r="Q30" i="141"/>
  <c r="M30" i="141"/>
  <c r="L29" i="141"/>
  <c r="K29" i="141"/>
  <c r="P28" i="141"/>
  <c r="O28" i="141"/>
  <c r="N28" i="141"/>
  <c r="L28" i="141"/>
  <c r="K28" i="141"/>
  <c r="J28" i="141"/>
  <c r="K27" i="141"/>
  <c r="M27" i="141" s="1"/>
  <c r="J27" i="141"/>
  <c r="Q26" i="141"/>
  <c r="M26" i="141"/>
  <c r="P25" i="141"/>
  <c r="O25" i="141"/>
  <c r="L25" i="141"/>
  <c r="K25" i="141"/>
  <c r="J25" i="141"/>
  <c r="P24" i="141"/>
  <c r="O24" i="141"/>
  <c r="N24" i="141"/>
  <c r="L24" i="141"/>
  <c r="K24" i="141"/>
  <c r="J24" i="141"/>
  <c r="P23" i="141"/>
  <c r="Q23" i="141" s="1"/>
  <c r="M23" i="141"/>
  <c r="P22" i="141"/>
  <c r="O22" i="141"/>
  <c r="N22" i="141"/>
  <c r="K22" i="141"/>
  <c r="M22" i="141" s="1"/>
  <c r="J22" i="141"/>
  <c r="Q21" i="141"/>
  <c r="M21" i="141"/>
  <c r="P20" i="141"/>
  <c r="O20" i="141"/>
  <c r="N20" i="141"/>
  <c r="L20" i="141"/>
  <c r="K20" i="141"/>
  <c r="P19" i="141"/>
  <c r="O19" i="141"/>
  <c r="N19" i="141"/>
  <c r="L19" i="141"/>
  <c r="K19" i="141"/>
  <c r="Q18" i="141"/>
  <c r="M18" i="141"/>
  <c r="P17" i="141"/>
  <c r="O17" i="141"/>
  <c r="N17" i="141"/>
  <c r="L17" i="141"/>
  <c r="K17" i="141"/>
  <c r="J17" i="141"/>
  <c r="Q16" i="141"/>
  <c r="M16" i="141"/>
  <c r="P15" i="141"/>
  <c r="O15" i="141"/>
  <c r="N15" i="141"/>
  <c r="L15" i="141"/>
  <c r="K15" i="141"/>
  <c r="J15" i="141"/>
  <c r="Q14" i="141"/>
  <c r="M14" i="141"/>
  <c r="P13" i="141"/>
  <c r="O13" i="141"/>
  <c r="N13" i="141"/>
  <c r="L13" i="141"/>
  <c r="K13" i="141"/>
  <c r="J13" i="141"/>
  <c r="Q12" i="141"/>
  <c r="L12" i="141"/>
  <c r="K12" i="141"/>
  <c r="J12" i="141"/>
  <c r="Q11" i="141"/>
  <c r="M11" i="141"/>
  <c r="P10" i="141"/>
  <c r="O10" i="141"/>
  <c r="N10" i="141"/>
  <c r="L10" i="141"/>
  <c r="K10" i="141"/>
  <c r="J10" i="141"/>
  <c r="B9" i="141"/>
  <c r="C9" i="141" s="1"/>
  <c r="D9" i="141" s="1"/>
  <c r="E9" i="141" s="1"/>
  <c r="F9" i="141" s="1"/>
  <c r="G9" i="141" s="1"/>
  <c r="H9" i="141" s="1"/>
  <c r="I9" i="141" s="1"/>
  <c r="J9" i="141" s="1"/>
  <c r="K9" i="141" s="1"/>
  <c r="L9" i="141" s="1"/>
  <c r="M9" i="141" s="1"/>
  <c r="N9" i="141" s="1"/>
  <c r="O9" i="141" s="1"/>
  <c r="P9" i="141" s="1"/>
  <c r="Q9" i="141" s="1"/>
  <c r="Q190" i="141" l="1"/>
  <c r="Q68" i="141"/>
  <c r="M74" i="141"/>
  <c r="Q103" i="141"/>
  <c r="M112" i="141"/>
  <c r="M114" i="141"/>
  <c r="M116" i="141"/>
  <c r="M117" i="141"/>
  <c r="M119" i="141"/>
  <c r="M121" i="141"/>
  <c r="Q32" i="141"/>
  <c r="M34" i="141"/>
  <c r="Q34" i="141"/>
  <c r="M36" i="141"/>
  <c r="M38" i="141"/>
  <c r="M40" i="141"/>
  <c r="Q134" i="141"/>
  <c r="Q140" i="141"/>
  <c r="M141" i="141"/>
  <c r="Q141" i="141"/>
  <c r="Q148" i="141"/>
  <c r="K191" i="141"/>
  <c r="N191" i="141"/>
  <c r="P191" i="141"/>
  <c r="M12" i="141"/>
  <c r="M13" i="141"/>
  <c r="M15" i="141"/>
  <c r="M17" i="141"/>
  <c r="Q19" i="141"/>
  <c r="M20" i="141"/>
  <c r="Q22" i="141"/>
  <c r="M24" i="141"/>
  <c r="M25" i="141"/>
  <c r="Q25" i="141"/>
  <c r="Q28" i="141"/>
  <c r="M29" i="141"/>
  <c r="M41" i="141"/>
  <c r="M45" i="141"/>
  <c r="M51" i="141"/>
  <c r="M54" i="141"/>
  <c r="M56" i="141"/>
  <c r="M58" i="141"/>
  <c r="M61" i="141"/>
  <c r="M63" i="141"/>
  <c r="M65" i="141"/>
  <c r="Q65" i="141"/>
  <c r="Q67" i="141"/>
  <c r="M77" i="141"/>
  <c r="Q78" i="141"/>
  <c r="M79" i="141"/>
  <c r="M80" i="141"/>
  <c r="M82" i="141"/>
  <c r="M83" i="141"/>
  <c r="M85" i="141"/>
  <c r="M87" i="141"/>
  <c r="M89" i="141"/>
  <c r="M94" i="141"/>
  <c r="M96" i="141"/>
  <c r="Q99" i="141"/>
  <c r="M101" i="141"/>
  <c r="Q101" i="141"/>
  <c r="M109" i="141"/>
  <c r="Q123" i="141"/>
  <c r="M125" i="141"/>
  <c r="M129" i="141"/>
  <c r="M132" i="141"/>
  <c r="Q136" i="141"/>
  <c r="M145" i="141"/>
  <c r="M148" i="141"/>
  <c r="M149" i="141"/>
  <c r="Q151" i="141"/>
  <c r="Q154" i="141"/>
  <c r="Q158" i="141"/>
  <c r="Q160" i="141"/>
  <c r="Q162" i="141"/>
  <c r="M165" i="141"/>
  <c r="Q165" i="141"/>
  <c r="Q167" i="141"/>
  <c r="M174" i="141"/>
  <c r="Q178" i="141"/>
  <c r="Q180" i="141"/>
  <c r="Q181" i="141"/>
  <c r="Q183" i="141"/>
  <c r="Q185" i="141"/>
  <c r="M187" i="141"/>
  <c r="M123" i="141"/>
  <c r="Q125" i="141"/>
  <c r="M127" i="141"/>
  <c r="Q127" i="141"/>
  <c r="Q129" i="141"/>
  <c r="Q132" i="141"/>
  <c r="M136" i="141"/>
  <c r="J191" i="141"/>
  <c r="L191" i="141"/>
  <c r="M191" i="141" s="1"/>
  <c r="O191" i="141"/>
  <c r="Q13" i="141"/>
  <c r="Q15" i="141"/>
  <c r="Q17" i="141"/>
  <c r="M19" i="141"/>
  <c r="Q20" i="141"/>
  <c r="Q24" i="141"/>
  <c r="M28" i="141"/>
  <c r="Q36" i="141"/>
  <c r="Q38" i="141"/>
  <c r="Q40" i="141"/>
  <c r="Q41" i="141"/>
  <c r="Q45" i="141"/>
  <c r="Q47" i="141"/>
  <c r="M49" i="141"/>
  <c r="Q49" i="141"/>
  <c r="Q51" i="141"/>
  <c r="Q54" i="141"/>
  <c r="Q56" i="141"/>
  <c r="Q59" i="141"/>
  <c r="Q61" i="141"/>
  <c r="Q63" i="141"/>
  <c r="M67" i="141"/>
  <c r="M68" i="141"/>
  <c r="M72" i="141"/>
  <c r="Q72" i="141"/>
  <c r="Q74" i="141"/>
  <c r="Q75" i="141"/>
  <c r="Q77" i="141"/>
  <c r="Q79" i="141"/>
  <c r="Q80" i="141"/>
  <c r="Q82" i="141"/>
  <c r="Q83" i="141"/>
  <c r="Q85" i="141"/>
  <c r="Q87" i="141"/>
  <c r="Q89" i="141"/>
  <c r="M91" i="141"/>
  <c r="Q94" i="141"/>
  <c r="Q96" i="141"/>
  <c r="M99" i="141"/>
  <c r="M103" i="141"/>
  <c r="M105" i="141"/>
  <c r="Q105" i="141"/>
  <c r="Q107" i="141"/>
  <c r="Q109" i="141"/>
  <c r="Q112" i="141"/>
  <c r="Q114" i="141"/>
  <c r="Q116" i="141"/>
  <c r="Q117" i="141"/>
  <c r="Q119" i="141"/>
  <c r="Q121" i="141"/>
  <c r="M138" i="141"/>
  <c r="Q138" i="141"/>
  <c r="M140" i="141"/>
  <c r="Q142" i="141"/>
  <c r="Q145" i="141"/>
  <c r="M146" i="141"/>
  <c r="Q146" i="141"/>
  <c r="M151" i="141"/>
  <c r="M154" i="141"/>
  <c r="M158" i="141"/>
  <c r="M160" i="141"/>
  <c r="M162" i="141"/>
  <c r="Q166" i="141"/>
  <c r="Q169" i="141"/>
  <c r="Q174" i="141"/>
  <c r="M178" i="141"/>
  <c r="M180" i="141"/>
  <c r="M181" i="141"/>
  <c r="M183" i="141"/>
  <c r="M185" i="141"/>
  <c r="Q187" i="141"/>
  <c r="M10" i="141"/>
  <c r="Q10" i="141"/>
  <c r="Q66" i="140"/>
  <c r="O156" i="140"/>
  <c r="O172" i="140"/>
  <c r="K172" i="140"/>
  <c r="K174" i="140"/>
  <c r="O15" i="140"/>
  <c r="K15" i="140"/>
  <c r="O38" i="140"/>
  <c r="K153" i="140"/>
  <c r="O114" i="140"/>
  <c r="K114" i="140"/>
  <c r="O82" i="140"/>
  <c r="K77" i="140"/>
  <c r="O194" i="140"/>
  <c r="K194" i="140"/>
  <c r="O188" i="140"/>
  <c r="K188" i="140"/>
  <c r="K186" i="140"/>
  <c r="K183" i="140"/>
  <c r="K184" i="140"/>
  <c r="K65" i="140"/>
  <c r="O147" i="140"/>
  <c r="K147" i="140"/>
  <c r="K138" i="140"/>
  <c r="K151" i="140"/>
  <c r="K134" i="140"/>
  <c r="O112" i="140"/>
  <c r="K112" i="140"/>
  <c r="O105" i="140"/>
  <c r="K105" i="140"/>
  <c r="K101" i="140"/>
  <c r="O79" i="140"/>
  <c r="K79" i="140"/>
  <c r="O68" i="140"/>
  <c r="K68" i="140"/>
  <c r="O75" i="140"/>
  <c r="K75" i="140"/>
  <c r="K29" i="140"/>
  <c r="K27" i="140"/>
  <c r="K34" i="140"/>
  <c r="K32" i="140"/>
  <c r="K22" i="140"/>
  <c r="K24" i="140"/>
  <c r="K123" i="140"/>
  <c r="K94" i="140"/>
  <c r="K177" i="140"/>
  <c r="K163" i="140"/>
  <c r="K156" i="140"/>
  <c r="K119" i="140"/>
  <c r="K160" i="140"/>
  <c r="K121" i="140"/>
  <c r="K89" i="140"/>
  <c r="K19" i="140"/>
  <c r="K67" i="140"/>
  <c r="K61" i="140"/>
  <c r="K45" i="140"/>
  <c r="O116" i="140"/>
  <c r="K116" i="140"/>
  <c r="O28" i="140"/>
  <c r="K28" i="140"/>
  <c r="Q191" i="141" l="1"/>
  <c r="J110" i="140"/>
  <c r="J131" i="140"/>
  <c r="N75" i="140"/>
  <c r="J75" i="140"/>
  <c r="N186" i="140"/>
  <c r="J186" i="140"/>
  <c r="J184" i="140"/>
  <c r="N172" i="140"/>
  <c r="J172" i="140"/>
  <c r="J153" i="140"/>
  <c r="N147" i="140"/>
  <c r="J143" i="140"/>
  <c r="J134" i="140"/>
  <c r="J129" i="140"/>
  <c r="N121" i="140"/>
  <c r="J121" i="140"/>
  <c r="N114" i="140"/>
  <c r="J114" i="140"/>
  <c r="J112" i="140"/>
  <c r="N105" i="140"/>
  <c r="J105" i="140"/>
  <c r="N107" i="140"/>
  <c r="J107" i="140"/>
  <c r="J101" i="140"/>
  <c r="N82" i="140"/>
  <c r="N79" i="140"/>
  <c r="N68" i="140"/>
  <c r="J68" i="140"/>
  <c r="N61" i="140"/>
  <c r="J61" i="140"/>
  <c r="N47" i="140"/>
  <c r="J47" i="140"/>
  <c r="N40" i="140"/>
  <c r="J40" i="140"/>
  <c r="J29" i="140"/>
  <c r="N32" i="140"/>
  <c r="J32" i="140"/>
  <c r="N19" i="140"/>
  <c r="J19" i="140"/>
  <c r="N22" i="140"/>
  <c r="J24" i="140"/>
  <c r="I195" i="140"/>
  <c r="H195" i="140"/>
  <c r="P194" i="140"/>
  <c r="Q194" i="140" s="1"/>
  <c r="N194" i="140"/>
  <c r="M194" i="140"/>
  <c r="J194" i="140"/>
  <c r="Q193" i="140"/>
  <c r="M193" i="140"/>
  <c r="Q192" i="140"/>
  <c r="M192" i="140"/>
  <c r="Q191" i="140"/>
  <c r="M191" i="140"/>
  <c r="P190" i="140"/>
  <c r="O190" i="140"/>
  <c r="N190" i="140"/>
  <c r="L190" i="140"/>
  <c r="K190" i="140"/>
  <c r="J190" i="140"/>
  <c r="Q189" i="140"/>
  <c r="M189" i="140"/>
  <c r="P188" i="140"/>
  <c r="N188" i="140"/>
  <c r="L188" i="140"/>
  <c r="M188" i="140" s="1"/>
  <c r="J188" i="140"/>
  <c r="Q187" i="140"/>
  <c r="M187" i="140"/>
  <c r="P186" i="140"/>
  <c r="O186" i="140"/>
  <c r="L186" i="140"/>
  <c r="Q185" i="140"/>
  <c r="M185" i="140"/>
  <c r="P184" i="140"/>
  <c r="O184" i="140"/>
  <c r="N184" i="140"/>
  <c r="L184" i="140"/>
  <c r="M184" i="140" s="1"/>
  <c r="P183" i="140"/>
  <c r="O183" i="140"/>
  <c r="N183" i="140"/>
  <c r="L183" i="140"/>
  <c r="J183" i="140"/>
  <c r="Q182" i="140"/>
  <c r="M182" i="140"/>
  <c r="P181" i="140"/>
  <c r="O181" i="140"/>
  <c r="N181" i="140"/>
  <c r="L181" i="140"/>
  <c r="K181" i="140"/>
  <c r="J181" i="140"/>
  <c r="Q180" i="140"/>
  <c r="M180" i="140"/>
  <c r="M179" i="140"/>
  <c r="Q178" i="140"/>
  <c r="M178" i="140"/>
  <c r="P177" i="140"/>
  <c r="O177" i="140"/>
  <c r="N177" i="140"/>
  <c r="L177" i="140"/>
  <c r="M177" i="140" s="1"/>
  <c r="J177" i="140"/>
  <c r="Q176" i="140"/>
  <c r="M176" i="140"/>
  <c r="Q175" i="140"/>
  <c r="M175" i="140"/>
  <c r="M174" i="140"/>
  <c r="J174" i="140"/>
  <c r="Q173" i="140"/>
  <c r="M173" i="140"/>
  <c r="P172" i="140"/>
  <c r="L172" i="140"/>
  <c r="Q171" i="140"/>
  <c r="M171" i="140"/>
  <c r="P170" i="140"/>
  <c r="O170" i="140"/>
  <c r="N170" i="140"/>
  <c r="M170" i="140"/>
  <c r="J170" i="140"/>
  <c r="P169" i="140"/>
  <c r="O169" i="140"/>
  <c r="M169" i="140"/>
  <c r="P168" i="140"/>
  <c r="O168" i="140"/>
  <c r="N168" i="140"/>
  <c r="L168" i="140"/>
  <c r="K168" i="140"/>
  <c r="J168" i="140"/>
  <c r="Q167" i="140"/>
  <c r="M167" i="140"/>
  <c r="Q166" i="140"/>
  <c r="M166" i="140"/>
  <c r="P165" i="140"/>
  <c r="O165" i="140"/>
  <c r="N165" i="140"/>
  <c r="L165" i="140"/>
  <c r="K165" i="140"/>
  <c r="J165" i="140"/>
  <c r="Q164" i="140"/>
  <c r="M164" i="140"/>
  <c r="P163" i="140"/>
  <c r="O163" i="140"/>
  <c r="N163" i="140"/>
  <c r="L163" i="140"/>
  <c r="M163" i="140" s="1"/>
  <c r="J163" i="140"/>
  <c r="Q162" i="140"/>
  <c r="M162" i="140"/>
  <c r="Q161" i="140"/>
  <c r="M161" i="140"/>
  <c r="P160" i="140"/>
  <c r="O160" i="140"/>
  <c r="N160" i="140"/>
  <c r="L160" i="140"/>
  <c r="M160" i="140" s="1"/>
  <c r="J160" i="140"/>
  <c r="Q159" i="140"/>
  <c r="M159" i="140"/>
  <c r="Q158" i="140"/>
  <c r="M158" i="140"/>
  <c r="Q157" i="140"/>
  <c r="M157" i="140"/>
  <c r="P156" i="140"/>
  <c r="N156" i="140"/>
  <c r="L156" i="140"/>
  <c r="M156" i="140" s="1"/>
  <c r="J156" i="140"/>
  <c r="Q155" i="140"/>
  <c r="M155" i="140"/>
  <c r="Q154" i="140"/>
  <c r="M154" i="140"/>
  <c r="P153" i="140"/>
  <c r="O153" i="140"/>
  <c r="N153" i="140"/>
  <c r="L153" i="140"/>
  <c r="M153" i="140" s="1"/>
  <c r="Q152" i="140"/>
  <c r="M152" i="140"/>
  <c r="L151" i="140"/>
  <c r="M151" i="140" s="1"/>
  <c r="J151" i="140"/>
  <c r="P150" i="140"/>
  <c r="O150" i="140"/>
  <c r="N150" i="140"/>
  <c r="L150" i="140"/>
  <c r="K150" i="140"/>
  <c r="J150" i="140"/>
  <c r="Q149" i="140"/>
  <c r="M149" i="140"/>
  <c r="P148" i="140"/>
  <c r="O148" i="140"/>
  <c r="N148" i="140"/>
  <c r="L148" i="140"/>
  <c r="K148" i="140"/>
  <c r="J148" i="140"/>
  <c r="P147" i="140"/>
  <c r="L147" i="140"/>
  <c r="J147" i="140"/>
  <c r="Q146" i="140"/>
  <c r="M146" i="140"/>
  <c r="Q145" i="140"/>
  <c r="M145" i="140"/>
  <c r="Q144" i="140"/>
  <c r="M144" i="140"/>
  <c r="P143" i="140"/>
  <c r="O143" i="140"/>
  <c r="N143" i="140"/>
  <c r="L143" i="140"/>
  <c r="K143" i="140"/>
  <c r="Q142" i="140"/>
  <c r="M142" i="140"/>
  <c r="P141" i="140"/>
  <c r="O141" i="140"/>
  <c r="N141" i="140"/>
  <c r="L141" i="140"/>
  <c r="K141" i="140"/>
  <c r="J141" i="140"/>
  <c r="P140" i="140"/>
  <c r="O140" i="140"/>
  <c r="N140" i="140"/>
  <c r="L140" i="140"/>
  <c r="K140" i="140"/>
  <c r="J140" i="140"/>
  <c r="Q139" i="140"/>
  <c r="M139" i="140"/>
  <c r="P138" i="140"/>
  <c r="O138" i="140"/>
  <c r="N138" i="140"/>
  <c r="L138" i="140"/>
  <c r="M138" i="140" s="1"/>
  <c r="J138" i="140"/>
  <c r="Q137" i="140"/>
  <c r="M137" i="140"/>
  <c r="P136" i="140"/>
  <c r="O136" i="140"/>
  <c r="N136" i="140"/>
  <c r="L136" i="140"/>
  <c r="K136" i="140"/>
  <c r="Q135" i="140"/>
  <c r="M135" i="140"/>
  <c r="P134" i="140"/>
  <c r="O134" i="140"/>
  <c r="N134" i="140"/>
  <c r="L134" i="140"/>
  <c r="Q133" i="140"/>
  <c r="M133" i="140"/>
  <c r="P132" i="140"/>
  <c r="O132" i="140"/>
  <c r="N132" i="140"/>
  <c r="L132" i="140"/>
  <c r="K132" i="140"/>
  <c r="J132" i="140"/>
  <c r="M131" i="140"/>
  <c r="Q130" i="140"/>
  <c r="M130" i="140"/>
  <c r="P129" i="140"/>
  <c r="O129" i="140"/>
  <c r="N129" i="140"/>
  <c r="L129" i="140"/>
  <c r="K129" i="140"/>
  <c r="Q128" i="140"/>
  <c r="M128" i="140"/>
  <c r="P127" i="140"/>
  <c r="O127" i="140"/>
  <c r="N127" i="140"/>
  <c r="L127" i="140"/>
  <c r="K127" i="140"/>
  <c r="J127" i="140"/>
  <c r="Q126" i="140"/>
  <c r="M126" i="140"/>
  <c r="P125" i="140"/>
  <c r="O125" i="140"/>
  <c r="N125" i="140"/>
  <c r="L125" i="140"/>
  <c r="K125" i="140"/>
  <c r="J125" i="140"/>
  <c r="Q124" i="140"/>
  <c r="M124" i="140"/>
  <c r="P123" i="140"/>
  <c r="O123" i="140"/>
  <c r="N123" i="140"/>
  <c r="L123" i="140"/>
  <c r="M123" i="140" s="1"/>
  <c r="J123" i="140"/>
  <c r="Q122" i="140"/>
  <c r="M122" i="140"/>
  <c r="P121" i="140"/>
  <c r="O121" i="140"/>
  <c r="L121" i="140"/>
  <c r="Q120" i="140"/>
  <c r="M120" i="140"/>
  <c r="P119" i="140"/>
  <c r="O119" i="140"/>
  <c r="N119" i="140"/>
  <c r="L119" i="140"/>
  <c r="M119" i="140" s="1"/>
  <c r="J119" i="140"/>
  <c r="Q118" i="140"/>
  <c r="M118" i="140"/>
  <c r="P117" i="140"/>
  <c r="O117" i="140"/>
  <c r="N117" i="140"/>
  <c r="L117" i="140"/>
  <c r="K117" i="140"/>
  <c r="J117" i="140"/>
  <c r="P116" i="140"/>
  <c r="N116" i="140"/>
  <c r="L116" i="140"/>
  <c r="M116" i="140" s="1"/>
  <c r="J116" i="140"/>
  <c r="Q115" i="140"/>
  <c r="N115" i="140"/>
  <c r="M115" i="140"/>
  <c r="P114" i="140"/>
  <c r="Q114" i="140" s="1"/>
  <c r="L114" i="140"/>
  <c r="M114" i="140" s="1"/>
  <c r="Q113" i="140"/>
  <c r="M113" i="140"/>
  <c r="P112" i="140"/>
  <c r="Q112" i="140" s="1"/>
  <c r="N112" i="140"/>
  <c r="L112" i="140"/>
  <c r="M110" i="140"/>
  <c r="P109" i="140"/>
  <c r="O109" i="140"/>
  <c r="N109" i="140"/>
  <c r="L109" i="140"/>
  <c r="K109" i="140"/>
  <c r="J109" i="140"/>
  <c r="Q108" i="140"/>
  <c r="M108" i="140"/>
  <c r="P107" i="140"/>
  <c r="O107" i="140"/>
  <c r="L107" i="140"/>
  <c r="K107" i="140"/>
  <c r="Q106" i="140"/>
  <c r="M106" i="140"/>
  <c r="P105" i="140"/>
  <c r="Q105" i="140" s="1"/>
  <c r="L105" i="140"/>
  <c r="M105" i="140" s="1"/>
  <c r="Q104" i="140"/>
  <c r="M104" i="140"/>
  <c r="P103" i="140"/>
  <c r="O103" i="140"/>
  <c r="N103" i="140"/>
  <c r="L103" i="140"/>
  <c r="K103" i="140"/>
  <c r="J103" i="140"/>
  <c r="Q102" i="140"/>
  <c r="M102" i="140"/>
  <c r="P101" i="140"/>
  <c r="O101" i="140"/>
  <c r="N101" i="140"/>
  <c r="L101" i="140"/>
  <c r="Q100" i="140"/>
  <c r="M100" i="140"/>
  <c r="P99" i="140"/>
  <c r="O99" i="140"/>
  <c r="N99" i="140"/>
  <c r="L99" i="140"/>
  <c r="K99" i="140"/>
  <c r="J99" i="140"/>
  <c r="Q98" i="140"/>
  <c r="M98" i="140"/>
  <c r="Q97" i="140"/>
  <c r="M97" i="140"/>
  <c r="P96" i="140"/>
  <c r="O96" i="140"/>
  <c r="N96" i="140"/>
  <c r="L96" i="140"/>
  <c r="K96" i="140"/>
  <c r="J96" i="140"/>
  <c r="Q95" i="140"/>
  <c r="M95" i="140"/>
  <c r="P94" i="140"/>
  <c r="O94" i="140"/>
  <c r="N94" i="140"/>
  <c r="L94" i="140"/>
  <c r="M94" i="140" s="1"/>
  <c r="J94" i="140"/>
  <c r="Q93" i="140"/>
  <c r="M93" i="140"/>
  <c r="Q92" i="140"/>
  <c r="M92" i="140"/>
  <c r="L91" i="140"/>
  <c r="K91" i="140"/>
  <c r="J91" i="140"/>
  <c r="Q90" i="140"/>
  <c r="M90" i="140"/>
  <c r="P89" i="140"/>
  <c r="O89" i="140"/>
  <c r="N89" i="140"/>
  <c r="L89" i="140"/>
  <c r="J89" i="140"/>
  <c r="Q88" i="140"/>
  <c r="M88" i="140"/>
  <c r="P87" i="140"/>
  <c r="O87" i="140"/>
  <c r="N87" i="140"/>
  <c r="L87" i="140"/>
  <c r="K87" i="140"/>
  <c r="J87" i="140"/>
  <c r="Q86" i="140"/>
  <c r="M86" i="140"/>
  <c r="P85" i="140"/>
  <c r="O85" i="140"/>
  <c r="N85" i="140"/>
  <c r="L85" i="140"/>
  <c r="K85" i="140"/>
  <c r="J85" i="140"/>
  <c r="Q84" i="140"/>
  <c r="M84" i="140"/>
  <c r="P83" i="140"/>
  <c r="O83" i="140"/>
  <c r="N83" i="140"/>
  <c r="L83" i="140"/>
  <c r="K83" i="140"/>
  <c r="J83" i="140"/>
  <c r="P82" i="140"/>
  <c r="Q82" i="140" s="1"/>
  <c r="L82" i="140"/>
  <c r="K82" i="140"/>
  <c r="J82" i="140"/>
  <c r="Q81" i="140"/>
  <c r="M81" i="140"/>
  <c r="P80" i="140"/>
  <c r="O80" i="140"/>
  <c r="N80" i="140"/>
  <c r="L80" i="140"/>
  <c r="K80" i="140"/>
  <c r="J80" i="140"/>
  <c r="P79" i="140"/>
  <c r="L79" i="140"/>
  <c r="J79" i="140"/>
  <c r="P78" i="140"/>
  <c r="O78" i="140"/>
  <c r="N78" i="140"/>
  <c r="M78" i="140"/>
  <c r="P77" i="140"/>
  <c r="O77" i="140"/>
  <c r="N77" i="140"/>
  <c r="L77" i="140"/>
  <c r="J77" i="140"/>
  <c r="Q76" i="140"/>
  <c r="M76" i="140"/>
  <c r="P75" i="140"/>
  <c r="Q75" i="140" s="1"/>
  <c r="M75" i="140"/>
  <c r="P74" i="140"/>
  <c r="O74" i="140"/>
  <c r="N74" i="140"/>
  <c r="L74" i="140"/>
  <c r="K74" i="140"/>
  <c r="J74" i="140"/>
  <c r="Q73" i="140"/>
  <c r="M73" i="140"/>
  <c r="P72" i="140"/>
  <c r="O72" i="140"/>
  <c r="N72" i="140"/>
  <c r="L72" i="140"/>
  <c r="K72" i="140"/>
  <c r="J72" i="140"/>
  <c r="Q71" i="140"/>
  <c r="M71" i="140"/>
  <c r="Q70" i="140"/>
  <c r="N70" i="140"/>
  <c r="M70" i="140"/>
  <c r="Q69" i="140"/>
  <c r="M69" i="140"/>
  <c r="P68" i="140"/>
  <c r="Q68" i="140" s="1"/>
  <c r="L68" i="140"/>
  <c r="M68" i="140" s="1"/>
  <c r="P67" i="140"/>
  <c r="O67" i="140"/>
  <c r="N67" i="140"/>
  <c r="L67" i="140"/>
  <c r="J67" i="140"/>
  <c r="M66" i="140"/>
  <c r="P65" i="140"/>
  <c r="O65" i="140"/>
  <c r="N65" i="140"/>
  <c r="L65" i="140"/>
  <c r="J65" i="140"/>
  <c r="Q64" i="140"/>
  <c r="M64" i="140"/>
  <c r="P63" i="140"/>
  <c r="O63" i="140"/>
  <c r="N63" i="140"/>
  <c r="L63" i="140"/>
  <c r="K63" i="140"/>
  <c r="J63" i="140"/>
  <c r="Q62" i="140"/>
  <c r="M62" i="140"/>
  <c r="P61" i="140"/>
  <c r="O61" i="140"/>
  <c r="L61" i="140"/>
  <c r="M61" i="140" s="1"/>
  <c r="Q60" i="140"/>
  <c r="M60" i="140"/>
  <c r="P59" i="140"/>
  <c r="O59" i="140"/>
  <c r="N59" i="140"/>
  <c r="M59" i="140"/>
  <c r="Q58" i="140"/>
  <c r="L58" i="140"/>
  <c r="K58" i="140"/>
  <c r="J58" i="140"/>
  <c r="Q57" i="140"/>
  <c r="M57" i="140"/>
  <c r="P56" i="140"/>
  <c r="O56" i="140"/>
  <c r="N56" i="140"/>
  <c r="L56" i="140"/>
  <c r="K56" i="140"/>
  <c r="J56" i="140"/>
  <c r="Q55" i="140"/>
  <c r="M55" i="140"/>
  <c r="P54" i="140"/>
  <c r="O54" i="140"/>
  <c r="N54" i="140"/>
  <c r="L54" i="140"/>
  <c r="K54" i="140"/>
  <c r="J54" i="140"/>
  <c r="Q53" i="140"/>
  <c r="M53" i="140"/>
  <c r="Q52" i="140"/>
  <c r="M52" i="140"/>
  <c r="P51" i="140"/>
  <c r="O51" i="140"/>
  <c r="N51" i="140"/>
  <c r="L51" i="140"/>
  <c r="K51" i="140"/>
  <c r="J51" i="140"/>
  <c r="Q50" i="140"/>
  <c r="M50" i="140"/>
  <c r="P49" i="140"/>
  <c r="O49" i="140"/>
  <c r="N49" i="140"/>
  <c r="L49" i="140"/>
  <c r="K49" i="140"/>
  <c r="J49" i="140"/>
  <c r="Q48" i="140"/>
  <c r="M48" i="140"/>
  <c r="P47" i="140"/>
  <c r="O47" i="140"/>
  <c r="L47" i="140"/>
  <c r="K47" i="140"/>
  <c r="P46" i="140"/>
  <c r="Q46" i="140" s="1"/>
  <c r="M46" i="140"/>
  <c r="P45" i="140"/>
  <c r="O45" i="140"/>
  <c r="N45" i="140"/>
  <c r="L45" i="140"/>
  <c r="J45" i="140"/>
  <c r="Q44" i="140"/>
  <c r="M44" i="140"/>
  <c r="Q43" i="140"/>
  <c r="M43" i="140"/>
  <c r="Q42" i="140"/>
  <c r="M42" i="140"/>
  <c r="P41" i="140"/>
  <c r="O41" i="140"/>
  <c r="N41" i="140"/>
  <c r="L41" i="140"/>
  <c r="K41" i="140"/>
  <c r="J41" i="140"/>
  <c r="P40" i="140"/>
  <c r="O40" i="140"/>
  <c r="L40" i="140"/>
  <c r="K40" i="140"/>
  <c r="Q39" i="140"/>
  <c r="M39" i="140"/>
  <c r="P38" i="140"/>
  <c r="Q38" i="140" s="1"/>
  <c r="N38" i="140"/>
  <c r="L38" i="140"/>
  <c r="K38" i="140"/>
  <c r="J38" i="140"/>
  <c r="Q37" i="140"/>
  <c r="M37" i="140"/>
  <c r="P36" i="140"/>
  <c r="O36" i="140"/>
  <c r="N36" i="140"/>
  <c r="L36" i="140"/>
  <c r="K36" i="140"/>
  <c r="J36" i="140"/>
  <c r="Q35" i="140"/>
  <c r="M35" i="140"/>
  <c r="P34" i="140"/>
  <c r="O34" i="140"/>
  <c r="N34" i="140"/>
  <c r="L34" i="140"/>
  <c r="J34" i="140"/>
  <c r="Q33" i="140"/>
  <c r="M33" i="140"/>
  <c r="P32" i="140"/>
  <c r="O32" i="140"/>
  <c r="L32" i="140"/>
  <c r="M32" i="140" s="1"/>
  <c r="Q30" i="140"/>
  <c r="M30" i="140"/>
  <c r="L29" i="140"/>
  <c r="M29" i="140" s="1"/>
  <c r="P28" i="140"/>
  <c r="Q28" i="140" s="1"/>
  <c r="N28" i="140"/>
  <c r="L28" i="140"/>
  <c r="J28" i="140"/>
  <c r="M27" i="140"/>
  <c r="J27" i="140"/>
  <c r="Q26" i="140"/>
  <c r="M26" i="140"/>
  <c r="P25" i="140"/>
  <c r="O25" i="140"/>
  <c r="N25" i="140"/>
  <c r="L25" i="140"/>
  <c r="K25" i="140"/>
  <c r="J25" i="140"/>
  <c r="P24" i="140"/>
  <c r="O24" i="140"/>
  <c r="N24" i="140"/>
  <c r="L24" i="140"/>
  <c r="P23" i="140"/>
  <c r="Q23" i="140" s="1"/>
  <c r="M23" i="140"/>
  <c r="P22" i="140"/>
  <c r="O22" i="140"/>
  <c r="M22" i="140"/>
  <c r="J22" i="140"/>
  <c r="Q21" i="140"/>
  <c r="M21" i="140"/>
  <c r="P20" i="140"/>
  <c r="O20" i="140"/>
  <c r="N20" i="140"/>
  <c r="L20" i="140"/>
  <c r="K20" i="140"/>
  <c r="J20" i="140"/>
  <c r="P19" i="140"/>
  <c r="O19" i="140"/>
  <c r="L19" i="140"/>
  <c r="Q18" i="140"/>
  <c r="M18" i="140"/>
  <c r="P17" i="140"/>
  <c r="O17" i="140"/>
  <c r="N17" i="140"/>
  <c r="L17" i="140"/>
  <c r="K17" i="140"/>
  <c r="J17" i="140"/>
  <c r="Q16" i="140"/>
  <c r="M16" i="140"/>
  <c r="P15" i="140"/>
  <c r="N15" i="140"/>
  <c r="L15" i="140"/>
  <c r="M15" i="140" s="1"/>
  <c r="J15" i="140"/>
  <c r="Q14" i="140"/>
  <c r="M14" i="140"/>
  <c r="P13" i="140"/>
  <c r="O13" i="140"/>
  <c r="N13" i="140"/>
  <c r="L13" i="140"/>
  <c r="K13" i="140"/>
  <c r="J13" i="140"/>
  <c r="Q12" i="140"/>
  <c r="L12" i="140"/>
  <c r="K12" i="140"/>
  <c r="J12" i="140"/>
  <c r="Q11" i="140"/>
  <c r="M11" i="140"/>
  <c r="P10" i="140"/>
  <c r="O10" i="140"/>
  <c r="N10" i="140"/>
  <c r="L10" i="140"/>
  <c r="K10" i="140"/>
  <c r="J10" i="140"/>
  <c r="B9" i="140"/>
  <c r="C9" i="140" s="1"/>
  <c r="D9" i="140" s="1"/>
  <c r="E9" i="140" s="1"/>
  <c r="F9" i="140" s="1"/>
  <c r="G9" i="140" s="1"/>
  <c r="H9" i="140" s="1"/>
  <c r="I9" i="140" s="1"/>
  <c r="J9" i="140" s="1"/>
  <c r="K9" i="140" s="1"/>
  <c r="L9" i="140" s="1"/>
  <c r="M9" i="140" s="1"/>
  <c r="N9" i="140" s="1"/>
  <c r="O9" i="140" s="1"/>
  <c r="P9" i="140" s="1"/>
  <c r="Q9" i="140" s="1"/>
  <c r="P195" i="140" l="1"/>
  <c r="Q77" i="140"/>
  <c r="Q78" i="140"/>
  <c r="M80" i="140"/>
  <c r="M82" i="140"/>
  <c r="Q83" i="140"/>
  <c r="Q85" i="140"/>
  <c r="Q87" i="140"/>
  <c r="Q32" i="140"/>
  <c r="Q134" i="140"/>
  <c r="M136" i="140"/>
  <c r="M140" i="140"/>
  <c r="M141" i="140"/>
  <c r="Q143" i="140"/>
  <c r="M148" i="140"/>
  <c r="M150" i="140"/>
  <c r="M165" i="140"/>
  <c r="Q183" i="140"/>
  <c r="M190" i="140"/>
  <c r="M12" i="140"/>
  <c r="M13" i="140"/>
  <c r="M17" i="140"/>
  <c r="Q24" i="140"/>
  <c r="Q25" i="140"/>
  <c r="Q45" i="140"/>
  <c r="M47" i="140"/>
  <c r="Q47" i="140"/>
  <c r="Q49" i="140"/>
  <c r="Q51" i="140"/>
  <c r="Q54" i="140"/>
  <c r="Q56" i="140"/>
  <c r="Q59" i="140"/>
  <c r="Q61" i="140"/>
  <c r="Q63" i="140"/>
  <c r="Q101" i="140"/>
  <c r="Q103" i="140"/>
  <c r="M107" i="140"/>
  <c r="Q107" i="140"/>
  <c r="Q109" i="140"/>
  <c r="M117" i="140"/>
  <c r="K195" i="140"/>
  <c r="M10" i="140"/>
  <c r="Q34" i="140"/>
  <c r="Q36" i="140"/>
  <c r="M40" i="140"/>
  <c r="Q40" i="140"/>
  <c r="Q41" i="140"/>
  <c r="Q65" i="140"/>
  <c r="Q67" i="140"/>
  <c r="M72" i="140"/>
  <c r="M74" i="140"/>
  <c r="Q89" i="140"/>
  <c r="M96" i="140"/>
  <c r="M99" i="140"/>
  <c r="M125" i="140"/>
  <c r="M127" i="140"/>
  <c r="Q129" i="140"/>
  <c r="M132" i="140"/>
  <c r="M168" i="140"/>
  <c r="Q169" i="140"/>
  <c r="Q181" i="140"/>
  <c r="M20" i="140"/>
  <c r="J195" i="140"/>
  <c r="L195" i="140"/>
  <c r="O195" i="140"/>
  <c r="Q195" i="140" s="1"/>
  <c r="Q13" i="140"/>
  <c r="Q15" i="140"/>
  <c r="Q17" i="140"/>
  <c r="M19" i="140"/>
  <c r="Q19" i="140"/>
  <c r="Q20" i="140"/>
  <c r="Q22" i="140"/>
  <c r="M24" i="140"/>
  <c r="M25" i="140"/>
  <c r="M28" i="140"/>
  <c r="M34" i="140"/>
  <c r="M36" i="140"/>
  <c r="M38" i="140"/>
  <c r="M41" i="140"/>
  <c r="M45" i="140"/>
  <c r="M49" i="140"/>
  <c r="M51" i="140"/>
  <c r="M54" i="140"/>
  <c r="M56" i="140"/>
  <c r="M58" i="140"/>
  <c r="M63" i="140"/>
  <c r="M65" i="140"/>
  <c r="M67" i="140"/>
  <c r="Q72" i="140"/>
  <c r="Q74" i="140"/>
  <c r="M77" i="140"/>
  <c r="M79" i="140"/>
  <c r="Q79" i="140"/>
  <c r="Q80" i="140"/>
  <c r="M83" i="140"/>
  <c r="M85" i="140"/>
  <c r="M87" i="140"/>
  <c r="M89" i="140"/>
  <c r="M91" i="140"/>
  <c r="Q94" i="140"/>
  <c r="Q96" i="140"/>
  <c r="Q99" i="140"/>
  <c r="M101" i="140"/>
  <c r="M103" i="140"/>
  <c r="M109" i="140"/>
  <c r="M112" i="140"/>
  <c r="Q116" i="140"/>
  <c r="Q117" i="140"/>
  <c r="Q119" i="140"/>
  <c r="M121" i="140"/>
  <c r="Q121" i="140"/>
  <c r="Q123" i="140"/>
  <c r="Q125" i="140"/>
  <c r="Q127" i="140"/>
  <c r="M129" i="140"/>
  <c r="Q132" i="140"/>
  <c r="M134" i="140"/>
  <c r="Q136" i="140"/>
  <c r="Q138" i="140"/>
  <c r="Q140" i="140"/>
  <c r="Q141" i="140"/>
  <c r="M143" i="140"/>
  <c r="M147" i="140"/>
  <c r="Q147" i="140"/>
  <c r="Q148" i="140"/>
  <c r="Q153" i="140"/>
  <c r="Q156" i="140"/>
  <c r="Q160" i="140"/>
  <c r="Q163" i="140"/>
  <c r="Q165" i="140"/>
  <c r="Q168" i="140"/>
  <c r="Q170" i="140"/>
  <c r="M172" i="140"/>
  <c r="Q172" i="140"/>
  <c r="Q177" i="140"/>
  <c r="M181" i="140"/>
  <c r="M183" i="140"/>
  <c r="Q184" i="140"/>
  <c r="M186" i="140"/>
  <c r="Q186" i="140"/>
  <c r="Q188" i="140"/>
  <c r="Q190" i="140"/>
  <c r="N195" i="140"/>
  <c r="Q10" i="140"/>
  <c r="M191" i="139"/>
  <c r="M189" i="139"/>
  <c r="M187" i="139"/>
  <c r="M182" i="139"/>
  <c r="M180" i="139"/>
  <c r="M178" i="139"/>
  <c r="M171" i="139"/>
  <c r="M169" i="139"/>
  <c r="M166" i="139"/>
  <c r="M164" i="139"/>
  <c r="M162" i="139"/>
  <c r="M159" i="139"/>
  <c r="M157" i="139"/>
  <c r="M155" i="139"/>
  <c r="M152" i="139"/>
  <c r="M149" i="139"/>
  <c r="M146" i="139"/>
  <c r="M145" i="139"/>
  <c r="M144" i="139"/>
  <c r="M139" i="139"/>
  <c r="M137" i="139"/>
  <c r="M128" i="139"/>
  <c r="M126" i="139"/>
  <c r="M122" i="139"/>
  <c r="M113" i="139"/>
  <c r="M100" i="139"/>
  <c r="M98" i="139"/>
  <c r="M93" i="139"/>
  <c r="M90" i="139"/>
  <c r="M88" i="139"/>
  <c r="M86" i="139"/>
  <c r="M84" i="139"/>
  <c r="M73" i="139"/>
  <c r="M71" i="139"/>
  <c r="M66" i="139"/>
  <c r="M62" i="139"/>
  <c r="M60" i="139"/>
  <c r="M57" i="139"/>
  <c r="M52" i="139"/>
  <c r="M46" i="139"/>
  <c r="M44" i="139"/>
  <c r="M42" i="139"/>
  <c r="M35" i="139"/>
  <c r="M30" i="139"/>
  <c r="M23" i="139"/>
  <c r="M21" i="139"/>
  <c r="M18" i="139"/>
  <c r="M16" i="139"/>
  <c r="P169" i="139"/>
  <c r="O169" i="139"/>
  <c r="M195" i="140" l="1"/>
  <c r="P54" i="139"/>
  <c r="O54" i="139"/>
  <c r="L28" i="139"/>
  <c r="P28" i="139"/>
  <c r="L121" i="139"/>
  <c r="K121" i="139"/>
  <c r="O28" i="139"/>
  <c r="O10" i="139"/>
  <c r="P10" i="139"/>
  <c r="L123" i="139"/>
  <c r="K123" i="139"/>
  <c r="P119" i="139"/>
  <c r="O119" i="139"/>
  <c r="Q12" i="139"/>
  <c r="L12" i="139"/>
  <c r="K12" i="139"/>
  <c r="L82" i="139"/>
  <c r="K82" i="139"/>
  <c r="L25" i="139"/>
  <c r="K25" i="139"/>
  <c r="P183" i="139"/>
  <c r="P172" i="139"/>
  <c r="P168" i="139"/>
  <c r="P170" i="139"/>
  <c r="P153" i="139"/>
  <c r="P148" i="139"/>
  <c r="P134" i="139"/>
  <c r="P132" i="139"/>
  <c r="P127" i="139"/>
  <c r="P117" i="139"/>
  <c r="P114" i="139"/>
  <c r="P107" i="139"/>
  <c r="P105" i="139"/>
  <c r="P103" i="139"/>
  <c r="P101" i="139"/>
  <c r="P96" i="139"/>
  <c r="P79" i="139"/>
  <c r="P74" i="139"/>
  <c r="P72" i="139"/>
  <c r="P65" i="139"/>
  <c r="P61" i="139"/>
  <c r="P45" i="139"/>
  <c r="P41" i="139"/>
  <c r="P40" i="139"/>
  <c r="P34" i="139"/>
  <c r="P32" i="139"/>
  <c r="P22" i="139"/>
  <c r="P17" i="139"/>
  <c r="L184" i="139"/>
  <c r="L177" i="139"/>
  <c r="L172" i="139"/>
  <c r="L168" i="139"/>
  <c r="L160" i="139"/>
  <c r="L151" i="139"/>
  <c r="L150" i="139"/>
  <c r="L148" i="139"/>
  <c r="L140" i="139"/>
  <c r="L138" i="139"/>
  <c r="L136" i="139"/>
  <c r="L134" i="139"/>
  <c r="L132" i="139"/>
  <c r="L129" i="139"/>
  <c r="L127" i="139"/>
  <c r="L125" i="139"/>
  <c r="L119" i="139"/>
  <c r="L114" i="139"/>
  <c r="L112" i="139"/>
  <c r="L109" i="139"/>
  <c r="L107" i="139"/>
  <c r="L105" i="139"/>
  <c r="L103" i="139"/>
  <c r="L101" i="139"/>
  <c r="L99" i="139"/>
  <c r="L96" i="139"/>
  <c r="L91" i="139"/>
  <c r="L87" i="139"/>
  <c r="L85" i="139"/>
  <c r="L83" i="139"/>
  <c r="L80" i="139"/>
  <c r="L79" i="139"/>
  <c r="L74" i="139"/>
  <c r="L72" i="139"/>
  <c r="L68" i="139"/>
  <c r="L65" i="139"/>
  <c r="L63" i="139"/>
  <c r="L54" i="139"/>
  <c r="L51" i="139"/>
  <c r="L49" i="139"/>
  <c r="L47" i="139"/>
  <c r="L45" i="139"/>
  <c r="L41" i="139"/>
  <c r="L40" i="139"/>
  <c r="L34" i="139"/>
  <c r="L32" i="139"/>
  <c r="L24" i="139"/>
  <c r="L17" i="139"/>
  <c r="L15" i="139"/>
  <c r="L13" i="139"/>
  <c r="L10" i="139"/>
  <c r="J27" i="139" l="1"/>
  <c r="J151" i="139"/>
  <c r="J194" i="139"/>
  <c r="N188" i="139"/>
  <c r="J188" i="139"/>
  <c r="J183" i="139"/>
  <c r="N177" i="139"/>
  <c r="J177" i="139"/>
  <c r="J138" i="139"/>
  <c r="J121" i="139"/>
  <c r="J123" i="139"/>
  <c r="J103" i="139"/>
  <c r="N77" i="139"/>
  <c r="J77" i="139"/>
  <c r="N65" i="139"/>
  <c r="J65" i="139"/>
  <c r="N79" i="139"/>
  <c r="J79" i="139"/>
  <c r="N38" i="139"/>
  <c r="J34" i="139"/>
  <c r="N15" i="139"/>
  <c r="J15" i="139"/>
  <c r="I195" i="139"/>
  <c r="H195" i="139"/>
  <c r="P194" i="139"/>
  <c r="O194" i="139"/>
  <c r="N194" i="139"/>
  <c r="M194" i="139"/>
  <c r="Q193" i="139"/>
  <c r="M193" i="139"/>
  <c r="Q192" i="139"/>
  <c r="M192" i="139"/>
  <c r="Q191" i="139"/>
  <c r="P190" i="139"/>
  <c r="O190" i="139"/>
  <c r="N190" i="139"/>
  <c r="L190" i="139"/>
  <c r="K190" i="139"/>
  <c r="J190" i="139"/>
  <c r="Q189" i="139"/>
  <c r="P188" i="139"/>
  <c r="O188" i="139"/>
  <c r="L188" i="139"/>
  <c r="K188" i="139"/>
  <c r="Q187" i="139"/>
  <c r="P186" i="139"/>
  <c r="O186" i="139"/>
  <c r="N186" i="139"/>
  <c r="L186" i="139"/>
  <c r="K186" i="139"/>
  <c r="J186" i="139"/>
  <c r="Q185" i="139"/>
  <c r="M185" i="139"/>
  <c r="P184" i="139"/>
  <c r="O184" i="139"/>
  <c r="N184" i="139"/>
  <c r="K184" i="139"/>
  <c r="M184" i="139" s="1"/>
  <c r="J184" i="139"/>
  <c r="O183" i="139"/>
  <c r="Q183" i="139" s="1"/>
  <c r="N183" i="139"/>
  <c r="L183" i="139"/>
  <c r="K183" i="139"/>
  <c r="Q182" i="139"/>
  <c r="P181" i="139"/>
  <c r="O181" i="139"/>
  <c r="N181" i="139"/>
  <c r="L181" i="139"/>
  <c r="K181" i="139"/>
  <c r="J181" i="139"/>
  <c r="Q180" i="139"/>
  <c r="M179" i="139"/>
  <c r="Q178" i="139"/>
  <c r="P177" i="139"/>
  <c r="O177" i="139"/>
  <c r="K177" i="139"/>
  <c r="M177" i="139" s="1"/>
  <c r="Q176" i="139"/>
  <c r="M176" i="139"/>
  <c r="Q175" i="139"/>
  <c r="M175" i="139"/>
  <c r="M174" i="139"/>
  <c r="J174" i="139"/>
  <c r="Q173" i="139"/>
  <c r="M173" i="139"/>
  <c r="O172" i="139"/>
  <c r="Q172" i="139" s="1"/>
  <c r="N172" i="139"/>
  <c r="K172" i="139"/>
  <c r="M172" i="139" s="1"/>
  <c r="J172" i="139"/>
  <c r="Q171" i="139"/>
  <c r="O170" i="139"/>
  <c r="Q170" i="139" s="1"/>
  <c r="N170" i="139"/>
  <c r="M170" i="139"/>
  <c r="J170" i="139"/>
  <c r="Q169" i="139"/>
  <c r="O168" i="139"/>
  <c r="Q168" i="139" s="1"/>
  <c r="N168" i="139"/>
  <c r="K168" i="139"/>
  <c r="M168" i="139" s="1"/>
  <c r="J168" i="139"/>
  <c r="Q167" i="139"/>
  <c r="M167" i="139"/>
  <c r="Q166" i="139"/>
  <c r="P165" i="139"/>
  <c r="O165" i="139"/>
  <c r="N165" i="139"/>
  <c r="L165" i="139"/>
  <c r="K165" i="139"/>
  <c r="J165" i="139"/>
  <c r="Q164" i="139"/>
  <c r="P163" i="139"/>
  <c r="O163" i="139"/>
  <c r="N163" i="139"/>
  <c r="L163" i="139"/>
  <c r="K163" i="139"/>
  <c r="J163" i="139"/>
  <c r="Q162" i="139"/>
  <c r="Q161" i="139"/>
  <c r="M161" i="139"/>
  <c r="P160" i="139"/>
  <c r="O160" i="139"/>
  <c r="N160" i="139"/>
  <c r="K160" i="139"/>
  <c r="M160" i="139" s="1"/>
  <c r="J160" i="139"/>
  <c r="Q159" i="139"/>
  <c r="Q158" i="139"/>
  <c r="M158" i="139"/>
  <c r="Q157" i="139"/>
  <c r="P156" i="139"/>
  <c r="O156" i="139"/>
  <c r="N156" i="139"/>
  <c r="L156" i="139"/>
  <c r="K156" i="139"/>
  <c r="J156" i="139"/>
  <c r="Q155" i="139"/>
  <c r="Q154" i="139"/>
  <c r="M154" i="139"/>
  <c r="O153" i="139"/>
  <c r="Q153" i="139" s="1"/>
  <c r="N153" i="139"/>
  <c r="L153" i="139"/>
  <c r="K153" i="139"/>
  <c r="J153" i="139"/>
  <c r="Q152" i="139"/>
  <c r="K151" i="139"/>
  <c r="M151" i="139" s="1"/>
  <c r="P150" i="139"/>
  <c r="O150" i="139"/>
  <c r="N150" i="139"/>
  <c r="K150" i="139"/>
  <c r="M150" i="139" s="1"/>
  <c r="J150" i="139"/>
  <c r="Q149" i="139"/>
  <c r="O148" i="139"/>
  <c r="Q148" i="139" s="1"/>
  <c r="N148" i="139"/>
  <c r="K148" i="139"/>
  <c r="M148" i="139" s="1"/>
  <c r="J148" i="139"/>
  <c r="P147" i="139"/>
  <c r="O147" i="139"/>
  <c r="N147" i="139"/>
  <c r="L147" i="139"/>
  <c r="K147" i="139"/>
  <c r="J147" i="139"/>
  <c r="Q146" i="139"/>
  <c r="Q145" i="139"/>
  <c r="Q144" i="139"/>
  <c r="P143" i="139"/>
  <c r="O143" i="139"/>
  <c r="N143" i="139"/>
  <c r="L143" i="139"/>
  <c r="K143" i="139"/>
  <c r="J143" i="139"/>
  <c r="Q142" i="139"/>
  <c r="M142" i="139"/>
  <c r="P141" i="139"/>
  <c r="O141" i="139"/>
  <c r="N141" i="139"/>
  <c r="L141" i="139"/>
  <c r="K141" i="139"/>
  <c r="J141" i="139"/>
  <c r="P140" i="139"/>
  <c r="O140" i="139"/>
  <c r="N140" i="139"/>
  <c r="K140" i="139"/>
  <c r="M140" i="139" s="1"/>
  <c r="J140" i="139"/>
  <c r="Q139" i="139"/>
  <c r="P138" i="139"/>
  <c r="O138" i="139"/>
  <c r="N138" i="139"/>
  <c r="K138" i="139"/>
  <c r="M138" i="139" s="1"/>
  <c r="Q137" i="139"/>
  <c r="P136" i="139"/>
  <c r="O136" i="139"/>
  <c r="N136" i="139"/>
  <c r="K136" i="139"/>
  <c r="M136" i="139" s="1"/>
  <c r="Q135" i="139"/>
  <c r="M135" i="139"/>
  <c r="O134" i="139"/>
  <c r="Q134" i="139" s="1"/>
  <c r="N134" i="139"/>
  <c r="K134" i="139"/>
  <c r="M134" i="139" s="1"/>
  <c r="J134" i="139"/>
  <c r="Q133" i="139"/>
  <c r="M133" i="139"/>
  <c r="O132" i="139"/>
  <c r="Q132" i="139" s="1"/>
  <c r="N132" i="139"/>
  <c r="K132" i="139"/>
  <c r="M132" i="139" s="1"/>
  <c r="J132" i="139"/>
  <c r="M131" i="139"/>
  <c r="Q130" i="139"/>
  <c r="M130" i="139"/>
  <c r="P129" i="139"/>
  <c r="O129" i="139"/>
  <c r="N129" i="139"/>
  <c r="K129" i="139"/>
  <c r="M129" i="139" s="1"/>
  <c r="J129" i="139"/>
  <c r="Q128" i="139"/>
  <c r="O127" i="139"/>
  <c r="Q127" i="139" s="1"/>
  <c r="N127" i="139"/>
  <c r="K127" i="139"/>
  <c r="M127" i="139" s="1"/>
  <c r="J127" i="139"/>
  <c r="Q126" i="139"/>
  <c r="P125" i="139"/>
  <c r="O125" i="139"/>
  <c r="N125" i="139"/>
  <c r="K125" i="139"/>
  <c r="M125" i="139" s="1"/>
  <c r="J125" i="139"/>
  <c r="Q124" i="139"/>
  <c r="M124" i="139"/>
  <c r="P123" i="139"/>
  <c r="O123" i="139"/>
  <c r="N123" i="139"/>
  <c r="M123" i="139"/>
  <c r="Q122" i="139"/>
  <c r="P121" i="139"/>
  <c r="O121" i="139"/>
  <c r="N121" i="139"/>
  <c r="M121" i="139"/>
  <c r="Q120" i="139"/>
  <c r="M120" i="139"/>
  <c r="Q119" i="139"/>
  <c r="N119" i="139"/>
  <c r="K119" i="139"/>
  <c r="M119" i="139" s="1"/>
  <c r="J119" i="139"/>
  <c r="Q118" i="139"/>
  <c r="M118" i="139"/>
  <c r="O117" i="139"/>
  <c r="Q117" i="139" s="1"/>
  <c r="N117" i="139"/>
  <c r="L117" i="139"/>
  <c r="K117" i="139"/>
  <c r="J117" i="139"/>
  <c r="P116" i="139"/>
  <c r="O116" i="139"/>
  <c r="N116" i="139"/>
  <c r="L116" i="139"/>
  <c r="K116" i="139"/>
  <c r="J116" i="139"/>
  <c r="Q115" i="139"/>
  <c r="N115" i="139"/>
  <c r="M115" i="139"/>
  <c r="O114" i="139"/>
  <c r="Q114" i="139" s="1"/>
  <c r="N114" i="139"/>
  <c r="K114" i="139"/>
  <c r="M114" i="139" s="1"/>
  <c r="J114" i="139"/>
  <c r="Q113" i="139"/>
  <c r="P112" i="139"/>
  <c r="O112" i="139"/>
  <c r="N112" i="139"/>
  <c r="K112" i="139"/>
  <c r="M112" i="139" s="1"/>
  <c r="J112" i="139"/>
  <c r="M110" i="139"/>
  <c r="P109" i="139"/>
  <c r="O109" i="139"/>
  <c r="N109" i="139"/>
  <c r="K109" i="139"/>
  <c r="M109" i="139" s="1"/>
  <c r="J109" i="139"/>
  <c r="Q108" i="139"/>
  <c r="M108" i="139"/>
  <c r="O107" i="139"/>
  <c r="Q107" i="139" s="1"/>
  <c r="N107" i="139"/>
  <c r="K107" i="139"/>
  <c r="M107" i="139" s="1"/>
  <c r="J107" i="139"/>
  <c r="Q106" i="139"/>
  <c r="M106" i="139"/>
  <c r="O105" i="139"/>
  <c r="Q105" i="139" s="1"/>
  <c r="N105" i="139"/>
  <c r="K105" i="139"/>
  <c r="M105" i="139" s="1"/>
  <c r="J105" i="139"/>
  <c r="Q104" i="139"/>
  <c r="M104" i="139"/>
  <c r="O103" i="139"/>
  <c r="Q103" i="139" s="1"/>
  <c r="N103" i="139"/>
  <c r="K103" i="139"/>
  <c r="M103" i="139" s="1"/>
  <c r="Q102" i="139"/>
  <c r="M102" i="139"/>
  <c r="O101" i="139"/>
  <c r="Q101" i="139" s="1"/>
  <c r="N101" i="139"/>
  <c r="K101" i="139"/>
  <c r="M101" i="139" s="1"/>
  <c r="J101" i="139"/>
  <c r="Q100" i="139"/>
  <c r="P99" i="139"/>
  <c r="O99" i="139"/>
  <c r="N99" i="139"/>
  <c r="K99" i="139"/>
  <c r="M99" i="139" s="1"/>
  <c r="J99" i="139"/>
  <c r="Q98" i="139"/>
  <c r="Q97" i="139"/>
  <c r="M97" i="139"/>
  <c r="O96" i="139"/>
  <c r="Q96" i="139" s="1"/>
  <c r="N96" i="139"/>
  <c r="K96" i="139"/>
  <c r="M96" i="139" s="1"/>
  <c r="J96" i="139"/>
  <c r="Q95" i="139"/>
  <c r="M95" i="139"/>
  <c r="P94" i="139"/>
  <c r="O94" i="139"/>
  <c r="N94" i="139"/>
  <c r="L94" i="139"/>
  <c r="K94" i="139"/>
  <c r="J94" i="139"/>
  <c r="Q93" i="139"/>
  <c r="Q92" i="139"/>
  <c r="M92" i="139"/>
  <c r="K91" i="139"/>
  <c r="M91" i="139" s="1"/>
  <c r="J91" i="139"/>
  <c r="Q90" i="139"/>
  <c r="P89" i="139"/>
  <c r="O89" i="139"/>
  <c r="N89" i="139"/>
  <c r="L89" i="139"/>
  <c r="K89" i="139"/>
  <c r="J89" i="139"/>
  <c r="Q88" i="139"/>
  <c r="P87" i="139"/>
  <c r="O87" i="139"/>
  <c r="N87" i="139"/>
  <c r="K87" i="139"/>
  <c r="M87" i="139" s="1"/>
  <c r="J87" i="139"/>
  <c r="Q86" i="139"/>
  <c r="P85" i="139"/>
  <c r="O85" i="139"/>
  <c r="N85" i="139"/>
  <c r="K85" i="139"/>
  <c r="M85" i="139" s="1"/>
  <c r="J85" i="139"/>
  <c r="Q84" i="139"/>
  <c r="P83" i="139"/>
  <c r="O83" i="139"/>
  <c r="N83" i="139"/>
  <c r="K83" i="139"/>
  <c r="M83" i="139" s="1"/>
  <c r="J83" i="139"/>
  <c r="P82" i="139"/>
  <c r="O82" i="139"/>
  <c r="N82" i="139"/>
  <c r="M82" i="139"/>
  <c r="J82" i="139"/>
  <c r="Q81" i="139"/>
  <c r="M81" i="139"/>
  <c r="P80" i="139"/>
  <c r="O80" i="139"/>
  <c r="N80" i="139"/>
  <c r="K80" i="139"/>
  <c r="M80" i="139" s="1"/>
  <c r="J80" i="139"/>
  <c r="O79" i="139"/>
  <c r="Q79" i="139" s="1"/>
  <c r="K79" i="139"/>
  <c r="M79" i="139" s="1"/>
  <c r="P78" i="139"/>
  <c r="O78" i="139"/>
  <c r="N78" i="139"/>
  <c r="M78" i="139"/>
  <c r="P77" i="139"/>
  <c r="O77" i="139"/>
  <c r="L77" i="139"/>
  <c r="K77" i="139"/>
  <c r="Q76" i="139"/>
  <c r="M76" i="139"/>
  <c r="P75" i="139"/>
  <c r="O75" i="139"/>
  <c r="N75" i="139"/>
  <c r="M75" i="139"/>
  <c r="O74" i="139"/>
  <c r="Q74" i="139" s="1"/>
  <c r="N74" i="139"/>
  <c r="K74" i="139"/>
  <c r="M74" i="139" s="1"/>
  <c r="J74" i="139"/>
  <c r="Q73" i="139"/>
  <c r="O72" i="139"/>
  <c r="Q72" i="139" s="1"/>
  <c r="N72" i="139"/>
  <c r="K72" i="139"/>
  <c r="M72" i="139" s="1"/>
  <c r="J72" i="139"/>
  <c r="Q71" i="139"/>
  <c r="Q70" i="139"/>
  <c r="N70" i="139"/>
  <c r="M70" i="139"/>
  <c r="Q69" i="139"/>
  <c r="M69" i="139"/>
  <c r="P68" i="139"/>
  <c r="O68" i="139"/>
  <c r="N68" i="139"/>
  <c r="K68" i="139"/>
  <c r="M68" i="139" s="1"/>
  <c r="J68" i="139"/>
  <c r="P67" i="139"/>
  <c r="O67" i="139"/>
  <c r="N67" i="139"/>
  <c r="L67" i="139"/>
  <c r="K67" i="139"/>
  <c r="J67" i="139"/>
  <c r="Q66" i="139"/>
  <c r="O65" i="139"/>
  <c r="Q65" i="139" s="1"/>
  <c r="K65" i="139"/>
  <c r="M65" i="139" s="1"/>
  <c r="Q64" i="139"/>
  <c r="M64" i="139"/>
  <c r="P63" i="139"/>
  <c r="O63" i="139"/>
  <c r="N63" i="139"/>
  <c r="K63" i="139"/>
  <c r="M63" i="139" s="1"/>
  <c r="J63" i="139"/>
  <c r="Q62" i="139"/>
  <c r="O61" i="139"/>
  <c r="Q61" i="139" s="1"/>
  <c r="N61" i="139"/>
  <c r="L61" i="139"/>
  <c r="K61" i="139"/>
  <c r="J61" i="139"/>
  <c r="Q60" i="139"/>
  <c r="P59" i="139"/>
  <c r="O59" i="139"/>
  <c r="N59" i="139"/>
  <c r="M59" i="139"/>
  <c r="Q58" i="139"/>
  <c r="L58" i="139"/>
  <c r="K58" i="139"/>
  <c r="J58" i="139"/>
  <c r="Q57" i="139"/>
  <c r="P56" i="139"/>
  <c r="O56" i="139"/>
  <c r="N56" i="139"/>
  <c r="L56" i="139"/>
  <c r="K56" i="139"/>
  <c r="J56" i="139"/>
  <c r="Q55" i="139"/>
  <c r="M55" i="139"/>
  <c r="Q54" i="139"/>
  <c r="N54" i="139"/>
  <c r="K54" i="139"/>
  <c r="M54" i="139" s="1"/>
  <c r="J54" i="139"/>
  <c r="Q53" i="139"/>
  <c r="M53" i="139"/>
  <c r="Q52" i="139"/>
  <c r="P51" i="139"/>
  <c r="O51" i="139"/>
  <c r="N51" i="139"/>
  <c r="K51" i="139"/>
  <c r="M51" i="139" s="1"/>
  <c r="J51" i="139"/>
  <c r="Q50" i="139"/>
  <c r="M50" i="139"/>
  <c r="P49" i="139"/>
  <c r="O49" i="139"/>
  <c r="N49" i="139"/>
  <c r="K49" i="139"/>
  <c r="M49" i="139" s="1"/>
  <c r="J49" i="139"/>
  <c r="Q48" i="139"/>
  <c r="M48" i="139"/>
  <c r="P47" i="139"/>
  <c r="O47" i="139"/>
  <c r="N47" i="139"/>
  <c r="K47" i="139"/>
  <c r="M47" i="139" s="1"/>
  <c r="J47" i="139"/>
  <c r="P46" i="139"/>
  <c r="Q46" i="139" s="1"/>
  <c r="O45" i="139"/>
  <c r="Q45" i="139" s="1"/>
  <c r="N45" i="139"/>
  <c r="K45" i="139"/>
  <c r="M45" i="139" s="1"/>
  <c r="J45" i="139"/>
  <c r="Q44" i="139"/>
  <c r="Q43" i="139"/>
  <c r="M43" i="139"/>
  <c r="Q42" i="139"/>
  <c r="O41" i="139"/>
  <c r="Q41" i="139" s="1"/>
  <c r="N41" i="139"/>
  <c r="K41" i="139"/>
  <c r="M41" i="139" s="1"/>
  <c r="J41" i="139"/>
  <c r="O40" i="139"/>
  <c r="Q40" i="139" s="1"/>
  <c r="N40" i="139"/>
  <c r="K40" i="139"/>
  <c r="M40" i="139" s="1"/>
  <c r="J40" i="139"/>
  <c r="Q39" i="139"/>
  <c r="M39" i="139"/>
  <c r="P38" i="139"/>
  <c r="O38" i="139"/>
  <c r="L38" i="139"/>
  <c r="K38" i="139"/>
  <c r="J38" i="139"/>
  <c r="Q37" i="139"/>
  <c r="M37" i="139"/>
  <c r="P36" i="139"/>
  <c r="O36" i="139"/>
  <c r="N36" i="139"/>
  <c r="L36" i="139"/>
  <c r="K36" i="139"/>
  <c r="J36" i="139"/>
  <c r="Q35" i="139"/>
  <c r="O34" i="139"/>
  <c r="Q34" i="139" s="1"/>
  <c r="N34" i="139"/>
  <c r="K34" i="139"/>
  <c r="M34" i="139" s="1"/>
  <c r="Q33" i="139"/>
  <c r="M33" i="139"/>
  <c r="O32" i="139"/>
  <c r="Q32" i="139" s="1"/>
  <c r="N32" i="139"/>
  <c r="K32" i="139"/>
  <c r="M32" i="139" s="1"/>
  <c r="J32" i="139"/>
  <c r="Q30" i="139"/>
  <c r="L29" i="139"/>
  <c r="K29" i="139"/>
  <c r="J29" i="139"/>
  <c r="Q28" i="139"/>
  <c r="N28" i="139"/>
  <c r="K28" i="139"/>
  <c r="M28" i="139" s="1"/>
  <c r="J28" i="139"/>
  <c r="M27" i="139"/>
  <c r="Q26" i="139"/>
  <c r="M26" i="139"/>
  <c r="P25" i="139"/>
  <c r="O25" i="139"/>
  <c r="N25" i="139"/>
  <c r="M25" i="139"/>
  <c r="J25" i="139"/>
  <c r="P24" i="139"/>
  <c r="O24" i="139"/>
  <c r="N24" i="139"/>
  <c r="K24" i="139"/>
  <c r="M24" i="139" s="1"/>
  <c r="J24" i="139"/>
  <c r="P23" i="139"/>
  <c r="Q23" i="139" s="1"/>
  <c r="O22" i="139"/>
  <c r="Q22" i="139" s="1"/>
  <c r="N22" i="139"/>
  <c r="K22" i="139"/>
  <c r="M22" i="139" s="1"/>
  <c r="J22" i="139"/>
  <c r="Q21" i="139"/>
  <c r="P20" i="139"/>
  <c r="O20" i="139"/>
  <c r="N20" i="139"/>
  <c r="L20" i="139"/>
  <c r="K20" i="139"/>
  <c r="J20" i="139"/>
  <c r="P19" i="139"/>
  <c r="O19" i="139"/>
  <c r="N19" i="139"/>
  <c r="L19" i="139"/>
  <c r="K19" i="139"/>
  <c r="J19" i="139"/>
  <c r="Q18" i="139"/>
  <c r="O17" i="139"/>
  <c r="Q17" i="139" s="1"/>
  <c r="N17" i="139"/>
  <c r="K17" i="139"/>
  <c r="M17" i="139" s="1"/>
  <c r="J17" i="139"/>
  <c r="Q16" i="139"/>
  <c r="P15" i="139"/>
  <c r="O15" i="139"/>
  <c r="K15" i="139"/>
  <c r="M15" i="139" s="1"/>
  <c r="Q14" i="139"/>
  <c r="M14" i="139"/>
  <c r="P13" i="139"/>
  <c r="O13" i="139"/>
  <c r="N13" i="139"/>
  <c r="K13" i="139"/>
  <c r="M13" i="139" s="1"/>
  <c r="J13" i="139"/>
  <c r="M12" i="139"/>
  <c r="J12" i="139"/>
  <c r="Q11" i="139"/>
  <c r="M11" i="139"/>
  <c r="N10" i="139"/>
  <c r="K10" i="139"/>
  <c r="J10" i="139"/>
  <c r="B9" i="139"/>
  <c r="C9" i="139" s="1"/>
  <c r="D9" i="139" s="1"/>
  <c r="E9" i="139" s="1"/>
  <c r="F9" i="139" s="1"/>
  <c r="G9" i="139" s="1"/>
  <c r="H9" i="139" s="1"/>
  <c r="I9" i="139" s="1"/>
  <c r="J9" i="139" s="1"/>
  <c r="K9" i="139" s="1"/>
  <c r="L9" i="139" s="1"/>
  <c r="M9" i="139" s="1"/>
  <c r="N9" i="139" s="1"/>
  <c r="O9" i="139" s="1"/>
  <c r="P9" i="139" s="1"/>
  <c r="Q9" i="139" s="1"/>
  <c r="Q184" i="139" l="1"/>
  <c r="Q186" i="139"/>
  <c r="Q190" i="139"/>
  <c r="Q163" i="139"/>
  <c r="M116" i="139"/>
  <c r="M117" i="139"/>
  <c r="Q121" i="139"/>
  <c r="O195" i="139"/>
  <c r="L195" i="139"/>
  <c r="Q25" i="139"/>
  <c r="M29" i="139"/>
  <c r="M56" i="139"/>
  <c r="M61" i="139"/>
  <c r="M67" i="139"/>
  <c r="Q68" i="139"/>
  <c r="Q80" i="139"/>
  <c r="Q83" i="139"/>
  <c r="M89" i="139"/>
  <c r="M94" i="139"/>
  <c r="J195" i="139"/>
  <c r="Q13" i="139"/>
  <c r="M19" i="139"/>
  <c r="M20" i="139"/>
  <c r="Q36" i="139"/>
  <c r="Q49" i="139"/>
  <c r="M58" i="139"/>
  <c r="Q75" i="139"/>
  <c r="Q94" i="139"/>
  <c r="Q112" i="139"/>
  <c r="Q123" i="139"/>
  <c r="Q129" i="139"/>
  <c r="Q140" i="139"/>
  <c r="Q141" i="139"/>
  <c r="Q143" i="139"/>
  <c r="M147" i="139"/>
  <c r="M153" i="139"/>
  <c r="M156" i="139"/>
  <c r="Q160" i="139"/>
  <c r="Q165" i="139"/>
  <c r="M181" i="139"/>
  <c r="M188" i="139"/>
  <c r="Q194" i="139"/>
  <c r="K195" i="139"/>
  <c r="M195" i="139" s="1"/>
  <c r="Q15" i="139"/>
  <c r="Q19" i="139"/>
  <c r="Q20" i="139"/>
  <c r="Q24" i="139"/>
  <c r="M36" i="139"/>
  <c r="M38" i="139"/>
  <c r="Q38" i="139"/>
  <c r="Q47" i="139"/>
  <c r="Q51" i="139"/>
  <c r="Q56" i="139"/>
  <c r="Q59" i="139"/>
  <c r="Q63" i="139"/>
  <c r="Q67" i="139"/>
  <c r="M77" i="139"/>
  <c r="Q77" i="139"/>
  <c r="Q78" i="139"/>
  <c r="Q82" i="139"/>
  <c r="Q85" i="139"/>
  <c r="Q99" i="139"/>
  <c r="Q109" i="139"/>
  <c r="Q116" i="139"/>
  <c r="Q125" i="139"/>
  <c r="Q136" i="139"/>
  <c r="Q138" i="139"/>
  <c r="M141" i="139"/>
  <c r="M143" i="139"/>
  <c r="Q147" i="139"/>
  <c r="Q188" i="139"/>
  <c r="Q87" i="139"/>
  <c r="Q89" i="139"/>
  <c r="Q156" i="139"/>
  <c r="M163" i="139"/>
  <c r="M165" i="139"/>
  <c r="Q177" i="139"/>
  <c r="Q181" i="139"/>
  <c r="M183" i="139"/>
  <c r="M186" i="139"/>
  <c r="M190" i="139"/>
  <c r="Q10" i="139"/>
  <c r="M10" i="139"/>
  <c r="N195" i="139"/>
  <c r="P195" i="139"/>
  <c r="J12" i="138"/>
  <c r="N184" i="138"/>
  <c r="J174" i="138"/>
  <c r="J160" i="138"/>
  <c r="J163" i="138"/>
  <c r="N156" i="138"/>
  <c r="J156" i="138"/>
  <c r="N147" i="138"/>
  <c r="J147" i="138"/>
  <c r="J119" i="138"/>
  <c r="N105" i="138"/>
  <c r="J105" i="138"/>
  <c r="N94" i="138"/>
  <c r="J94" i="138"/>
  <c r="J89" i="138"/>
  <c r="J79" i="138"/>
  <c r="J67" i="138"/>
  <c r="J61" i="138"/>
  <c r="N45" i="138"/>
  <c r="J45" i="138"/>
  <c r="N116" i="138"/>
  <c r="J116" i="138"/>
  <c r="N28" i="138"/>
  <c r="J28" i="138"/>
  <c r="J25" i="138"/>
  <c r="N19" i="138"/>
  <c r="J19" i="138"/>
  <c r="J22" i="138"/>
  <c r="I195" i="138"/>
  <c r="H195" i="138"/>
  <c r="P194" i="138"/>
  <c r="O194" i="138"/>
  <c r="N194" i="138"/>
  <c r="M194" i="138"/>
  <c r="J194" i="138"/>
  <c r="Q193" i="138"/>
  <c r="M193" i="138"/>
  <c r="Q192" i="138"/>
  <c r="M192" i="138"/>
  <c r="Q191" i="138"/>
  <c r="M191" i="138"/>
  <c r="P190" i="138"/>
  <c r="O190" i="138"/>
  <c r="N190" i="138"/>
  <c r="L190" i="138"/>
  <c r="K190" i="138"/>
  <c r="J190" i="138"/>
  <c r="Q189" i="138"/>
  <c r="M189" i="138"/>
  <c r="P188" i="138"/>
  <c r="O188" i="138"/>
  <c r="N188" i="138"/>
  <c r="L188" i="138"/>
  <c r="K188" i="138"/>
  <c r="J188" i="138"/>
  <c r="Q187" i="138"/>
  <c r="M187" i="138"/>
  <c r="P186" i="138"/>
  <c r="O186" i="138"/>
  <c r="N186" i="138"/>
  <c r="L186" i="138"/>
  <c r="K186" i="138"/>
  <c r="J186" i="138"/>
  <c r="Q185" i="138"/>
  <c r="M185" i="138"/>
  <c r="P184" i="138"/>
  <c r="O184" i="138"/>
  <c r="L184" i="138"/>
  <c r="K184" i="138"/>
  <c r="J184" i="138"/>
  <c r="P183" i="138"/>
  <c r="O183" i="138"/>
  <c r="N183" i="138"/>
  <c r="L183" i="138"/>
  <c r="K183" i="138"/>
  <c r="J183" i="138"/>
  <c r="Q182" i="138"/>
  <c r="M182" i="138"/>
  <c r="P181" i="138"/>
  <c r="O181" i="138"/>
  <c r="N181" i="138"/>
  <c r="L181" i="138"/>
  <c r="K181" i="138"/>
  <c r="J181" i="138"/>
  <c r="Q180" i="138"/>
  <c r="M180" i="138"/>
  <c r="M179" i="138"/>
  <c r="Q178" i="138"/>
  <c r="P177" i="138"/>
  <c r="O177" i="138"/>
  <c r="N177" i="138"/>
  <c r="L177" i="138"/>
  <c r="K177" i="138"/>
  <c r="J177" i="138"/>
  <c r="Q176" i="138"/>
  <c r="M176" i="138"/>
  <c r="Q175" i="138"/>
  <c r="M175" i="138"/>
  <c r="M174" i="138"/>
  <c r="Q173" i="138"/>
  <c r="M173" i="138"/>
  <c r="P172" i="138"/>
  <c r="O172" i="138"/>
  <c r="N172" i="138"/>
  <c r="L172" i="138"/>
  <c r="K172" i="138"/>
  <c r="J172" i="138"/>
  <c r="Q171" i="138"/>
  <c r="M171" i="138"/>
  <c r="P170" i="138"/>
  <c r="O170" i="138"/>
  <c r="N170" i="138"/>
  <c r="M170" i="138"/>
  <c r="J170" i="138"/>
  <c r="Q169" i="138"/>
  <c r="M169" i="138"/>
  <c r="P168" i="138"/>
  <c r="O168" i="138"/>
  <c r="N168" i="138"/>
  <c r="L168" i="138"/>
  <c r="K168" i="138"/>
  <c r="J168" i="138"/>
  <c r="Q167" i="138"/>
  <c r="M167" i="138"/>
  <c r="Q166" i="138"/>
  <c r="M166" i="138"/>
  <c r="P165" i="138"/>
  <c r="O165" i="138"/>
  <c r="N165" i="138"/>
  <c r="L165" i="138"/>
  <c r="K165" i="138"/>
  <c r="J165" i="138"/>
  <c r="Q164" i="138"/>
  <c r="M164" i="138"/>
  <c r="P163" i="138"/>
  <c r="O163" i="138"/>
  <c r="N163" i="138"/>
  <c r="L163" i="138"/>
  <c r="K163" i="138"/>
  <c r="Q162" i="138"/>
  <c r="M162" i="138"/>
  <c r="Q161" i="138"/>
  <c r="M161" i="138"/>
  <c r="P160" i="138"/>
  <c r="O160" i="138"/>
  <c r="N160" i="138"/>
  <c r="L160" i="138"/>
  <c r="K160" i="138"/>
  <c r="Q159" i="138"/>
  <c r="M159" i="138"/>
  <c r="Q158" i="138"/>
  <c r="M158" i="138"/>
  <c r="Q157" i="138"/>
  <c r="M157" i="138"/>
  <c r="P156" i="138"/>
  <c r="O156" i="138"/>
  <c r="L156" i="138"/>
  <c r="K156" i="138"/>
  <c r="Q155" i="138"/>
  <c r="Q154" i="138"/>
  <c r="M154" i="138"/>
  <c r="P153" i="138"/>
  <c r="O153" i="138"/>
  <c r="N153" i="138"/>
  <c r="L153" i="138"/>
  <c r="K153" i="138"/>
  <c r="J153" i="138"/>
  <c r="Q152" i="138"/>
  <c r="L151" i="138"/>
  <c r="K151" i="138"/>
  <c r="J151" i="138"/>
  <c r="P150" i="138"/>
  <c r="O150" i="138"/>
  <c r="N150" i="138"/>
  <c r="L150" i="138"/>
  <c r="K150" i="138"/>
  <c r="J150" i="138"/>
  <c r="Q149" i="138"/>
  <c r="M149" i="138"/>
  <c r="P148" i="138"/>
  <c r="O148" i="138"/>
  <c r="N148" i="138"/>
  <c r="L148" i="138"/>
  <c r="K148" i="138"/>
  <c r="J148" i="138"/>
  <c r="P147" i="138"/>
  <c r="O147" i="138"/>
  <c r="L147" i="138"/>
  <c r="K147" i="138"/>
  <c r="Q146" i="138"/>
  <c r="M146" i="138"/>
  <c r="Q145" i="138"/>
  <c r="Q144" i="138"/>
  <c r="M144" i="138"/>
  <c r="P143" i="138"/>
  <c r="O143" i="138"/>
  <c r="N143" i="138"/>
  <c r="L143" i="138"/>
  <c r="K143" i="138"/>
  <c r="J143" i="138"/>
  <c r="Q142" i="138"/>
  <c r="M142" i="138"/>
  <c r="P141" i="138"/>
  <c r="O141" i="138"/>
  <c r="N141" i="138"/>
  <c r="L141" i="138"/>
  <c r="K141" i="138"/>
  <c r="J141" i="138"/>
  <c r="P140" i="138"/>
  <c r="O140" i="138"/>
  <c r="N140" i="138"/>
  <c r="L140" i="138"/>
  <c r="K140" i="138"/>
  <c r="J140" i="138"/>
  <c r="Q139" i="138"/>
  <c r="M139" i="138"/>
  <c r="P138" i="138"/>
  <c r="O138" i="138"/>
  <c r="N138" i="138"/>
  <c r="L138" i="138"/>
  <c r="K138" i="138"/>
  <c r="J138" i="138"/>
  <c r="Q137" i="138"/>
  <c r="M137" i="138"/>
  <c r="P136" i="138"/>
  <c r="O136" i="138"/>
  <c r="N136" i="138"/>
  <c r="L136" i="138"/>
  <c r="K136" i="138"/>
  <c r="Q135" i="138"/>
  <c r="M135" i="138"/>
  <c r="P134" i="138"/>
  <c r="O134" i="138"/>
  <c r="N134" i="138"/>
  <c r="L134" i="138"/>
  <c r="K134" i="138"/>
  <c r="J134" i="138"/>
  <c r="Q133" i="138"/>
  <c r="M133" i="138"/>
  <c r="P132" i="138"/>
  <c r="O132" i="138"/>
  <c r="N132" i="138"/>
  <c r="L132" i="138"/>
  <c r="K132" i="138"/>
  <c r="J132" i="138"/>
  <c r="M131" i="138"/>
  <c r="Q130" i="138"/>
  <c r="M130" i="138"/>
  <c r="P129" i="138"/>
  <c r="O129" i="138"/>
  <c r="N129" i="138"/>
  <c r="L129" i="138"/>
  <c r="K129" i="138"/>
  <c r="J129" i="138"/>
  <c r="Q128" i="138"/>
  <c r="M128" i="138"/>
  <c r="P127" i="138"/>
  <c r="O127" i="138"/>
  <c r="N127" i="138"/>
  <c r="L127" i="138"/>
  <c r="K127" i="138"/>
  <c r="J127" i="138"/>
  <c r="Q126" i="138"/>
  <c r="M126" i="138"/>
  <c r="P125" i="138"/>
  <c r="O125" i="138"/>
  <c r="N125" i="138"/>
  <c r="L125" i="138"/>
  <c r="K125" i="138"/>
  <c r="J125" i="138"/>
  <c r="Q124" i="138"/>
  <c r="M124" i="138"/>
  <c r="P123" i="138"/>
  <c r="O123" i="138"/>
  <c r="N123" i="138"/>
  <c r="L123" i="138"/>
  <c r="K123" i="138"/>
  <c r="J123" i="138"/>
  <c r="Q122" i="138"/>
  <c r="M122" i="138"/>
  <c r="P121" i="138"/>
  <c r="O121" i="138"/>
  <c r="N121" i="138"/>
  <c r="L121" i="138"/>
  <c r="K121" i="138"/>
  <c r="J121" i="138"/>
  <c r="Q120" i="138"/>
  <c r="M120" i="138"/>
  <c r="P119" i="138"/>
  <c r="O119" i="138"/>
  <c r="N119" i="138"/>
  <c r="L119" i="138"/>
  <c r="K119" i="138"/>
  <c r="Q118" i="138"/>
  <c r="M118" i="138"/>
  <c r="P117" i="138"/>
  <c r="O117" i="138"/>
  <c r="N117" i="138"/>
  <c r="L117" i="138"/>
  <c r="K117" i="138"/>
  <c r="J117" i="138"/>
  <c r="P116" i="138"/>
  <c r="O116" i="138"/>
  <c r="L116" i="138"/>
  <c r="K116" i="138"/>
  <c r="Q115" i="138"/>
  <c r="N115" i="138"/>
  <c r="M115" i="138"/>
  <c r="P114" i="138"/>
  <c r="O114" i="138"/>
  <c r="N114" i="138"/>
  <c r="L114" i="138"/>
  <c r="K114" i="138"/>
  <c r="J114" i="138"/>
  <c r="Q113" i="138"/>
  <c r="M113" i="138"/>
  <c r="P112" i="138"/>
  <c r="O112" i="138"/>
  <c r="N112" i="138"/>
  <c r="K112" i="138"/>
  <c r="M112" i="138" s="1"/>
  <c r="J112" i="138"/>
  <c r="M110" i="138"/>
  <c r="P109" i="138"/>
  <c r="O109" i="138"/>
  <c r="N109" i="138"/>
  <c r="L109" i="138"/>
  <c r="K109" i="138"/>
  <c r="J109" i="138"/>
  <c r="Q108" i="138"/>
  <c r="M108" i="138"/>
  <c r="P107" i="138"/>
  <c r="O107" i="138"/>
  <c r="N107" i="138"/>
  <c r="L107" i="138"/>
  <c r="K107" i="138"/>
  <c r="J107" i="138"/>
  <c r="Q106" i="138"/>
  <c r="M106" i="138"/>
  <c r="P105" i="138"/>
  <c r="O105" i="138"/>
  <c r="L105" i="138"/>
  <c r="K105" i="138"/>
  <c r="Q104" i="138"/>
  <c r="M104" i="138"/>
  <c r="P103" i="138"/>
  <c r="O103" i="138"/>
  <c r="N103" i="138"/>
  <c r="L103" i="138"/>
  <c r="K103" i="138"/>
  <c r="J103" i="138"/>
  <c r="Q102" i="138"/>
  <c r="M102" i="138"/>
  <c r="P101" i="138"/>
  <c r="O101" i="138"/>
  <c r="N101" i="138"/>
  <c r="L101" i="138"/>
  <c r="K101" i="138"/>
  <c r="J101" i="138"/>
  <c r="Q100" i="138"/>
  <c r="M100" i="138"/>
  <c r="P99" i="138"/>
  <c r="O99" i="138"/>
  <c r="N99" i="138"/>
  <c r="L99" i="138"/>
  <c r="K99" i="138"/>
  <c r="J99" i="138"/>
  <c r="Q98" i="138"/>
  <c r="M98" i="138"/>
  <c r="Q97" i="138"/>
  <c r="M97" i="138"/>
  <c r="P96" i="138"/>
  <c r="O96" i="138"/>
  <c r="N96" i="138"/>
  <c r="L96" i="138"/>
  <c r="K96" i="138"/>
  <c r="J96" i="138"/>
  <c r="Q95" i="138"/>
  <c r="M95" i="138"/>
  <c r="P94" i="138"/>
  <c r="O94" i="138"/>
  <c r="L94" i="138"/>
  <c r="K94" i="138"/>
  <c r="Q93" i="138"/>
  <c r="M93" i="138"/>
  <c r="Q92" i="138"/>
  <c r="M92" i="138"/>
  <c r="L91" i="138"/>
  <c r="K91" i="138"/>
  <c r="J91" i="138"/>
  <c r="Q90" i="138"/>
  <c r="M90" i="138"/>
  <c r="P89" i="138"/>
  <c r="O89" i="138"/>
  <c r="N89" i="138"/>
  <c r="L89" i="138"/>
  <c r="K89" i="138"/>
  <c r="Q88" i="138"/>
  <c r="M88" i="138"/>
  <c r="P87" i="138"/>
  <c r="O87" i="138"/>
  <c r="N87" i="138"/>
  <c r="L87" i="138"/>
  <c r="K87" i="138"/>
  <c r="J87" i="138"/>
  <c r="Q86" i="138"/>
  <c r="M86" i="138"/>
  <c r="P85" i="138"/>
  <c r="O85" i="138"/>
  <c r="N85" i="138"/>
  <c r="L85" i="138"/>
  <c r="K85" i="138"/>
  <c r="J85" i="138"/>
  <c r="Q84" i="138"/>
  <c r="M84" i="138"/>
  <c r="P83" i="138"/>
  <c r="O83" i="138"/>
  <c r="N83" i="138"/>
  <c r="L83" i="138"/>
  <c r="K83" i="138"/>
  <c r="J83" i="138"/>
  <c r="P82" i="138"/>
  <c r="O82" i="138"/>
  <c r="N82" i="138"/>
  <c r="L82" i="138"/>
  <c r="K82" i="138"/>
  <c r="J82" i="138"/>
  <c r="Q81" i="138"/>
  <c r="M81" i="138"/>
  <c r="P80" i="138"/>
  <c r="O80" i="138"/>
  <c r="N80" i="138"/>
  <c r="L80" i="138"/>
  <c r="K80" i="138"/>
  <c r="J80" i="138"/>
  <c r="P79" i="138"/>
  <c r="O79" i="138"/>
  <c r="N79" i="138"/>
  <c r="L79" i="138"/>
  <c r="K79" i="138"/>
  <c r="P78" i="138"/>
  <c r="O78" i="138"/>
  <c r="N78" i="138"/>
  <c r="M78" i="138"/>
  <c r="P77" i="138"/>
  <c r="O77" i="138"/>
  <c r="N77" i="138"/>
  <c r="L77" i="138"/>
  <c r="K77" i="138"/>
  <c r="J77" i="138"/>
  <c r="Q76" i="138"/>
  <c r="M76" i="138"/>
  <c r="P75" i="138"/>
  <c r="O75" i="138"/>
  <c r="N75" i="138"/>
  <c r="M75" i="138"/>
  <c r="P74" i="138"/>
  <c r="O74" i="138"/>
  <c r="N74" i="138"/>
  <c r="L74" i="138"/>
  <c r="K74" i="138"/>
  <c r="J74" i="138"/>
  <c r="Q73" i="138"/>
  <c r="M73" i="138"/>
  <c r="P72" i="138"/>
  <c r="O72" i="138"/>
  <c r="N72" i="138"/>
  <c r="L72" i="138"/>
  <c r="K72" i="138"/>
  <c r="J72" i="138"/>
  <c r="Q71" i="138"/>
  <c r="M71" i="138"/>
  <c r="Q70" i="138"/>
  <c r="N70" i="138"/>
  <c r="M70" i="138"/>
  <c r="Q69" i="138"/>
  <c r="M69" i="138"/>
  <c r="P68" i="138"/>
  <c r="O68" i="138"/>
  <c r="N68" i="138"/>
  <c r="L68" i="138"/>
  <c r="K68" i="138"/>
  <c r="J68" i="138"/>
  <c r="P67" i="138"/>
  <c r="O67" i="138"/>
  <c r="N67" i="138"/>
  <c r="L67" i="138"/>
  <c r="K67" i="138"/>
  <c r="Q66" i="138"/>
  <c r="M66" i="138"/>
  <c r="P65" i="138"/>
  <c r="O65" i="138"/>
  <c r="N65" i="138"/>
  <c r="L65" i="138"/>
  <c r="K65" i="138"/>
  <c r="J65" i="138"/>
  <c r="Q64" i="138"/>
  <c r="M64" i="138"/>
  <c r="P63" i="138"/>
  <c r="O63" i="138"/>
  <c r="N63" i="138"/>
  <c r="K63" i="138"/>
  <c r="M63" i="138" s="1"/>
  <c r="J63" i="138"/>
  <c r="Q62" i="138"/>
  <c r="M62" i="138"/>
  <c r="P61" i="138"/>
  <c r="O61" i="138"/>
  <c r="N61" i="138"/>
  <c r="L61" i="138"/>
  <c r="K61" i="138"/>
  <c r="Q60" i="138"/>
  <c r="M60" i="138"/>
  <c r="P59" i="138"/>
  <c r="O59" i="138"/>
  <c r="N59" i="138"/>
  <c r="M59" i="138"/>
  <c r="Q58" i="138"/>
  <c r="L58" i="138"/>
  <c r="K58" i="138"/>
  <c r="J58" i="138"/>
  <c r="Q57" i="138"/>
  <c r="M57" i="138"/>
  <c r="P56" i="138"/>
  <c r="O56" i="138"/>
  <c r="N56" i="138"/>
  <c r="L56" i="138"/>
  <c r="K56" i="138"/>
  <c r="J56" i="138"/>
  <c r="Q55" i="138"/>
  <c r="M55" i="138"/>
  <c r="P54" i="138"/>
  <c r="O54" i="138"/>
  <c r="N54" i="138"/>
  <c r="L54" i="138"/>
  <c r="K54" i="138"/>
  <c r="J54" i="138"/>
  <c r="Q53" i="138"/>
  <c r="M53" i="138"/>
  <c r="Q52" i="138"/>
  <c r="M52" i="138"/>
  <c r="P51" i="138"/>
  <c r="O51" i="138"/>
  <c r="N51" i="138"/>
  <c r="L51" i="138"/>
  <c r="K51" i="138"/>
  <c r="J51" i="138"/>
  <c r="Q50" i="138"/>
  <c r="M50" i="138"/>
  <c r="P49" i="138"/>
  <c r="O49" i="138"/>
  <c r="N49" i="138"/>
  <c r="L49" i="138"/>
  <c r="K49" i="138"/>
  <c r="J49" i="138"/>
  <c r="Q48" i="138"/>
  <c r="M48" i="138"/>
  <c r="P47" i="138"/>
  <c r="O47" i="138"/>
  <c r="N47" i="138"/>
  <c r="L47" i="138"/>
  <c r="K47" i="138"/>
  <c r="J47" i="138"/>
  <c r="P46" i="138"/>
  <c r="Q46" i="138" s="1"/>
  <c r="M46" i="138"/>
  <c r="P45" i="138"/>
  <c r="O45" i="138"/>
  <c r="L45" i="138"/>
  <c r="K45" i="138"/>
  <c r="Q44" i="138"/>
  <c r="M44" i="138"/>
  <c r="Q43" i="138"/>
  <c r="M43" i="138"/>
  <c r="Q42" i="138"/>
  <c r="M42" i="138"/>
  <c r="P41" i="138"/>
  <c r="O41" i="138"/>
  <c r="N41" i="138"/>
  <c r="L41" i="138"/>
  <c r="K41" i="138"/>
  <c r="J41" i="138"/>
  <c r="P40" i="138"/>
  <c r="O40" i="138"/>
  <c r="N40" i="138"/>
  <c r="L40" i="138"/>
  <c r="K40" i="138"/>
  <c r="J40" i="138"/>
  <c r="Q39" i="138"/>
  <c r="M39" i="138"/>
  <c r="P38" i="138"/>
  <c r="O38" i="138"/>
  <c r="N38" i="138"/>
  <c r="L38" i="138"/>
  <c r="K38" i="138"/>
  <c r="J38" i="138"/>
  <c r="Q37" i="138"/>
  <c r="M37" i="138"/>
  <c r="P36" i="138"/>
  <c r="O36" i="138"/>
  <c r="N36" i="138"/>
  <c r="L36" i="138"/>
  <c r="K36" i="138"/>
  <c r="J36" i="138"/>
  <c r="Q35" i="138"/>
  <c r="M35" i="138"/>
  <c r="P34" i="138"/>
  <c r="O34" i="138"/>
  <c r="N34" i="138"/>
  <c r="L34" i="138"/>
  <c r="K34" i="138"/>
  <c r="J34" i="138"/>
  <c r="Q33" i="138"/>
  <c r="M33" i="138"/>
  <c r="P32" i="138"/>
  <c r="O32" i="138"/>
  <c r="N32" i="138"/>
  <c r="L32" i="138"/>
  <c r="K32" i="138"/>
  <c r="J32" i="138"/>
  <c r="Q30" i="138"/>
  <c r="L29" i="138"/>
  <c r="K29" i="138"/>
  <c r="J29" i="138"/>
  <c r="O28" i="138"/>
  <c r="Q28" i="138" s="1"/>
  <c r="K28" i="138"/>
  <c r="M28" i="138" s="1"/>
  <c r="M27" i="138"/>
  <c r="J27" i="138"/>
  <c r="Q26" i="138"/>
  <c r="M26" i="138"/>
  <c r="P25" i="138"/>
  <c r="O25" i="138"/>
  <c r="N25" i="138"/>
  <c r="L25" i="138"/>
  <c r="K25" i="138"/>
  <c r="P24" i="138"/>
  <c r="O24" i="138"/>
  <c r="N24" i="138"/>
  <c r="L24" i="138"/>
  <c r="K24" i="138"/>
  <c r="J24" i="138"/>
  <c r="P23" i="138"/>
  <c r="Q23" i="138" s="1"/>
  <c r="M23" i="138"/>
  <c r="P22" i="138"/>
  <c r="O22" i="138"/>
  <c r="N22" i="138"/>
  <c r="K22" i="138"/>
  <c r="M22" i="138" s="1"/>
  <c r="Q21" i="138"/>
  <c r="M21" i="138"/>
  <c r="P20" i="138"/>
  <c r="O20" i="138"/>
  <c r="N20" i="138"/>
  <c r="L20" i="138"/>
  <c r="K20" i="138"/>
  <c r="J20" i="138"/>
  <c r="P19" i="138"/>
  <c r="O19" i="138"/>
  <c r="L19" i="138"/>
  <c r="K19" i="138"/>
  <c r="Q18" i="138"/>
  <c r="M18" i="138"/>
  <c r="P17" i="138"/>
  <c r="O17" i="138"/>
  <c r="N17" i="138"/>
  <c r="L17" i="138"/>
  <c r="K17" i="138"/>
  <c r="J17" i="138"/>
  <c r="Q16" i="138"/>
  <c r="M16" i="138"/>
  <c r="P15" i="138"/>
  <c r="O15" i="138"/>
  <c r="N15" i="138"/>
  <c r="L15" i="138"/>
  <c r="K15" i="138"/>
  <c r="J15" i="138"/>
  <c r="Q14" i="138"/>
  <c r="M14" i="138"/>
  <c r="P13" i="138"/>
  <c r="O13" i="138"/>
  <c r="N13" i="138"/>
  <c r="L13" i="138"/>
  <c r="K13" i="138"/>
  <c r="J13" i="138"/>
  <c r="L12" i="138"/>
  <c r="K12" i="138"/>
  <c r="Q11" i="138"/>
  <c r="M11" i="138"/>
  <c r="P10" i="138"/>
  <c r="O10" i="138"/>
  <c r="N10" i="138"/>
  <c r="L10" i="138"/>
  <c r="K10" i="138"/>
  <c r="J10" i="138"/>
  <c r="B9" i="138"/>
  <c r="C9" i="138" s="1"/>
  <c r="D9" i="138" s="1"/>
  <c r="E9" i="138" s="1"/>
  <c r="F9" i="138" s="1"/>
  <c r="G9" i="138" s="1"/>
  <c r="H9" i="138" s="1"/>
  <c r="I9" i="138" s="1"/>
  <c r="J9" i="138" s="1"/>
  <c r="K9" i="138" s="1"/>
  <c r="L9" i="138" s="1"/>
  <c r="M9" i="138" s="1"/>
  <c r="N9" i="138" s="1"/>
  <c r="O9" i="138" s="1"/>
  <c r="P9" i="138" s="1"/>
  <c r="Q9" i="138" s="1"/>
  <c r="Q195" i="139" l="1"/>
  <c r="J195" i="138"/>
  <c r="O195" i="138"/>
  <c r="Q24" i="138"/>
  <c r="M25" i="138"/>
  <c r="M65" i="138"/>
  <c r="Q67" i="138"/>
  <c r="Q68" i="138"/>
  <c r="M72" i="138"/>
  <c r="M74" i="138"/>
  <c r="M77" i="138"/>
  <c r="Q79" i="138"/>
  <c r="Q80" i="138"/>
  <c r="Q82" i="138"/>
  <c r="Q83" i="138"/>
  <c r="Q85" i="138"/>
  <c r="Q87" i="138"/>
  <c r="M89" i="138"/>
  <c r="M91" i="138"/>
  <c r="M94" i="138"/>
  <c r="Q94" i="138"/>
  <c r="Q96" i="138"/>
  <c r="Q99" i="138"/>
  <c r="Q101" i="138"/>
  <c r="Q103" i="138"/>
  <c r="M105" i="138"/>
  <c r="Q105" i="138"/>
  <c r="Q107" i="138"/>
  <c r="Q109" i="138"/>
  <c r="Q112" i="138"/>
  <c r="Q114" i="138"/>
  <c r="M117" i="138"/>
  <c r="Q119" i="138"/>
  <c r="Q121" i="138"/>
  <c r="Q123" i="138"/>
  <c r="Q125" i="138"/>
  <c r="Q127" i="138"/>
  <c r="Q129" i="138"/>
  <c r="M132" i="138"/>
  <c r="M134" i="138"/>
  <c r="Q136" i="138"/>
  <c r="Q138" i="138"/>
  <c r="Q140" i="138"/>
  <c r="Q141" i="138"/>
  <c r="Q143" i="138"/>
  <c r="M148" i="138"/>
  <c r="M150" i="138"/>
  <c r="M151" i="138"/>
  <c r="M153" i="138"/>
  <c r="M156" i="138"/>
  <c r="Q156" i="138"/>
  <c r="M160" i="138"/>
  <c r="Q163" i="138"/>
  <c r="Q165" i="138"/>
  <c r="Q168" i="138"/>
  <c r="M172" i="138"/>
  <c r="Q177" i="138"/>
  <c r="Q181" i="138"/>
  <c r="Q183" i="138"/>
  <c r="M186" i="138"/>
  <c r="M188" i="138"/>
  <c r="M190" i="138"/>
  <c r="Q194" i="138"/>
  <c r="K195" i="138"/>
  <c r="M13" i="138"/>
  <c r="M15" i="138"/>
  <c r="M17" i="138"/>
  <c r="M20" i="138"/>
  <c r="Q32" i="138"/>
  <c r="Q34" i="138"/>
  <c r="Q36" i="138"/>
  <c r="Q38" i="138"/>
  <c r="Q40" i="138"/>
  <c r="Q41" i="138"/>
  <c r="M45" i="138"/>
  <c r="Q45" i="138"/>
  <c r="Q51" i="138"/>
  <c r="Q54" i="138"/>
  <c r="Q56" i="138"/>
  <c r="Q59" i="138"/>
  <c r="M61" i="138"/>
  <c r="L195" i="138"/>
  <c r="M12" i="138"/>
  <c r="Q13" i="138"/>
  <c r="Q15" i="138"/>
  <c r="Q17" i="138"/>
  <c r="M19" i="138"/>
  <c r="Q19" i="138"/>
  <c r="Q20" i="138"/>
  <c r="Q22" i="138"/>
  <c r="M24" i="138"/>
  <c r="Q25" i="138"/>
  <c r="M29" i="138"/>
  <c r="M32" i="138"/>
  <c r="M34" i="138"/>
  <c r="M36" i="138"/>
  <c r="M38" i="138"/>
  <c r="M40" i="138"/>
  <c r="M41" i="138"/>
  <c r="M47" i="138"/>
  <c r="M49" i="138"/>
  <c r="M51" i="138"/>
  <c r="M54" i="138"/>
  <c r="M56" i="138"/>
  <c r="M58" i="138"/>
  <c r="Q61" i="138"/>
  <c r="Q63" i="138"/>
  <c r="Q65" i="138"/>
  <c r="M67" i="138"/>
  <c r="M68" i="138"/>
  <c r="Q72" i="138"/>
  <c r="Q74" i="138"/>
  <c r="Q75" i="138"/>
  <c r="Q77" i="138"/>
  <c r="Q78" i="138"/>
  <c r="M79" i="138"/>
  <c r="M80" i="138"/>
  <c r="M82" i="138"/>
  <c r="M83" i="138"/>
  <c r="M85" i="138"/>
  <c r="M87" i="138"/>
  <c r="Q89" i="138"/>
  <c r="M96" i="138"/>
  <c r="M99" i="138"/>
  <c r="M101" i="138"/>
  <c r="M103" i="138"/>
  <c r="M107" i="138"/>
  <c r="M109" i="138"/>
  <c r="M114" i="138"/>
  <c r="M116" i="138"/>
  <c r="Q116" i="138"/>
  <c r="Q117" i="138"/>
  <c r="M119" i="138"/>
  <c r="M121" i="138"/>
  <c r="M123" i="138"/>
  <c r="M125" i="138"/>
  <c r="M127" i="138"/>
  <c r="M129" i="138"/>
  <c r="Q132" i="138"/>
  <c r="Q134" i="138"/>
  <c r="M136" i="138"/>
  <c r="M138" i="138"/>
  <c r="M140" i="138"/>
  <c r="M141" i="138"/>
  <c r="M143" i="138"/>
  <c r="M147" i="138"/>
  <c r="Q147" i="138"/>
  <c r="Q148" i="138"/>
  <c r="Q153" i="138"/>
  <c r="Q160" i="138"/>
  <c r="M163" i="138"/>
  <c r="M165" i="138"/>
  <c r="M168" i="138"/>
  <c r="Q170" i="138"/>
  <c r="Q172" i="138"/>
  <c r="M177" i="138"/>
  <c r="M181" i="138"/>
  <c r="M183" i="138"/>
  <c r="M184" i="138"/>
  <c r="Q184" i="138"/>
  <c r="Q186" i="138"/>
  <c r="Q188" i="138"/>
  <c r="Q190" i="138"/>
  <c r="M10" i="138"/>
  <c r="N195" i="138"/>
  <c r="P195" i="138"/>
  <c r="Q47" i="138"/>
  <c r="Q49" i="138"/>
  <c r="Q10" i="138"/>
  <c r="O150" i="137"/>
  <c r="K150" i="137"/>
  <c r="O117" i="137"/>
  <c r="K54" i="137"/>
  <c r="O54" i="137"/>
  <c r="K177" i="137"/>
  <c r="O183" i="137"/>
  <c r="K184" i="137"/>
  <c r="O172" i="137"/>
  <c r="K172" i="137"/>
  <c r="O168" i="137"/>
  <c r="K168" i="137"/>
  <c r="O153" i="137"/>
  <c r="K91" i="137"/>
  <c r="O148" i="137"/>
  <c r="K148" i="137"/>
  <c r="O65" i="137"/>
  <c r="K65" i="137"/>
  <c r="K151" i="137"/>
  <c r="O132" i="137"/>
  <c r="K132" i="137"/>
  <c r="O134" i="137"/>
  <c r="K134" i="137"/>
  <c r="O127" i="137"/>
  <c r="K129" i="137"/>
  <c r="K127" i="137"/>
  <c r="K125" i="137"/>
  <c r="O114" i="137"/>
  <c r="K114" i="137"/>
  <c r="K112" i="137"/>
  <c r="K109" i="137"/>
  <c r="K87" i="137"/>
  <c r="K80" i="137"/>
  <c r="O72" i="137"/>
  <c r="K63" i="137"/>
  <c r="O61" i="137"/>
  <c r="K41" i="137"/>
  <c r="O32" i="137"/>
  <c r="K25" i="137"/>
  <c r="K24" i="137"/>
  <c r="K10" i="137"/>
  <c r="O119" i="137"/>
  <c r="K119" i="137"/>
  <c r="K160" i="137"/>
  <c r="O105" i="137"/>
  <c r="K105" i="137"/>
  <c r="O107" i="137"/>
  <c r="K107" i="137"/>
  <c r="K99" i="137"/>
  <c r="O101" i="137"/>
  <c r="K101" i="137"/>
  <c r="O103" i="137"/>
  <c r="K103" i="137"/>
  <c r="O96" i="137"/>
  <c r="K96" i="137"/>
  <c r="K85" i="137"/>
  <c r="K83" i="137"/>
  <c r="K72" i="137"/>
  <c r="O79" i="137"/>
  <c r="K79" i="137"/>
  <c r="O74" i="137"/>
  <c r="K74" i="137"/>
  <c r="K68" i="137"/>
  <c r="K47" i="137"/>
  <c r="K49" i="137"/>
  <c r="O45" i="137"/>
  <c r="K45" i="137"/>
  <c r="O41" i="137"/>
  <c r="O40" i="137"/>
  <c r="K40" i="137"/>
  <c r="O34" i="137"/>
  <c r="K34" i="137"/>
  <c r="K32" i="137"/>
  <c r="O28" i="137"/>
  <c r="K28" i="137"/>
  <c r="O22" i="137"/>
  <c r="K22" i="137"/>
  <c r="O17" i="137"/>
  <c r="K17" i="137"/>
  <c r="K13" i="137"/>
  <c r="K15" i="137"/>
  <c r="Q195" i="138" l="1"/>
  <c r="M195" i="138"/>
  <c r="J80" i="137"/>
  <c r="N153" i="137"/>
  <c r="N150" i="137"/>
  <c r="J150" i="137"/>
  <c r="J138" i="137"/>
  <c r="N132" i="137"/>
  <c r="J132" i="137"/>
  <c r="J125" i="137"/>
  <c r="N117" i="137"/>
  <c r="J117" i="137"/>
  <c r="J112" i="137"/>
  <c r="N87" i="137"/>
  <c r="J87" i="137"/>
  <c r="N72" i="137"/>
  <c r="J63" i="137"/>
  <c r="N61" i="137"/>
  <c r="J61" i="137"/>
  <c r="N54" i="137"/>
  <c r="J54" i="137"/>
  <c r="J41" i="137"/>
  <c r="J25" i="137"/>
  <c r="J10" i="137"/>
  <c r="I195" i="137" l="1"/>
  <c r="H195" i="137"/>
  <c r="P194" i="137"/>
  <c r="O194" i="137"/>
  <c r="N194" i="137"/>
  <c r="M194" i="137"/>
  <c r="J194" i="137"/>
  <c r="Q193" i="137"/>
  <c r="M193" i="137"/>
  <c r="Q192" i="137"/>
  <c r="M192" i="137"/>
  <c r="Q191" i="137"/>
  <c r="M191" i="137"/>
  <c r="P190" i="137"/>
  <c r="O190" i="137"/>
  <c r="N190" i="137"/>
  <c r="L190" i="137"/>
  <c r="K190" i="137"/>
  <c r="J190" i="137"/>
  <c r="Q189" i="137"/>
  <c r="M189" i="137"/>
  <c r="P188" i="137"/>
  <c r="O188" i="137"/>
  <c r="N188" i="137"/>
  <c r="L188" i="137"/>
  <c r="K188" i="137"/>
  <c r="J188" i="137"/>
  <c r="Q187" i="137"/>
  <c r="M187" i="137"/>
  <c r="P186" i="137"/>
  <c r="O186" i="137"/>
  <c r="N186" i="137"/>
  <c r="L186" i="137"/>
  <c r="K186" i="137"/>
  <c r="J186" i="137"/>
  <c r="Q185" i="137"/>
  <c r="M185" i="137"/>
  <c r="P184" i="137"/>
  <c r="O184" i="137"/>
  <c r="N184" i="137"/>
  <c r="L184" i="137"/>
  <c r="M184" i="137" s="1"/>
  <c r="J184" i="137"/>
  <c r="P183" i="137"/>
  <c r="Q183" i="137" s="1"/>
  <c r="N183" i="137"/>
  <c r="L183" i="137"/>
  <c r="K183" i="137"/>
  <c r="J183" i="137"/>
  <c r="Q182" i="137"/>
  <c r="M182" i="137"/>
  <c r="P181" i="137"/>
  <c r="O181" i="137"/>
  <c r="N181" i="137"/>
  <c r="L181" i="137"/>
  <c r="K181" i="137"/>
  <c r="J181" i="137"/>
  <c r="Q180" i="137"/>
  <c r="M180" i="137"/>
  <c r="M179" i="137"/>
  <c r="Q178" i="137"/>
  <c r="P177" i="137"/>
  <c r="O177" i="137"/>
  <c r="N177" i="137"/>
  <c r="L177" i="137"/>
  <c r="M177" i="137" s="1"/>
  <c r="J177" i="137"/>
  <c r="Q176" i="137"/>
  <c r="M176" i="137"/>
  <c r="Q175" i="137"/>
  <c r="M175" i="137"/>
  <c r="M174" i="137"/>
  <c r="J174" i="137"/>
  <c r="Q173" i="137"/>
  <c r="N173" i="137"/>
  <c r="M173" i="137"/>
  <c r="P172" i="137"/>
  <c r="Q172" i="137" s="1"/>
  <c r="N172" i="137"/>
  <c r="L172" i="137"/>
  <c r="M172" i="137" s="1"/>
  <c r="J172" i="137"/>
  <c r="Q171" i="137"/>
  <c r="M171" i="137"/>
  <c r="P170" i="137"/>
  <c r="O170" i="137"/>
  <c r="N170" i="137"/>
  <c r="M170" i="137"/>
  <c r="J170" i="137"/>
  <c r="Q169" i="137"/>
  <c r="M169" i="137"/>
  <c r="P168" i="137"/>
  <c r="Q168" i="137" s="1"/>
  <c r="N168" i="137"/>
  <c r="L168" i="137"/>
  <c r="M168" i="137" s="1"/>
  <c r="J168" i="137"/>
  <c r="Q167" i="137"/>
  <c r="M167" i="137"/>
  <c r="Q166" i="137"/>
  <c r="M166" i="137"/>
  <c r="P165" i="137"/>
  <c r="O165" i="137"/>
  <c r="N165" i="137"/>
  <c r="L165" i="137"/>
  <c r="K165" i="137"/>
  <c r="J165" i="137"/>
  <c r="Q164" i="137"/>
  <c r="M164" i="137"/>
  <c r="P163" i="137"/>
  <c r="O163" i="137"/>
  <c r="N163" i="137"/>
  <c r="L163" i="137"/>
  <c r="K163" i="137"/>
  <c r="J163" i="137"/>
  <c r="Q162" i="137"/>
  <c r="M162" i="137"/>
  <c r="Q161" i="137"/>
  <c r="M161" i="137"/>
  <c r="P160" i="137"/>
  <c r="O160" i="137"/>
  <c r="N160" i="137"/>
  <c r="L160" i="137"/>
  <c r="M160" i="137" s="1"/>
  <c r="J160" i="137"/>
  <c r="Q159" i="137"/>
  <c r="M159" i="137"/>
  <c r="Q158" i="137"/>
  <c r="M158" i="137"/>
  <c r="Q157" i="137"/>
  <c r="M157" i="137"/>
  <c r="P156" i="137"/>
  <c r="O156" i="137"/>
  <c r="N156" i="137"/>
  <c r="L156" i="137"/>
  <c r="K156" i="137"/>
  <c r="J156" i="137"/>
  <c r="Q155" i="137"/>
  <c r="Q154" i="137"/>
  <c r="M154" i="137"/>
  <c r="P153" i="137"/>
  <c r="Q153" i="137" s="1"/>
  <c r="L153" i="137"/>
  <c r="K153" i="137"/>
  <c r="J153" i="137"/>
  <c r="Q152" i="137"/>
  <c r="L151" i="137"/>
  <c r="M151" i="137" s="1"/>
  <c r="J151" i="137"/>
  <c r="P150" i="137"/>
  <c r="L150" i="137"/>
  <c r="M150" i="137" s="1"/>
  <c r="Q149" i="137"/>
  <c r="M149" i="137"/>
  <c r="P148" i="137"/>
  <c r="Q148" i="137" s="1"/>
  <c r="N148" i="137"/>
  <c r="L148" i="137"/>
  <c r="M148" i="137" s="1"/>
  <c r="J148" i="137"/>
  <c r="P147" i="137"/>
  <c r="O147" i="137"/>
  <c r="L147" i="137"/>
  <c r="K147" i="137"/>
  <c r="Q146" i="137"/>
  <c r="M146" i="137"/>
  <c r="Q145" i="137"/>
  <c r="Q144" i="137"/>
  <c r="M144" i="137"/>
  <c r="P143" i="137"/>
  <c r="O143" i="137"/>
  <c r="N143" i="137"/>
  <c r="L143" i="137"/>
  <c r="K143" i="137"/>
  <c r="J143" i="137"/>
  <c r="Q142" i="137"/>
  <c r="M142" i="137"/>
  <c r="P141" i="137"/>
  <c r="O141" i="137"/>
  <c r="N141" i="137"/>
  <c r="L141" i="137"/>
  <c r="K141" i="137"/>
  <c r="J141" i="137"/>
  <c r="P140" i="137"/>
  <c r="O140" i="137"/>
  <c r="N140" i="137"/>
  <c r="L140" i="137"/>
  <c r="K140" i="137"/>
  <c r="J140" i="137"/>
  <c r="Q139" i="137"/>
  <c r="M139" i="137"/>
  <c r="P138" i="137"/>
  <c r="O138" i="137"/>
  <c r="N138" i="137"/>
  <c r="L138" i="137"/>
  <c r="K138" i="137"/>
  <c r="Q137" i="137"/>
  <c r="M137" i="137"/>
  <c r="P136" i="137"/>
  <c r="O136" i="137"/>
  <c r="N136" i="137"/>
  <c r="L136" i="137"/>
  <c r="K136" i="137"/>
  <c r="Q135" i="137"/>
  <c r="M135" i="137"/>
  <c r="P134" i="137"/>
  <c r="Q134" i="137" s="1"/>
  <c r="N134" i="137"/>
  <c r="L134" i="137"/>
  <c r="M134" i="137" s="1"/>
  <c r="J134" i="137"/>
  <c r="Q133" i="137"/>
  <c r="M133" i="137"/>
  <c r="P132" i="137"/>
  <c r="Q132" i="137" s="1"/>
  <c r="L132" i="137"/>
  <c r="M132" i="137" s="1"/>
  <c r="M131" i="137"/>
  <c r="Q130" i="137"/>
  <c r="M130" i="137"/>
  <c r="P129" i="137"/>
  <c r="O129" i="137"/>
  <c r="N129" i="137"/>
  <c r="L129" i="137"/>
  <c r="M129" i="137" s="1"/>
  <c r="J129" i="137"/>
  <c r="Q128" i="137"/>
  <c r="M128" i="137"/>
  <c r="P127" i="137"/>
  <c r="Q127" i="137" s="1"/>
  <c r="N127" i="137"/>
  <c r="L127" i="137"/>
  <c r="M127" i="137" s="1"/>
  <c r="J127" i="137"/>
  <c r="Q126" i="137"/>
  <c r="M126" i="137"/>
  <c r="P125" i="137"/>
  <c r="O125" i="137"/>
  <c r="N125" i="137"/>
  <c r="L125" i="137"/>
  <c r="M125" i="137" s="1"/>
  <c r="Q124" i="137"/>
  <c r="M124" i="137"/>
  <c r="P123" i="137"/>
  <c r="O123" i="137"/>
  <c r="N123" i="137"/>
  <c r="L123" i="137"/>
  <c r="K123" i="137"/>
  <c r="J123" i="137"/>
  <c r="Q122" i="137"/>
  <c r="M122" i="137"/>
  <c r="P121" i="137"/>
  <c r="O121" i="137"/>
  <c r="N121" i="137"/>
  <c r="L121" i="137"/>
  <c r="K121" i="137"/>
  <c r="J121" i="137"/>
  <c r="Q120" i="137"/>
  <c r="M120" i="137"/>
  <c r="P119" i="137"/>
  <c r="Q119" i="137" s="1"/>
  <c r="N119" i="137"/>
  <c r="L119" i="137"/>
  <c r="M119" i="137" s="1"/>
  <c r="J119" i="137"/>
  <c r="Q118" i="137"/>
  <c r="M118" i="137"/>
  <c r="P117" i="137"/>
  <c r="Q117" i="137" s="1"/>
  <c r="L117" i="137"/>
  <c r="K117" i="137"/>
  <c r="P116" i="137"/>
  <c r="O116" i="137"/>
  <c r="N116" i="137"/>
  <c r="L116" i="137"/>
  <c r="K116" i="137"/>
  <c r="J116" i="137"/>
  <c r="Q115" i="137"/>
  <c r="N115" i="137"/>
  <c r="M115" i="137"/>
  <c r="P114" i="137"/>
  <c r="Q114" i="137" s="1"/>
  <c r="N114" i="137"/>
  <c r="L114" i="137"/>
  <c r="M114" i="137" s="1"/>
  <c r="J114" i="137"/>
  <c r="Q113" i="137"/>
  <c r="M113" i="137"/>
  <c r="P112" i="137"/>
  <c r="O112" i="137"/>
  <c r="N112" i="137"/>
  <c r="M112" i="137"/>
  <c r="M110" i="137"/>
  <c r="P109" i="137"/>
  <c r="O109" i="137"/>
  <c r="N109" i="137"/>
  <c r="L109" i="137"/>
  <c r="M109" i="137" s="1"/>
  <c r="J109" i="137"/>
  <c r="Q108" i="137"/>
  <c r="M108" i="137"/>
  <c r="P107" i="137"/>
  <c r="Q107" i="137" s="1"/>
  <c r="N107" i="137"/>
  <c r="L107" i="137"/>
  <c r="M107" i="137" s="1"/>
  <c r="J107" i="137"/>
  <c r="Q106" i="137"/>
  <c r="M106" i="137"/>
  <c r="P105" i="137"/>
  <c r="Q105" i="137" s="1"/>
  <c r="N105" i="137"/>
  <c r="L105" i="137"/>
  <c r="M105" i="137" s="1"/>
  <c r="J105" i="137"/>
  <c r="Q104" i="137"/>
  <c r="M104" i="137"/>
  <c r="P103" i="137"/>
  <c r="Q103" i="137" s="1"/>
  <c r="N103" i="137"/>
  <c r="L103" i="137"/>
  <c r="M103" i="137" s="1"/>
  <c r="J103" i="137"/>
  <c r="Q102" i="137"/>
  <c r="M102" i="137"/>
  <c r="P101" i="137"/>
  <c r="Q101" i="137" s="1"/>
  <c r="N101" i="137"/>
  <c r="L101" i="137"/>
  <c r="M101" i="137" s="1"/>
  <c r="J101" i="137"/>
  <c r="Q100" i="137"/>
  <c r="M100" i="137"/>
  <c r="P99" i="137"/>
  <c r="O99" i="137"/>
  <c r="N99" i="137"/>
  <c r="L99" i="137"/>
  <c r="M99" i="137" s="1"/>
  <c r="J99" i="137"/>
  <c r="Q98" i="137"/>
  <c r="M98" i="137"/>
  <c r="Q97" i="137"/>
  <c r="M97" i="137"/>
  <c r="P96" i="137"/>
  <c r="Q96" i="137" s="1"/>
  <c r="N96" i="137"/>
  <c r="L96" i="137"/>
  <c r="M96" i="137" s="1"/>
  <c r="J96" i="137"/>
  <c r="Q95" i="137"/>
  <c r="M95" i="137"/>
  <c r="P94" i="137"/>
  <c r="O94" i="137"/>
  <c r="N94" i="137"/>
  <c r="L94" i="137"/>
  <c r="K94" i="137"/>
  <c r="J94" i="137"/>
  <c r="Q93" i="137"/>
  <c r="M93" i="137"/>
  <c r="Q92" i="137"/>
  <c r="M92" i="137"/>
  <c r="L91" i="137"/>
  <c r="M91" i="137" s="1"/>
  <c r="J91" i="137"/>
  <c r="Q90" i="137"/>
  <c r="M90" i="137"/>
  <c r="P89" i="137"/>
  <c r="O89" i="137"/>
  <c r="N89" i="137"/>
  <c r="L89" i="137"/>
  <c r="K89" i="137"/>
  <c r="J89" i="137"/>
  <c r="Q88" i="137"/>
  <c r="M88" i="137"/>
  <c r="P87" i="137"/>
  <c r="O87" i="137"/>
  <c r="L87" i="137"/>
  <c r="M87" i="137" s="1"/>
  <c r="Q86" i="137"/>
  <c r="M86" i="137"/>
  <c r="P85" i="137"/>
  <c r="O85" i="137"/>
  <c r="N85" i="137"/>
  <c r="L85" i="137"/>
  <c r="M85" i="137" s="1"/>
  <c r="J85" i="137"/>
  <c r="Q84" i="137"/>
  <c r="M84" i="137"/>
  <c r="P83" i="137"/>
  <c r="O83" i="137"/>
  <c r="N83" i="137"/>
  <c r="L83" i="137"/>
  <c r="M83" i="137" s="1"/>
  <c r="J83" i="137"/>
  <c r="P82" i="137"/>
  <c r="O82" i="137"/>
  <c r="N82" i="137"/>
  <c r="L82" i="137"/>
  <c r="K82" i="137"/>
  <c r="J82" i="137"/>
  <c r="Q81" i="137"/>
  <c r="M81" i="137"/>
  <c r="P80" i="137"/>
  <c r="O80" i="137"/>
  <c r="N80" i="137"/>
  <c r="L80" i="137"/>
  <c r="M80" i="137" s="1"/>
  <c r="P79" i="137"/>
  <c r="Q79" i="137" s="1"/>
  <c r="N79" i="137"/>
  <c r="L79" i="137"/>
  <c r="M79" i="137" s="1"/>
  <c r="J79" i="137"/>
  <c r="P78" i="137"/>
  <c r="O78" i="137"/>
  <c r="N78" i="137"/>
  <c r="M78" i="137"/>
  <c r="P77" i="137"/>
  <c r="O77" i="137"/>
  <c r="N77" i="137"/>
  <c r="L77" i="137"/>
  <c r="K77" i="137"/>
  <c r="J77" i="137"/>
  <c r="Q76" i="137"/>
  <c r="M76" i="137"/>
  <c r="P75" i="137"/>
  <c r="O75" i="137"/>
  <c r="N75" i="137"/>
  <c r="M75" i="137"/>
  <c r="P74" i="137"/>
  <c r="Q74" i="137" s="1"/>
  <c r="N74" i="137"/>
  <c r="L74" i="137"/>
  <c r="M74" i="137" s="1"/>
  <c r="J74" i="137"/>
  <c r="Q73" i="137"/>
  <c r="M73" i="137"/>
  <c r="P72" i="137"/>
  <c r="Q72" i="137" s="1"/>
  <c r="L72" i="137"/>
  <c r="M72" i="137" s="1"/>
  <c r="J72" i="137"/>
  <c r="Q71" i="137"/>
  <c r="M71" i="137"/>
  <c r="Q70" i="137"/>
  <c r="N70" i="137"/>
  <c r="M70" i="137"/>
  <c r="Q69" i="137"/>
  <c r="M69" i="137"/>
  <c r="P68" i="137"/>
  <c r="O68" i="137"/>
  <c r="N68" i="137"/>
  <c r="L68" i="137"/>
  <c r="M68" i="137" s="1"/>
  <c r="J68" i="137"/>
  <c r="P67" i="137"/>
  <c r="O67" i="137"/>
  <c r="N67" i="137"/>
  <c r="L67" i="137"/>
  <c r="K67" i="137"/>
  <c r="J67" i="137"/>
  <c r="Q66" i="137"/>
  <c r="M66" i="137"/>
  <c r="P65" i="137"/>
  <c r="Q65" i="137" s="1"/>
  <c r="N65" i="137"/>
  <c r="L65" i="137"/>
  <c r="M65" i="137" s="1"/>
  <c r="J65" i="137"/>
  <c r="Q64" i="137"/>
  <c r="M64" i="137"/>
  <c r="P63" i="137"/>
  <c r="O63" i="137"/>
  <c r="N63" i="137"/>
  <c r="M63" i="137"/>
  <c r="Q62" i="137"/>
  <c r="M62" i="137"/>
  <c r="P61" i="137"/>
  <c r="Q61" i="137" s="1"/>
  <c r="L61" i="137"/>
  <c r="K61" i="137"/>
  <c r="Q60" i="137"/>
  <c r="M60" i="137"/>
  <c r="P59" i="137"/>
  <c r="O59" i="137"/>
  <c r="N59" i="137"/>
  <c r="M59" i="137"/>
  <c r="Q58" i="137"/>
  <c r="L58" i="137"/>
  <c r="K58" i="137"/>
  <c r="J58" i="137"/>
  <c r="Q57" i="137"/>
  <c r="M57" i="137"/>
  <c r="P56" i="137"/>
  <c r="O56" i="137"/>
  <c r="N56" i="137"/>
  <c r="L56" i="137"/>
  <c r="K56" i="137"/>
  <c r="J56" i="137"/>
  <c r="Q55" i="137"/>
  <c r="M55" i="137"/>
  <c r="P54" i="137"/>
  <c r="Q54" i="137" s="1"/>
  <c r="L54" i="137"/>
  <c r="M54" i="137" s="1"/>
  <c r="Q53" i="137"/>
  <c r="M53" i="137"/>
  <c r="Q52" i="137"/>
  <c r="M52" i="137"/>
  <c r="P51" i="137"/>
  <c r="O51" i="137"/>
  <c r="N51" i="137"/>
  <c r="L51" i="137"/>
  <c r="K51" i="137"/>
  <c r="J51" i="137"/>
  <c r="Q50" i="137"/>
  <c r="M50" i="137"/>
  <c r="P49" i="137"/>
  <c r="O49" i="137"/>
  <c r="N49" i="137"/>
  <c r="L49" i="137"/>
  <c r="M49" i="137" s="1"/>
  <c r="J49" i="137"/>
  <c r="Q48" i="137"/>
  <c r="M48" i="137"/>
  <c r="P47" i="137"/>
  <c r="O47" i="137"/>
  <c r="N47" i="137"/>
  <c r="L47" i="137"/>
  <c r="M47" i="137" s="1"/>
  <c r="J47" i="137"/>
  <c r="P46" i="137"/>
  <c r="Q46" i="137" s="1"/>
  <c r="M46" i="137"/>
  <c r="P45" i="137"/>
  <c r="Q45" i="137" s="1"/>
  <c r="N45" i="137"/>
  <c r="L45" i="137"/>
  <c r="J45" i="137"/>
  <c r="Q44" i="137"/>
  <c r="M44" i="137"/>
  <c r="Q43" i="137"/>
  <c r="M43" i="137"/>
  <c r="Q42" i="137"/>
  <c r="M42" i="137"/>
  <c r="P41" i="137"/>
  <c r="N41" i="137"/>
  <c r="L41" i="137"/>
  <c r="M41" i="137" s="1"/>
  <c r="P40" i="137"/>
  <c r="Q40" i="137" s="1"/>
  <c r="N40" i="137"/>
  <c r="L40" i="137"/>
  <c r="M40" i="137" s="1"/>
  <c r="J40" i="137"/>
  <c r="Q39" i="137"/>
  <c r="M39" i="137"/>
  <c r="P38" i="137"/>
  <c r="O38" i="137"/>
  <c r="N38" i="137"/>
  <c r="L38" i="137"/>
  <c r="K38" i="137"/>
  <c r="J38" i="137"/>
  <c r="Q37" i="137"/>
  <c r="M37" i="137"/>
  <c r="P36" i="137"/>
  <c r="O36" i="137"/>
  <c r="N36" i="137"/>
  <c r="L36" i="137"/>
  <c r="K36" i="137"/>
  <c r="J36" i="137"/>
  <c r="Q35" i="137"/>
  <c r="M35" i="137"/>
  <c r="P34" i="137"/>
  <c r="Q34" i="137" s="1"/>
  <c r="N34" i="137"/>
  <c r="L34" i="137"/>
  <c r="M34" i="137" s="1"/>
  <c r="J34" i="137"/>
  <c r="Q33" i="137"/>
  <c r="M33" i="137"/>
  <c r="P32" i="137"/>
  <c r="Q32" i="137" s="1"/>
  <c r="N32" i="137"/>
  <c r="L32" i="137"/>
  <c r="M32" i="137" s="1"/>
  <c r="J32" i="137"/>
  <c r="Q30" i="137"/>
  <c r="L29" i="137"/>
  <c r="K29" i="137"/>
  <c r="J29" i="137"/>
  <c r="Q28" i="137"/>
  <c r="N28" i="137"/>
  <c r="M28" i="137"/>
  <c r="J28" i="137"/>
  <c r="M27" i="137"/>
  <c r="J27" i="137"/>
  <c r="Q26" i="137"/>
  <c r="M26" i="137"/>
  <c r="P25" i="137"/>
  <c r="O25" i="137"/>
  <c r="N25" i="137"/>
  <c r="L25" i="137"/>
  <c r="M25" i="137" s="1"/>
  <c r="P24" i="137"/>
  <c r="O24" i="137"/>
  <c r="N24" i="137"/>
  <c r="L24" i="137"/>
  <c r="M24" i="137" s="1"/>
  <c r="J24" i="137"/>
  <c r="P23" i="137"/>
  <c r="Q23" i="137" s="1"/>
  <c r="M23" i="137"/>
  <c r="P22" i="137"/>
  <c r="Q22" i="137" s="1"/>
  <c r="N22" i="137"/>
  <c r="M22" i="137"/>
  <c r="J22" i="137"/>
  <c r="Q21" i="137"/>
  <c r="M21" i="137"/>
  <c r="P20" i="137"/>
  <c r="O20" i="137"/>
  <c r="N20" i="137"/>
  <c r="L20" i="137"/>
  <c r="K20" i="137"/>
  <c r="J20" i="137"/>
  <c r="P19" i="137"/>
  <c r="O19" i="137"/>
  <c r="N19" i="137"/>
  <c r="L19" i="137"/>
  <c r="K19" i="137"/>
  <c r="J19" i="137"/>
  <c r="Q18" i="137"/>
  <c r="M18" i="137"/>
  <c r="P17" i="137"/>
  <c r="Q17" i="137" s="1"/>
  <c r="N17" i="137"/>
  <c r="L17" i="137"/>
  <c r="M17" i="137" s="1"/>
  <c r="J17" i="137"/>
  <c r="Q16" i="137"/>
  <c r="M16" i="137"/>
  <c r="P15" i="137"/>
  <c r="O15" i="137"/>
  <c r="N15" i="137"/>
  <c r="L15" i="137"/>
  <c r="M15" i="137" s="1"/>
  <c r="J15" i="137"/>
  <c r="Q14" i="137"/>
  <c r="M14" i="137"/>
  <c r="P13" i="137"/>
  <c r="O13" i="137"/>
  <c r="N13" i="137"/>
  <c r="L13" i="137"/>
  <c r="M13" i="137" s="1"/>
  <c r="J13" i="137"/>
  <c r="L12" i="137"/>
  <c r="K12" i="137"/>
  <c r="J12" i="137"/>
  <c r="Q11" i="137"/>
  <c r="M11" i="137"/>
  <c r="P10" i="137"/>
  <c r="O10" i="137"/>
  <c r="N10" i="137"/>
  <c r="L10" i="137"/>
  <c r="B9" i="137"/>
  <c r="C9" i="137" s="1"/>
  <c r="D9" i="137" s="1"/>
  <c r="E9" i="137" s="1"/>
  <c r="F9" i="137" s="1"/>
  <c r="G9" i="137" s="1"/>
  <c r="H9" i="137" s="1"/>
  <c r="I9" i="137" s="1"/>
  <c r="J9" i="137" s="1"/>
  <c r="K9" i="137" s="1"/>
  <c r="L9" i="137" s="1"/>
  <c r="M9" i="137" s="1"/>
  <c r="N9" i="137" s="1"/>
  <c r="O9" i="137" s="1"/>
  <c r="P9" i="137" s="1"/>
  <c r="Q9" i="137" s="1"/>
  <c r="M55" i="136"/>
  <c r="M43" i="136"/>
  <c r="K195" i="137" l="1"/>
  <c r="N195" i="137"/>
  <c r="P195" i="137"/>
  <c r="M12" i="137"/>
  <c r="J195" i="137"/>
  <c r="Q15" i="137"/>
  <c r="M36" i="137"/>
  <c r="M38" i="137"/>
  <c r="M51" i="137"/>
  <c r="M56" i="137"/>
  <c r="M58" i="137"/>
  <c r="Q83" i="137"/>
  <c r="M121" i="137"/>
  <c r="M123" i="137"/>
  <c r="M153" i="137"/>
  <c r="Q170" i="137"/>
  <c r="M186" i="137"/>
  <c r="M188" i="137"/>
  <c r="M190" i="137"/>
  <c r="Q194" i="137"/>
  <c r="Q24" i="137"/>
  <c r="M29" i="137"/>
  <c r="M67" i="137"/>
  <c r="M94" i="137"/>
  <c r="M116" i="137"/>
  <c r="Q136" i="137"/>
  <c r="M138" i="137"/>
  <c r="M140" i="137"/>
  <c r="M141" i="137"/>
  <c r="M143" i="137"/>
  <c r="M147" i="137"/>
  <c r="Q147" i="137"/>
  <c r="Q13" i="137"/>
  <c r="Q19" i="137"/>
  <c r="Q20" i="137"/>
  <c r="M77" i="137"/>
  <c r="Q80" i="137"/>
  <c r="Q82" i="137"/>
  <c r="Q85" i="137"/>
  <c r="Q87" i="137"/>
  <c r="Q89" i="137"/>
  <c r="Q112" i="137"/>
  <c r="Q125" i="137"/>
  <c r="Q129" i="137"/>
  <c r="M156" i="137"/>
  <c r="M163" i="137"/>
  <c r="M165" i="137"/>
  <c r="M181" i="137"/>
  <c r="M183" i="137"/>
  <c r="L195" i="137"/>
  <c r="O195" i="137"/>
  <c r="Q195" i="137" s="1"/>
  <c r="M19" i="137"/>
  <c r="M20" i="137"/>
  <c r="Q25" i="137"/>
  <c r="Q36" i="137"/>
  <c r="Q38" i="137"/>
  <c r="Q47" i="137"/>
  <c r="Q49" i="137"/>
  <c r="Q51" i="137"/>
  <c r="Q56" i="137"/>
  <c r="Q59" i="137"/>
  <c r="M61" i="137"/>
  <c r="Q63" i="137"/>
  <c r="Q67" i="137"/>
  <c r="Q68" i="137"/>
  <c r="Q75" i="137"/>
  <c r="Q77" i="137"/>
  <c r="Q78" i="137"/>
  <c r="M82" i="137"/>
  <c r="M89" i="137"/>
  <c r="Q94" i="137"/>
  <c r="Q99" i="137"/>
  <c r="Q109" i="137"/>
  <c r="Q116" i="137"/>
  <c r="M117" i="137"/>
  <c r="Q121" i="137"/>
  <c r="Q123" i="137"/>
  <c r="M136" i="137"/>
  <c r="Q138" i="137"/>
  <c r="Q140" i="137"/>
  <c r="Q141" i="137"/>
  <c r="Q143" i="137"/>
  <c r="Q156" i="137"/>
  <c r="Q160" i="137"/>
  <c r="Q163" i="137"/>
  <c r="Q165" i="137"/>
  <c r="Q177" i="137"/>
  <c r="Q181" i="137"/>
  <c r="Q184" i="137"/>
  <c r="Q186" i="137"/>
  <c r="Q188" i="137"/>
  <c r="Q190" i="137"/>
  <c r="M45" i="137"/>
  <c r="M10" i="137"/>
  <c r="Q10" i="137"/>
  <c r="Q41" i="137"/>
  <c r="J151" i="136"/>
  <c r="N183" i="136"/>
  <c r="J184" i="136"/>
  <c r="N172" i="136"/>
  <c r="J172" i="136"/>
  <c r="J160" i="136"/>
  <c r="N150" i="136"/>
  <c r="J150" i="136"/>
  <c r="N143" i="136"/>
  <c r="J143" i="136"/>
  <c r="N138" i="136"/>
  <c r="J138" i="136"/>
  <c r="N134" i="136"/>
  <c r="J134" i="136"/>
  <c r="N129" i="136"/>
  <c r="J129" i="136"/>
  <c r="N127" i="136"/>
  <c r="J127" i="136"/>
  <c r="N119" i="136"/>
  <c r="J119" i="136"/>
  <c r="N114" i="136"/>
  <c r="J114" i="136"/>
  <c r="J105" i="136"/>
  <c r="N107" i="136"/>
  <c r="J107" i="136"/>
  <c r="J99" i="136"/>
  <c r="N101" i="136"/>
  <c r="J101" i="136"/>
  <c r="N96" i="136"/>
  <c r="J96" i="136"/>
  <c r="J85" i="136"/>
  <c r="J68" i="136"/>
  <c r="N47" i="136"/>
  <c r="J47" i="136"/>
  <c r="N49" i="136"/>
  <c r="J49" i="136"/>
  <c r="N41" i="136"/>
  <c r="J41" i="136"/>
  <c r="N40" i="136"/>
  <c r="J40" i="136"/>
  <c r="N32" i="136"/>
  <c r="J32" i="136"/>
  <c r="N28" i="136"/>
  <c r="N22" i="136"/>
  <c r="J22" i="136"/>
  <c r="N17" i="136"/>
  <c r="J17" i="136"/>
  <c r="N24" i="136"/>
  <c r="J24" i="136"/>
  <c r="I195" i="136"/>
  <c r="H195" i="136"/>
  <c r="P194" i="136"/>
  <c r="O194" i="136"/>
  <c r="N194" i="136"/>
  <c r="M194" i="136"/>
  <c r="J194" i="136"/>
  <c r="Q193" i="136"/>
  <c r="M193" i="136"/>
  <c r="Q192" i="136"/>
  <c r="M192" i="136"/>
  <c r="Q191" i="136"/>
  <c r="M191" i="136"/>
  <c r="P190" i="136"/>
  <c r="O190" i="136"/>
  <c r="N190" i="136"/>
  <c r="L190" i="136"/>
  <c r="K190" i="136"/>
  <c r="J190" i="136"/>
  <c r="Q189" i="136"/>
  <c r="M189" i="136"/>
  <c r="P188" i="136"/>
  <c r="O188" i="136"/>
  <c r="N188" i="136"/>
  <c r="L188" i="136"/>
  <c r="K188" i="136"/>
  <c r="J188" i="136"/>
  <c r="Q187" i="136"/>
  <c r="M187" i="136"/>
  <c r="P186" i="136"/>
  <c r="O186" i="136"/>
  <c r="N186" i="136"/>
  <c r="L186" i="136"/>
  <c r="K186" i="136"/>
  <c r="J186" i="136"/>
  <c r="Q185" i="136"/>
  <c r="M185" i="136"/>
  <c r="P184" i="136"/>
  <c r="O184" i="136"/>
  <c r="N184" i="136"/>
  <c r="L184" i="136"/>
  <c r="K184" i="136"/>
  <c r="P183" i="136"/>
  <c r="O183" i="136"/>
  <c r="L183" i="136"/>
  <c r="K183" i="136"/>
  <c r="J183" i="136"/>
  <c r="Q182" i="136"/>
  <c r="M182" i="136"/>
  <c r="P181" i="136"/>
  <c r="O181" i="136"/>
  <c r="N181" i="136"/>
  <c r="L181" i="136"/>
  <c r="K181" i="136"/>
  <c r="J181" i="136"/>
  <c r="Q180" i="136"/>
  <c r="M180" i="136"/>
  <c r="M179" i="136"/>
  <c r="Q178" i="136"/>
  <c r="P177" i="136"/>
  <c r="O177" i="136"/>
  <c r="N177" i="136"/>
  <c r="L177" i="136"/>
  <c r="K177" i="136"/>
  <c r="J177" i="136"/>
  <c r="Q176" i="136"/>
  <c r="M176" i="136"/>
  <c r="Q175" i="136"/>
  <c r="M175" i="136"/>
  <c r="M174" i="136"/>
  <c r="J174" i="136"/>
  <c r="Q173" i="136"/>
  <c r="N173" i="136"/>
  <c r="M173" i="136"/>
  <c r="P172" i="136"/>
  <c r="O172" i="136"/>
  <c r="L172" i="136"/>
  <c r="K172" i="136"/>
  <c r="Q171" i="136"/>
  <c r="M171" i="136"/>
  <c r="P170" i="136"/>
  <c r="O170" i="136"/>
  <c r="N170" i="136"/>
  <c r="M170" i="136"/>
  <c r="J170" i="136"/>
  <c r="Q169" i="136"/>
  <c r="M169" i="136"/>
  <c r="P168" i="136"/>
  <c r="O168" i="136"/>
  <c r="N168" i="136"/>
  <c r="L168" i="136"/>
  <c r="K168" i="136"/>
  <c r="J168" i="136"/>
  <c r="Q167" i="136"/>
  <c r="M167" i="136"/>
  <c r="Q166" i="136"/>
  <c r="M166" i="136"/>
  <c r="P165" i="136"/>
  <c r="O165" i="136"/>
  <c r="N165" i="136"/>
  <c r="L165" i="136"/>
  <c r="K165" i="136"/>
  <c r="J165" i="136"/>
  <c r="Q164" i="136"/>
  <c r="M164" i="136"/>
  <c r="P163" i="136"/>
  <c r="O163" i="136"/>
  <c r="N163" i="136"/>
  <c r="L163" i="136"/>
  <c r="K163" i="136"/>
  <c r="J163" i="136"/>
  <c r="Q162" i="136"/>
  <c r="M162" i="136"/>
  <c r="Q161" i="136"/>
  <c r="M161" i="136"/>
  <c r="P160" i="136"/>
  <c r="O160" i="136"/>
  <c r="N160" i="136"/>
  <c r="L160" i="136"/>
  <c r="K160" i="136"/>
  <c r="Q159" i="136"/>
  <c r="M159" i="136"/>
  <c r="Q158" i="136"/>
  <c r="M158" i="136"/>
  <c r="Q157" i="136"/>
  <c r="M157" i="136"/>
  <c r="P156" i="136"/>
  <c r="O156" i="136"/>
  <c r="N156" i="136"/>
  <c r="L156" i="136"/>
  <c r="K156" i="136"/>
  <c r="J156" i="136"/>
  <c r="Q155" i="136"/>
  <c r="Q154" i="136"/>
  <c r="M154" i="136"/>
  <c r="P153" i="136"/>
  <c r="O153" i="136"/>
  <c r="N153" i="136"/>
  <c r="L153" i="136"/>
  <c r="K153" i="136"/>
  <c r="J153" i="136"/>
  <c r="Q152" i="136"/>
  <c r="L151" i="136"/>
  <c r="K151" i="136"/>
  <c r="P150" i="136"/>
  <c r="O150" i="136"/>
  <c r="L150" i="136"/>
  <c r="K150" i="136"/>
  <c r="Q149" i="136"/>
  <c r="M149" i="136"/>
  <c r="P148" i="136"/>
  <c r="O148" i="136"/>
  <c r="N148" i="136"/>
  <c r="L148" i="136"/>
  <c r="K148" i="136"/>
  <c r="J148" i="136"/>
  <c r="P147" i="136"/>
  <c r="O147" i="136"/>
  <c r="L147" i="136"/>
  <c r="K147" i="136"/>
  <c r="Q146" i="136"/>
  <c r="M146" i="136"/>
  <c r="Q145" i="136"/>
  <c r="Q144" i="136"/>
  <c r="M144" i="136"/>
  <c r="P143" i="136"/>
  <c r="O143" i="136"/>
  <c r="L143" i="136"/>
  <c r="K143" i="136"/>
  <c r="Q142" i="136"/>
  <c r="M142" i="136"/>
  <c r="P141" i="136"/>
  <c r="O141" i="136"/>
  <c r="N141" i="136"/>
  <c r="L141" i="136"/>
  <c r="K141" i="136"/>
  <c r="J141" i="136"/>
  <c r="P140" i="136"/>
  <c r="O140" i="136"/>
  <c r="N140" i="136"/>
  <c r="L140" i="136"/>
  <c r="K140" i="136"/>
  <c r="J140" i="136"/>
  <c r="Q139" i="136"/>
  <c r="M139" i="136"/>
  <c r="P138" i="136"/>
  <c r="O138" i="136"/>
  <c r="L138" i="136"/>
  <c r="K138" i="136"/>
  <c r="Q137" i="136"/>
  <c r="M137" i="136"/>
  <c r="P136" i="136"/>
  <c r="O136" i="136"/>
  <c r="N136" i="136"/>
  <c r="L136" i="136"/>
  <c r="K136" i="136"/>
  <c r="Q135" i="136"/>
  <c r="M135" i="136"/>
  <c r="P134" i="136"/>
  <c r="O134" i="136"/>
  <c r="L134" i="136"/>
  <c r="K134" i="136"/>
  <c r="Q133" i="136"/>
  <c r="M133" i="136"/>
  <c r="P132" i="136"/>
  <c r="O132" i="136"/>
  <c r="N132" i="136"/>
  <c r="L132" i="136"/>
  <c r="K132" i="136"/>
  <c r="J132" i="136"/>
  <c r="M131" i="136"/>
  <c r="Q130" i="136"/>
  <c r="M130" i="136"/>
  <c r="P129" i="136"/>
  <c r="O129" i="136"/>
  <c r="L129" i="136"/>
  <c r="K129" i="136"/>
  <c r="Q128" i="136"/>
  <c r="M128" i="136"/>
  <c r="P127" i="136"/>
  <c r="O127" i="136"/>
  <c r="L127" i="136"/>
  <c r="K127" i="136"/>
  <c r="Q126" i="136"/>
  <c r="M126" i="136"/>
  <c r="P125" i="136"/>
  <c r="O125" i="136"/>
  <c r="N125" i="136"/>
  <c r="L125" i="136"/>
  <c r="K125" i="136"/>
  <c r="J125" i="136"/>
  <c r="Q124" i="136"/>
  <c r="M124" i="136"/>
  <c r="P123" i="136"/>
  <c r="O123" i="136"/>
  <c r="N123" i="136"/>
  <c r="L123" i="136"/>
  <c r="K123" i="136"/>
  <c r="J123" i="136"/>
  <c r="Q122" i="136"/>
  <c r="M122" i="136"/>
  <c r="P121" i="136"/>
  <c r="O121" i="136"/>
  <c r="N121" i="136"/>
  <c r="L121" i="136"/>
  <c r="K121" i="136"/>
  <c r="J121" i="136"/>
  <c r="Q120" i="136"/>
  <c r="M120" i="136"/>
  <c r="P119" i="136"/>
  <c r="O119" i="136"/>
  <c r="L119" i="136"/>
  <c r="K119" i="136"/>
  <c r="Q118" i="136"/>
  <c r="M118" i="136"/>
  <c r="P117" i="136"/>
  <c r="O117" i="136"/>
  <c r="N117" i="136"/>
  <c r="L117" i="136"/>
  <c r="K117" i="136"/>
  <c r="J117" i="136"/>
  <c r="P116" i="136"/>
  <c r="O116" i="136"/>
  <c r="N116" i="136"/>
  <c r="L116" i="136"/>
  <c r="K116" i="136"/>
  <c r="J116" i="136"/>
  <c r="Q115" i="136"/>
  <c r="N115" i="136"/>
  <c r="M115" i="136"/>
  <c r="P114" i="136"/>
  <c r="O114" i="136"/>
  <c r="L114" i="136"/>
  <c r="K114" i="136"/>
  <c r="Q113" i="136"/>
  <c r="M113" i="136"/>
  <c r="P112" i="136"/>
  <c r="O112" i="136"/>
  <c r="N112" i="136"/>
  <c r="M112" i="136"/>
  <c r="J112" i="136"/>
  <c r="M110" i="136"/>
  <c r="P109" i="136"/>
  <c r="O109" i="136"/>
  <c r="N109" i="136"/>
  <c r="L109" i="136"/>
  <c r="K109" i="136"/>
  <c r="J109" i="136"/>
  <c r="Q108" i="136"/>
  <c r="M108" i="136"/>
  <c r="P107" i="136"/>
  <c r="O107" i="136"/>
  <c r="L107" i="136"/>
  <c r="K107" i="136"/>
  <c r="Q106" i="136"/>
  <c r="M106" i="136"/>
  <c r="P105" i="136"/>
  <c r="O105" i="136"/>
  <c r="N105" i="136"/>
  <c r="L105" i="136"/>
  <c r="K105" i="136"/>
  <c r="Q104" i="136"/>
  <c r="M104" i="136"/>
  <c r="P103" i="136"/>
  <c r="O103" i="136"/>
  <c r="N103" i="136"/>
  <c r="L103" i="136"/>
  <c r="K103" i="136"/>
  <c r="J103" i="136"/>
  <c r="Q102" i="136"/>
  <c r="M102" i="136"/>
  <c r="P101" i="136"/>
  <c r="O101" i="136"/>
  <c r="L101" i="136"/>
  <c r="K101" i="136"/>
  <c r="Q100" i="136"/>
  <c r="M100" i="136"/>
  <c r="P99" i="136"/>
  <c r="O99" i="136"/>
  <c r="N99" i="136"/>
  <c r="L99" i="136"/>
  <c r="K99" i="136"/>
  <c r="Q98" i="136"/>
  <c r="M98" i="136"/>
  <c r="Q97" i="136"/>
  <c r="M97" i="136"/>
  <c r="P96" i="136"/>
  <c r="O96" i="136"/>
  <c r="L96" i="136"/>
  <c r="K96" i="136"/>
  <c r="Q95" i="136"/>
  <c r="M95" i="136"/>
  <c r="P94" i="136"/>
  <c r="O94" i="136"/>
  <c r="N94" i="136"/>
  <c r="L94" i="136"/>
  <c r="K94" i="136"/>
  <c r="J94" i="136"/>
  <c r="Q93" i="136"/>
  <c r="M93" i="136"/>
  <c r="Q92" i="136"/>
  <c r="M92" i="136"/>
  <c r="L91" i="136"/>
  <c r="K91" i="136"/>
  <c r="J91" i="136"/>
  <c r="Q90" i="136"/>
  <c r="M90" i="136"/>
  <c r="P89" i="136"/>
  <c r="O89" i="136"/>
  <c r="N89" i="136"/>
  <c r="L89" i="136"/>
  <c r="K89" i="136"/>
  <c r="J89" i="136"/>
  <c r="Q88" i="136"/>
  <c r="M88" i="136"/>
  <c r="P87" i="136"/>
  <c r="O87" i="136"/>
  <c r="N87" i="136"/>
  <c r="L87" i="136"/>
  <c r="K87" i="136"/>
  <c r="J87" i="136"/>
  <c r="Q86" i="136"/>
  <c r="M86" i="136"/>
  <c r="P85" i="136"/>
  <c r="O85" i="136"/>
  <c r="N85" i="136"/>
  <c r="L85" i="136"/>
  <c r="K85" i="136"/>
  <c r="Q84" i="136"/>
  <c r="M84" i="136"/>
  <c r="P83" i="136"/>
  <c r="O83" i="136"/>
  <c r="N83" i="136"/>
  <c r="L83" i="136"/>
  <c r="K83" i="136"/>
  <c r="J83" i="136"/>
  <c r="P82" i="136"/>
  <c r="O82" i="136"/>
  <c r="N82" i="136"/>
  <c r="L82" i="136"/>
  <c r="K82" i="136"/>
  <c r="J82" i="136"/>
  <c r="Q81" i="136"/>
  <c r="M81" i="136"/>
  <c r="P80" i="136"/>
  <c r="O80" i="136"/>
  <c r="N80" i="136"/>
  <c r="L80" i="136"/>
  <c r="K80" i="136"/>
  <c r="J80" i="136"/>
  <c r="P79" i="136"/>
  <c r="O79" i="136"/>
  <c r="N79" i="136"/>
  <c r="L79" i="136"/>
  <c r="K79" i="136"/>
  <c r="J79" i="136"/>
  <c r="P78" i="136"/>
  <c r="O78" i="136"/>
  <c r="N78" i="136"/>
  <c r="M78" i="136"/>
  <c r="P77" i="136"/>
  <c r="O77" i="136"/>
  <c r="N77" i="136"/>
  <c r="L77" i="136"/>
  <c r="K77" i="136"/>
  <c r="J77" i="136"/>
  <c r="Q76" i="136"/>
  <c r="M76" i="136"/>
  <c r="P75" i="136"/>
  <c r="O75" i="136"/>
  <c r="N75" i="136"/>
  <c r="M75" i="136"/>
  <c r="P74" i="136"/>
  <c r="O74" i="136"/>
  <c r="N74" i="136"/>
  <c r="L74" i="136"/>
  <c r="K74" i="136"/>
  <c r="J74" i="136"/>
  <c r="Q73" i="136"/>
  <c r="M73" i="136"/>
  <c r="P72" i="136"/>
  <c r="O72" i="136"/>
  <c r="N72" i="136"/>
  <c r="L72" i="136"/>
  <c r="K72" i="136"/>
  <c r="J72" i="136"/>
  <c r="Q71" i="136"/>
  <c r="M71" i="136"/>
  <c r="Q70" i="136"/>
  <c r="N70" i="136"/>
  <c r="M70" i="136"/>
  <c r="Q69" i="136"/>
  <c r="M69" i="136"/>
  <c r="P68" i="136"/>
  <c r="O68" i="136"/>
  <c r="N68" i="136"/>
  <c r="L68" i="136"/>
  <c r="K68" i="136"/>
  <c r="P67" i="136"/>
  <c r="O67" i="136"/>
  <c r="N67" i="136"/>
  <c r="L67" i="136"/>
  <c r="K67" i="136"/>
  <c r="J67" i="136"/>
  <c r="Q66" i="136"/>
  <c r="M66" i="136"/>
  <c r="P65" i="136"/>
  <c r="O65" i="136"/>
  <c r="N65" i="136"/>
  <c r="L65" i="136"/>
  <c r="K65" i="136"/>
  <c r="J65" i="136"/>
  <c r="Q64" i="136"/>
  <c r="M64" i="136"/>
  <c r="P63" i="136"/>
  <c r="O63" i="136"/>
  <c r="N63" i="136"/>
  <c r="M63" i="136"/>
  <c r="J63" i="136"/>
  <c r="Q62" i="136"/>
  <c r="M62" i="136"/>
  <c r="P61" i="136"/>
  <c r="O61" i="136"/>
  <c r="N61" i="136"/>
  <c r="L61" i="136"/>
  <c r="K61" i="136"/>
  <c r="J61" i="136"/>
  <c r="Q60" i="136"/>
  <c r="M60" i="136"/>
  <c r="P59" i="136"/>
  <c r="O59" i="136"/>
  <c r="N59" i="136"/>
  <c r="M59" i="136"/>
  <c r="Q58" i="136"/>
  <c r="L58" i="136"/>
  <c r="K58" i="136"/>
  <c r="J58" i="136"/>
  <c r="Q57" i="136"/>
  <c r="M57" i="136"/>
  <c r="P56" i="136"/>
  <c r="O56" i="136"/>
  <c r="N56" i="136"/>
  <c r="L56" i="136"/>
  <c r="K56" i="136"/>
  <c r="J56" i="136"/>
  <c r="Q55" i="136"/>
  <c r="P54" i="136"/>
  <c r="O54" i="136"/>
  <c r="N54" i="136"/>
  <c r="L54" i="136"/>
  <c r="K54" i="136"/>
  <c r="J54" i="136"/>
  <c r="Q53" i="136"/>
  <c r="M53" i="136"/>
  <c r="Q52" i="136"/>
  <c r="M52" i="136"/>
  <c r="P51" i="136"/>
  <c r="O51" i="136"/>
  <c r="N51" i="136"/>
  <c r="L51" i="136"/>
  <c r="K51" i="136"/>
  <c r="J51" i="136"/>
  <c r="Q50" i="136"/>
  <c r="M50" i="136"/>
  <c r="P49" i="136"/>
  <c r="O49" i="136"/>
  <c r="L49" i="136"/>
  <c r="K49" i="136"/>
  <c r="Q48" i="136"/>
  <c r="M48" i="136"/>
  <c r="P47" i="136"/>
  <c r="O47" i="136"/>
  <c r="L47" i="136"/>
  <c r="K47" i="136"/>
  <c r="P46" i="136"/>
  <c r="Q46" i="136" s="1"/>
  <c r="M46" i="136"/>
  <c r="P45" i="136"/>
  <c r="O45" i="136"/>
  <c r="N45" i="136"/>
  <c r="L45" i="136"/>
  <c r="K45" i="136"/>
  <c r="J45" i="136"/>
  <c r="Q44" i="136"/>
  <c r="M44" i="136"/>
  <c r="Q43" i="136"/>
  <c r="Q42" i="136"/>
  <c r="M42" i="136"/>
  <c r="P41" i="136"/>
  <c r="O41" i="136"/>
  <c r="L41" i="136"/>
  <c r="K41" i="136"/>
  <c r="P40" i="136"/>
  <c r="O40" i="136"/>
  <c r="L40" i="136"/>
  <c r="K40" i="136"/>
  <c r="Q39" i="136"/>
  <c r="M39" i="136"/>
  <c r="P38" i="136"/>
  <c r="O38" i="136"/>
  <c r="N38" i="136"/>
  <c r="L38" i="136"/>
  <c r="K38" i="136"/>
  <c r="J38" i="136"/>
  <c r="Q37" i="136"/>
  <c r="M37" i="136"/>
  <c r="P36" i="136"/>
  <c r="O36" i="136"/>
  <c r="N36" i="136"/>
  <c r="L36" i="136"/>
  <c r="K36" i="136"/>
  <c r="J36" i="136"/>
  <c r="Q35" i="136"/>
  <c r="M35" i="136"/>
  <c r="P34" i="136"/>
  <c r="O34" i="136"/>
  <c r="N34" i="136"/>
  <c r="L34" i="136"/>
  <c r="K34" i="136"/>
  <c r="J34" i="136"/>
  <c r="Q33" i="136"/>
  <c r="M33" i="136"/>
  <c r="P32" i="136"/>
  <c r="O32" i="136"/>
  <c r="L32" i="136"/>
  <c r="K32" i="136"/>
  <c r="Q30" i="136"/>
  <c r="L29" i="136"/>
  <c r="K29" i="136"/>
  <c r="J29" i="136"/>
  <c r="Q28" i="136"/>
  <c r="K28" i="136"/>
  <c r="M28" i="136" s="1"/>
  <c r="J28" i="136"/>
  <c r="M27" i="136"/>
  <c r="J27" i="136"/>
  <c r="Q26" i="136"/>
  <c r="M26" i="136"/>
  <c r="P25" i="136"/>
  <c r="O25" i="136"/>
  <c r="N25" i="136"/>
  <c r="L25" i="136"/>
  <c r="K25" i="136"/>
  <c r="J25" i="136"/>
  <c r="P24" i="136"/>
  <c r="O24" i="136"/>
  <c r="L24" i="136"/>
  <c r="K24" i="136"/>
  <c r="P23" i="136"/>
  <c r="Q23" i="136" s="1"/>
  <c r="M23" i="136"/>
  <c r="P22" i="136"/>
  <c r="O22" i="136"/>
  <c r="M22" i="136"/>
  <c r="Q21" i="136"/>
  <c r="M21" i="136"/>
  <c r="P20" i="136"/>
  <c r="O20" i="136"/>
  <c r="N20" i="136"/>
  <c r="L20" i="136"/>
  <c r="K20" i="136"/>
  <c r="J20" i="136"/>
  <c r="P19" i="136"/>
  <c r="O19" i="136"/>
  <c r="N19" i="136"/>
  <c r="L19" i="136"/>
  <c r="K19" i="136"/>
  <c r="J19" i="136"/>
  <c r="Q18" i="136"/>
  <c r="M18" i="136"/>
  <c r="P17" i="136"/>
  <c r="O17" i="136"/>
  <c r="L17" i="136"/>
  <c r="K17" i="136"/>
  <c r="Q16" i="136"/>
  <c r="M16" i="136"/>
  <c r="P15" i="136"/>
  <c r="O15" i="136"/>
  <c r="N15" i="136"/>
  <c r="L15" i="136"/>
  <c r="K15" i="136"/>
  <c r="J15" i="136"/>
  <c r="Q14" i="136"/>
  <c r="M14" i="136"/>
  <c r="P13" i="136"/>
  <c r="O13" i="136"/>
  <c r="N13" i="136"/>
  <c r="L13" i="136"/>
  <c r="K13" i="136"/>
  <c r="J13" i="136"/>
  <c r="L12" i="136"/>
  <c r="K12" i="136"/>
  <c r="J12" i="136"/>
  <c r="Q11" i="136"/>
  <c r="M11" i="136"/>
  <c r="P10" i="136"/>
  <c r="O10" i="136"/>
  <c r="N10" i="136"/>
  <c r="L10" i="136"/>
  <c r="K10" i="136"/>
  <c r="J10" i="136"/>
  <c r="B9" i="136"/>
  <c r="C9" i="136" s="1"/>
  <c r="D9" i="136" s="1"/>
  <c r="E9" i="136" s="1"/>
  <c r="F9" i="136" s="1"/>
  <c r="G9" i="136" s="1"/>
  <c r="H9" i="136" s="1"/>
  <c r="I9" i="136" s="1"/>
  <c r="J9" i="136" s="1"/>
  <c r="K9" i="136" s="1"/>
  <c r="L9" i="136" s="1"/>
  <c r="M9" i="136" s="1"/>
  <c r="N9" i="136" s="1"/>
  <c r="O9" i="136" s="1"/>
  <c r="P9" i="136" s="1"/>
  <c r="Q9" i="136" s="1"/>
  <c r="M195" i="137" l="1"/>
  <c r="K195" i="136"/>
  <c r="N195" i="136"/>
  <c r="P195" i="136"/>
  <c r="M12" i="136"/>
  <c r="Q13" i="136"/>
  <c r="Q15" i="136"/>
  <c r="M17" i="136"/>
  <c r="Q17" i="136"/>
  <c r="Q19" i="136"/>
  <c r="Q20" i="136"/>
  <c r="M25" i="136"/>
  <c r="M45" i="136"/>
  <c r="M51" i="136"/>
  <c r="M54" i="136"/>
  <c r="M29" i="136"/>
  <c r="M34" i="136"/>
  <c r="M36" i="136"/>
  <c r="M38" i="136"/>
  <c r="M56" i="136"/>
  <c r="M58" i="136"/>
  <c r="M61" i="136"/>
  <c r="Q63" i="136"/>
  <c r="Q65" i="136"/>
  <c r="Q67" i="136"/>
  <c r="M68" i="136"/>
  <c r="Q72" i="136"/>
  <c r="Q74" i="136"/>
  <c r="Q75" i="136"/>
  <c r="Q77" i="136"/>
  <c r="Q78" i="136"/>
  <c r="Q79" i="136"/>
  <c r="Q80" i="136"/>
  <c r="Q82" i="136"/>
  <c r="Q83" i="136"/>
  <c r="M85" i="136"/>
  <c r="M87" i="136"/>
  <c r="M89" i="136"/>
  <c r="M91" i="136"/>
  <c r="Q94" i="136"/>
  <c r="M96" i="136"/>
  <c r="Q96" i="136"/>
  <c r="M99" i="136"/>
  <c r="M103" i="136"/>
  <c r="Q105" i="136"/>
  <c r="M107" i="136"/>
  <c r="Q107" i="136"/>
  <c r="Q109" i="136"/>
  <c r="Q112" i="136"/>
  <c r="M114" i="136"/>
  <c r="Q114" i="136"/>
  <c r="M116" i="136"/>
  <c r="M117" i="136"/>
  <c r="M121" i="136"/>
  <c r="M123" i="136"/>
  <c r="M125" i="136"/>
  <c r="Q132" i="136"/>
  <c r="M134" i="136"/>
  <c r="Q134" i="136"/>
  <c r="M136" i="136"/>
  <c r="M140" i="136"/>
  <c r="M141" i="136"/>
  <c r="M147" i="136"/>
  <c r="Q147" i="136"/>
  <c r="Q148" i="136"/>
  <c r="M150" i="136"/>
  <c r="M151" i="136"/>
  <c r="M153" i="136"/>
  <c r="Q156" i="136"/>
  <c r="M160" i="136"/>
  <c r="M163" i="136"/>
  <c r="M165" i="136"/>
  <c r="M168" i="136"/>
  <c r="Q170" i="136"/>
  <c r="M172" i="136"/>
  <c r="Q172" i="136"/>
  <c r="M177" i="136"/>
  <c r="M181" i="136"/>
  <c r="M183" i="136"/>
  <c r="Q183" i="136"/>
  <c r="M184" i="136"/>
  <c r="M186" i="136"/>
  <c r="M188" i="136"/>
  <c r="M190" i="136"/>
  <c r="Q194" i="136"/>
  <c r="J195" i="136"/>
  <c r="L195" i="136"/>
  <c r="O195" i="136"/>
  <c r="Q195" i="136" s="1"/>
  <c r="M13" i="136"/>
  <c r="M15" i="136"/>
  <c r="M19" i="136"/>
  <c r="M20" i="136"/>
  <c r="Q22" i="136"/>
  <c r="M24" i="136"/>
  <c r="Q24" i="136"/>
  <c r="Q25" i="136"/>
  <c r="M32" i="136"/>
  <c r="Q32" i="136"/>
  <c r="Q34" i="136"/>
  <c r="Q36" i="136"/>
  <c r="Q38" i="136"/>
  <c r="M40" i="136"/>
  <c r="Q40" i="136"/>
  <c r="Q41" i="136"/>
  <c r="Q45" i="136"/>
  <c r="M47" i="136"/>
  <c r="Q47" i="136"/>
  <c r="M49" i="136"/>
  <c r="Q49" i="136"/>
  <c r="Q51" i="136"/>
  <c r="Q54" i="136"/>
  <c r="Q56" i="136"/>
  <c r="Q59" i="136"/>
  <c r="Q61" i="136"/>
  <c r="M65" i="136"/>
  <c r="M67" i="136"/>
  <c r="Q68" i="136"/>
  <c r="M72" i="136"/>
  <c r="M74" i="136"/>
  <c r="M77" i="136"/>
  <c r="M79" i="136"/>
  <c r="M80" i="136"/>
  <c r="M82" i="136"/>
  <c r="M83" i="136"/>
  <c r="Q85" i="136"/>
  <c r="Q87" i="136"/>
  <c r="Q89" i="136"/>
  <c r="M94" i="136"/>
  <c r="Q99" i="136"/>
  <c r="M101" i="136"/>
  <c r="Q101" i="136"/>
  <c r="Q103" i="136"/>
  <c r="M105" i="136"/>
  <c r="M109" i="136"/>
  <c r="Q116" i="136"/>
  <c r="Q117" i="136"/>
  <c r="M119" i="136"/>
  <c r="Q119" i="136"/>
  <c r="Q121" i="136"/>
  <c r="Q123" i="136"/>
  <c r="Q125" i="136"/>
  <c r="M127" i="136"/>
  <c r="Q127" i="136"/>
  <c r="M129" i="136"/>
  <c r="Q129" i="136"/>
  <c r="M132" i="136"/>
  <c r="Q136" i="136"/>
  <c r="M138" i="136"/>
  <c r="Q138" i="136"/>
  <c r="Q140" i="136"/>
  <c r="Q141" i="136"/>
  <c r="M143" i="136"/>
  <c r="Q143" i="136"/>
  <c r="M148" i="136"/>
  <c r="Q153" i="136"/>
  <c r="M156" i="136"/>
  <c r="Q160" i="136"/>
  <c r="Q163" i="136"/>
  <c r="Q165" i="136"/>
  <c r="Q168" i="136"/>
  <c r="Q177" i="136"/>
  <c r="Q181" i="136"/>
  <c r="Q184" i="136"/>
  <c r="Q186" i="136"/>
  <c r="Q188" i="136"/>
  <c r="Q190" i="136"/>
  <c r="M41" i="136"/>
  <c r="M10" i="136"/>
  <c r="Q10" i="136"/>
  <c r="L12" i="135"/>
  <c r="L58" i="135"/>
  <c r="L151" i="135"/>
  <c r="M194" i="135"/>
  <c r="M175" i="135"/>
  <c r="M174" i="135"/>
  <c r="M170" i="135"/>
  <c r="M161" i="135"/>
  <c r="M158" i="135"/>
  <c r="M131" i="135"/>
  <c r="M112" i="135"/>
  <c r="M110" i="135"/>
  <c r="M92" i="135"/>
  <c r="M78" i="135"/>
  <c r="M75" i="135"/>
  <c r="M70" i="135"/>
  <c r="M63" i="135"/>
  <c r="M59" i="135"/>
  <c r="M27" i="135"/>
  <c r="M22" i="135"/>
  <c r="L13" i="135"/>
  <c r="L15" i="135"/>
  <c r="L17" i="135"/>
  <c r="L19" i="135"/>
  <c r="L20" i="135"/>
  <c r="L24" i="135"/>
  <c r="L25" i="135"/>
  <c r="L29" i="135"/>
  <c r="L32" i="135"/>
  <c r="L34" i="135"/>
  <c r="L36" i="135"/>
  <c r="L38" i="135"/>
  <c r="L40" i="135"/>
  <c r="L41" i="135"/>
  <c r="L45" i="135"/>
  <c r="L47" i="135"/>
  <c r="L49" i="135"/>
  <c r="L51" i="135"/>
  <c r="L54" i="135"/>
  <c r="L56" i="135"/>
  <c r="L61" i="135"/>
  <c r="L65" i="135"/>
  <c r="L67" i="135"/>
  <c r="L68" i="135"/>
  <c r="L72" i="135"/>
  <c r="L74" i="135"/>
  <c r="L77" i="135"/>
  <c r="L79" i="135"/>
  <c r="L80" i="135"/>
  <c r="L82" i="135"/>
  <c r="L83" i="135"/>
  <c r="L85" i="135"/>
  <c r="L87" i="135"/>
  <c r="L89" i="135"/>
  <c r="L91" i="135"/>
  <c r="L94" i="135"/>
  <c r="L96" i="135"/>
  <c r="L99" i="135"/>
  <c r="L101" i="135"/>
  <c r="L103" i="135"/>
  <c r="L105" i="135"/>
  <c r="L107" i="135"/>
  <c r="L109" i="135"/>
  <c r="L114" i="135"/>
  <c r="L116" i="135"/>
  <c r="L117" i="135"/>
  <c r="L119" i="135"/>
  <c r="L121" i="135"/>
  <c r="L123" i="135"/>
  <c r="L125" i="135"/>
  <c r="L127" i="135"/>
  <c r="L129" i="135"/>
  <c r="L132" i="135"/>
  <c r="L134" i="135"/>
  <c r="L136" i="135"/>
  <c r="L138" i="135"/>
  <c r="L140" i="135"/>
  <c r="L141" i="135"/>
  <c r="L143" i="135"/>
  <c r="L147" i="135"/>
  <c r="L148" i="135"/>
  <c r="L150" i="135"/>
  <c r="L153" i="135"/>
  <c r="L156" i="135"/>
  <c r="L160" i="135"/>
  <c r="L163" i="135"/>
  <c r="L165" i="135"/>
  <c r="L168" i="135"/>
  <c r="L172" i="135"/>
  <c r="L177" i="135"/>
  <c r="L181" i="135"/>
  <c r="L183" i="135"/>
  <c r="L184" i="135"/>
  <c r="L186" i="135"/>
  <c r="L188" i="135"/>
  <c r="L190" i="135"/>
  <c r="K28" i="135"/>
  <c r="M28" i="135" s="1"/>
  <c r="P172" i="135"/>
  <c r="O172" i="135"/>
  <c r="P194" i="135"/>
  <c r="P190" i="135"/>
  <c r="P188" i="135"/>
  <c r="P186" i="135"/>
  <c r="P184" i="135"/>
  <c r="P183" i="135"/>
  <c r="P177" i="135"/>
  <c r="P170" i="135"/>
  <c r="P168" i="135"/>
  <c r="P163" i="135"/>
  <c r="P160" i="135"/>
  <c r="P156" i="135"/>
  <c r="P148" i="135"/>
  <c r="P147" i="135"/>
  <c r="P143" i="135"/>
  <c r="P141" i="135"/>
  <c r="P140" i="135"/>
  <c r="P138" i="135"/>
  <c r="P134" i="135"/>
  <c r="P132" i="135"/>
  <c r="P127" i="135"/>
  <c r="P123" i="135"/>
  <c r="P121" i="135"/>
  <c r="P119" i="135"/>
  <c r="P117" i="135"/>
  <c r="P114" i="135"/>
  <c r="P112" i="135"/>
  <c r="P109" i="135"/>
  <c r="P105" i="135"/>
  <c r="P101" i="135"/>
  <c r="P96" i="135"/>
  <c r="P94" i="135"/>
  <c r="P89" i="135"/>
  <c r="P80" i="135"/>
  <c r="P79" i="135"/>
  <c r="P78" i="135"/>
  <c r="P77" i="135"/>
  <c r="P72" i="135"/>
  <c r="P63" i="135"/>
  <c r="P54" i="135"/>
  <c r="P49" i="135"/>
  <c r="P45" i="135"/>
  <c r="P41" i="135"/>
  <c r="P36" i="135"/>
  <c r="P34" i="135"/>
  <c r="P22" i="135"/>
  <c r="P20" i="135"/>
  <c r="P19" i="135"/>
  <c r="P15" i="135"/>
  <c r="P13" i="135"/>
  <c r="P10" i="135"/>
  <c r="L10" i="135"/>
  <c r="K163" i="135"/>
  <c r="M163" i="135" s="1"/>
  <c r="K105" i="135"/>
  <c r="M105" i="135" s="1"/>
  <c r="O94" i="135"/>
  <c r="K94" i="135"/>
  <c r="K58" i="135"/>
  <c r="M58" i="135" s="1"/>
  <c r="O54" i="135"/>
  <c r="K77" i="135"/>
  <c r="O194" i="135"/>
  <c r="O186" i="135"/>
  <c r="K186" i="135"/>
  <c r="O143" i="135"/>
  <c r="O141" i="135"/>
  <c r="K141" i="135"/>
  <c r="M141" i="135" s="1"/>
  <c r="K148" i="135"/>
  <c r="M148" i="135" s="1"/>
  <c r="O148" i="135"/>
  <c r="K143" i="135"/>
  <c r="M143" i="135" s="1"/>
  <c r="K151" i="135"/>
  <c r="K136" i="135"/>
  <c r="M136" i="135" s="1"/>
  <c r="K125" i="135"/>
  <c r="M125" i="135" s="1"/>
  <c r="K127" i="135"/>
  <c r="M127" i="135" s="1"/>
  <c r="O101" i="135"/>
  <c r="K101" i="135"/>
  <c r="M101" i="135" s="1"/>
  <c r="K87" i="135"/>
  <c r="K85" i="135"/>
  <c r="K83" i="135"/>
  <c r="O80" i="135"/>
  <c r="K74" i="135"/>
  <c r="M74" i="135" s="1"/>
  <c r="K72" i="135"/>
  <c r="M72" i="135" s="1"/>
  <c r="O19" i="135"/>
  <c r="K19" i="135"/>
  <c r="K29" i="135"/>
  <c r="M29" i="135" s="1"/>
  <c r="K12" i="135"/>
  <c r="M12" i="135" s="1"/>
  <c r="K38" i="135"/>
  <c r="M38" i="135" s="1"/>
  <c r="M83" i="135" l="1"/>
  <c r="M87" i="135"/>
  <c r="M151" i="135"/>
  <c r="M77" i="135"/>
  <c r="M195" i="136"/>
  <c r="M19" i="135"/>
  <c r="M85" i="135"/>
  <c r="M186" i="135"/>
  <c r="M94" i="135"/>
  <c r="K10" i="135"/>
  <c r="M179" i="135"/>
  <c r="N177" i="135" l="1"/>
  <c r="J177" i="135"/>
  <c r="J91" i="135"/>
  <c r="J103" i="135"/>
  <c r="N79" i="135"/>
  <c r="J79" i="135"/>
  <c r="N74" i="135"/>
  <c r="J74" i="135"/>
  <c r="J72" i="135"/>
  <c r="N45" i="135"/>
  <c r="J45" i="135"/>
  <c r="N34" i="135"/>
  <c r="I195" i="135"/>
  <c r="H195" i="135"/>
  <c r="N194" i="135"/>
  <c r="J194" i="135"/>
  <c r="Q193" i="135"/>
  <c r="M193" i="135"/>
  <c r="Q192" i="135"/>
  <c r="M192" i="135"/>
  <c r="Q191" i="135"/>
  <c r="M191" i="135"/>
  <c r="O190" i="135"/>
  <c r="Q190" i="135" s="1"/>
  <c r="N190" i="135"/>
  <c r="K190" i="135"/>
  <c r="M190" i="135" s="1"/>
  <c r="J190" i="135"/>
  <c r="Q189" i="135"/>
  <c r="M189" i="135"/>
  <c r="O188" i="135"/>
  <c r="Q188" i="135" s="1"/>
  <c r="N188" i="135"/>
  <c r="K188" i="135"/>
  <c r="M188" i="135" s="1"/>
  <c r="J188" i="135"/>
  <c r="Q187" i="135"/>
  <c r="M187" i="135"/>
  <c r="Q186" i="135"/>
  <c r="N186" i="135"/>
  <c r="J186" i="135"/>
  <c r="Q185" i="135"/>
  <c r="M185" i="135"/>
  <c r="O184" i="135"/>
  <c r="Q184" i="135" s="1"/>
  <c r="N184" i="135"/>
  <c r="K184" i="135"/>
  <c r="M184" i="135" s="1"/>
  <c r="J184" i="135"/>
  <c r="O183" i="135"/>
  <c r="Q183" i="135" s="1"/>
  <c r="N183" i="135"/>
  <c r="K183" i="135"/>
  <c r="M183" i="135" s="1"/>
  <c r="J183" i="135"/>
  <c r="Q182" i="135"/>
  <c r="M182" i="135"/>
  <c r="P181" i="135"/>
  <c r="O181" i="135"/>
  <c r="N181" i="135"/>
  <c r="K181" i="135"/>
  <c r="M181" i="135" s="1"/>
  <c r="J181" i="135"/>
  <c r="Q180" i="135"/>
  <c r="M180" i="135"/>
  <c r="Q178" i="135"/>
  <c r="O177" i="135"/>
  <c r="K177" i="135"/>
  <c r="M177" i="135" s="1"/>
  <c r="Q176" i="135"/>
  <c r="M176" i="135"/>
  <c r="Q175" i="135"/>
  <c r="J174" i="135"/>
  <c r="Q173" i="135"/>
  <c r="N173" i="135"/>
  <c r="M173" i="135"/>
  <c r="N172" i="135"/>
  <c r="K172" i="135"/>
  <c r="M172" i="135" s="1"/>
  <c r="J172" i="135"/>
  <c r="Q171" i="135"/>
  <c r="M171" i="135"/>
  <c r="O170" i="135"/>
  <c r="N170" i="135"/>
  <c r="J170" i="135"/>
  <c r="Q169" i="135"/>
  <c r="M169" i="135"/>
  <c r="O168" i="135"/>
  <c r="Q168" i="135" s="1"/>
  <c r="N168" i="135"/>
  <c r="K168" i="135"/>
  <c r="M168" i="135" s="1"/>
  <c r="J168" i="135"/>
  <c r="Q167" i="135"/>
  <c r="M167" i="135"/>
  <c r="Q166" i="135"/>
  <c r="M166" i="135"/>
  <c r="P165" i="135"/>
  <c r="O165" i="135"/>
  <c r="N165" i="135"/>
  <c r="K165" i="135"/>
  <c r="M165" i="135" s="1"/>
  <c r="J165" i="135"/>
  <c r="Q164" i="135"/>
  <c r="M164" i="135"/>
  <c r="O163" i="135"/>
  <c r="Q163" i="135" s="1"/>
  <c r="N163" i="135"/>
  <c r="J163" i="135"/>
  <c r="Q162" i="135"/>
  <c r="M162" i="135"/>
  <c r="Q161" i="135"/>
  <c r="O160" i="135"/>
  <c r="Q160" i="135" s="1"/>
  <c r="N160" i="135"/>
  <c r="K160" i="135"/>
  <c r="M160" i="135" s="1"/>
  <c r="J160" i="135"/>
  <c r="Q159" i="135"/>
  <c r="M159" i="135"/>
  <c r="Q158" i="135"/>
  <c r="Q157" i="135"/>
  <c r="M157" i="135"/>
  <c r="O156" i="135"/>
  <c r="Q156" i="135" s="1"/>
  <c r="N156" i="135"/>
  <c r="K156" i="135"/>
  <c r="M156" i="135" s="1"/>
  <c r="J156" i="135"/>
  <c r="Q155" i="135"/>
  <c r="Q154" i="135"/>
  <c r="M154" i="135"/>
  <c r="P153" i="135"/>
  <c r="O153" i="135"/>
  <c r="N153" i="135"/>
  <c r="K153" i="135"/>
  <c r="M153" i="135" s="1"/>
  <c r="J153" i="135"/>
  <c r="Q152" i="135"/>
  <c r="J151" i="135"/>
  <c r="P150" i="135"/>
  <c r="O150" i="135"/>
  <c r="N150" i="135"/>
  <c r="K150" i="135"/>
  <c r="M150" i="135" s="1"/>
  <c r="J150" i="135"/>
  <c r="Q149" i="135"/>
  <c r="M149" i="135"/>
  <c r="N148" i="135"/>
  <c r="J148" i="135"/>
  <c r="O147" i="135"/>
  <c r="K147" i="135"/>
  <c r="M147" i="135" s="1"/>
  <c r="Q146" i="135"/>
  <c r="M146" i="135"/>
  <c r="Q145" i="135"/>
  <c r="Q144" i="135"/>
  <c r="M144" i="135"/>
  <c r="N143" i="135"/>
  <c r="J143" i="135"/>
  <c r="Q142" i="135"/>
  <c r="M142" i="135"/>
  <c r="N141" i="135"/>
  <c r="J141" i="135"/>
  <c r="O140" i="135"/>
  <c r="N140" i="135"/>
  <c r="K140" i="135"/>
  <c r="M140" i="135" s="1"/>
  <c r="J140" i="135"/>
  <c r="Q139" i="135"/>
  <c r="M139" i="135"/>
  <c r="O138" i="135"/>
  <c r="N138" i="135"/>
  <c r="K138" i="135"/>
  <c r="M138" i="135" s="1"/>
  <c r="J138" i="135"/>
  <c r="Q137" i="135"/>
  <c r="M137" i="135"/>
  <c r="P136" i="135"/>
  <c r="O136" i="135"/>
  <c r="N136" i="135"/>
  <c r="Q135" i="135"/>
  <c r="M135" i="135"/>
  <c r="O134" i="135"/>
  <c r="N134" i="135"/>
  <c r="K134" i="135"/>
  <c r="M134" i="135" s="1"/>
  <c r="J134" i="135"/>
  <c r="Q133" i="135"/>
  <c r="M133" i="135"/>
  <c r="O132" i="135"/>
  <c r="N132" i="135"/>
  <c r="K132" i="135"/>
  <c r="M132" i="135" s="1"/>
  <c r="J132" i="135"/>
  <c r="Q130" i="135"/>
  <c r="M130" i="135"/>
  <c r="P129" i="135"/>
  <c r="O129" i="135"/>
  <c r="N129" i="135"/>
  <c r="K129" i="135"/>
  <c r="M129" i="135" s="1"/>
  <c r="J129" i="135"/>
  <c r="Q128" i="135"/>
  <c r="M128" i="135"/>
  <c r="O127" i="135"/>
  <c r="N127" i="135"/>
  <c r="J127" i="135"/>
  <c r="Q126" i="135"/>
  <c r="M126" i="135"/>
  <c r="P125" i="135"/>
  <c r="O125" i="135"/>
  <c r="N125" i="135"/>
  <c r="J125" i="135"/>
  <c r="Q124" i="135"/>
  <c r="M124" i="135"/>
  <c r="O123" i="135"/>
  <c r="N123" i="135"/>
  <c r="K123" i="135"/>
  <c r="M123" i="135" s="1"/>
  <c r="J123" i="135"/>
  <c r="Q122" i="135"/>
  <c r="M122" i="135"/>
  <c r="O121" i="135"/>
  <c r="N121" i="135"/>
  <c r="K121" i="135"/>
  <c r="M121" i="135" s="1"/>
  <c r="J121" i="135"/>
  <c r="Q120" i="135"/>
  <c r="M120" i="135"/>
  <c r="O119" i="135"/>
  <c r="N119" i="135"/>
  <c r="K119" i="135"/>
  <c r="M119" i="135" s="1"/>
  <c r="J119" i="135"/>
  <c r="Q118" i="135"/>
  <c r="M118" i="135"/>
  <c r="O117" i="135"/>
  <c r="N117" i="135"/>
  <c r="K117" i="135"/>
  <c r="M117" i="135" s="1"/>
  <c r="J117" i="135"/>
  <c r="P116" i="135"/>
  <c r="O116" i="135"/>
  <c r="N116" i="135"/>
  <c r="K116" i="135"/>
  <c r="M116" i="135" s="1"/>
  <c r="J116" i="135"/>
  <c r="Q115" i="135"/>
  <c r="N115" i="135"/>
  <c r="M115" i="135"/>
  <c r="O114" i="135"/>
  <c r="Q114" i="135" s="1"/>
  <c r="N114" i="135"/>
  <c r="K114" i="135"/>
  <c r="M114" i="135" s="1"/>
  <c r="J114" i="135"/>
  <c r="Q113" i="135"/>
  <c r="M113" i="135"/>
  <c r="O112" i="135"/>
  <c r="Q112" i="135" s="1"/>
  <c r="N112" i="135"/>
  <c r="J112" i="135"/>
  <c r="O109" i="135"/>
  <c r="Q109" i="135" s="1"/>
  <c r="N109" i="135"/>
  <c r="K109" i="135"/>
  <c r="M109" i="135" s="1"/>
  <c r="J109" i="135"/>
  <c r="Q108" i="135"/>
  <c r="M108" i="135"/>
  <c r="P107" i="135"/>
  <c r="O107" i="135"/>
  <c r="N107" i="135"/>
  <c r="K107" i="135"/>
  <c r="M107" i="135" s="1"/>
  <c r="J107" i="135"/>
  <c r="Q106" i="135"/>
  <c r="M106" i="135"/>
  <c r="O105" i="135"/>
  <c r="Q105" i="135" s="1"/>
  <c r="N105" i="135"/>
  <c r="J105" i="135"/>
  <c r="Q104" i="135"/>
  <c r="M104" i="135"/>
  <c r="P103" i="135"/>
  <c r="O103" i="135"/>
  <c r="N103" i="135"/>
  <c r="K103" i="135"/>
  <c r="M103" i="135" s="1"/>
  <c r="Q102" i="135"/>
  <c r="M102" i="135"/>
  <c r="N101" i="135"/>
  <c r="J101" i="135"/>
  <c r="Q100" i="135"/>
  <c r="M100" i="135"/>
  <c r="P99" i="135"/>
  <c r="O99" i="135"/>
  <c r="N99" i="135"/>
  <c r="K99" i="135"/>
  <c r="M99" i="135" s="1"/>
  <c r="J99" i="135"/>
  <c r="Q98" i="135"/>
  <c r="M98" i="135"/>
  <c r="Q97" i="135"/>
  <c r="M97" i="135"/>
  <c r="O96" i="135"/>
  <c r="N96" i="135"/>
  <c r="K96" i="135"/>
  <c r="M96" i="135" s="1"/>
  <c r="J96" i="135"/>
  <c r="Q95" i="135"/>
  <c r="M95" i="135"/>
  <c r="N94" i="135"/>
  <c r="J94" i="135"/>
  <c r="Q93" i="135"/>
  <c r="M93" i="135"/>
  <c r="Q92" i="135"/>
  <c r="K91" i="135"/>
  <c r="M91" i="135" s="1"/>
  <c r="Q90" i="135"/>
  <c r="M90" i="135"/>
  <c r="O89" i="135"/>
  <c r="Q89" i="135" s="1"/>
  <c r="N89" i="135"/>
  <c r="K89" i="135"/>
  <c r="M89" i="135" s="1"/>
  <c r="J89" i="135"/>
  <c r="Q88" i="135"/>
  <c r="M88" i="135"/>
  <c r="P87" i="135"/>
  <c r="O87" i="135"/>
  <c r="N87" i="135"/>
  <c r="J87" i="135"/>
  <c r="Q86" i="135"/>
  <c r="M86" i="135"/>
  <c r="P85" i="135"/>
  <c r="O85" i="135"/>
  <c r="N85" i="135"/>
  <c r="J85" i="135"/>
  <c r="Q84" i="135"/>
  <c r="M84" i="135"/>
  <c r="P83" i="135"/>
  <c r="O83" i="135"/>
  <c r="N83" i="135"/>
  <c r="J83" i="135"/>
  <c r="P82" i="135"/>
  <c r="O82" i="135"/>
  <c r="N82" i="135"/>
  <c r="K82" i="135"/>
  <c r="M82" i="135" s="1"/>
  <c r="J82" i="135"/>
  <c r="Q81" i="135"/>
  <c r="M81" i="135"/>
  <c r="Q80" i="135"/>
  <c r="N80" i="135"/>
  <c r="K80" i="135"/>
  <c r="M80" i="135" s="1"/>
  <c r="J80" i="135"/>
  <c r="O79" i="135"/>
  <c r="K79" i="135"/>
  <c r="M79" i="135" s="1"/>
  <c r="O78" i="135"/>
  <c r="Q78" i="135" s="1"/>
  <c r="N78" i="135"/>
  <c r="O77" i="135"/>
  <c r="Q77" i="135" s="1"/>
  <c r="N77" i="135"/>
  <c r="J77" i="135"/>
  <c r="Q76" i="135"/>
  <c r="M76" i="135"/>
  <c r="P75" i="135"/>
  <c r="O75" i="135"/>
  <c r="N75" i="135"/>
  <c r="P74" i="135"/>
  <c r="O74" i="135"/>
  <c r="Q73" i="135"/>
  <c r="M73" i="135"/>
  <c r="O72" i="135"/>
  <c r="N72" i="135"/>
  <c r="Q71" i="135"/>
  <c r="M71" i="135"/>
  <c r="Q70" i="135"/>
  <c r="N70" i="135"/>
  <c r="Q69" i="135"/>
  <c r="M69" i="135"/>
  <c r="P68" i="135"/>
  <c r="O68" i="135"/>
  <c r="N68" i="135"/>
  <c r="K68" i="135"/>
  <c r="M68" i="135" s="1"/>
  <c r="J68" i="135"/>
  <c r="P67" i="135"/>
  <c r="O67" i="135"/>
  <c r="N67" i="135"/>
  <c r="K67" i="135"/>
  <c r="M67" i="135" s="1"/>
  <c r="J67" i="135"/>
  <c r="Q66" i="135"/>
  <c r="M66" i="135"/>
  <c r="P65" i="135"/>
  <c r="O65" i="135"/>
  <c r="N65" i="135"/>
  <c r="K65" i="135"/>
  <c r="M65" i="135" s="1"/>
  <c r="J65" i="135"/>
  <c r="Q64" i="135"/>
  <c r="M64" i="135"/>
  <c r="O63" i="135"/>
  <c r="Q63" i="135" s="1"/>
  <c r="N63" i="135"/>
  <c r="J63" i="135"/>
  <c r="Q62" i="135"/>
  <c r="M62" i="135"/>
  <c r="P61" i="135"/>
  <c r="O61" i="135"/>
  <c r="N61" i="135"/>
  <c r="K61" i="135"/>
  <c r="M61" i="135" s="1"/>
  <c r="J61" i="135"/>
  <c r="Q60" i="135"/>
  <c r="M60" i="135"/>
  <c r="P59" i="135"/>
  <c r="O59" i="135"/>
  <c r="N59" i="135"/>
  <c r="Q58" i="135"/>
  <c r="J58" i="135"/>
  <c r="Q57" i="135"/>
  <c r="M57" i="135"/>
  <c r="P56" i="135"/>
  <c r="O56" i="135"/>
  <c r="N56" i="135"/>
  <c r="K56" i="135"/>
  <c r="M56" i="135" s="1"/>
  <c r="J56" i="135"/>
  <c r="Q55" i="135"/>
  <c r="M55" i="135"/>
  <c r="Q54" i="135"/>
  <c r="N54" i="135"/>
  <c r="K54" i="135"/>
  <c r="M54" i="135" s="1"/>
  <c r="J54" i="135"/>
  <c r="Q53" i="135"/>
  <c r="M53" i="135"/>
  <c r="Q52" i="135"/>
  <c r="M52" i="135"/>
  <c r="P51" i="135"/>
  <c r="O51" i="135"/>
  <c r="N51" i="135"/>
  <c r="K51" i="135"/>
  <c r="M51" i="135" s="1"/>
  <c r="J51" i="135"/>
  <c r="Q50" i="135"/>
  <c r="M50" i="135"/>
  <c r="O49" i="135"/>
  <c r="Q49" i="135" s="1"/>
  <c r="N49" i="135"/>
  <c r="K49" i="135"/>
  <c r="M49" i="135" s="1"/>
  <c r="J49" i="135"/>
  <c r="Q48" i="135"/>
  <c r="M48" i="135"/>
  <c r="P47" i="135"/>
  <c r="O47" i="135"/>
  <c r="N47" i="135"/>
  <c r="K47" i="135"/>
  <c r="M47" i="135" s="1"/>
  <c r="J47" i="135"/>
  <c r="P46" i="135"/>
  <c r="Q46" i="135" s="1"/>
  <c r="M46" i="135"/>
  <c r="O45" i="135"/>
  <c r="Q45" i="135" s="1"/>
  <c r="K45" i="135"/>
  <c r="M45" i="135" s="1"/>
  <c r="Q44" i="135"/>
  <c r="M44" i="135"/>
  <c r="Q43" i="135"/>
  <c r="M43" i="135"/>
  <c r="Q42" i="135"/>
  <c r="M42" i="135"/>
  <c r="O41" i="135"/>
  <c r="Q41" i="135" s="1"/>
  <c r="N41" i="135"/>
  <c r="K41" i="135"/>
  <c r="M41" i="135" s="1"/>
  <c r="J41" i="135"/>
  <c r="P40" i="135"/>
  <c r="O40" i="135"/>
  <c r="N40" i="135"/>
  <c r="K40" i="135"/>
  <c r="M40" i="135" s="1"/>
  <c r="J40" i="135"/>
  <c r="Q39" i="135"/>
  <c r="M39" i="135"/>
  <c r="P38" i="135"/>
  <c r="O38" i="135"/>
  <c r="N38" i="135"/>
  <c r="J38" i="135"/>
  <c r="Q37" i="135"/>
  <c r="M37" i="135"/>
  <c r="O36" i="135"/>
  <c r="Q36" i="135" s="1"/>
  <c r="N36" i="135"/>
  <c r="K36" i="135"/>
  <c r="M36" i="135" s="1"/>
  <c r="J36" i="135"/>
  <c r="Q35" i="135"/>
  <c r="M35" i="135"/>
  <c r="O34" i="135"/>
  <c r="Q34" i="135" s="1"/>
  <c r="K34" i="135"/>
  <c r="M34" i="135" s="1"/>
  <c r="J34" i="135"/>
  <c r="Q33" i="135"/>
  <c r="M33" i="135"/>
  <c r="P32" i="135"/>
  <c r="O32" i="135"/>
  <c r="N32" i="135"/>
  <c r="K32" i="135"/>
  <c r="M32" i="135" s="1"/>
  <c r="J32" i="135"/>
  <c r="Q30" i="135"/>
  <c r="J29" i="135"/>
  <c r="Q28" i="135"/>
  <c r="N28" i="135"/>
  <c r="J28" i="135"/>
  <c r="J27" i="135"/>
  <c r="Q26" i="135"/>
  <c r="M26" i="135"/>
  <c r="P25" i="135"/>
  <c r="O25" i="135"/>
  <c r="N25" i="135"/>
  <c r="K25" i="135"/>
  <c r="M25" i="135" s="1"/>
  <c r="J25" i="135"/>
  <c r="P24" i="135"/>
  <c r="O24" i="135"/>
  <c r="N24" i="135"/>
  <c r="K24" i="135"/>
  <c r="M24" i="135" s="1"/>
  <c r="J24" i="135"/>
  <c r="P23" i="135"/>
  <c r="Q23" i="135" s="1"/>
  <c r="M23" i="135"/>
  <c r="O22" i="135"/>
  <c r="Q22" i="135" s="1"/>
  <c r="N22" i="135"/>
  <c r="J22" i="135"/>
  <c r="Q21" i="135"/>
  <c r="M21" i="135"/>
  <c r="O20" i="135"/>
  <c r="N20" i="135"/>
  <c r="K20" i="135"/>
  <c r="M20" i="135" s="1"/>
  <c r="J20" i="135"/>
  <c r="Q19" i="135"/>
  <c r="N19" i="135"/>
  <c r="J19" i="135"/>
  <c r="Q18" i="135"/>
  <c r="M18" i="135"/>
  <c r="P17" i="135"/>
  <c r="O17" i="135"/>
  <c r="N17" i="135"/>
  <c r="K17" i="135"/>
  <c r="M17" i="135" s="1"/>
  <c r="J17" i="135"/>
  <c r="Q16" i="135"/>
  <c r="M16" i="135"/>
  <c r="O15" i="135"/>
  <c r="Q15" i="135" s="1"/>
  <c r="N15" i="135"/>
  <c r="K15" i="135"/>
  <c r="M15" i="135" s="1"/>
  <c r="J15" i="135"/>
  <c r="Q14" i="135"/>
  <c r="M14" i="135"/>
  <c r="O13" i="135"/>
  <c r="Q13" i="135" s="1"/>
  <c r="N13" i="135"/>
  <c r="K13" i="135"/>
  <c r="M13" i="135" s="1"/>
  <c r="J13" i="135"/>
  <c r="J12" i="135"/>
  <c r="Q11" i="135"/>
  <c r="M11" i="135"/>
  <c r="O10" i="135"/>
  <c r="N10" i="135"/>
  <c r="L195" i="135"/>
  <c r="J10" i="135"/>
  <c r="B9" i="135"/>
  <c r="C9" i="135" s="1"/>
  <c r="D9" i="135" s="1"/>
  <c r="E9" i="135" s="1"/>
  <c r="F9" i="135" s="1"/>
  <c r="G9" i="135" s="1"/>
  <c r="H9" i="135" s="1"/>
  <c r="I9" i="135" s="1"/>
  <c r="J9" i="135" s="1"/>
  <c r="K9" i="135" s="1"/>
  <c r="L9" i="135" s="1"/>
  <c r="M9" i="135" s="1"/>
  <c r="N9" i="135" s="1"/>
  <c r="O9" i="135" s="1"/>
  <c r="P9" i="135" s="1"/>
  <c r="Q9" i="135" s="1"/>
  <c r="J195" i="135" l="1"/>
  <c r="Q17" i="135"/>
  <c r="Q40" i="135"/>
  <c r="Q51" i="135"/>
  <c r="Q59" i="135"/>
  <c r="Q67" i="135"/>
  <c r="Q75" i="135"/>
  <c r="Q82" i="135"/>
  <c r="Q83" i="135"/>
  <c r="Q85" i="135"/>
  <c r="Q87" i="135"/>
  <c r="Q181" i="135"/>
  <c r="O195" i="135"/>
  <c r="Q38" i="135"/>
  <c r="Q47" i="135"/>
  <c r="Q56" i="135"/>
  <c r="Q61" i="135"/>
  <c r="Q65" i="135"/>
  <c r="Q68" i="135"/>
  <c r="Q74" i="135"/>
  <c r="Q103" i="135"/>
  <c r="Q107" i="135"/>
  <c r="Q165" i="135"/>
  <c r="K195" i="135"/>
  <c r="M195" i="135" s="1"/>
  <c r="N195" i="135"/>
  <c r="P195" i="135"/>
  <c r="Q20" i="135"/>
  <c r="Q24" i="135"/>
  <c r="Q25" i="135"/>
  <c r="Q32" i="135"/>
  <c r="Q72" i="135"/>
  <c r="Q79" i="135"/>
  <c r="Q94" i="135"/>
  <c r="Q96" i="135"/>
  <c r="Q99" i="135"/>
  <c r="Q101" i="135"/>
  <c r="Q116" i="135"/>
  <c r="Q117" i="135"/>
  <c r="Q119" i="135"/>
  <c r="Q121" i="135"/>
  <c r="Q123" i="135"/>
  <c r="Q125" i="135"/>
  <c r="Q127" i="135"/>
  <c r="Q129" i="135"/>
  <c r="Q132" i="135"/>
  <c r="Q134" i="135"/>
  <c r="Q136" i="135"/>
  <c r="Q138" i="135"/>
  <c r="Q140" i="135"/>
  <c r="Q141" i="135"/>
  <c r="Q143" i="135"/>
  <c r="Q147" i="135"/>
  <c r="Q148" i="135"/>
  <c r="Q153" i="135"/>
  <c r="Q170" i="135"/>
  <c r="Q172" i="135"/>
  <c r="Q177" i="135"/>
  <c r="Q194" i="135"/>
  <c r="M10" i="135"/>
  <c r="Q10" i="135"/>
  <c r="L163" i="134"/>
  <c r="K163" i="134"/>
  <c r="L119" i="134"/>
  <c r="P151" i="134"/>
  <c r="P184" i="134"/>
  <c r="O151" i="134"/>
  <c r="O184" i="134"/>
  <c r="O10" i="134"/>
  <c r="O110" i="134"/>
  <c r="P22" i="134"/>
  <c r="M22" i="134"/>
  <c r="K146" i="134"/>
  <c r="O138" i="134"/>
  <c r="K138" i="134"/>
  <c r="O93" i="134"/>
  <c r="K93" i="134"/>
  <c r="O188" i="134"/>
  <c r="K186" i="134"/>
  <c r="K184" i="134"/>
  <c r="K115" i="134"/>
  <c r="K53" i="134"/>
  <c r="K181" i="134"/>
  <c r="O182" i="134"/>
  <c r="O168" i="134"/>
  <c r="O166" i="134"/>
  <c r="K166" i="134"/>
  <c r="K90" i="134"/>
  <c r="K141" i="134"/>
  <c r="K134" i="134"/>
  <c r="K130" i="134"/>
  <c r="O119" i="134"/>
  <c r="K119" i="134"/>
  <c r="O117" i="134"/>
  <c r="K117" i="134"/>
  <c r="O108" i="134"/>
  <c r="K108" i="134"/>
  <c r="O104" i="134"/>
  <c r="K104" i="134"/>
  <c r="K98" i="134"/>
  <c r="O100" i="134"/>
  <c r="K100" i="134"/>
  <c r="K102" i="134"/>
  <c r="O88" i="134"/>
  <c r="K88" i="134"/>
  <c r="K84" i="134"/>
  <c r="O77" i="134"/>
  <c r="O78" i="134"/>
  <c r="K71" i="134"/>
  <c r="K66" i="134"/>
  <c r="O62" i="134"/>
  <c r="K62" i="134"/>
  <c r="K60" i="134"/>
  <c r="O48" i="134"/>
  <c r="K48" i="134"/>
  <c r="O44" i="134"/>
  <c r="K44" i="134"/>
  <c r="K12" i="134"/>
  <c r="O40" i="134"/>
  <c r="K40" i="134"/>
  <c r="O33" i="134"/>
  <c r="O28" i="134"/>
  <c r="K28" i="134"/>
  <c r="O22" i="134"/>
  <c r="O20" i="134"/>
  <c r="K20" i="134"/>
  <c r="O121" i="134"/>
  <c r="K121" i="134"/>
  <c r="K10" i="134"/>
  <c r="Q195" i="135" l="1"/>
  <c r="N146" i="134"/>
  <c r="J146" i="134"/>
  <c r="N13" i="134"/>
  <c r="J13" i="134"/>
  <c r="J181" i="134" l="1"/>
  <c r="N166" i="134"/>
  <c r="J166" i="134"/>
  <c r="N139" i="134"/>
  <c r="J139" i="134"/>
  <c r="N141" i="134"/>
  <c r="J123" i="134"/>
  <c r="J121" i="134"/>
  <c r="N115" i="134"/>
  <c r="N117" i="134"/>
  <c r="J108" i="134"/>
  <c r="N104" i="134"/>
  <c r="J104" i="134"/>
  <c r="N100" i="134"/>
  <c r="J100" i="134"/>
  <c r="N102" i="134"/>
  <c r="J102" i="134"/>
  <c r="J82" i="134"/>
  <c r="N64" i="134"/>
  <c r="J64" i="134"/>
  <c r="J71" i="134"/>
  <c r="J48" i="134"/>
  <c r="J33" i="134"/>
  <c r="N28" i="134"/>
  <c r="J28" i="134"/>
  <c r="N17" i="134"/>
  <c r="J17" i="134"/>
  <c r="J15" i="134"/>
  <c r="I193" i="134"/>
  <c r="H193" i="134"/>
  <c r="P192" i="134"/>
  <c r="O192" i="134"/>
  <c r="N192" i="134"/>
  <c r="M192" i="134"/>
  <c r="J192" i="134"/>
  <c r="Q191" i="134"/>
  <c r="M191" i="134"/>
  <c r="Q190" i="134"/>
  <c r="M190" i="134"/>
  <c r="Q189" i="134"/>
  <c r="M189" i="134"/>
  <c r="P188" i="134"/>
  <c r="Q188" i="134" s="1"/>
  <c r="N188" i="134"/>
  <c r="L188" i="134"/>
  <c r="K188" i="134"/>
  <c r="J188" i="134"/>
  <c r="Q187" i="134"/>
  <c r="M187" i="134"/>
  <c r="P186" i="134"/>
  <c r="O186" i="134"/>
  <c r="N186" i="134"/>
  <c r="M186" i="134"/>
  <c r="J186" i="134"/>
  <c r="Q185" i="134"/>
  <c r="M185" i="134"/>
  <c r="Q184" i="134"/>
  <c r="N184" i="134"/>
  <c r="L184" i="134"/>
  <c r="M184" i="134" s="1"/>
  <c r="J184" i="134"/>
  <c r="Q183" i="134"/>
  <c r="M183" i="134"/>
  <c r="P182" i="134"/>
  <c r="Q182" i="134" s="1"/>
  <c r="N182" i="134"/>
  <c r="L182" i="134"/>
  <c r="K182" i="134"/>
  <c r="J182" i="134"/>
  <c r="P181" i="134"/>
  <c r="O181" i="134"/>
  <c r="N181" i="134"/>
  <c r="L181" i="134"/>
  <c r="M181" i="134" s="1"/>
  <c r="Q180" i="134"/>
  <c r="M180" i="134"/>
  <c r="P179" i="134"/>
  <c r="O179" i="134"/>
  <c r="N179" i="134"/>
  <c r="L179" i="134"/>
  <c r="K179" i="134"/>
  <c r="J179" i="134"/>
  <c r="Q178" i="134"/>
  <c r="M178" i="134"/>
  <c r="Q176" i="134"/>
  <c r="P175" i="134"/>
  <c r="O175" i="134"/>
  <c r="N175" i="134"/>
  <c r="L175" i="134"/>
  <c r="K175" i="134"/>
  <c r="J175" i="134"/>
  <c r="Q174" i="134"/>
  <c r="M174" i="134"/>
  <c r="Q173" i="134"/>
  <c r="M173" i="134"/>
  <c r="J172" i="134"/>
  <c r="Q171" i="134"/>
  <c r="N171" i="134"/>
  <c r="M171" i="134"/>
  <c r="P170" i="134"/>
  <c r="O170" i="134"/>
  <c r="N170" i="134"/>
  <c r="L170" i="134"/>
  <c r="K170" i="134"/>
  <c r="J170" i="134"/>
  <c r="Q169" i="134"/>
  <c r="M169" i="134"/>
  <c r="P168" i="134"/>
  <c r="Q168" i="134" s="1"/>
  <c r="N168" i="134"/>
  <c r="M168" i="134"/>
  <c r="J168" i="134"/>
  <c r="Q167" i="134"/>
  <c r="M167" i="134"/>
  <c r="P166" i="134"/>
  <c r="Q166" i="134" s="1"/>
  <c r="L166" i="134"/>
  <c r="M166" i="134" s="1"/>
  <c r="Q165" i="134"/>
  <c r="M165" i="134"/>
  <c r="Q164" i="134"/>
  <c r="M164" i="134"/>
  <c r="P163" i="134"/>
  <c r="O163" i="134"/>
  <c r="N163" i="134"/>
  <c r="M163" i="134"/>
  <c r="J163" i="134"/>
  <c r="Q162" i="134"/>
  <c r="M162" i="134"/>
  <c r="P161" i="134"/>
  <c r="O161" i="134"/>
  <c r="N161" i="134"/>
  <c r="L161" i="134"/>
  <c r="K161" i="134"/>
  <c r="J161" i="134"/>
  <c r="Q160" i="134"/>
  <c r="M160" i="134"/>
  <c r="Q159" i="134"/>
  <c r="M159" i="134"/>
  <c r="P158" i="134"/>
  <c r="O158" i="134"/>
  <c r="N158" i="134"/>
  <c r="K158" i="134"/>
  <c r="M158" i="134" s="1"/>
  <c r="J158" i="134"/>
  <c r="Q157" i="134"/>
  <c r="M157" i="134"/>
  <c r="Q156" i="134"/>
  <c r="M156" i="134"/>
  <c r="Q155" i="134"/>
  <c r="M155" i="134"/>
  <c r="P154" i="134"/>
  <c r="O154" i="134"/>
  <c r="N154" i="134"/>
  <c r="L154" i="134"/>
  <c r="K154" i="134"/>
  <c r="J154" i="134"/>
  <c r="Q153" i="134"/>
  <c r="Q152" i="134"/>
  <c r="M152" i="134"/>
  <c r="Q151" i="134"/>
  <c r="N151" i="134"/>
  <c r="L151" i="134"/>
  <c r="K151" i="134"/>
  <c r="J151" i="134"/>
  <c r="Q150" i="134"/>
  <c r="J149" i="134"/>
  <c r="P148" i="134"/>
  <c r="O148" i="134"/>
  <c r="N148" i="134"/>
  <c r="L148" i="134"/>
  <c r="K148" i="134"/>
  <c r="J148" i="134"/>
  <c r="Q147" i="134"/>
  <c r="M147" i="134"/>
  <c r="P146" i="134"/>
  <c r="O146" i="134"/>
  <c r="L146" i="134"/>
  <c r="M146" i="134" s="1"/>
  <c r="P145" i="134"/>
  <c r="O145" i="134"/>
  <c r="K145" i="134"/>
  <c r="M145" i="134" s="1"/>
  <c r="Q144" i="134"/>
  <c r="M144" i="134"/>
  <c r="Q143" i="134"/>
  <c r="Q142" i="134"/>
  <c r="M142" i="134"/>
  <c r="P141" i="134"/>
  <c r="O141" i="134"/>
  <c r="L141" i="134"/>
  <c r="M141" i="134" s="1"/>
  <c r="J141" i="134"/>
  <c r="Q140" i="134"/>
  <c r="M140" i="134"/>
  <c r="P139" i="134"/>
  <c r="O139" i="134"/>
  <c r="L139" i="134"/>
  <c r="K139" i="134"/>
  <c r="P138" i="134"/>
  <c r="Q138" i="134" s="1"/>
  <c r="N138" i="134"/>
  <c r="L138" i="134"/>
  <c r="M138" i="134" s="1"/>
  <c r="J138" i="134"/>
  <c r="Q137" i="134"/>
  <c r="M137" i="134"/>
  <c r="P136" i="134"/>
  <c r="O136" i="134"/>
  <c r="N136" i="134"/>
  <c r="K136" i="134"/>
  <c r="M136" i="134" s="1"/>
  <c r="J136" i="134"/>
  <c r="Q135" i="134"/>
  <c r="M135" i="134"/>
  <c r="P134" i="134"/>
  <c r="O134" i="134"/>
  <c r="N134" i="134"/>
  <c r="M134" i="134"/>
  <c r="Q133" i="134"/>
  <c r="M133" i="134"/>
  <c r="P132" i="134"/>
  <c r="O132" i="134"/>
  <c r="N132" i="134"/>
  <c r="L132" i="134"/>
  <c r="K132" i="134"/>
  <c r="J132" i="134"/>
  <c r="Q131" i="134"/>
  <c r="M131" i="134"/>
  <c r="P130" i="134"/>
  <c r="O130" i="134"/>
  <c r="N130" i="134"/>
  <c r="L130" i="134"/>
  <c r="M130" i="134" s="1"/>
  <c r="J130" i="134"/>
  <c r="Q128" i="134"/>
  <c r="M128" i="134"/>
  <c r="P127" i="134"/>
  <c r="O127" i="134"/>
  <c r="N127" i="134"/>
  <c r="L127" i="134"/>
  <c r="K127" i="134"/>
  <c r="J127" i="134"/>
  <c r="Q126" i="134"/>
  <c r="M126" i="134"/>
  <c r="P125" i="134"/>
  <c r="O125" i="134"/>
  <c r="N125" i="134"/>
  <c r="L125" i="134"/>
  <c r="K125" i="134"/>
  <c r="J125" i="134"/>
  <c r="Q124" i="134"/>
  <c r="M124" i="134"/>
  <c r="P123" i="134"/>
  <c r="O123" i="134"/>
  <c r="N123" i="134"/>
  <c r="L123" i="134"/>
  <c r="K123" i="134"/>
  <c r="Q122" i="134"/>
  <c r="M122" i="134"/>
  <c r="P121" i="134"/>
  <c r="Q121" i="134" s="1"/>
  <c r="N121" i="134"/>
  <c r="L121" i="134"/>
  <c r="M121" i="134" s="1"/>
  <c r="Q120" i="134"/>
  <c r="M120" i="134"/>
  <c r="P119" i="134"/>
  <c r="Q119" i="134" s="1"/>
  <c r="N119" i="134"/>
  <c r="M119" i="134"/>
  <c r="J119" i="134"/>
  <c r="Q118" i="134"/>
  <c r="M118" i="134"/>
  <c r="P117" i="134"/>
  <c r="Q117" i="134" s="1"/>
  <c r="L117" i="134"/>
  <c r="M117" i="134" s="1"/>
  <c r="J117" i="134"/>
  <c r="Q116" i="134"/>
  <c r="M116" i="134"/>
  <c r="P115" i="134"/>
  <c r="O115" i="134"/>
  <c r="L115" i="134"/>
  <c r="M115" i="134" s="1"/>
  <c r="J115" i="134"/>
  <c r="P114" i="134"/>
  <c r="O114" i="134"/>
  <c r="N114" i="134"/>
  <c r="L114" i="134"/>
  <c r="K114" i="134"/>
  <c r="J114" i="134"/>
  <c r="Q113" i="134"/>
  <c r="N113" i="134"/>
  <c r="M113" i="134"/>
  <c r="P112" i="134"/>
  <c r="O112" i="134"/>
  <c r="N112" i="134"/>
  <c r="L112" i="134"/>
  <c r="K112" i="134"/>
  <c r="J112" i="134"/>
  <c r="Q111" i="134"/>
  <c r="M111" i="134"/>
  <c r="Q110" i="134"/>
  <c r="N110" i="134"/>
  <c r="L110" i="134"/>
  <c r="M110" i="134" s="1"/>
  <c r="J110" i="134"/>
  <c r="P108" i="134"/>
  <c r="Q108" i="134" s="1"/>
  <c r="N108" i="134"/>
  <c r="L108" i="134"/>
  <c r="M108" i="134" s="1"/>
  <c r="Q107" i="134"/>
  <c r="M107" i="134"/>
  <c r="P106" i="134"/>
  <c r="O106" i="134"/>
  <c r="N106" i="134"/>
  <c r="L106" i="134"/>
  <c r="K106" i="134"/>
  <c r="J106" i="134"/>
  <c r="Q105" i="134"/>
  <c r="M105" i="134"/>
  <c r="P104" i="134"/>
  <c r="Q104" i="134" s="1"/>
  <c r="L104" i="134"/>
  <c r="M104" i="134" s="1"/>
  <c r="Q103" i="134"/>
  <c r="M103" i="134"/>
  <c r="P102" i="134"/>
  <c r="O102" i="134"/>
  <c r="L102" i="134"/>
  <c r="M102" i="134" s="1"/>
  <c r="Q101" i="134"/>
  <c r="M101" i="134"/>
  <c r="P100" i="134"/>
  <c r="Q100" i="134" s="1"/>
  <c r="L100" i="134"/>
  <c r="M100" i="134" s="1"/>
  <c r="Q99" i="134"/>
  <c r="M99" i="134"/>
  <c r="P98" i="134"/>
  <c r="O98" i="134"/>
  <c r="N98" i="134"/>
  <c r="L98" i="134"/>
  <c r="M98" i="134" s="1"/>
  <c r="J98" i="134"/>
  <c r="Q97" i="134"/>
  <c r="M97" i="134"/>
  <c r="Q96" i="134"/>
  <c r="M96" i="134"/>
  <c r="P95" i="134"/>
  <c r="O95" i="134"/>
  <c r="N95" i="134"/>
  <c r="L95" i="134"/>
  <c r="K95" i="134"/>
  <c r="J95" i="134"/>
  <c r="Q94" i="134"/>
  <c r="M94" i="134"/>
  <c r="P93" i="134"/>
  <c r="Q93" i="134" s="1"/>
  <c r="N93" i="134"/>
  <c r="L93" i="134"/>
  <c r="M93" i="134" s="1"/>
  <c r="J93" i="134"/>
  <c r="Q92" i="134"/>
  <c r="M92" i="134"/>
  <c r="Q91" i="134"/>
  <c r="M91" i="134"/>
  <c r="J90" i="134"/>
  <c r="Q89" i="134"/>
  <c r="M89" i="134"/>
  <c r="P88" i="134"/>
  <c r="Q88" i="134" s="1"/>
  <c r="N88" i="134"/>
  <c r="L88" i="134"/>
  <c r="M88" i="134" s="1"/>
  <c r="J88" i="134"/>
  <c r="Q87" i="134"/>
  <c r="M87" i="134"/>
  <c r="P86" i="134"/>
  <c r="O86" i="134"/>
  <c r="N86" i="134"/>
  <c r="L86" i="134"/>
  <c r="K86" i="134"/>
  <c r="J86" i="134"/>
  <c r="Q85" i="134"/>
  <c r="M85" i="134"/>
  <c r="P84" i="134"/>
  <c r="O84" i="134"/>
  <c r="N84" i="134"/>
  <c r="M84" i="134"/>
  <c r="J84" i="134"/>
  <c r="Q83" i="134"/>
  <c r="M83" i="134"/>
  <c r="P82" i="134"/>
  <c r="O82" i="134"/>
  <c r="N82" i="134"/>
  <c r="L82" i="134"/>
  <c r="K82" i="134"/>
  <c r="P81" i="134"/>
  <c r="O81" i="134"/>
  <c r="N81" i="134"/>
  <c r="L81" i="134"/>
  <c r="K81" i="134"/>
  <c r="J81" i="134"/>
  <c r="Q80" i="134"/>
  <c r="M80" i="134"/>
  <c r="Q79" i="134"/>
  <c r="N79" i="134"/>
  <c r="L79" i="134"/>
  <c r="K79" i="134"/>
  <c r="J79" i="134"/>
  <c r="P78" i="134"/>
  <c r="Q78" i="134" s="1"/>
  <c r="N78" i="134"/>
  <c r="L78" i="134"/>
  <c r="K78" i="134"/>
  <c r="J78" i="134"/>
  <c r="Q77" i="134"/>
  <c r="N77" i="134"/>
  <c r="M77" i="134"/>
  <c r="P76" i="134"/>
  <c r="O76" i="134"/>
  <c r="N76" i="134"/>
  <c r="L76" i="134"/>
  <c r="K76" i="134"/>
  <c r="J76" i="134"/>
  <c r="Q75" i="134"/>
  <c r="M75" i="134"/>
  <c r="P74" i="134"/>
  <c r="O74" i="134"/>
  <c r="N74" i="134"/>
  <c r="M74" i="134"/>
  <c r="P73" i="134"/>
  <c r="O73" i="134"/>
  <c r="N73" i="134"/>
  <c r="K73" i="134"/>
  <c r="M73" i="134" s="1"/>
  <c r="J73" i="134"/>
  <c r="Q72" i="134"/>
  <c r="M72" i="134"/>
  <c r="P71" i="134"/>
  <c r="O71" i="134"/>
  <c r="N71" i="134"/>
  <c r="M71" i="134"/>
  <c r="Q70" i="134"/>
  <c r="M70" i="134"/>
  <c r="Q69" i="134"/>
  <c r="N69" i="134"/>
  <c r="M69" i="134"/>
  <c r="Q68" i="134"/>
  <c r="M68" i="134"/>
  <c r="P67" i="134"/>
  <c r="O67" i="134"/>
  <c r="N67" i="134"/>
  <c r="L67" i="134"/>
  <c r="K67" i="134"/>
  <c r="J67" i="134"/>
  <c r="P66" i="134"/>
  <c r="O66" i="134"/>
  <c r="N66" i="134"/>
  <c r="L66" i="134"/>
  <c r="M66" i="134" s="1"/>
  <c r="J66" i="134"/>
  <c r="Q65" i="134"/>
  <c r="M65" i="134"/>
  <c r="P64" i="134"/>
  <c r="O64" i="134"/>
  <c r="L64" i="134"/>
  <c r="K64" i="134"/>
  <c r="Q63" i="134"/>
  <c r="M63" i="134"/>
  <c r="P62" i="134"/>
  <c r="Q62" i="134" s="1"/>
  <c r="N62" i="134"/>
  <c r="L62" i="134"/>
  <c r="M62" i="134" s="1"/>
  <c r="J62" i="134"/>
  <c r="Q61" i="134"/>
  <c r="M61" i="134"/>
  <c r="P60" i="134"/>
  <c r="O60" i="134"/>
  <c r="N60" i="134"/>
  <c r="L60" i="134"/>
  <c r="M60" i="134" s="1"/>
  <c r="J60" i="134"/>
  <c r="Q59" i="134"/>
  <c r="M59" i="134"/>
  <c r="P58" i="134"/>
  <c r="O58" i="134"/>
  <c r="N58" i="134"/>
  <c r="M58" i="134"/>
  <c r="Q57" i="134"/>
  <c r="J57" i="134"/>
  <c r="Q56" i="134"/>
  <c r="M56" i="134"/>
  <c r="P55" i="134"/>
  <c r="O55" i="134"/>
  <c r="N55" i="134"/>
  <c r="L55" i="134"/>
  <c r="K55" i="134"/>
  <c r="J55" i="134"/>
  <c r="Q54" i="134"/>
  <c r="M54" i="134"/>
  <c r="P53" i="134"/>
  <c r="O53" i="134"/>
  <c r="N53" i="134"/>
  <c r="L53" i="134"/>
  <c r="M53" i="134" s="1"/>
  <c r="J53" i="134"/>
  <c r="Q52" i="134"/>
  <c r="M52" i="134"/>
  <c r="Q51" i="134"/>
  <c r="M51" i="134"/>
  <c r="P50" i="134"/>
  <c r="O50" i="134"/>
  <c r="N50" i="134"/>
  <c r="L50" i="134"/>
  <c r="K50" i="134"/>
  <c r="J50" i="134"/>
  <c r="Q49" i="134"/>
  <c r="M49" i="134"/>
  <c r="P48" i="134"/>
  <c r="Q48" i="134" s="1"/>
  <c r="N48" i="134"/>
  <c r="L48" i="134"/>
  <c r="M48" i="134" s="1"/>
  <c r="Q47" i="134"/>
  <c r="M47" i="134"/>
  <c r="P46" i="134"/>
  <c r="O46" i="134"/>
  <c r="N46" i="134"/>
  <c r="L46" i="134"/>
  <c r="K46" i="134"/>
  <c r="J46" i="134"/>
  <c r="P45" i="134"/>
  <c r="Q45" i="134" s="1"/>
  <c r="M45" i="134"/>
  <c r="P44" i="134"/>
  <c r="Q44" i="134" s="1"/>
  <c r="N44" i="134"/>
  <c r="L44" i="134"/>
  <c r="M44" i="134" s="1"/>
  <c r="J44" i="134"/>
  <c r="Q43" i="134"/>
  <c r="M43" i="134"/>
  <c r="Q42" i="134"/>
  <c r="M42" i="134"/>
  <c r="Q41" i="134"/>
  <c r="M41" i="134"/>
  <c r="P40" i="134"/>
  <c r="Q40" i="134" s="1"/>
  <c r="N40" i="134"/>
  <c r="L40" i="134"/>
  <c r="M40" i="134" s="1"/>
  <c r="J40" i="134"/>
  <c r="P39" i="134"/>
  <c r="O39" i="134"/>
  <c r="N39" i="134"/>
  <c r="L39" i="134"/>
  <c r="K39" i="134"/>
  <c r="J39" i="134"/>
  <c r="Q38" i="134"/>
  <c r="M38" i="134"/>
  <c r="P37" i="134"/>
  <c r="O37" i="134"/>
  <c r="N37" i="134"/>
  <c r="L37" i="134"/>
  <c r="K37" i="134"/>
  <c r="J37" i="134"/>
  <c r="Q36" i="134"/>
  <c r="M36" i="134"/>
  <c r="P35" i="134"/>
  <c r="O35" i="134"/>
  <c r="N35" i="134"/>
  <c r="L35" i="134"/>
  <c r="K35" i="134"/>
  <c r="J35" i="134"/>
  <c r="Q34" i="134"/>
  <c r="M34" i="134"/>
  <c r="P33" i="134"/>
  <c r="Q33" i="134" s="1"/>
  <c r="N33" i="134"/>
  <c r="L33" i="134"/>
  <c r="K33" i="134"/>
  <c r="Q32" i="134"/>
  <c r="M32" i="134"/>
  <c r="P31" i="134"/>
  <c r="O31" i="134"/>
  <c r="N31" i="134"/>
  <c r="L31" i="134"/>
  <c r="K31" i="134"/>
  <c r="J31" i="134"/>
  <c r="Q30" i="134"/>
  <c r="K29" i="134"/>
  <c r="J29" i="134"/>
  <c r="P28" i="134"/>
  <c r="Q28" i="134" s="1"/>
  <c r="L28" i="134"/>
  <c r="M28" i="134" s="1"/>
  <c r="J27" i="134"/>
  <c r="Q26" i="134"/>
  <c r="M26" i="134"/>
  <c r="P25" i="134"/>
  <c r="O25" i="134"/>
  <c r="N25" i="134"/>
  <c r="L25" i="134"/>
  <c r="K25" i="134"/>
  <c r="J25" i="134"/>
  <c r="P24" i="134"/>
  <c r="O24" i="134"/>
  <c r="N24" i="134"/>
  <c r="L24" i="134"/>
  <c r="K24" i="134"/>
  <c r="J24" i="134"/>
  <c r="P23" i="134"/>
  <c r="Q23" i="134" s="1"/>
  <c r="M23" i="134"/>
  <c r="Q22" i="134"/>
  <c r="N22" i="134"/>
  <c r="J22" i="134"/>
  <c r="Q21" i="134"/>
  <c r="M21" i="134"/>
  <c r="P20" i="134"/>
  <c r="Q20" i="134" s="1"/>
  <c r="N20" i="134"/>
  <c r="M20" i="134"/>
  <c r="J20" i="134"/>
  <c r="P19" i="134"/>
  <c r="O19" i="134"/>
  <c r="N19" i="134"/>
  <c r="L19" i="134"/>
  <c r="K19" i="134"/>
  <c r="J19" i="134"/>
  <c r="Q18" i="134"/>
  <c r="M18" i="134"/>
  <c r="P17" i="134"/>
  <c r="O17" i="134"/>
  <c r="L17" i="134"/>
  <c r="K17" i="134"/>
  <c r="Q16" i="134"/>
  <c r="M16" i="134"/>
  <c r="P15" i="134"/>
  <c r="O15" i="134"/>
  <c r="N15" i="134"/>
  <c r="L15" i="134"/>
  <c r="K15" i="134"/>
  <c r="Q14" i="134"/>
  <c r="M14" i="134"/>
  <c r="O13" i="134"/>
  <c r="Q13" i="134" s="1"/>
  <c r="L13" i="134"/>
  <c r="K13" i="134"/>
  <c r="J12" i="134"/>
  <c r="Q11" i="134"/>
  <c r="M11" i="134"/>
  <c r="P10" i="134"/>
  <c r="N10" i="134"/>
  <c r="L10" i="134"/>
  <c r="J10" i="134"/>
  <c r="B9" i="134"/>
  <c r="C9" i="134" s="1"/>
  <c r="D9" i="134" s="1"/>
  <c r="E9" i="134" s="1"/>
  <c r="F9" i="134" s="1"/>
  <c r="G9" i="134" s="1"/>
  <c r="H9" i="134" s="1"/>
  <c r="I9" i="134" s="1"/>
  <c r="J9" i="134" s="1"/>
  <c r="K9" i="134" s="1"/>
  <c r="L9" i="134" s="1"/>
  <c r="M9" i="134" s="1"/>
  <c r="N9" i="134" s="1"/>
  <c r="O9" i="134" s="1"/>
  <c r="P9" i="134" s="1"/>
  <c r="Q9" i="134" s="1"/>
  <c r="P193" i="134" l="1"/>
  <c r="M13" i="134"/>
  <c r="Q15" i="134"/>
  <c r="M17" i="134"/>
  <c r="Q17" i="134"/>
  <c r="Q19" i="134"/>
  <c r="M35" i="134"/>
  <c r="M37" i="134"/>
  <c r="M76" i="134"/>
  <c r="M81" i="134"/>
  <c r="Q82" i="134"/>
  <c r="M86" i="134"/>
  <c r="Q95" i="134"/>
  <c r="Q112" i="134"/>
  <c r="Q123" i="134"/>
  <c r="Q125" i="134"/>
  <c r="Q192" i="134"/>
  <c r="Q127" i="134"/>
  <c r="M39" i="134"/>
  <c r="Q53" i="134"/>
  <c r="Q55" i="134"/>
  <c r="Q58" i="134"/>
  <c r="M67" i="134"/>
  <c r="Q71" i="134"/>
  <c r="K193" i="134"/>
  <c r="N193" i="134"/>
  <c r="M46" i="134"/>
  <c r="Q141" i="134"/>
  <c r="Q145" i="134"/>
  <c r="Q146" i="134"/>
  <c r="Q154" i="134"/>
  <c r="Q158" i="134"/>
  <c r="Q161" i="134"/>
  <c r="Q170" i="134"/>
  <c r="Q175" i="134"/>
  <c r="M179" i="134"/>
  <c r="M114" i="134"/>
  <c r="Q115" i="134"/>
  <c r="Q130" i="134"/>
  <c r="Q132" i="134"/>
  <c r="Q134" i="134"/>
  <c r="M161" i="134"/>
  <c r="Q181" i="134"/>
  <c r="Q24" i="134"/>
  <c r="Q25" i="134"/>
  <c r="Q31" i="134"/>
  <c r="M33" i="134"/>
  <c r="Q50" i="134"/>
  <c r="M64" i="134"/>
  <c r="Q64" i="134"/>
  <c r="Q66" i="134"/>
  <c r="Q67" i="134"/>
  <c r="Q98" i="134"/>
  <c r="Q102" i="134"/>
  <c r="Q106" i="134"/>
  <c r="Q186" i="134"/>
  <c r="Q60" i="134"/>
  <c r="Q136" i="134"/>
  <c r="M139" i="134"/>
  <c r="Q139" i="134"/>
  <c r="M151" i="134"/>
  <c r="M154" i="134"/>
  <c r="Q163" i="134"/>
  <c r="M170" i="134"/>
  <c r="M175" i="134"/>
  <c r="Q179" i="134"/>
  <c r="M182" i="134"/>
  <c r="M188" i="134"/>
  <c r="J193" i="134"/>
  <c r="L193" i="134"/>
  <c r="O193" i="134"/>
  <c r="Q193" i="134" s="1"/>
  <c r="M15" i="134"/>
  <c r="M19" i="134"/>
  <c r="M24" i="134"/>
  <c r="M25" i="134"/>
  <c r="M31" i="134"/>
  <c r="Q35" i="134"/>
  <c r="Q37" i="134"/>
  <c r="Q39" i="134"/>
  <c r="Q46" i="134"/>
  <c r="M50" i="134"/>
  <c r="M55" i="134"/>
  <c r="Q73" i="134"/>
  <c r="Q74" i="134"/>
  <c r="Q76" i="134"/>
  <c r="M78" i="134"/>
  <c r="M79" i="134"/>
  <c r="Q81" i="134"/>
  <c r="M82" i="134"/>
  <c r="Q84" i="134"/>
  <c r="Q86" i="134"/>
  <c r="M95" i="134"/>
  <c r="M106" i="134"/>
  <c r="M112" i="134"/>
  <c r="Q114" i="134"/>
  <c r="M123" i="134"/>
  <c r="M125" i="134"/>
  <c r="M127" i="134"/>
  <c r="M132" i="134"/>
  <c r="M10" i="134"/>
  <c r="Q10" i="134"/>
  <c r="Q189" i="133"/>
  <c r="Q187" i="133"/>
  <c r="Q185" i="133"/>
  <c r="Q180" i="133"/>
  <c r="Q178" i="133"/>
  <c r="Q176" i="133"/>
  <c r="Q169" i="133"/>
  <c r="Q167" i="133"/>
  <c r="Q164" i="133"/>
  <c r="Q162" i="133"/>
  <c r="Q160" i="133"/>
  <c r="Q157" i="133"/>
  <c r="Q155" i="133"/>
  <c r="Q153" i="133"/>
  <c r="Q150" i="133"/>
  <c r="Q147" i="133"/>
  <c r="Q144" i="133"/>
  <c r="Q143" i="133"/>
  <c r="Q142" i="133"/>
  <c r="Q137" i="133"/>
  <c r="Q135" i="133"/>
  <c r="Q126" i="133"/>
  <c r="Q124" i="133"/>
  <c r="Q120" i="133"/>
  <c r="Q111" i="133"/>
  <c r="Q99" i="133"/>
  <c r="Q97" i="133"/>
  <c r="Q92" i="133"/>
  <c r="Q89" i="133"/>
  <c r="Q87" i="133"/>
  <c r="Q85" i="133"/>
  <c r="Q83" i="133"/>
  <c r="Q72" i="133"/>
  <c r="Q70" i="133"/>
  <c r="Q65" i="133"/>
  <c r="Q61" i="133"/>
  <c r="Q59" i="133"/>
  <c r="Q56" i="133"/>
  <c r="Q51" i="133"/>
  <c r="Q43" i="133"/>
  <c r="Q41" i="133"/>
  <c r="Q34" i="133"/>
  <c r="Q30" i="133"/>
  <c r="Q21" i="133"/>
  <c r="Q18" i="133"/>
  <c r="Q16" i="133"/>
  <c r="M26" i="133"/>
  <c r="O119" i="133"/>
  <c r="K170" i="133"/>
  <c r="L13" i="133"/>
  <c r="K93" i="133"/>
  <c r="O117" i="133"/>
  <c r="O115" i="133"/>
  <c r="K115" i="133"/>
  <c r="O76" i="133"/>
  <c r="K76" i="133"/>
  <c r="O175" i="133"/>
  <c r="K175" i="133"/>
  <c r="O188" i="133"/>
  <c r="O181" i="133"/>
  <c r="K181" i="133"/>
  <c r="K179" i="133"/>
  <c r="O170" i="133"/>
  <c r="O161" i="133"/>
  <c r="K161" i="133"/>
  <c r="K151" i="133"/>
  <c r="M193" i="134" l="1"/>
  <c r="O154" i="133"/>
  <c r="K154" i="133"/>
  <c r="K90" i="133"/>
  <c r="O145" i="133"/>
  <c r="K145" i="133"/>
  <c r="O141" i="133"/>
  <c r="K141" i="133"/>
  <c r="O136" i="133"/>
  <c r="K136" i="133"/>
  <c r="O130" i="133"/>
  <c r="K130" i="133"/>
  <c r="K60" i="133"/>
  <c r="O132" i="133"/>
  <c r="K132" i="133"/>
  <c r="K127" i="133"/>
  <c r="O125" i="133"/>
  <c r="K125" i="133"/>
  <c r="K119" i="133"/>
  <c r="K123" i="133"/>
  <c r="O158" i="133"/>
  <c r="K158" i="133"/>
  <c r="K112" i="133"/>
  <c r="O112" i="133"/>
  <c r="K104" i="133"/>
  <c r="O95" i="133"/>
  <c r="K95" i="133"/>
  <c r="K86" i="133"/>
  <c r="K82" i="133"/>
  <c r="O77" i="133"/>
  <c r="K79" i="133"/>
  <c r="O71" i="133"/>
  <c r="K19" i="133"/>
  <c r="K73" i="133"/>
  <c r="K67" i="133"/>
  <c r="K29" i="133"/>
  <c r="K12" i="133"/>
  <c r="K39" i="133"/>
  <c r="K33" i="133"/>
  <c r="K31" i="133"/>
  <c r="O28" i="133"/>
  <c r="O22" i="133"/>
  <c r="K22" i="133"/>
  <c r="O15" i="133"/>
  <c r="K15" i="133"/>
  <c r="K24" i="133"/>
  <c r="K35" i="133"/>
  <c r="O35" i="133"/>
  <c r="O13" i="133"/>
  <c r="K13" i="133"/>
  <c r="P192" i="133"/>
  <c r="P188" i="133"/>
  <c r="P186" i="133"/>
  <c r="P184" i="133"/>
  <c r="P182" i="133"/>
  <c r="P181" i="133"/>
  <c r="P179" i="133"/>
  <c r="P175" i="133"/>
  <c r="P170" i="133"/>
  <c r="P168" i="133"/>
  <c r="P166" i="133"/>
  <c r="P154" i="133"/>
  <c r="P151" i="133"/>
  <c r="P148" i="133"/>
  <c r="P146" i="133"/>
  <c r="P145" i="133"/>
  <c r="P141" i="133"/>
  <c r="P139" i="133"/>
  <c r="P138" i="133"/>
  <c r="P136" i="133"/>
  <c r="P134" i="133"/>
  <c r="P132" i="133"/>
  <c r="P130" i="133"/>
  <c r="P127" i="133"/>
  <c r="P125" i="133"/>
  <c r="P123" i="133"/>
  <c r="P121" i="133"/>
  <c r="P119" i="133"/>
  <c r="P117" i="133"/>
  <c r="P115" i="133"/>
  <c r="P114" i="133"/>
  <c r="P112" i="133"/>
  <c r="P108" i="133"/>
  <c r="P106" i="133"/>
  <c r="P104" i="133"/>
  <c r="P102" i="133"/>
  <c r="P100" i="133"/>
  <c r="P98" i="133"/>
  <c r="P95" i="133"/>
  <c r="P93" i="133"/>
  <c r="P84" i="133"/>
  <c r="P82" i="133"/>
  <c r="P81" i="133"/>
  <c r="P78" i="133"/>
  <c r="P76" i="133"/>
  <c r="P74" i="133"/>
  <c r="P71" i="133"/>
  <c r="P67" i="133"/>
  <c r="P66" i="133"/>
  <c r="P64" i="133"/>
  <c r="P62" i="133"/>
  <c r="P60" i="133"/>
  <c r="P58" i="133"/>
  <c r="P55" i="133"/>
  <c r="P53" i="133"/>
  <c r="P48" i="133"/>
  <c r="O50" i="133"/>
  <c r="P46" i="133"/>
  <c r="P44" i="133"/>
  <c r="P40" i="133"/>
  <c r="P39" i="133"/>
  <c r="P37" i="133"/>
  <c r="Q57" i="133"/>
  <c r="P33" i="133"/>
  <c r="P35" i="133"/>
  <c r="P31" i="133"/>
  <c r="P28" i="133"/>
  <c r="P25" i="133"/>
  <c r="P24" i="133"/>
  <c r="P19" i="133"/>
  <c r="P17" i="133"/>
  <c r="P15" i="133"/>
  <c r="P10" i="133"/>
  <c r="L146" i="133"/>
  <c r="L188" i="133"/>
  <c r="L184" i="133"/>
  <c r="L182" i="133"/>
  <c r="L181" i="133"/>
  <c r="L179" i="133"/>
  <c r="L175" i="133"/>
  <c r="L170" i="133"/>
  <c r="L166" i="133"/>
  <c r="L161" i="133"/>
  <c r="L154" i="133"/>
  <c r="L151" i="133"/>
  <c r="L148" i="133"/>
  <c r="L141" i="133"/>
  <c r="L139" i="133"/>
  <c r="L138" i="133"/>
  <c r="L132" i="133"/>
  <c r="L130" i="133"/>
  <c r="L115" i="133"/>
  <c r="L127" i="133"/>
  <c r="L125" i="133"/>
  <c r="L123" i="133"/>
  <c r="L121" i="133"/>
  <c r="L119" i="133"/>
  <c r="L117" i="133"/>
  <c r="L114" i="133"/>
  <c r="L112" i="133"/>
  <c r="L110" i="133"/>
  <c r="L108" i="133"/>
  <c r="L106" i="133"/>
  <c r="L104" i="133"/>
  <c r="L102" i="133"/>
  <c r="L100" i="133"/>
  <c r="L98" i="133"/>
  <c r="L95" i="133"/>
  <c r="L93" i="133"/>
  <c r="L82" i="133"/>
  <c r="L81" i="133"/>
  <c r="L78" i="133"/>
  <c r="L67" i="133"/>
  <c r="L66" i="133"/>
  <c r="L64" i="133"/>
  <c r="L62" i="133"/>
  <c r="L60" i="133"/>
  <c r="L55" i="133"/>
  <c r="L53" i="133"/>
  <c r="L50" i="133"/>
  <c r="L48" i="133"/>
  <c r="L46" i="133"/>
  <c r="L44" i="133"/>
  <c r="L40" i="133"/>
  <c r="L39" i="133"/>
  <c r="L37" i="133"/>
  <c r="L35" i="133"/>
  <c r="L33" i="133"/>
  <c r="L31" i="133"/>
  <c r="L28" i="133"/>
  <c r="L25" i="133"/>
  <c r="L17" i="133"/>
  <c r="L15" i="133"/>
  <c r="L10" i="133"/>
  <c r="Q35" i="133" l="1"/>
  <c r="M54" i="133"/>
  <c r="J27" i="133" l="1"/>
  <c r="J149" i="133"/>
  <c r="N79" i="133"/>
  <c r="N184" i="133"/>
  <c r="J184" i="133"/>
  <c r="J175" i="133"/>
  <c r="N146" i="133"/>
  <c r="J146" i="133"/>
  <c r="J130" i="133"/>
  <c r="J125" i="133"/>
  <c r="J104" i="133"/>
  <c r="J90" i="133"/>
  <c r="N93" i="133"/>
  <c r="J93" i="133"/>
  <c r="J98" i="133"/>
  <c r="N100" i="133"/>
  <c r="J100" i="133"/>
  <c r="N88" i="133"/>
  <c r="J88" i="133"/>
  <c r="N86" i="133"/>
  <c r="J86" i="133"/>
  <c r="J84" i="133"/>
  <c r="N76" i="133"/>
  <c r="J76" i="133"/>
  <c r="N78" i="133"/>
  <c r="J71" i="133"/>
  <c r="N62" i="133"/>
  <c r="J62" i="133"/>
  <c r="N53" i="133"/>
  <c r="J53" i="133"/>
  <c r="J37" i="133"/>
  <c r="J29" i="133"/>
  <c r="N28" i="133"/>
  <c r="J28" i="133"/>
  <c r="N19" i="133"/>
  <c r="N10" i="133"/>
  <c r="J10" i="133"/>
  <c r="I193" i="133" l="1"/>
  <c r="H193" i="133"/>
  <c r="O192" i="133"/>
  <c r="Q192" i="133" s="1"/>
  <c r="N192" i="133"/>
  <c r="M192" i="133"/>
  <c r="J192" i="133"/>
  <c r="Q191" i="133"/>
  <c r="M191" i="133"/>
  <c r="Q190" i="133"/>
  <c r="M190" i="133"/>
  <c r="M189" i="133"/>
  <c r="Q188" i="133"/>
  <c r="N188" i="133"/>
  <c r="K188" i="133"/>
  <c r="M188" i="133" s="1"/>
  <c r="J188" i="133"/>
  <c r="M187" i="133"/>
  <c r="O186" i="133"/>
  <c r="Q186" i="133" s="1"/>
  <c r="N186" i="133"/>
  <c r="M186" i="133"/>
  <c r="J186" i="133"/>
  <c r="M185" i="133"/>
  <c r="O184" i="133"/>
  <c r="Q184" i="133" s="1"/>
  <c r="K184" i="133"/>
  <c r="M184" i="133" s="1"/>
  <c r="Q183" i="133"/>
  <c r="M183" i="133"/>
  <c r="O182" i="133"/>
  <c r="Q182" i="133" s="1"/>
  <c r="N182" i="133"/>
  <c r="K182" i="133"/>
  <c r="M182" i="133" s="1"/>
  <c r="J182" i="133"/>
  <c r="Q181" i="133"/>
  <c r="N181" i="133"/>
  <c r="M181" i="133"/>
  <c r="J181" i="133"/>
  <c r="M180" i="133"/>
  <c r="O179" i="133"/>
  <c r="Q179" i="133" s="1"/>
  <c r="N179" i="133"/>
  <c r="M179" i="133"/>
  <c r="J179" i="133"/>
  <c r="M178" i="133"/>
  <c r="Q175" i="133"/>
  <c r="N175" i="133"/>
  <c r="M175" i="133"/>
  <c r="Q174" i="133"/>
  <c r="M174" i="133"/>
  <c r="Q173" i="133"/>
  <c r="M173" i="133"/>
  <c r="J172" i="133"/>
  <c r="Q171" i="133"/>
  <c r="N171" i="133"/>
  <c r="M171" i="133"/>
  <c r="Q170" i="133"/>
  <c r="N170" i="133"/>
  <c r="M170" i="133"/>
  <c r="J170" i="133"/>
  <c r="M169" i="133"/>
  <c r="O168" i="133"/>
  <c r="Q168" i="133" s="1"/>
  <c r="N168" i="133"/>
  <c r="M168" i="133"/>
  <c r="J168" i="133"/>
  <c r="M167" i="133"/>
  <c r="O166" i="133"/>
  <c r="Q166" i="133" s="1"/>
  <c r="N166" i="133"/>
  <c r="K166" i="133"/>
  <c r="M166" i="133" s="1"/>
  <c r="J166" i="133"/>
  <c r="Q165" i="133"/>
  <c r="M165" i="133"/>
  <c r="M164" i="133"/>
  <c r="P163" i="133"/>
  <c r="O163" i="133"/>
  <c r="N163" i="133"/>
  <c r="L163" i="133"/>
  <c r="K163" i="133"/>
  <c r="J163" i="133"/>
  <c r="M162" i="133"/>
  <c r="P161" i="133"/>
  <c r="N161" i="133"/>
  <c r="M161" i="133"/>
  <c r="J161" i="133"/>
  <c r="M160" i="133"/>
  <c r="Q159" i="133"/>
  <c r="M159" i="133"/>
  <c r="P158" i="133"/>
  <c r="Q158" i="133" s="1"/>
  <c r="N158" i="133"/>
  <c r="M158" i="133"/>
  <c r="J158" i="133"/>
  <c r="M157" i="133"/>
  <c r="Q156" i="133"/>
  <c r="M156" i="133"/>
  <c r="M155" i="133"/>
  <c r="Q154" i="133"/>
  <c r="N154" i="133"/>
  <c r="M154" i="133"/>
  <c r="J154" i="133"/>
  <c r="Q152" i="133"/>
  <c r="M152" i="133"/>
  <c r="O151" i="133"/>
  <c r="Q151" i="133" s="1"/>
  <c r="N151" i="133"/>
  <c r="M151" i="133"/>
  <c r="J151" i="133"/>
  <c r="O148" i="133"/>
  <c r="N148" i="133"/>
  <c r="K148" i="133"/>
  <c r="J148" i="133"/>
  <c r="M147" i="133"/>
  <c r="O146" i="133"/>
  <c r="Q146" i="133" s="1"/>
  <c r="K146" i="133"/>
  <c r="M146" i="133" s="1"/>
  <c r="Q145" i="133"/>
  <c r="M145" i="133"/>
  <c r="M144" i="133"/>
  <c r="M142" i="133"/>
  <c r="Q141" i="133"/>
  <c r="N141" i="133"/>
  <c r="M141" i="133"/>
  <c r="J141" i="133"/>
  <c r="Q140" i="133"/>
  <c r="M140" i="133"/>
  <c r="O139" i="133"/>
  <c r="Q139" i="133" s="1"/>
  <c r="N139" i="133"/>
  <c r="K139" i="133"/>
  <c r="M139" i="133" s="1"/>
  <c r="J139" i="133"/>
  <c r="O138" i="133"/>
  <c r="Q138" i="133" s="1"/>
  <c r="N138" i="133"/>
  <c r="K138" i="133"/>
  <c r="M138" i="133" s="1"/>
  <c r="J138" i="133"/>
  <c r="M137" i="133"/>
  <c r="Q136" i="133"/>
  <c r="N136" i="133"/>
  <c r="M136" i="133"/>
  <c r="J136" i="133"/>
  <c r="M135" i="133"/>
  <c r="O134" i="133"/>
  <c r="Q134" i="133" s="1"/>
  <c r="N134" i="133"/>
  <c r="M134" i="133"/>
  <c r="Q133" i="133"/>
  <c r="M133" i="133"/>
  <c r="Q132" i="133"/>
  <c r="N132" i="133"/>
  <c r="M132" i="133"/>
  <c r="J132" i="133"/>
  <c r="Q131" i="133"/>
  <c r="M131" i="133"/>
  <c r="Q130" i="133"/>
  <c r="N130" i="133"/>
  <c r="M130" i="133"/>
  <c r="Q128" i="133"/>
  <c r="M128" i="133"/>
  <c r="O127" i="133"/>
  <c r="Q127" i="133" s="1"/>
  <c r="N127" i="133"/>
  <c r="M127" i="133"/>
  <c r="J127" i="133"/>
  <c r="M126" i="133"/>
  <c r="Q125" i="133"/>
  <c r="N125" i="133"/>
  <c r="M125" i="133"/>
  <c r="M124" i="133"/>
  <c r="O123" i="133"/>
  <c r="Q123" i="133" s="1"/>
  <c r="N123" i="133"/>
  <c r="M123" i="133"/>
  <c r="J123" i="133"/>
  <c r="Q122" i="133"/>
  <c r="M122" i="133"/>
  <c r="O121" i="133"/>
  <c r="Q121" i="133" s="1"/>
  <c r="N121" i="133"/>
  <c r="K121" i="133"/>
  <c r="M121" i="133" s="1"/>
  <c r="J121" i="133"/>
  <c r="M120" i="133"/>
  <c r="Q119" i="133"/>
  <c r="N119" i="133"/>
  <c r="M119" i="133"/>
  <c r="J119" i="133"/>
  <c r="Q118" i="133"/>
  <c r="M118" i="133"/>
  <c r="Q117" i="133"/>
  <c r="N117" i="133"/>
  <c r="K117" i="133"/>
  <c r="M117" i="133" s="1"/>
  <c r="J117" i="133"/>
  <c r="Q116" i="133"/>
  <c r="M116" i="133"/>
  <c r="Q115" i="133"/>
  <c r="N115" i="133"/>
  <c r="M115" i="133"/>
  <c r="J115" i="133"/>
  <c r="O114" i="133"/>
  <c r="Q114" i="133" s="1"/>
  <c r="N114" i="133"/>
  <c r="K114" i="133"/>
  <c r="M114" i="133" s="1"/>
  <c r="J114" i="133"/>
  <c r="Q113" i="133"/>
  <c r="N113" i="133"/>
  <c r="M113" i="133"/>
  <c r="Q112" i="133"/>
  <c r="N112" i="133"/>
  <c r="M112" i="133"/>
  <c r="J112" i="133"/>
  <c r="M111" i="133"/>
  <c r="Q110" i="133"/>
  <c r="N110" i="133"/>
  <c r="K110" i="133"/>
  <c r="M110" i="133" s="1"/>
  <c r="J110" i="133"/>
  <c r="O108" i="133"/>
  <c r="Q108" i="133" s="1"/>
  <c r="N108" i="133"/>
  <c r="K108" i="133"/>
  <c r="M108" i="133" s="1"/>
  <c r="J108" i="133"/>
  <c r="Q107" i="133"/>
  <c r="M107" i="133"/>
  <c r="O106" i="133"/>
  <c r="Q106" i="133" s="1"/>
  <c r="N106" i="133"/>
  <c r="K106" i="133"/>
  <c r="M106" i="133" s="1"/>
  <c r="J106" i="133"/>
  <c r="Q105" i="133"/>
  <c r="M105" i="133"/>
  <c r="O104" i="133"/>
  <c r="Q104" i="133" s="1"/>
  <c r="N104" i="133"/>
  <c r="M104" i="133"/>
  <c r="Q103" i="133"/>
  <c r="M103" i="133"/>
  <c r="O102" i="133"/>
  <c r="Q102" i="133" s="1"/>
  <c r="N102" i="133"/>
  <c r="K102" i="133"/>
  <c r="M102" i="133" s="1"/>
  <c r="J102" i="133"/>
  <c r="Q101" i="133"/>
  <c r="M101" i="133"/>
  <c r="O100" i="133"/>
  <c r="Q100" i="133" s="1"/>
  <c r="K100" i="133"/>
  <c r="M100" i="133" s="1"/>
  <c r="M99" i="133"/>
  <c r="O98" i="133"/>
  <c r="Q98" i="133" s="1"/>
  <c r="N98" i="133"/>
  <c r="K98" i="133"/>
  <c r="M98" i="133" s="1"/>
  <c r="M97" i="133"/>
  <c r="Q96" i="133"/>
  <c r="M96" i="133"/>
  <c r="Q95" i="133"/>
  <c r="N95" i="133"/>
  <c r="M95" i="133"/>
  <c r="J95" i="133"/>
  <c r="Q94" i="133"/>
  <c r="M94" i="133"/>
  <c r="O93" i="133"/>
  <c r="Q93" i="133" s="1"/>
  <c r="M93" i="133"/>
  <c r="M92" i="133"/>
  <c r="Q91" i="133"/>
  <c r="M91" i="133"/>
  <c r="M89" i="133"/>
  <c r="P88" i="133"/>
  <c r="O88" i="133"/>
  <c r="L88" i="133"/>
  <c r="K88" i="133"/>
  <c r="M87" i="133"/>
  <c r="P86" i="133"/>
  <c r="O86" i="133"/>
  <c r="L86" i="133"/>
  <c r="M86" i="133" s="1"/>
  <c r="M85" i="133"/>
  <c r="O84" i="133"/>
  <c r="Q84" i="133" s="1"/>
  <c r="N84" i="133"/>
  <c r="M84" i="133"/>
  <c r="M83" i="133"/>
  <c r="O82" i="133"/>
  <c r="Q82" i="133" s="1"/>
  <c r="N82" i="133"/>
  <c r="M82" i="133"/>
  <c r="J82" i="133"/>
  <c r="O81" i="133"/>
  <c r="Q81" i="133" s="1"/>
  <c r="N81" i="133"/>
  <c r="K81" i="133"/>
  <c r="M81" i="133" s="1"/>
  <c r="J81" i="133"/>
  <c r="Q80" i="133"/>
  <c r="M80" i="133"/>
  <c r="Q79" i="133"/>
  <c r="L79" i="133"/>
  <c r="M79" i="133" s="1"/>
  <c r="J79" i="133"/>
  <c r="O78" i="133"/>
  <c r="Q78" i="133" s="1"/>
  <c r="K78" i="133"/>
  <c r="M78" i="133" s="1"/>
  <c r="J78" i="133"/>
  <c r="Q77" i="133"/>
  <c r="N77" i="133"/>
  <c r="M77" i="133"/>
  <c r="Q76" i="133"/>
  <c r="L76" i="133"/>
  <c r="M76" i="133" s="1"/>
  <c r="Q75" i="133"/>
  <c r="M75" i="133"/>
  <c r="O74" i="133"/>
  <c r="Q74" i="133" s="1"/>
  <c r="N74" i="133"/>
  <c r="M74" i="133"/>
  <c r="P73" i="133"/>
  <c r="O73" i="133"/>
  <c r="N73" i="133"/>
  <c r="M73" i="133"/>
  <c r="J73" i="133"/>
  <c r="M72" i="133"/>
  <c r="Q71" i="133"/>
  <c r="N71" i="133"/>
  <c r="M71" i="133"/>
  <c r="M70" i="133"/>
  <c r="Q69" i="133"/>
  <c r="N69" i="133"/>
  <c r="M69" i="133"/>
  <c r="Q68" i="133"/>
  <c r="M68" i="133"/>
  <c r="O67" i="133"/>
  <c r="Q67" i="133" s="1"/>
  <c r="N67" i="133"/>
  <c r="M67" i="133"/>
  <c r="J67" i="133"/>
  <c r="O66" i="133"/>
  <c r="Q66" i="133" s="1"/>
  <c r="N66" i="133"/>
  <c r="K66" i="133"/>
  <c r="M66" i="133" s="1"/>
  <c r="J66" i="133"/>
  <c r="M65" i="133"/>
  <c r="O64" i="133"/>
  <c r="Q64" i="133" s="1"/>
  <c r="N64" i="133"/>
  <c r="K64" i="133"/>
  <c r="M64" i="133" s="1"/>
  <c r="J64" i="133"/>
  <c r="Q63" i="133"/>
  <c r="M63" i="133"/>
  <c r="O62" i="133"/>
  <c r="Q62" i="133" s="1"/>
  <c r="K62" i="133"/>
  <c r="M62" i="133" s="1"/>
  <c r="M61" i="133"/>
  <c r="O60" i="133"/>
  <c r="Q60" i="133" s="1"/>
  <c r="N60" i="133"/>
  <c r="M60" i="133"/>
  <c r="J60" i="133"/>
  <c r="M59" i="133"/>
  <c r="O58" i="133"/>
  <c r="Q58" i="133" s="1"/>
  <c r="N58" i="133"/>
  <c r="M58" i="133"/>
  <c r="J57" i="133"/>
  <c r="M56" i="133"/>
  <c r="O55" i="133"/>
  <c r="Q55" i="133" s="1"/>
  <c r="N55" i="133"/>
  <c r="K55" i="133"/>
  <c r="M55" i="133" s="1"/>
  <c r="J55" i="133"/>
  <c r="Q54" i="133"/>
  <c r="O53" i="133"/>
  <c r="Q53" i="133" s="1"/>
  <c r="K53" i="133"/>
  <c r="M53" i="133" s="1"/>
  <c r="Q52" i="133"/>
  <c r="M52" i="133"/>
  <c r="M51" i="133"/>
  <c r="P50" i="133"/>
  <c r="Q50" i="133" s="1"/>
  <c r="N50" i="133"/>
  <c r="K50" i="133"/>
  <c r="M50" i="133" s="1"/>
  <c r="J50" i="133"/>
  <c r="Q49" i="133"/>
  <c r="M49" i="133"/>
  <c r="O48" i="133"/>
  <c r="Q48" i="133" s="1"/>
  <c r="N48" i="133"/>
  <c r="K48" i="133"/>
  <c r="M48" i="133" s="1"/>
  <c r="J48" i="133"/>
  <c r="Q47" i="133"/>
  <c r="M47" i="133"/>
  <c r="O46" i="133"/>
  <c r="Q46" i="133" s="1"/>
  <c r="N46" i="133"/>
  <c r="K46" i="133"/>
  <c r="M46" i="133" s="1"/>
  <c r="J46" i="133"/>
  <c r="P45" i="133"/>
  <c r="Q45" i="133" s="1"/>
  <c r="M45" i="133"/>
  <c r="O44" i="133"/>
  <c r="Q44" i="133" s="1"/>
  <c r="N44" i="133"/>
  <c r="K44" i="133"/>
  <c r="M44" i="133" s="1"/>
  <c r="J44" i="133"/>
  <c r="M43" i="133"/>
  <c r="Q42" i="133"/>
  <c r="M42" i="133"/>
  <c r="M41" i="133"/>
  <c r="O40" i="133"/>
  <c r="Q40" i="133" s="1"/>
  <c r="N40" i="133"/>
  <c r="K40" i="133"/>
  <c r="M40" i="133" s="1"/>
  <c r="J40" i="133"/>
  <c r="O39" i="133"/>
  <c r="Q39" i="133" s="1"/>
  <c r="N39" i="133"/>
  <c r="M39" i="133"/>
  <c r="J39" i="133"/>
  <c r="Q38" i="133"/>
  <c r="M38" i="133"/>
  <c r="O37" i="133"/>
  <c r="Q37" i="133" s="1"/>
  <c r="N37" i="133"/>
  <c r="K37" i="133"/>
  <c r="M37" i="133" s="1"/>
  <c r="Q36" i="133"/>
  <c r="M36" i="133"/>
  <c r="N35" i="133"/>
  <c r="M35" i="133"/>
  <c r="J35" i="133"/>
  <c r="M34" i="133"/>
  <c r="O33" i="133"/>
  <c r="Q33" i="133" s="1"/>
  <c r="N33" i="133"/>
  <c r="M33" i="133"/>
  <c r="J33" i="133"/>
  <c r="Q32" i="133"/>
  <c r="M32" i="133"/>
  <c r="O31" i="133"/>
  <c r="Q31" i="133" s="1"/>
  <c r="N31" i="133"/>
  <c r="M31" i="133"/>
  <c r="J31" i="133"/>
  <c r="Q28" i="133"/>
  <c r="K28" i="133"/>
  <c r="M28" i="133" s="1"/>
  <c r="Q26" i="133"/>
  <c r="O25" i="133"/>
  <c r="Q25" i="133" s="1"/>
  <c r="N25" i="133"/>
  <c r="K25" i="133"/>
  <c r="M25" i="133" s="1"/>
  <c r="J25" i="133"/>
  <c r="O24" i="133"/>
  <c r="Q24" i="133" s="1"/>
  <c r="N24" i="133"/>
  <c r="L24" i="133"/>
  <c r="M24" i="133" s="1"/>
  <c r="J24" i="133"/>
  <c r="P23" i="133"/>
  <c r="Q23" i="133" s="1"/>
  <c r="M23" i="133"/>
  <c r="P22" i="133"/>
  <c r="Q22" i="133" s="1"/>
  <c r="N22" i="133"/>
  <c r="L22" i="133"/>
  <c r="M22" i="133" s="1"/>
  <c r="J22" i="133"/>
  <c r="M21" i="133"/>
  <c r="P20" i="133"/>
  <c r="O20" i="133"/>
  <c r="N20" i="133"/>
  <c r="M20" i="133"/>
  <c r="J20" i="133"/>
  <c r="O19" i="133"/>
  <c r="Q19" i="133" s="1"/>
  <c r="L19" i="133"/>
  <c r="M19" i="133" s="1"/>
  <c r="J19" i="133"/>
  <c r="M18" i="133"/>
  <c r="O17" i="133"/>
  <c r="Q17" i="133" s="1"/>
  <c r="N17" i="133"/>
  <c r="K17" i="133"/>
  <c r="M17" i="133" s="1"/>
  <c r="J17" i="133"/>
  <c r="M16" i="133"/>
  <c r="Q15" i="133"/>
  <c r="N15" i="133"/>
  <c r="M15" i="133"/>
  <c r="J15" i="133"/>
  <c r="Q14" i="133"/>
  <c r="M14" i="133"/>
  <c r="Q13" i="133"/>
  <c r="N13" i="133"/>
  <c r="M13" i="133"/>
  <c r="J13" i="133"/>
  <c r="J12" i="133"/>
  <c r="Q11" i="133"/>
  <c r="M11" i="133"/>
  <c r="O10" i="133"/>
  <c r="K10" i="133"/>
  <c r="B9" i="133"/>
  <c r="C9" i="133" s="1"/>
  <c r="D9" i="133" s="1"/>
  <c r="E9" i="133" s="1"/>
  <c r="F9" i="133" s="1"/>
  <c r="G9" i="133" s="1"/>
  <c r="H9" i="133" s="1"/>
  <c r="I9" i="133" s="1"/>
  <c r="J9" i="133" s="1"/>
  <c r="K9" i="133" s="1"/>
  <c r="L9" i="133" s="1"/>
  <c r="M9" i="133" s="1"/>
  <c r="N9" i="133" s="1"/>
  <c r="O9" i="133" s="1"/>
  <c r="P9" i="133" s="1"/>
  <c r="Q9" i="133" s="1"/>
  <c r="O193" i="133" l="1"/>
  <c r="L193" i="133"/>
  <c r="J193" i="133"/>
  <c r="N193" i="133"/>
  <c r="M163" i="133"/>
  <c r="K193" i="133"/>
  <c r="M193" i="133" s="1"/>
  <c r="P193" i="133"/>
  <c r="Q193" i="133" s="1"/>
  <c r="Q20" i="133"/>
  <c r="Q73" i="133"/>
  <c r="Q86" i="133"/>
  <c r="M88" i="133"/>
  <c r="Q88" i="133"/>
  <c r="Q161" i="133"/>
  <c r="Q163" i="133"/>
  <c r="M10" i="133"/>
  <c r="Q10" i="133"/>
  <c r="N19" i="132"/>
  <c r="J19" i="132"/>
  <c r="N138" i="132" l="1"/>
  <c r="J138" i="132"/>
  <c r="N194" i="132"/>
  <c r="J194" i="132"/>
  <c r="J150" i="132"/>
  <c r="N189" i="132"/>
  <c r="N187" i="132"/>
  <c r="J187" i="132"/>
  <c r="J185" i="132"/>
  <c r="J182" i="132"/>
  <c r="N183" i="132"/>
  <c r="J176" i="132"/>
  <c r="N169" i="132"/>
  <c r="J169" i="132"/>
  <c r="N167" i="132"/>
  <c r="J167" i="132"/>
  <c r="J12" i="132"/>
  <c r="J141" i="132"/>
  <c r="N134" i="132"/>
  <c r="J119" i="132"/>
  <c r="N121" i="132"/>
  <c r="J121" i="132"/>
  <c r="N115" i="132"/>
  <c r="J115" i="132"/>
  <c r="N117" i="132"/>
  <c r="J117" i="132"/>
  <c r="N110" i="132"/>
  <c r="J110" i="132"/>
  <c r="N108" i="132"/>
  <c r="J108" i="132"/>
  <c r="N104" i="132"/>
  <c r="J104" i="132"/>
  <c r="J57" i="132"/>
  <c r="J93" i="132"/>
  <c r="N100" i="132"/>
  <c r="J100" i="132"/>
  <c r="J102" i="132"/>
  <c r="N88" i="132"/>
  <c r="J88" i="132"/>
  <c r="J84" i="132"/>
  <c r="J82" i="132"/>
  <c r="N77" i="132"/>
  <c r="J73" i="132"/>
  <c r="N71" i="132"/>
  <c r="J71" i="132"/>
  <c r="J66" i="132"/>
  <c r="J60" i="132"/>
  <c r="N48" i="132"/>
  <c r="J48" i="132"/>
  <c r="N44" i="132"/>
  <c r="J44" i="132"/>
  <c r="N40" i="132"/>
  <c r="J40" i="132"/>
  <c r="N33" i="132"/>
  <c r="N28" i="132"/>
  <c r="J28" i="132"/>
  <c r="N22" i="132"/>
  <c r="J22" i="132"/>
  <c r="N20" i="132"/>
  <c r="J20" i="132"/>
  <c r="I195" i="132"/>
  <c r="H195" i="132"/>
  <c r="P194" i="132"/>
  <c r="O194" i="132"/>
  <c r="M194" i="132"/>
  <c r="Q193" i="132"/>
  <c r="M193" i="132"/>
  <c r="Q192" i="132"/>
  <c r="M192" i="132"/>
  <c r="Q191" i="132"/>
  <c r="M191" i="132"/>
  <c r="Q190" i="132"/>
  <c r="M190" i="132"/>
  <c r="P189" i="132"/>
  <c r="O189" i="132"/>
  <c r="K189" i="132"/>
  <c r="M189" i="132" s="1"/>
  <c r="J189" i="132"/>
  <c r="O188" i="132"/>
  <c r="Q188" i="132" s="1"/>
  <c r="M188" i="132"/>
  <c r="P187" i="132"/>
  <c r="O187" i="132"/>
  <c r="M187" i="132"/>
  <c r="O186" i="132"/>
  <c r="Q186" i="132" s="1"/>
  <c r="M186" i="132"/>
  <c r="P185" i="132"/>
  <c r="O185" i="132"/>
  <c r="N185" i="132"/>
  <c r="L185" i="132"/>
  <c r="K185" i="132"/>
  <c r="Q184" i="132"/>
  <c r="M184" i="132"/>
  <c r="P183" i="132"/>
  <c r="O183" i="132"/>
  <c r="L183" i="132"/>
  <c r="K183" i="132"/>
  <c r="J183" i="132"/>
  <c r="P182" i="132"/>
  <c r="O182" i="132"/>
  <c r="N182" i="132"/>
  <c r="K182" i="132"/>
  <c r="M182" i="132" s="1"/>
  <c r="Q181" i="132"/>
  <c r="M181" i="132"/>
  <c r="P180" i="132"/>
  <c r="O180" i="132"/>
  <c r="N180" i="132"/>
  <c r="K180" i="132"/>
  <c r="M180" i="132" s="1"/>
  <c r="J180" i="132"/>
  <c r="Q179" i="132"/>
  <c r="M179" i="132"/>
  <c r="P176" i="132"/>
  <c r="O176" i="132"/>
  <c r="N176" i="132"/>
  <c r="L176" i="132"/>
  <c r="K176" i="132"/>
  <c r="Q175" i="132"/>
  <c r="M175" i="132"/>
  <c r="Q174" i="132"/>
  <c r="M174" i="132"/>
  <c r="J173" i="132"/>
  <c r="Q172" i="132"/>
  <c r="N172" i="132"/>
  <c r="M172" i="132"/>
  <c r="P171" i="132"/>
  <c r="O171" i="132"/>
  <c r="N171" i="132"/>
  <c r="K171" i="132"/>
  <c r="M171" i="132" s="1"/>
  <c r="J171" i="132"/>
  <c r="Q170" i="132"/>
  <c r="M170" i="132"/>
  <c r="P169" i="132"/>
  <c r="O169" i="132"/>
  <c r="M169" i="132"/>
  <c r="Q168" i="132"/>
  <c r="M168" i="132"/>
  <c r="O167" i="132"/>
  <c r="Q167" i="132" s="1"/>
  <c r="K167" i="132"/>
  <c r="M167" i="132" s="1"/>
  <c r="Q166" i="132"/>
  <c r="M166" i="132"/>
  <c r="Q165" i="132"/>
  <c r="M165" i="132"/>
  <c r="P164" i="132"/>
  <c r="O164" i="132"/>
  <c r="N164" i="132"/>
  <c r="L164" i="132"/>
  <c r="K164" i="132"/>
  <c r="J164" i="132"/>
  <c r="Q163" i="132"/>
  <c r="M163" i="132"/>
  <c r="P162" i="132"/>
  <c r="O162" i="132"/>
  <c r="N162" i="132"/>
  <c r="K162" i="132"/>
  <c r="M162" i="132" s="1"/>
  <c r="J162" i="132"/>
  <c r="Q161" i="132"/>
  <c r="M161" i="132"/>
  <c r="Q160" i="132"/>
  <c r="M160" i="132"/>
  <c r="P159" i="132"/>
  <c r="Q159" i="132" s="1"/>
  <c r="N159" i="132"/>
  <c r="M159" i="132"/>
  <c r="J159" i="132"/>
  <c r="Q158" i="132"/>
  <c r="M158" i="132"/>
  <c r="Q157" i="132"/>
  <c r="M157" i="132"/>
  <c r="O156" i="132"/>
  <c r="Q156" i="132" s="1"/>
  <c r="M156" i="132"/>
  <c r="P155" i="132"/>
  <c r="O155" i="132"/>
  <c r="N155" i="132"/>
  <c r="K155" i="132"/>
  <c r="M155" i="132" s="1"/>
  <c r="J155" i="132"/>
  <c r="Q153" i="132"/>
  <c r="M153" i="132"/>
  <c r="P152" i="132"/>
  <c r="O152" i="132"/>
  <c r="N152" i="132"/>
  <c r="K152" i="132"/>
  <c r="M152" i="132" s="1"/>
  <c r="J152" i="132"/>
  <c r="P149" i="132"/>
  <c r="O149" i="132"/>
  <c r="N149" i="132"/>
  <c r="K149" i="132"/>
  <c r="J149" i="132"/>
  <c r="Q148" i="132"/>
  <c r="M148" i="132"/>
  <c r="Q147" i="132"/>
  <c r="M147" i="132"/>
  <c r="P146" i="132"/>
  <c r="O146" i="132"/>
  <c r="N146" i="132"/>
  <c r="L146" i="132"/>
  <c r="K146" i="132"/>
  <c r="J146" i="132"/>
  <c r="O145" i="132"/>
  <c r="Q145" i="132" s="1"/>
  <c r="M145" i="132"/>
  <c r="Q144" i="132"/>
  <c r="M144" i="132"/>
  <c r="Q142" i="132"/>
  <c r="M142" i="132"/>
  <c r="O141" i="132"/>
  <c r="Q141" i="132" s="1"/>
  <c r="N141" i="132"/>
  <c r="L141" i="132"/>
  <c r="K141" i="132"/>
  <c r="Q140" i="132"/>
  <c r="M140" i="132"/>
  <c r="P139" i="132"/>
  <c r="O139" i="132"/>
  <c r="N139" i="132"/>
  <c r="L139" i="132"/>
  <c r="K139" i="132"/>
  <c r="J139" i="132"/>
  <c r="P138" i="132"/>
  <c r="O138" i="132"/>
  <c r="L138" i="132"/>
  <c r="K138" i="132"/>
  <c r="Q137" i="132"/>
  <c r="M137" i="132"/>
  <c r="P136" i="132"/>
  <c r="O136" i="132"/>
  <c r="N136" i="132"/>
  <c r="M136" i="132"/>
  <c r="J136" i="132"/>
  <c r="O135" i="132"/>
  <c r="Q135" i="132" s="1"/>
  <c r="M135" i="132"/>
  <c r="P134" i="132"/>
  <c r="O134" i="132"/>
  <c r="M134" i="132"/>
  <c r="Q133" i="132"/>
  <c r="M133" i="132"/>
  <c r="P132" i="132"/>
  <c r="O132" i="132"/>
  <c r="N132" i="132"/>
  <c r="K132" i="132"/>
  <c r="M132" i="132" s="1"/>
  <c r="J132" i="132"/>
  <c r="Q131" i="132"/>
  <c r="M131" i="132"/>
  <c r="P130" i="132"/>
  <c r="O130" i="132"/>
  <c r="N130" i="132"/>
  <c r="K130" i="132"/>
  <c r="M130" i="132" s="1"/>
  <c r="J130" i="132"/>
  <c r="Q128" i="132"/>
  <c r="M128" i="132"/>
  <c r="P127" i="132"/>
  <c r="O127" i="132"/>
  <c r="N127" i="132"/>
  <c r="K127" i="132"/>
  <c r="M127" i="132" s="1"/>
  <c r="J127" i="132"/>
  <c r="Q126" i="132"/>
  <c r="M126" i="132"/>
  <c r="P125" i="132"/>
  <c r="O125" i="132"/>
  <c r="N125" i="132"/>
  <c r="L125" i="132"/>
  <c r="K125" i="132"/>
  <c r="J125" i="132"/>
  <c r="Q124" i="132"/>
  <c r="M124" i="132"/>
  <c r="P123" i="132"/>
  <c r="O123" i="132"/>
  <c r="N123" i="132"/>
  <c r="L123" i="132"/>
  <c r="K123" i="132"/>
  <c r="J123" i="132"/>
  <c r="Q122" i="132"/>
  <c r="M122" i="132"/>
  <c r="P121" i="132"/>
  <c r="O121" i="132"/>
  <c r="L121" i="132"/>
  <c r="K121" i="132"/>
  <c r="Q120" i="132"/>
  <c r="M120" i="132"/>
  <c r="P119" i="132"/>
  <c r="O119" i="132"/>
  <c r="N119" i="132"/>
  <c r="K119" i="132"/>
  <c r="M119" i="132" s="1"/>
  <c r="Q118" i="132"/>
  <c r="M118" i="132"/>
  <c r="P117" i="132"/>
  <c r="O117" i="132"/>
  <c r="K117" i="132"/>
  <c r="M117" i="132" s="1"/>
  <c r="Q116" i="132"/>
  <c r="M116" i="132"/>
  <c r="P115" i="132"/>
  <c r="O115" i="132"/>
  <c r="L115" i="132"/>
  <c r="K115" i="132"/>
  <c r="P114" i="132"/>
  <c r="O114" i="132"/>
  <c r="N114" i="132"/>
  <c r="K114" i="132"/>
  <c r="M114" i="132" s="1"/>
  <c r="J114" i="132"/>
  <c r="Q113" i="132"/>
  <c r="N113" i="132"/>
  <c r="M113" i="132"/>
  <c r="P112" i="132"/>
  <c r="O112" i="132"/>
  <c r="N112" i="132"/>
  <c r="K112" i="132"/>
  <c r="M112" i="132" s="1"/>
  <c r="J112" i="132"/>
  <c r="Q111" i="132"/>
  <c r="M111" i="132"/>
  <c r="P110" i="132"/>
  <c r="Q110" i="132" s="1"/>
  <c r="K110" i="132"/>
  <c r="M110" i="132" s="1"/>
  <c r="P108" i="132"/>
  <c r="O108" i="132"/>
  <c r="K108" i="132"/>
  <c r="M108" i="132" s="1"/>
  <c r="Q107" i="132"/>
  <c r="M107" i="132"/>
  <c r="P106" i="132"/>
  <c r="O106" i="132"/>
  <c r="N106" i="132"/>
  <c r="L106" i="132"/>
  <c r="K106" i="132"/>
  <c r="J106" i="132"/>
  <c r="Q105" i="132"/>
  <c r="M105" i="132"/>
  <c r="P104" i="132"/>
  <c r="O104" i="132"/>
  <c r="K104" i="132"/>
  <c r="M104" i="132" s="1"/>
  <c r="Q103" i="132"/>
  <c r="M103" i="132"/>
  <c r="P102" i="132"/>
  <c r="O102" i="132"/>
  <c r="N102" i="132"/>
  <c r="L102" i="132"/>
  <c r="K102" i="132"/>
  <c r="Q101" i="132"/>
  <c r="M101" i="132"/>
  <c r="P100" i="132"/>
  <c r="O100" i="132"/>
  <c r="K100" i="132"/>
  <c r="M100" i="132" s="1"/>
  <c r="Q99" i="132"/>
  <c r="M99" i="132"/>
  <c r="P98" i="132"/>
  <c r="O98" i="132"/>
  <c r="N98" i="132"/>
  <c r="L98" i="132"/>
  <c r="K98" i="132"/>
  <c r="J98" i="132"/>
  <c r="Q97" i="132"/>
  <c r="M97" i="132"/>
  <c r="Q96" i="132"/>
  <c r="M96" i="132"/>
  <c r="P95" i="132"/>
  <c r="O95" i="132"/>
  <c r="N95" i="132"/>
  <c r="K95" i="132"/>
  <c r="M95" i="132" s="1"/>
  <c r="J95" i="132"/>
  <c r="Q94" i="132"/>
  <c r="M94" i="132"/>
  <c r="P93" i="132"/>
  <c r="O93" i="132"/>
  <c r="N93" i="132"/>
  <c r="L93" i="132"/>
  <c r="K93" i="132"/>
  <c r="Q92" i="132"/>
  <c r="M92" i="132"/>
  <c r="Q91" i="132"/>
  <c r="M91" i="132"/>
  <c r="J90" i="132"/>
  <c r="Q89" i="132"/>
  <c r="M89" i="132"/>
  <c r="P88" i="132"/>
  <c r="O88" i="132"/>
  <c r="L88" i="132"/>
  <c r="K88" i="132"/>
  <c r="Q87" i="132"/>
  <c r="M87" i="132"/>
  <c r="P86" i="132"/>
  <c r="O86" i="132"/>
  <c r="N86" i="132"/>
  <c r="L86" i="132"/>
  <c r="K86" i="132"/>
  <c r="J86" i="132"/>
  <c r="Q85" i="132"/>
  <c r="M85" i="132"/>
  <c r="O84" i="132"/>
  <c r="Q84" i="132" s="1"/>
  <c r="N84" i="132"/>
  <c r="M84" i="132"/>
  <c r="Q83" i="132"/>
  <c r="M83" i="132"/>
  <c r="O82" i="132"/>
  <c r="Q82" i="132" s="1"/>
  <c r="N82" i="132"/>
  <c r="K82" i="132"/>
  <c r="M82" i="132" s="1"/>
  <c r="P81" i="132"/>
  <c r="O81" i="132"/>
  <c r="N81" i="132"/>
  <c r="K81" i="132"/>
  <c r="M81" i="132" s="1"/>
  <c r="J81" i="132"/>
  <c r="Q80" i="132"/>
  <c r="M80" i="132"/>
  <c r="Q79" i="132"/>
  <c r="L79" i="132"/>
  <c r="K79" i="132"/>
  <c r="J79" i="132"/>
  <c r="P78" i="132"/>
  <c r="O78" i="132"/>
  <c r="N78" i="132"/>
  <c r="K78" i="132"/>
  <c r="M78" i="132" s="1"/>
  <c r="J78" i="132"/>
  <c r="O77" i="132"/>
  <c r="Q77" i="132" s="1"/>
  <c r="M77" i="132"/>
  <c r="P76" i="132"/>
  <c r="O76" i="132"/>
  <c r="N76" i="132"/>
  <c r="L76" i="132"/>
  <c r="K76" i="132"/>
  <c r="J76" i="132"/>
  <c r="Q75" i="132"/>
  <c r="M75" i="132"/>
  <c r="P74" i="132"/>
  <c r="O74" i="132"/>
  <c r="N74" i="132"/>
  <c r="M74" i="132"/>
  <c r="P73" i="132"/>
  <c r="O73" i="132"/>
  <c r="N73" i="132"/>
  <c r="M73" i="132"/>
  <c r="Q72" i="132"/>
  <c r="M72" i="132"/>
  <c r="P71" i="132"/>
  <c r="O71" i="132"/>
  <c r="M71" i="132"/>
  <c r="Q70" i="132"/>
  <c r="M70" i="132"/>
  <c r="P69" i="132"/>
  <c r="Q69" i="132" s="1"/>
  <c r="N69" i="132"/>
  <c r="M69" i="132"/>
  <c r="Q68" i="132"/>
  <c r="M68" i="132"/>
  <c r="P67" i="132"/>
  <c r="O67" i="132"/>
  <c r="N67" i="132"/>
  <c r="K67" i="132"/>
  <c r="M67" i="132" s="1"/>
  <c r="J67" i="132"/>
  <c r="P66" i="132"/>
  <c r="O66" i="132"/>
  <c r="N66" i="132"/>
  <c r="K66" i="132"/>
  <c r="M66" i="132" s="1"/>
  <c r="Q65" i="132"/>
  <c r="M65" i="132"/>
  <c r="P64" i="132"/>
  <c r="O64" i="132"/>
  <c r="N64" i="132"/>
  <c r="L64" i="132"/>
  <c r="K64" i="132"/>
  <c r="J64" i="132"/>
  <c r="Q63" i="132"/>
  <c r="M63" i="132"/>
  <c r="P62" i="132"/>
  <c r="O62" i="132"/>
  <c r="N62" i="132"/>
  <c r="K62" i="132"/>
  <c r="M62" i="132" s="1"/>
  <c r="J62" i="132"/>
  <c r="Q61" i="132"/>
  <c r="M61" i="132"/>
  <c r="O60" i="132"/>
  <c r="Q60" i="132" s="1"/>
  <c r="N60" i="132"/>
  <c r="K60" i="132"/>
  <c r="M60" i="132" s="1"/>
  <c r="Q59" i="132"/>
  <c r="M59" i="132"/>
  <c r="O58" i="132"/>
  <c r="Q58" i="132" s="1"/>
  <c r="N58" i="132"/>
  <c r="M58" i="132"/>
  <c r="Q56" i="132"/>
  <c r="M56" i="132"/>
  <c r="P55" i="132"/>
  <c r="O55" i="132"/>
  <c r="N55" i="132"/>
  <c r="L55" i="132"/>
  <c r="K55" i="132"/>
  <c r="J55" i="132"/>
  <c r="Q54" i="132"/>
  <c r="M54" i="132"/>
  <c r="P53" i="132"/>
  <c r="O53" i="132"/>
  <c r="N53" i="132"/>
  <c r="L53" i="132"/>
  <c r="K53" i="132"/>
  <c r="J53" i="132"/>
  <c r="Q52" i="132"/>
  <c r="M52" i="132"/>
  <c r="Q51" i="132"/>
  <c r="M51" i="132"/>
  <c r="P50" i="132"/>
  <c r="O50" i="132"/>
  <c r="N50" i="132"/>
  <c r="L50" i="132"/>
  <c r="K50" i="132"/>
  <c r="J50" i="132"/>
  <c r="Q49" i="132"/>
  <c r="M49" i="132"/>
  <c r="P48" i="132"/>
  <c r="O48" i="132"/>
  <c r="K48" i="132"/>
  <c r="M48" i="132" s="1"/>
  <c r="Q47" i="132"/>
  <c r="M47" i="132"/>
  <c r="P46" i="132"/>
  <c r="O46" i="132"/>
  <c r="N46" i="132"/>
  <c r="L46" i="132"/>
  <c r="K46" i="132"/>
  <c r="J46" i="132"/>
  <c r="P45" i="132"/>
  <c r="Q45" i="132" s="1"/>
  <c r="M45" i="132"/>
  <c r="P44" i="132"/>
  <c r="O44" i="132"/>
  <c r="L44" i="132"/>
  <c r="K44" i="132"/>
  <c r="Q43" i="132"/>
  <c r="M43" i="132"/>
  <c r="Q42" i="132"/>
  <c r="M42" i="132"/>
  <c r="Q41" i="132"/>
  <c r="M41" i="132"/>
  <c r="P40" i="132"/>
  <c r="O40" i="132"/>
  <c r="L40" i="132"/>
  <c r="K40" i="132"/>
  <c r="P39" i="132"/>
  <c r="O39" i="132"/>
  <c r="N39" i="132"/>
  <c r="K39" i="132"/>
  <c r="M39" i="132" s="1"/>
  <c r="J39" i="132"/>
  <c r="Q38" i="132"/>
  <c r="M38" i="132"/>
  <c r="P37" i="132"/>
  <c r="O37" i="132"/>
  <c r="N37" i="132"/>
  <c r="K37" i="132"/>
  <c r="M37" i="132" s="1"/>
  <c r="J37" i="132"/>
  <c r="Q36" i="132"/>
  <c r="M36" i="132"/>
  <c r="P35" i="132"/>
  <c r="O35" i="132"/>
  <c r="N35" i="132"/>
  <c r="K35" i="132"/>
  <c r="M35" i="132" s="1"/>
  <c r="J35" i="132"/>
  <c r="Q34" i="132"/>
  <c r="M34" i="132"/>
  <c r="P33" i="132"/>
  <c r="O33" i="132"/>
  <c r="K33" i="132"/>
  <c r="M33" i="132" s="1"/>
  <c r="J33" i="132"/>
  <c r="Q32" i="132"/>
  <c r="M32" i="132"/>
  <c r="P31" i="132"/>
  <c r="O31" i="132"/>
  <c r="N31" i="132"/>
  <c r="K31" i="132"/>
  <c r="M31" i="132" s="1"/>
  <c r="J31" i="132"/>
  <c r="J29" i="132"/>
  <c r="P28" i="132"/>
  <c r="O28" i="132"/>
  <c r="L28" i="132"/>
  <c r="K28" i="132"/>
  <c r="Q26" i="132"/>
  <c r="M26" i="132"/>
  <c r="P25" i="132"/>
  <c r="O25" i="132"/>
  <c r="N25" i="132"/>
  <c r="K25" i="132"/>
  <c r="M25" i="132" s="1"/>
  <c r="J25" i="132"/>
  <c r="P24" i="132"/>
  <c r="O24" i="132"/>
  <c r="N24" i="132"/>
  <c r="L24" i="132"/>
  <c r="K24" i="132"/>
  <c r="J24" i="132"/>
  <c r="P23" i="132"/>
  <c r="Q23" i="132" s="1"/>
  <c r="M23" i="132"/>
  <c r="P22" i="132"/>
  <c r="Q22" i="132" s="1"/>
  <c r="L22" i="132"/>
  <c r="M22" i="132" s="1"/>
  <c r="Q21" i="132"/>
  <c r="M21" i="132"/>
  <c r="P20" i="132"/>
  <c r="O20" i="132"/>
  <c r="M20" i="132"/>
  <c r="P19" i="132"/>
  <c r="O19" i="132"/>
  <c r="L19" i="132"/>
  <c r="K19" i="132"/>
  <c r="Q18" i="132"/>
  <c r="M18" i="132"/>
  <c r="P17" i="132"/>
  <c r="O17" i="132"/>
  <c r="N17" i="132"/>
  <c r="L17" i="132"/>
  <c r="K17" i="132"/>
  <c r="J17" i="132"/>
  <c r="Q16" i="132"/>
  <c r="M16" i="132"/>
  <c r="P15" i="132"/>
  <c r="O15" i="132"/>
  <c r="N15" i="132"/>
  <c r="K15" i="132"/>
  <c r="M15" i="132" s="1"/>
  <c r="J15" i="132"/>
  <c r="Q14" i="132"/>
  <c r="M14" i="132"/>
  <c r="P13" i="132"/>
  <c r="Q13" i="132" s="1"/>
  <c r="N13" i="132"/>
  <c r="L13" i="132"/>
  <c r="K13" i="132"/>
  <c r="J13" i="132"/>
  <c r="Q11" i="132"/>
  <c r="M11" i="132"/>
  <c r="P10" i="132"/>
  <c r="O10" i="132"/>
  <c r="N10" i="132"/>
  <c r="L10" i="132"/>
  <c r="K10" i="132"/>
  <c r="J10" i="132"/>
  <c r="B9" i="132"/>
  <c r="C9" i="132" s="1"/>
  <c r="D9" i="132" s="1"/>
  <c r="E9" i="132" s="1"/>
  <c r="F9" i="132" s="1"/>
  <c r="G9" i="132" s="1"/>
  <c r="H9" i="132" s="1"/>
  <c r="I9" i="132" s="1"/>
  <c r="J9" i="132" s="1"/>
  <c r="K9" i="132" s="1"/>
  <c r="L9" i="132" s="1"/>
  <c r="M9" i="132" s="1"/>
  <c r="N9" i="132" s="1"/>
  <c r="O9" i="132" s="1"/>
  <c r="P9" i="132" s="1"/>
  <c r="Q9" i="132" s="1"/>
  <c r="Q67" i="132" l="1"/>
  <c r="Q71" i="132"/>
  <c r="Q73" i="132"/>
  <c r="J195" i="132"/>
  <c r="Q117" i="132"/>
  <c r="M164" i="132"/>
  <c r="Q169" i="132"/>
  <c r="Q176" i="132"/>
  <c r="Q180" i="132"/>
  <c r="Q182" i="132"/>
  <c r="Q185" i="132"/>
  <c r="Q187" i="132"/>
  <c r="Q194" i="132"/>
  <c r="Q74" i="132"/>
  <c r="Q76" i="132"/>
  <c r="Q78" i="132"/>
  <c r="Q81" i="132"/>
  <c r="Q86" i="132"/>
  <c r="M88" i="132"/>
  <c r="Q88" i="132"/>
  <c r="Q93" i="132"/>
  <c r="Q95" i="132"/>
  <c r="Q98" i="132"/>
  <c r="Q102" i="132"/>
  <c r="Q24" i="132"/>
  <c r="Q35" i="132"/>
  <c r="Q146" i="132"/>
  <c r="K195" i="132"/>
  <c r="P195" i="132"/>
  <c r="M13" i="132"/>
  <c r="Q15" i="132"/>
  <c r="Q17" i="132"/>
  <c r="Q19" i="132"/>
  <c r="M46" i="132"/>
  <c r="M50" i="132"/>
  <c r="M53" i="132"/>
  <c r="M55" i="132"/>
  <c r="Q62" i="132"/>
  <c r="Q64" i="132"/>
  <c r="Q104" i="132"/>
  <c r="Q106" i="132"/>
  <c r="Q112" i="132"/>
  <c r="M123" i="132"/>
  <c r="M125" i="132"/>
  <c r="Q127" i="132"/>
  <c r="Q130" i="132"/>
  <c r="Q134" i="132"/>
  <c r="M139" i="132"/>
  <c r="Q155" i="132"/>
  <c r="L195" i="132"/>
  <c r="M195" i="132" s="1"/>
  <c r="O195" i="132"/>
  <c r="M17" i="132"/>
  <c r="M19" i="132"/>
  <c r="Q20" i="132"/>
  <c r="M24" i="132"/>
  <c r="Q25" i="132"/>
  <c r="M28" i="132"/>
  <c r="Q28" i="132"/>
  <c r="Q31" i="132"/>
  <c r="Q33" i="132"/>
  <c r="Q37" i="132"/>
  <c r="Q39" i="132"/>
  <c r="M40" i="132"/>
  <c r="Q40" i="132"/>
  <c r="M44" i="132"/>
  <c r="Q44" i="132"/>
  <c r="Q46" i="132"/>
  <c r="Q48" i="132"/>
  <c r="Q50" i="132"/>
  <c r="Q53" i="132"/>
  <c r="Q55" i="132"/>
  <c r="M64" i="132"/>
  <c r="Q66" i="132"/>
  <c r="M76" i="132"/>
  <c r="M79" i="132"/>
  <c r="M86" i="132"/>
  <c r="M93" i="132"/>
  <c r="M98" i="132"/>
  <c r="Q100" i="132"/>
  <c r="M102" i="132"/>
  <c r="M106" i="132"/>
  <c r="Q108" i="132"/>
  <c r="Q114" i="132"/>
  <c r="M115" i="132"/>
  <c r="Q115" i="132"/>
  <c r="Q119" i="132"/>
  <c r="M121" i="132"/>
  <c r="Q121" i="132"/>
  <c r="Q123" i="132"/>
  <c r="Q125" i="132"/>
  <c r="Q132" i="132"/>
  <c r="Q136" i="132"/>
  <c r="M138" i="132"/>
  <c r="Q138" i="132"/>
  <c r="Q139" i="132"/>
  <c r="M141" i="132"/>
  <c r="M146" i="132"/>
  <c r="Q152" i="132"/>
  <c r="Q162" i="132"/>
  <c r="Q164" i="132"/>
  <c r="Q171" i="132"/>
  <c r="M176" i="132"/>
  <c r="M183" i="132"/>
  <c r="Q183" i="132"/>
  <c r="M185" i="132"/>
  <c r="Q189" i="132"/>
  <c r="N195" i="132"/>
  <c r="M10" i="132"/>
  <c r="Q10" i="132"/>
  <c r="K108" i="131"/>
  <c r="O78" i="131"/>
  <c r="K78" i="131"/>
  <c r="O66" i="131"/>
  <c r="K66" i="131"/>
  <c r="K62" i="131"/>
  <c r="O62" i="131"/>
  <c r="O46" i="131"/>
  <c r="O48" i="131"/>
  <c r="K48" i="131"/>
  <c r="O44" i="131"/>
  <c r="K44" i="131"/>
  <c r="O40" i="131"/>
  <c r="K40" i="131"/>
  <c r="K37" i="131"/>
  <c r="O37" i="131"/>
  <c r="O25" i="131"/>
  <c r="O10" i="131"/>
  <c r="K13" i="131"/>
  <c r="K10" i="131"/>
  <c r="Q195" i="132" l="1"/>
  <c r="L19" i="131"/>
  <c r="K151" i="131"/>
  <c r="L106" i="131"/>
  <c r="P124" i="131"/>
  <c r="L124" i="131"/>
  <c r="P175" i="131"/>
  <c r="P188" i="131"/>
  <c r="P93" i="131"/>
  <c r="L93" i="131"/>
  <c r="P137" i="131"/>
  <c r="L137" i="131"/>
  <c r="P108" i="131"/>
  <c r="P98" i="131"/>
  <c r="L98" i="131"/>
  <c r="P78" i="131"/>
  <c r="P71" i="131"/>
  <c r="P55" i="131"/>
  <c r="L55" i="131"/>
  <c r="P50" i="131"/>
  <c r="P66" i="131"/>
  <c r="P74" i="131"/>
  <c r="L13" i="131"/>
  <c r="P40" i="131"/>
  <c r="L40" i="131"/>
  <c r="P114" i="131"/>
  <c r="L114" i="131"/>
  <c r="P181" i="131"/>
  <c r="L182" i="131"/>
  <c r="P168" i="131"/>
  <c r="P154" i="131"/>
  <c r="L140" i="131"/>
  <c r="P133" i="131"/>
  <c r="P95" i="131"/>
  <c r="L79" i="131"/>
  <c r="P104" i="131"/>
  <c r="P81" i="131"/>
  <c r="P102" i="131"/>
  <c r="L102" i="131"/>
  <c r="P161" i="131"/>
  <c r="P179" i="131"/>
  <c r="P126" i="131"/>
  <c r="P39" i="131"/>
  <c r="K31" i="131"/>
  <c r="P31" i="131"/>
  <c r="P46" i="131"/>
  <c r="L46" i="131"/>
  <c r="P24" i="131"/>
  <c r="L24" i="131"/>
  <c r="P106" i="131"/>
  <c r="P88" i="131"/>
  <c r="L88" i="131"/>
  <c r="P86" i="131"/>
  <c r="L86" i="131"/>
  <c r="P73" i="131"/>
  <c r="P67" i="131"/>
  <c r="P53" i="131"/>
  <c r="L53" i="131"/>
  <c r="P76" i="131"/>
  <c r="L76" i="131"/>
  <c r="P170" i="131"/>
  <c r="P151" i="131"/>
  <c r="P145" i="131"/>
  <c r="L145" i="131"/>
  <c r="P138" i="131"/>
  <c r="L138" i="131"/>
  <c r="P64" i="131"/>
  <c r="L64" i="131"/>
  <c r="K64" i="131"/>
  <c r="P129" i="131"/>
  <c r="L122" i="131"/>
  <c r="P122" i="131"/>
  <c r="P100" i="131"/>
  <c r="P10" i="131"/>
  <c r="J161" i="131" l="1"/>
  <c r="J12" i="131"/>
  <c r="J151" i="131"/>
  <c r="N154" i="131"/>
  <c r="J154" i="131"/>
  <c r="N118" i="131"/>
  <c r="J118" i="131"/>
  <c r="J86" i="131"/>
  <c r="J60" i="131"/>
  <c r="J90" i="131"/>
  <c r="N25" i="131"/>
  <c r="J25" i="131"/>
  <c r="I194" i="131"/>
  <c r="H194" i="131"/>
  <c r="P193" i="131"/>
  <c r="O193" i="131"/>
  <c r="N193" i="131"/>
  <c r="M193" i="131"/>
  <c r="Q192" i="131"/>
  <c r="M192" i="131"/>
  <c r="Q191" i="131"/>
  <c r="M191" i="131"/>
  <c r="Q190" i="131"/>
  <c r="M190" i="131"/>
  <c r="Q189" i="131"/>
  <c r="M189" i="131"/>
  <c r="O188" i="131"/>
  <c r="Q188" i="131" s="1"/>
  <c r="N188" i="131"/>
  <c r="K188" i="131"/>
  <c r="M188" i="131" s="1"/>
  <c r="J188" i="131"/>
  <c r="O187" i="131"/>
  <c r="Q187" i="131" s="1"/>
  <c r="M187" i="131"/>
  <c r="P186" i="131"/>
  <c r="O186" i="131"/>
  <c r="N186" i="131"/>
  <c r="M186" i="131"/>
  <c r="J186" i="131"/>
  <c r="O185" i="131"/>
  <c r="Q185" i="131" s="1"/>
  <c r="M185" i="131"/>
  <c r="P184" i="131"/>
  <c r="O184" i="131"/>
  <c r="N184" i="131"/>
  <c r="L184" i="131"/>
  <c r="K184" i="131"/>
  <c r="J184" i="131"/>
  <c r="Q183" i="131"/>
  <c r="M183" i="131"/>
  <c r="P182" i="131"/>
  <c r="O182" i="131"/>
  <c r="N182" i="131"/>
  <c r="K182" i="131"/>
  <c r="M182" i="131" s="1"/>
  <c r="J182" i="131"/>
  <c r="O181" i="131"/>
  <c r="Q181" i="131" s="1"/>
  <c r="N181" i="131"/>
  <c r="K181" i="131"/>
  <c r="M181" i="131" s="1"/>
  <c r="J181" i="131"/>
  <c r="Q180" i="131"/>
  <c r="M180" i="131"/>
  <c r="O179" i="131"/>
  <c r="Q179" i="131" s="1"/>
  <c r="N179" i="131"/>
  <c r="K179" i="131"/>
  <c r="M179" i="131" s="1"/>
  <c r="J179" i="131"/>
  <c r="Q178" i="131"/>
  <c r="M178" i="131"/>
  <c r="O175" i="131"/>
  <c r="Q175" i="131" s="1"/>
  <c r="N175" i="131"/>
  <c r="L175" i="131"/>
  <c r="K175" i="131"/>
  <c r="J175" i="131"/>
  <c r="Q174" i="131"/>
  <c r="M174" i="131"/>
  <c r="Q173" i="131"/>
  <c r="M173" i="131"/>
  <c r="J172" i="131"/>
  <c r="Q171" i="131"/>
  <c r="N171" i="131"/>
  <c r="M171" i="131"/>
  <c r="O170" i="131"/>
  <c r="Q170" i="131" s="1"/>
  <c r="N170" i="131"/>
  <c r="K170" i="131"/>
  <c r="M170" i="131" s="1"/>
  <c r="J170" i="131"/>
  <c r="Q169" i="131"/>
  <c r="M169" i="131"/>
  <c r="O168" i="131"/>
  <c r="Q168" i="131" s="1"/>
  <c r="N168" i="131"/>
  <c r="M168" i="131"/>
  <c r="Q167" i="131"/>
  <c r="M167" i="131"/>
  <c r="O166" i="131"/>
  <c r="Q166" i="131" s="1"/>
  <c r="N166" i="131"/>
  <c r="K166" i="131"/>
  <c r="M166" i="131" s="1"/>
  <c r="J166" i="131"/>
  <c r="Q165" i="131"/>
  <c r="M165" i="131"/>
  <c r="Q164" i="131"/>
  <c r="M164" i="131"/>
  <c r="P163" i="131"/>
  <c r="O163" i="131"/>
  <c r="N163" i="131"/>
  <c r="L163" i="131"/>
  <c r="K163" i="131"/>
  <c r="J163" i="131"/>
  <c r="Q162" i="131"/>
  <c r="M162" i="131"/>
  <c r="O161" i="131"/>
  <c r="N161" i="131"/>
  <c r="K161" i="131"/>
  <c r="M161" i="131" s="1"/>
  <c r="Q160" i="131"/>
  <c r="M160" i="131"/>
  <c r="Q159" i="131"/>
  <c r="M159" i="131"/>
  <c r="P158" i="131"/>
  <c r="Q158" i="131" s="1"/>
  <c r="N158" i="131"/>
  <c r="M158" i="131"/>
  <c r="J158" i="131"/>
  <c r="Q157" i="131"/>
  <c r="M157" i="131"/>
  <c r="Q156" i="131"/>
  <c r="M156" i="131"/>
  <c r="O155" i="131"/>
  <c r="Q155" i="131" s="1"/>
  <c r="M155" i="131"/>
  <c r="O154" i="131"/>
  <c r="Q154" i="131" s="1"/>
  <c r="K154" i="131"/>
  <c r="M154" i="131" s="1"/>
  <c r="Q152" i="131"/>
  <c r="M152" i="131"/>
  <c r="O151" i="131"/>
  <c r="N151" i="131"/>
  <c r="M151" i="131"/>
  <c r="J149" i="131"/>
  <c r="P148" i="131"/>
  <c r="O148" i="131"/>
  <c r="N148" i="131"/>
  <c r="K148" i="131"/>
  <c r="J148" i="131"/>
  <c r="Q147" i="131"/>
  <c r="M147" i="131"/>
  <c r="Q146" i="131"/>
  <c r="M146" i="131"/>
  <c r="O145" i="131"/>
  <c r="Q145" i="131" s="1"/>
  <c r="N145" i="131"/>
  <c r="K145" i="131"/>
  <c r="M145" i="131" s="1"/>
  <c r="J145" i="131"/>
  <c r="O144" i="131"/>
  <c r="Q144" i="131" s="1"/>
  <c r="M144" i="131"/>
  <c r="Q143" i="131"/>
  <c r="M143" i="131"/>
  <c r="Q141" i="131"/>
  <c r="M141" i="131"/>
  <c r="O140" i="131"/>
  <c r="Q140" i="131" s="1"/>
  <c r="N140" i="131"/>
  <c r="K140" i="131"/>
  <c r="M140" i="131" s="1"/>
  <c r="J140" i="131"/>
  <c r="Q139" i="131"/>
  <c r="M139" i="131"/>
  <c r="O138" i="131"/>
  <c r="N138" i="131"/>
  <c r="K138" i="131"/>
  <c r="M138" i="131" s="1"/>
  <c r="J138" i="131"/>
  <c r="O137" i="131"/>
  <c r="Q137" i="131" s="1"/>
  <c r="N137" i="131"/>
  <c r="K137" i="131"/>
  <c r="M137" i="131" s="1"/>
  <c r="J137" i="131"/>
  <c r="Q136" i="131"/>
  <c r="M136" i="131"/>
  <c r="P135" i="131"/>
  <c r="O135" i="131"/>
  <c r="N135" i="131"/>
  <c r="M135" i="131"/>
  <c r="J135" i="131"/>
  <c r="O134" i="131"/>
  <c r="Q134" i="131" s="1"/>
  <c r="M134" i="131"/>
  <c r="O133" i="131"/>
  <c r="Q133" i="131" s="1"/>
  <c r="N133" i="131"/>
  <c r="M133" i="131"/>
  <c r="Q132" i="131"/>
  <c r="M132" i="131"/>
  <c r="P131" i="131"/>
  <c r="O131" i="131"/>
  <c r="N131" i="131"/>
  <c r="K131" i="131"/>
  <c r="M131" i="131" s="1"/>
  <c r="J131" i="131"/>
  <c r="Q130" i="131"/>
  <c r="M130" i="131"/>
  <c r="O129" i="131"/>
  <c r="Q129" i="131" s="1"/>
  <c r="N129" i="131"/>
  <c r="K129" i="131"/>
  <c r="M129" i="131" s="1"/>
  <c r="J129" i="131"/>
  <c r="Q127" i="131"/>
  <c r="M127" i="131"/>
  <c r="O126" i="131"/>
  <c r="N126" i="131"/>
  <c r="K126" i="131"/>
  <c r="M126" i="131" s="1"/>
  <c r="J126" i="131"/>
  <c r="Q125" i="131"/>
  <c r="M125" i="131"/>
  <c r="O124" i="131"/>
  <c r="N124" i="131"/>
  <c r="K124" i="131"/>
  <c r="M124" i="131" s="1"/>
  <c r="J124" i="131"/>
  <c r="Q123" i="131"/>
  <c r="M123" i="131"/>
  <c r="O122" i="131"/>
  <c r="N122" i="131"/>
  <c r="K122" i="131"/>
  <c r="M122" i="131" s="1"/>
  <c r="J122" i="131"/>
  <c r="Q121" i="131"/>
  <c r="M121" i="131"/>
  <c r="P120" i="131"/>
  <c r="O120" i="131"/>
  <c r="N120" i="131"/>
  <c r="L120" i="131"/>
  <c r="K120" i="131"/>
  <c r="J120" i="131"/>
  <c r="Q119" i="131"/>
  <c r="M119" i="131"/>
  <c r="P118" i="131"/>
  <c r="O118" i="131"/>
  <c r="K118" i="131"/>
  <c r="M118" i="131" s="1"/>
  <c r="Q117" i="131"/>
  <c r="M117" i="131"/>
  <c r="P116" i="131"/>
  <c r="O116" i="131"/>
  <c r="N116" i="131"/>
  <c r="K116" i="131"/>
  <c r="M116" i="131" s="1"/>
  <c r="J116" i="131"/>
  <c r="Q115" i="131"/>
  <c r="M115" i="131"/>
  <c r="O114" i="131"/>
  <c r="N114" i="131"/>
  <c r="K114" i="131"/>
  <c r="M114" i="131" s="1"/>
  <c r="J114" i="131"/>
  <c r="P113" i="131"/>
  <c r="O113" i="131"/>
  <c r="N113" i="131"/>
  <c r="K113" i="131"/>
  <c r="M113" i="131" s="1"/>
  <c r="J113" i="131"/>
  <c r="Q112" i="131"/>
  <c r="N112" i="131"/>
  <c r="M112" i="131"/>
  <c r="P111" i="131"/>
  <c r="O111" i="131"/>
  <c r="N111" i="131"/>
  <c r="K111" i="131"/>
  <c r="M111" i="131" s="1"/>
  <c r="J111" i="131"/>
  <c r="Q110" i="131"/>
  <c r="M110" i="131"/>
  <c r="P109" i="131"/>
  <c r="Q109" i="131" s="1"/>
  <c r="N109" i="131"/>
  <c r="K109" i="131"/>
  <c r="M109" i="131" s="1"/>
  <c r="J109" i="131"/>
  <c r="O108" i="131"/>
  <c r="Q108" i="131" s="1"/>
  <c r="N108" i="131"/>
  <c r="M108" i="131"/>
  <c r="J108" i="131"/>
  <c r="Q107" i="131"/>
  <c r="M107" i="131"/>
  <c r="O106" i="131"/>
  <c r="Q106" i="131" s="1"/>
  <c r="N106" i="131"/>
  <c r="K106" i="131"/>
  <c r="M106" i="131" s="1"/>
  <c r="J106" i="131"/>
  <c r="Q105" i="131"/>
  <c r="M105" i="131"/>
  <c r="O104" i="131"/>
  <c r="N104" i="131"/>
  <c r="K104" i="131"/>
  <c r="M104" i="131" s="1"/>
  <c r="J104" i="131"/>
  <c r="Q103" i="131"/>
  <c r="M103" i="131"/>
  <c r="O102" i="131"/>
  <c r="N102" i="131"/>
  <c r="K102" i="131"/>
  <c r="M102" i="131" s="1"/>
  <c r="J102" i="131"/>
  <c r="Q101" i="131"/>
  <c r="M101" i="131"/>
  <c r="O100" i="131"/>
  <c r="Q100" i="131" s="1"/>
  <c r="N100" i="131"/>
  <c r="K100" i="131"/>
  <c r="M100" i="131" s="1"/>
  <c r="J100" i="131"/>
  <c r="Q99" i="131"/>
  <c r="M99" i="131"/>
  <c r="O98" i="131"/>
  <c r="Q98" i="131" s="1"/>
  <c r="N98" i="131"/>
  <c r="K98" i="131"/>
  <c r="M98" i="131" s="1"/>
  <c r="J98" i="131"/>
  <c r="Q97" i="131"/>
  <c r="M97" i="131"/>
  <c r="Q96" i="131"/>
  <c r="M96" i="131"/>
  <c r="O95" i="131"/>
  <c r="N95" i="131"/>
  <c r="K95" i="131"/>
  <c r="M95" i="131" s="1"/>
  <c r="J95" i="131"/>
  <c r="Q94" i="131"/>
  <c r="M94" i="131"/>
  <c r="O93" i="131"/>
  <c r="Q93" i="131" s="1"/>
  <c r="N93" i="131"/>
  <c r="K93" i="131"/>
  <c r="J93" i="131"/>
  <c r="Q92" i="131"/>
  <c r="M92" i="131"/>
  <c r="Q91" i="131"/>
  <c r="M91" i="131"/>
  <c r="Q89" i="131"/>
  <c r="M89" i="131"/>
  <c r="O88" i="131"/>
  <c r="Q88" i="131" s="1"/>
  <c r="N88" i="131"/>
  <c r="K88" i="131"/>
  <c r="M88" i="131" s="1"/>
  <c r="J88" i="131"/>
  <c r="Q87" i="131"/>
  <c r="M87" i="131"/>
  <c r="O86" i="131"/>
  <c r="N86" i="131"/>
  <c r="K86" i="131"/>
  <c r="M86" i="131" s="1"/>
  <c r="Q85" i="131"/>
  <c r="M85" i="131"/>
  <c r="O84" i="131"/>
  <c r="Q84" i="131" s="1"/>
  <c r="N84" i="131"/>
  <c r="M84" i="131"/>
  <c r="Q83" i="131"/>
  <c r="M83" i="131"/>
  <c r="O82" i="131"/>
  <c r="Q82" i="131" s="1"/>
  <c r="N82" i="131"/>
  <c r="K82" i="131"/>
  <c r="M82" i="131" s="1"/>
  <c r="J82" i="131"/>
  <c r="O81" i="131"/>
  <c r="Q81" i="131" s="1"/>
  <c r="N81" i="131"/>
  <c r="K81" i="131"/>
  <c r="M81" i="131" s="1"/>
  <c r="J81" i="131"/>
  <c r="Q80" i="131"/>
  <c r="M80" i="131"/>
  <c r="Q79" i="131"/>
  <c r="K79" i="131"/>
  <c r="M79" i="131" s="1"/>
  <c r="J79" i="131"/>
  <c r="Q78" i="131"/>
  <c r="N78" i="131"/>
  <c r="M78" i="131"/>
  <c r="J78" i="131"/>
  <c r="O77" i="131"/>
  <c r="Q77" i="131" s="1"/>
  <c r="N77" i="131"/>
  <c r="M77" i="131"/>
  <c r="O76" i="131"/>
  <c r="N76" i="131"/>
  <c r="K76" i="131"/>
  <c r="M76" i="131" s="1"/>
  <c r="J76" i="131"/>
  <c r="Q75" i="131"/>
  <c r="M75" i="131"/>
  <c r="O74" i="131"/>
  <c r="Q74" i="131" s="1"/>
  <c r="N74" i="131"/>
  <c r="M74" i="131"/>
  <c r="O73" i="131"/>
  <c r="Q73" i="131" s="1"/>
  <c r="N73" i="131"/>
  <c r="M73" i="131"/>
  <c r="J73" i="131"/>
  <c r="Q72" i="131"/>
  <c r="M72" i="131"/>
  <c r="O71" i="131"/>
  <c r="N71" i="131"/>
  <c r="M71" i="131"/>
  <c r="Q70" i="131"/>
  <c r="M70" i="131"/>
  <c r="P69" i="131"/>
  <c r="Q69" i="131" s="1"/>
  <c r="N69" i="131"/>
  <c r="M69" i="131"/>
  <c r="Q68" i="131"/>
  <c r="M68" i="131"/>
  <c r="O67" i="131"/>
  <c r="Q67" i="131" s="1"/>
  <c r="N67" i="131"/>
  <c r="K67" i="131"/>
  <c r="M67" i="131" s="1"/>
  <c r="J67" i="131"/>
  <c r="Q66" i="131"/>
  <c r="N66" i="131"/>
  <c r="M66" i="131"/>
  <c r="J66" i="131"/>
  <c r="Q65" i="131"/>
  <c r="M65" i="131"/>
  <c r="O64" i="131"/>
  <c r="Q64" i="131" s="1"/>
  <c r="N64" i="131"/>
  <c r="M64" i="131"/>
  <c r="J64" i="131"/>
  <c r="Q63" i="131"/>
  <c r="M63" i="131"/>
  <c r="P62" i="131"/>
  <c r="N62" i="131"/>
  <c r="M62" i="131"/>
  <c r="J62" i="131"/>
  <c r="Q61" i="131"/>
  <c r="M61" i="131"/>
  <c r="O60" i="131"/>
  <c r="Q60" i="131" s="1"/>
  <c r="N60" i="131"/>
  <c r="K60" i="131"/>
  <c r="M60" i="131" s="1"/>
  <c r="Q59" i="131"/>
  <c r="M59" i="131"/>
  <c r="O58" i="131"/>
  <c r="Q58" i="131" s="1"/>
  <c r="N58" i="131"/>
  <c r="M58" i="131"/>
  <c r="Q56" i="131"/>
  <c r="M56" i="131"/>
  <c r="O55" i="131"/>
  <c r="N55" i="131"/>
  <c r="K55" i="131"/>
  <c r="M55" i="131" s="1"/>
  <c r="J55" i="131"/>
  <c r="Q54" i="131"/>
  <c r="M54" i="131"/>
  <c r="O53" i="131"/>
  <c r="N53" i="131"/>
  <c r="K53" i="131"/>
  <c r="M53" i="131" s="1"/>
  <c r="J53" i="131"/>
  <c r="Q52" i="131"/>
  <c r="M52" i="131"/>
  <c r="Q51" i="131"/>
  <c r="M51" i="131"/>
  <c r="O50" i="131"/>
  <c r="N50" i="131"/>
  <c r="L50" i="131"/>
  <c r="K50" i="131"/>
  <c r="J50" i="131"/>
  <c r="Q49" i="131"/>
  <c r="M49" i="131"/>
  <c r="P48" i="131"/>
  <c r="N48" i="131"/>
  <c r="M48" i="131"/>
  <c r="J48" i="131"/>
  <c r="Q47" i="131"/>
  <c r="M47" i="131"/>
  <c r="Q46" i="131"/>
  <c r="N46" i="131"/>
  <c r="K46" i="131"/>
  <c r="M46" i="131" s="1"/>
  <c r="J46" i="131"/>
  <c r="P45" i="131"/>
  <c r="Q45" i="131" s="1"/>
  <c r="M45" i="131"/>
  <c r="P44" i="131"/>
  <c r="Q44" i="131" s="1"/>
  <c r="N44" i="131"/>
  <c r="L44" i="131"/>
  <c r="J44" i="131"/>
  <c r="Q43" i="131"/>
  <c r="M43" i="131"/>
  <c r="Q42" i="131"/>
  <c r="M42" i="131"/>
  <c r="Q41" i="131"/>
  <c r="M41" i="131"/>
  <c r="Q40" i="131"/>
  <c r="N40" i="131"/>
  <c r="M40" i="131"/>
  <c r="J40" i="131"/>
  <c r="O39" i="131"/>
  <c r="Q39" i="131" s="1"/>
  <c r="N39" i="131"/>
  <c r="K39" i="131"/>
  <c r="M39" i="131" s="1"/>
  <c r="J39" i="131"/>
  <c r="Q38" i="131"/>
  <c r="M38" i="131"/>
  <c r="P37" i="131"/>
  <c r="N37" i="131"/>
  <c r="M37" i="131"/>
  <c r="J37" i="131"/>
  <c r="Q36" i="131"/>
  <c r="M36" i="131"/>
  <c r="P35" i="131"/>
  <c r="O35" i="131"/>
  <c r="N35" i="131"/>
  <c r="K35" i="131"/>
  <c r="M35" i="131" s="1"/>
  <c r="J35" i="131"/>
  <c r="Q34" i="131"/>
  <c r="M34" i="131"/>
  <c r="P33" i="131"/>
  <c r="O33" i="131"/>
  <c r="N33" i="131"/>
  <c r="K33" i="131"/>
  <c r="M33" i="131" s="1"/>
  <c r="J33" i="131"/>
  <c r="Q32" i="131"/>
  <c r="M32" i="131"/>
  <c r="O31" i="131"/>
  <c r="Q31" i="131" s="1"/>
  <c r="N31" i="131"/>
  <c r="M31" i="131"/>
  <c r="J31" i="131"/>
  <c r="J29" i="131"/>
  <c r="P28" i="131"/>
  <c r="O28" i="131"/>
  <c r="N28" i="131"/>
  <c r="L28" i="131"/>
  <c r="K28" i="131"/>
  <c r="J28" i="131"/>
  <c r="Q26" i="131"/>
  <c r="M26" i="131"/>
  <c r="P25" i="131"/>
  <c r="Q25" i="131" s="1"/>
  <c r="K25" i="131"/>
  <c r="M25" i="131" s="1"/>
  <c r="O24" i="131"/>
  <c r="N24" i="131"/>
  <c r="K24" i="131"/>
  <c r="M24" i="131" s="1"/>
  <c r="J24" i="131"/>
  <c r="P23" i="131"/>
  <c r="Q23" i="131" s="1"/>
  <c r="M23" i="131"/>
  <c r="P22" i="131"/>
  <c r="Q22" i="131" s="1"/>
  <c r="N22" i="131"/>
  <c r="L22" i="131"/>
  <c r="M22" i="131" s="1"/>
  <c r="J22" i="131"/>
  <c r="Q21" i="131"/>
  <c r="M21" i="131"/>
  <c r="P20" i="131"/>
  <c r="O20" i="131"/>
  <c r="N20" i="131"/>
  <c r="M20" i="131"/>
  <c r="P19" i="131"/>
  <c r="O19" i="131"/>
  <c r="N19" i="131"/>
  <c r="K19" i="131"/>
  <c r="J19" i="131"/>
  <c r="Q18" i="131"/>
  <c r="M18" i="131"/>
  <c r="P17" i="131"/>
  <c r="O17" i="131"/>
  <c r="N17" i="131"/>
  <c r="L17" i="131"/>
  <c r="K17" i="131"/>
  <c r="J17" i="131"/>
  <c r="Q16" i="131"/>
  <c r="M16" i="131"/>
  <c r="P15" i="131"/>
  <c r="O15" i="131"/>
  <c r="N15" i="131"/>
  <c r="K15" i="131"/>
  <c r="M15" i="131" s="1"/>
  <c r="J15" i="131"/>
  <c r="Q14" i="131"/>
  <c r="M14" i="131"/>
  <c r="P13" i="131"/>
  <c r="Q13" i="131" s="1"/>
  <c r="N13" i="131"/>
  <c r="M13" i="131"/>
  <c r="J13" i="131"/>
  <c r="Q11" i="131"/>
  <c r="M11" i="131"/>
  <c r="N10" i="131"/>
  <c r="L10" i="131"/>
  <c r="J10" i="131"/>
  <c r="B9" i="131"/>
  <c r="C9" i="131" s="1"/>
  <c r="D9" i="131" s="1"/>
  <c r="E9" i="131" s="1"/>
  <c r="F9" i="131" s="1"/>
  <c r="G9" i="131" s="1"/>
  <c r="H9" i="131" s="1"/>
  <c r="I9" i="131" s="1"/>
  <c r="J9" i="131" s="1"/>
  <c r="K9" i="131" s="1"/>
  <c r="L9" i="131" s="1"/>
  <c r="M9" i="131" s="1"/>
  <c r="N9" i="131" s="1"/>
  <c r="O9" i="131" s="1"/>
  <c r="P9" i="131" s="1"/>
  <c r="Q9" i="131" s="1"/>
  <c r="Q15" i="131" l="1"/>
  <c r="Q17" i="131"/>
  <c r="Q193" i="131"/>
  <c r="P194" i="131"/>
  <c r="Q116" i="131"/>
  <c r="M184" i="131"/>
  <c r="Q186" i="131"/>
  <c r="K194" i="131"/>
  <c r="N194" i="131"/>
  <c r="Q33" i="131"/>
  <c r="Q131" i="131"/>
  <c r="M50" i="131"/>
  <c r="Q111" i="131"/>
  <c r="Q118" i="131"/>
  <c r="Q19" i="131"/>
  <c r="Q20" i="131"/>
  <c r="Q28" i="131"/>
  <c r="M163" i="131"/>
  <c r="Q113" i="131"/>
  <c r="Q120" i="131"/>
  <c r="J194" i="131"/>
  <c r="L194" i="131"/>
  <c r="M194" i="131" s="1"/>
  <c r="O194" i="131"/>
  <c r="M17" i="131"/>
  <c r="M19" i="131"/>
  <c r="Q24" i="131"/>
  <c r="M28" i="131"/>
  <c r="Q35" i="131"/>
  <c r="Q37" i="131"/>
  <c r="M44" i="131"/>
  <c r="Q48" i="131"/>
  <c r="Q50" i="131"/>
  <c r="Q53" i="131"/>
  <c r="Q55" i="131"/>
  <c r="Q62" i="131"/>
  <c r="Q71" i="131"/>
  <c r="Q76" i="131"/>
  <c r="Q86" i="131"/>
  <c r="M93" i="131"/>
  <c r="Q95" i="131"/>
  <c r="Q102" i="131"/>
  <c r="Q104" i="131"/>
  <c r="Q114" i="131"/>
  <c r="M120" i="131"/>
  <c r="Q122" i="131"/>
  <c r="Q124" i="131"/>
  <c r="Q126" i="131"/>
  <c r="Q135" i="131"/>
  <c r="Q138" i="131"/>
  <c r="Q151" i="131"/>
  <c r="Q161" i="131"/>
  <c r="Q163" i="131"/>
  <c r="M175" i="131"/>
  <c r="Q182" i="131"/>
  <c r="Q184" i="131"/>
  <c r="M10" i="131"/>
  <c r="Q10" i="131"/>
  <c r="O61" i="130"/>
  <c r="K61" i="130"/>
  <c r="K92" i="130"/>
  <c r="O52" i="130"/>
  <c r="K52" i="130"/>
  <c r="O150" i="130"/>
  <c r="K150" i="130"/>
  <c r="O128" i="130"/>
  <c r="K128" i="130"/>
  <c r="K121" i="130"/>
  <c r="O107" i="130"/>
  <c r="K107" i="130"/>
  <c r="K103" i="130"/>
  <c r="O103" i="130"/>
  <c r="O99" i="130"/>
  <c r="K105" i="130"/>
  <c r="K59" i="130"/>
  <c r="O10" i="130"/>
  <c r="K10" i="130"/>
  <c r="L10" i="130"/>
  <c r="P107" i="130"/>
  <c r="L19" i="130"/>
  <c r="P19" i="130"/>
  <c r="P61" i="130"/>
  <c r="P54" i="130"/>
  <c r="L54" i="130"/>
  <c r="P49" i="130"/>
  <c r="L49" i="130"/>
  <c r="P47" i="130"/>
  <c r="P43" i="130"/>
  <c r="L43" i="130"/>
  <c r="P112" i="130"/>
  <c r="K112" i="130"/>
  <c r="P36" i="130"/>
  <c r="P27" i="130"/>
  <c r="L27" i="130"/>
  <c r="P25" i="130"/>
  <c r="P17" i="130"/>
  <c r="L17" i="130"/>
  <c r="P10" i="130"/>
  <c r="Q194" i="131" l="1"/>
  <c r="N187" i="130"/>
  <c r="N185" i="130"/>
  <c r="J185" i="130"/>
  <c r="N180" i="130"/>
  <c r="J180" i="130"/>
  <c r="J178" i="130"/>
  <c r="N174" i="130"/>
  <c r="J174" i="130"/>
  <c r="J171" i="130"/>
  <c r="N169" i="130"/>
  <c r="J169" i="130"/>
  <c r="N167" i="130"/>
  <c r="N157" i="130"/>
  <c r="J157" i="130"/>
  <c r="N160" i="130"/>
  <c r="N153" i="130"/>
  <c r="J153" i="130"/>
  <c r="N139" i="130"/>
  <c r="J139" i="130"/>
  <c r="N134" i="130"/>
  <c r="J134" i="130"/>
  <c r="N128" i="130"/>
  <c r="J128" i="130"/>
  <c r="N130" i="130"/>
  <c r="J130" i="130"/>
  <c r="J125" i="130"/>
  <c r="N123" i="130"/>
  <c r="J123" i="130"/>
  <c r="J121" i="130"/>
  <c r="N117" i="130"/>
  <c r="J117" i="130"/>
  <c r="N113" i="130"/>
  <c r="J113" i="130"/>
  <c r="N110" i="130"/>
  <c r="J110" i="130"/>
  <c r="J107" i="130"/>
  <c r="N103" i="130"/>
  <c r="J103" i="130"/>
  <c r="J78" i="130"/>
  <c r="J92" i="130"/>
  <c r="N94" i="130"/>
  <c r="J94" i="130"/>
  <c r="J81" i="130"/>
  <c r="N75" i="130"/>
  <c r="N76" i="130"/>
  <c r="N77" i="130"/>
  <c r="J77" i="130"/>
  <c r="N72" i="130"/>
  <c r="J72" i="130"/>
  <c r="N70" i="130"/>
  <c r="J66" i="130"/>
  <c r="N65" i="130"/>
  <c r="J65" i="130"/>
  <c r="N61" i="130"/>
  <c r="J61" i="130"/>
  <c r="N52" i="130"/>
  <c r="J52" i="130"/>
  <c r="N45" i="130"/>
  <c r="J45" i="130"/>
  <c r="N47" i="130"/>
  <c r="J47" i="130"/>
  <c r="N43" i="130"/>
  <c r="J43" i="130"/>
  <c r="N39" i="130"/>
  <c r="J39" i="130"/>
  <c r="J28" i="130"/>
  <c r="N38" i="130"/>
  <c r="J38" i="130"/>
  <c r="N36" i="130"/>
  <c r="N32" i="130"/>
  <c r="N34" i="130"/>
  <c r="J34" i="130"/>
  <c r="J30" i="130"/>
  <c r="N27" i="130"/>
  <c r="N22" i="130"/>
  <c r="J22" i="130"/>
  <c r="N15" i="130"/>
  <c r="J15" i="130"/>
  <c r="J24" i="130"/>
  <c r="N13" i="130"/>
  <c r="J13" i="130"/>
  <c r="N10" i="130"/>
  <c r="I193" i="130"/>
  <c r="H193" i="130"/>
  <c r="P192" i="130"/>
  <c r="O192" i="130"/>
  <c r="N192" i="130"/>
  <c r="M192" i="130"/>
  <c r="Q191" i="130"/>
  <c r="M191" i="130"/>
  <c r="Q190" i="130"/>
  <c r="M190" i="130"/>
  <c r="Q189" i="130"/>
  <c r="M189" i="130"/>
  <c r="O188" i="130"/>
  <c r="Q188" i="130" s="1"/>
  <c r="M188" i="130"/>
  <c r="P187" i="130"/>
  <c r="O187" i="130"/>
  <c r="K187" i="130"/>
  <c r="M187" i="130" s="1"/>
  <c r="J187" i="130"/>
  <c r="O186" i="130"/>
  <c r="Q186" i="130" s="1"/>
  <c r="M186" i="130"/>
  <c r="P185" i="130"/>
  <c r="O185" i="130"/>
  <c r="M185" i="130"/>
  <c r="O184" i="130"/>
  <c r="Q184" i="130" s="1"/>
  <c r="M184" i="130"/>
  <c r="P183" i="130"/>
  <c r="O183" i="130"/>
  <c r="N183" i="130"/>
  <c r="L183" i="130"/>
  <c r="K183" i="130"/>
  <c r="J183" i="130"/>
  <c r="Q182" i="130"/>
  <c r="M182" i="130"/>
  <c r="P181" i="130"/>
  <c r="O181" i="130"/>
  <c r="N181" i="130"/>
  <c r="K181" i="130"/>
  <c r="M181" i="130" s="1"/>
  <c r="J181" i="130"/>
  <c r="O180" i="130"/>
  <c r="Q180" i="130" s="1"/>
  <c r="K180" i="130"/>
  <c r="M180" i="130" s="1"/>
  <c r="Q179" i="130"/>
  <c r="M179" i="130"/>
  <c r="O178" i="130"/>
  <c r="Q178" i="130" s="1"/>
  <c r="N178" i="130"/>
  <c r="K178" i="130"/>
  <c r="M178" i="130" s="1"/>
  <c r="O177" i="130"/>
  <c r="Q177" i="130" s="1"/>
  <c r="M177" i="130"/>
  <c r="P174" i="130"/>
  <c r="O174" i="130"/>
  <c r="L174" i="130"/>
  <c r="K174" i="130"/>
  <c r="Q173" i="130"/>
  <c r="M173" i="130"/>
  <c r="Q172" i="130"/>
  <c r="M172" i="130"/>
  <c r="Q170" i="130"/>
  <c r="N170" i="130"/>
  <c r="M170" i="130"/>
  <c r="P169" i="130"/>
  <c r="O169" i="130"/>
  <c r="K169" i="130"/>
  <c r="M169" i="130" s="1"/>
  <c r="Q168" i="130"/>
  <c r="M168" i="130"/>
  <c r="O167" i="130"/>
  <c r="Q167" i="130" s="1"/>
  <c r="M167" i="130"/>
  <c r="Q166" i="130"/>
  <c r="M166" i="130"/>
  <c r="O165" i="130"/>
  <c r="Q165" i="130" s="1"/>
  <c r="N165" i="130"/>
  <c r="K165" i="130"/>
  <c r="M165" i="130" s="1"/>
  <c r="J165" i="130"/>
  <c r="Q164" i="130"/>
  <c r="M164" i="130"/>
  <c r="Q163" i="130"/>
  <c r="M163" i="130"/>
  <c r="P162" i="130"/>
  <c r="O162" i="130"/>
  <c r="N162" i="130"/>
  <c r="L162" i="130"/>
  <c r="K162" i="130"/>
  <c r="J162" i="130"/>
  <c r="Q161" i="130"/>
  <c r="M161" i="130"/>
  <c r="P160" i="130"/>
  <c r="O160" i="130"/>
  <c r="K160" i="130"/>
  <c r="M160" i="130" s="1"/>
  <c r="J160" i="130"/>
  <c r="Q159" i="130"/>
  <c r="M159" i="130"/>
  <c r="Q158" i="130"/>
  <c r="M158" i="130"/>
  <c r="P157" i="130"/>
  <c r="Q157" i="130" s="1"/>
  <c r="M157" i="130"/>
  <c r="Q156" i="130"/>
  <c r="M156" i="130"/>
  <c r="Q155" i="130"/>
  <c r="M155" i="130"/>
  <c r="O154" i="130"/>
  <c r="Q154" i="130" s="1"/>
  <c r="M154" i="130"/>
  <c r="O153" i="130"/>
  <c r="Q153" i="130" s="1"/>
  <c r="K153" i="130"/>
  <c r="M153" i="130" s="1"/>
  <c r="Q151" i="130"/>
  <c r="M151" i="130"/>
  <c r="P150" i="130"/>
  <c r="Q150" i="130" s="1"/>
  <c r="N150" i="130"/>
  <c r="M150" i="130"/>
  <c r="J150" i="130"/>
  <c r="J148" i="130"/>
  <c r="P147" i="130"/>
  <c r="O147" i="130"/>
  <c r="N147" i="130"/>
  <c r="K147" i="130"/>
  <c r="J147" i="130"/>
  <c r="Q146" i="130"/>
  <c r="M146" i="130"/>
  <c r="Q145" i="130"/>
  <c r="M145" i="130"/>
  <c r="P144" i="130"/>
  <c r="O144" i="130"/>
  <c r="N144" i="130"/>
  <c r="K144" i="130"/>
  <c r="M144" i="130" s="1"/>
  <c r="J144" i="130"/>
  <c r="O143" i="130"/>
  <c r="Q143" i="130" s="1"/>
  <c r="M143" i="130"/>
  <c r="Q142" i="130"/>
  <c r="M142" i="130"/>
  <c r="Q140" i="130"/>
  <c r="M140" i="130"/>
  <c r="O139" i="130"/>
  <c r="Q139" i="130" s="1"/>
  <c r="K139" i="130"/>
  <c r="M139" i="130" s="1"/>
  <c r="Q138" i="130"/>
  <c r="M138" i="130"/>
  <c r="P137" i="130"/>
  <c r="O137" i="130"/>
  <c r="N137" i="130"/>
  <c r="K137" i="130"/>
  <c r="M137" i="130" s="1"/>
  <c r="J137" i="130"/>
  <c r="O136" i="130"/>
  <c r="N136" i="130"/>
  <c r="K136" i="130"/>
  <c r="M136" i="130" s="1"/>
  <c r="J136" i="130"/>
  <c r="P135" i="130"/>
  <c r="Q135" i="130" s="1"/>
  <c r="M135" i="130"/>
  <c r="P134" i="130"/>
  <c r="O134" i="130"/>
  <c r="M134" i="130"/>
  <c r="O133" i="130"/>
  <c r="Q133" i="130" s="1"/>
  <c r="M133" i="130"/>
  <c r="O132" i="130"/>
  <c r="Q132" i="130" s="1"/>
  <c r="N132" i="130"/>
  <c r="M132" i="130"/>
  <c r="Q131" i="130"/>
  <c r="M131" i="130"/>
  <c r="P130" i="130"/>
  <c r="O130" i="130"/>
  <c r="K130" i="130"/>
  <c r="M130" i="130" s="1"/>
  <c r="Q129" i="130"/>
  <c r="M129" i="130"/>
  <c r="P128" i="130"/>
  <c r="Q128" i="130" s="1"/>
  <c r="M128" i="130"/>
  <c r="Q126" i="130"/>
  <c r="M126" i="130"/>
  <c r="P125" i="130"/>
  <c r="O125" i="130"/>
  <c r="N125" i="130"/>
  <c r="K125" i="130"/>
  <c r="M125" i="130" s="1"/>
  <c r="Q124" i="130"/>
  <c r="M124" i="130"/>
  <c r="P123" i="130"/>
  <c r="O123" i="130"/>
  <c r="L123" i="130"/>
  <c r="K123" i="130"/>
  <c r="Q122" i="130"/>
  <c r="M122" i="130"/>
  <c r="P121" i="130"/>
  <c r="O121" i="130"/>
  <c r="N121" i="130"/>
  <c r="M121" i="130"/>
  <c r="Q120" i="130"/>
  <c r="M120" i="130"/>
  <c r="P119" i="130"/>
  <c r="O119" i="130"/>
  <c r="N119" i="130"/>
  <c r="L119" i="130"/>
  <c r="K119" i="130"/>
  <c r="J119" i="130"/>
  <c r="Q118" i="130"/>
  <c r="M118" i="130"/>
  <c r="P117" i="130"/>
  <c r="O117" i="130"/>
  <c r="K117" i="130"/>
  <c r="M117" i="130" s="1"/>
  <c r="Q116" i="130"/>
  <c r="M116" i="130"/>
  <c r="P115" i="130"/>
  <c r="O115" i="130"/>
  <c r="N115" i="130"/>
  <c r="K115" i="130"/>
  <c r="M115" i="130" s="1"/>
  <c r="J115" i="130"/>
  <c r="Q114" i="130"/>
  <c r="M114" i="130"/>
  <c r="P113" i="130"/>
  <c r="O113" i="130"/>
  <c r="K113" i="130"/>
  <c r="M113" i="130" s="1"/>
  <c r="O112" i="130"/>
  <c r="Q112" i="130" s="1"/>
  <c r="N112" i="130"/>
  <c r="M112" i="130"/>
  <c r="J112" i="130"/>
  <c r="Q111" i="130"/>
  <c r="N111" i="130"/>
  <c r="M111" i="130"/>
  <c r="P110" i="130"/>
  <c r="O110" i="130"/>
  <c r="K110" i="130"/>
  <c r="M110" i="130" s="1"/>
  <c r="Q109" i="130"/>
  <c r="M109" i="130"/>
  <c r="P108" i="130"/>
  <c r="Q108" i="130" s="1"/>
  <c r="N108" i="130"/>
  <c r="K108" i="130"/>
  <c r="M108" i="130" s="1"/>
  <c r="J108" i="130"/>
  <c r="Q107" i="130"/>
  <c r="N107" i="130"/>
  <c r="M107" i="130"/>
  <c r="Q106" i="130"/>
  <c r="M106" i="130"/>
  <c r="P105" i="130"/>
  <c r="O105" i="130"/>
  <c r="N105" i="130"/>
  <c r="M105" i="130"/>
  <c r="J105" i="130"/>
  <c r="Q104" i="130"/>
  <c r="M104" i="130"/>
  <c r="P103" i="130"/>
  <c r="Q103" i="130" s="1"/>
  <c r="M103" i="130"/>
  <c r="Q102" i="130"/>
  <c r="M102" i="130"/>
  <c r="P101" i="130"/>
  <c r="O101" i="130"/>
  <c r="N101" i="130"/>
  <c r="K101" i="130"/>
  <c r="M101" i="130" s="1"/>
  <c r="J101" i="130"/>
  <c r="Q100" i="130"/>
  <c r="M100" i="130"/>
  <c r="P99" i="130"/>
  <c r="Q99" i="130" s="1"/>
  <c r="N99" i="130"/>
  <c r="K99" i="130"/>
  <c r="M99" i="130" s="1"/>
  <c r="J99" i="130"/>
  <c r="Q98" i="130"/>
  <c r="M98" i="130"/>
  <c r="O97" i="130"/>
  <c r="Q97" i="130" s="1"/>
  <c r="N97" i="130"/>
  <c r="K97" i="130"/>
  <c r="M97" i="130" s="1"/>
  <c r="J97" i="130"/>
  <c r="Q96" i="130"/>
  <c r="M96" i="130"/>
  <c r="Q95" i="130"/>
  <c r="M95" i="130"/>
  <c r="P94" i="130"/>
  <c r="O94" i="130"/>
  <c r="K94" i="130"/>
  <c r="M94" i="130" s="1"/>
  <c r="Q93" i="130"/>
  <c r="M93" i="130"/>
  <c r="P92" i="130"/>
  <c r="O92" i="130"/>
  <c r="N92" i="130"/>
  <c r="L92" i="130"/>
  <c r="M92" i="130" s="1"/>
  <c r="Q91" i="130"/>
  <c r="M91" i="130"/>
  <c r="Q90" i="130"/>
  <c r="M90" i="130"/>
  <c r="Q88" i="130"/>
  <c r="M88" i="130"/>
  <c r="P87" i="130"/>
  <c r="O87" i="130"/>
  <c r="N87" i="130"/>
  <c r="K87" i="130"/>
  <c r="M87" i="130" s="1"/>
  <c r="J87" i="130"/>
  <c r="Q86" i="130"/>
  <c r="M86" i="130"/>
  <c r="P85" i="130"/>
  <c r="O85" i="130"/>
  <c r="N85" i="130"/>
  <c r="K85" i="130"/>
  <c r="M85" i="130" s="1"/>
  <c r="J85" i="130"/>
  <c r="Q84" i="130"/>
  <c r="M84" i="130"/>
  <c r="O83" i="130"/>
  <c r="Q83" i="130" s="1"/>
  <c r="N83" i="130"/>
  <c r="M83" i="130"/>
  <c r="Q82" i="130"/>
  <c r="M82" i="130"/>
  <c r="O81" i="130"/>
  <c r="Q81" i="130" s="1"/>
  <c r="N81" i="130"/>
  <c r="K81" i="130"/>
  <c r="M81" i="130" s="1"/>
  <c r="P80" i="130"/>
  <c r="O80" i="130"/>
  <c r="N80" i="130"/>
  <c r="K80" i="130"/>
  <c r="M80" i="130" s="1"/>
  <c r="J80" i="130"/>
  <c r="Q79" i="130"/>
  <c r="M79" i="130"/>
  <c r="Q78" i="130"/>
  <c r="K78" i="130"/>
  <c r="M78" i="130" s="1"/>
  <c r="P77" i="130"/>
  <c r="O77" i="130"/>
  <c r="K77" i="130"/>
  <c r="M77" i="130" s="1"/>
  <c r="O76" i="130"/>
  <c r="Q76" i="130" s="1"/>
  <c r="M76" i="130"/>
  <c r="P75" i="130"/>
  <c r="O75" i="130"/>
  <c r="K75" i="130"/>
  <c r="M75" i="130" s="1"/>
  <c r="J75" i="130"/>
  <c r="Q74" i="130"/>
  <c r="M74" i="130"/>
  <c r="O73" i="130"/>
  <c r="Q73" i="130" s="1"/>
  <c r="N73" i="130"/>
  <c r="M73" i="130"/>
  <c r="P72" i="130"/>
  <c r="O72" i="130"/>
  <c r="M72" i="130"/>
  <c r="Q71" i="130"/>
  <c r="M71" i="130"/>
  <c r="P70" i="130"/>
  <c r="O70" i="130"/>
  <c r="M70" i="130"/>
  <c r="Q69" i="130"/>
  <c r="M69" i="130"/>
  <c r="P68" i="130"/>
  <c r="Q68" i="130" s="1"/>
  <c r="N68" i="130"/>
  <c r="M68" i="130"/>
  <c r="Q67" i="130"/>
  <c r="M67" i="130"/>
  <c r="P66" i="130"/>
  <c r="O66" i="130"/>
  <c r="N66" i="130"/>
  <c r="K66" i="130"/>
  <c r="M66" i="130" s="1"/>
  <c r="P65" i="130"/>
  <c r="O65" i="130"/>
  <c r="K65" i="130"/>
  <c r="M65" i="130" s="1"/>
  <c r="Q64" i="130"/>
  <c r="M64" i="130"/>
  <c r="O63" i="130"/>
  <c r="Q63" i="130" s="1"/>
  <c r="N63" i="130"/>
  <c r="K63" i="130"/>
  <c r="M63" i="130" s="1"/>
  <c r="J63" i="130"/>
  <c r="Q62" i="130"/>
  <c r="M62" i="130"/>
  <c r="Q61" i="130"/>
  <c r="M61" i="130"/>
  <c r="P60" i="130"/>
  <c r="Q60" i="130" s="1"/>
  <c r="M60" i="130"/>
  <c r="O59" i="130"/>
  <c r="Q59" i="130" s="1"/>
  <c r="N59" i="130"/>
  <c r="M59" i="130"/>
  <c r="J59" i="130"/>
  <c r="Q58" i="130"/>
  <c r="M58" i="130"/>
  <c r="O57" i="130"/>
  <c r="Q57" i="130" s="1"/>
  <c r="N57" i="130"/>
  <c r="M57" i="130"/>
  <c r="Q55" i="130"/>
  <c r="M55" i="130"/>
  <c r="O54" i="130"/>
  <c r="Q54" i="130" s="1"/>
  <c r="N54" i="130"/>
  <c r="K54" i="130"/>
  <c r="M54" i="130" s="1"/>
  <c r="J54" i="130"/>
  <c r="Q53" i="130"/>
  <c r="M53" i="130"/>
  <c r="P52" i="130"/>
  <c r="Q52" i="130" s="1"/>
  <c r="M52" i="130"/>
  <c r="Q51" i="130"/>
  <c r="M51" i="130"/>
  <c r="Q50" i="130"/>
  <c r="M50" i="130"/>
  <c r="O49" i="130"/>
  <c r="Q49" i="130" s="1"/>
  <c r="N49" i="130"/>
  <c r="K49" i="130"/>
  <c r="M49" i="130" s="1"/>
  <c r="J49" i="130"/>
  <c r="Q48" i="130"/>
  <c r="M48" i="130"/>
  <c r="O47" i="130"/>
  <c r="Q47" i="130" s="1"/>
  <c r="K47" i="130"/>
  <c r="M47" i="130" s="1"/>
  <c r="Q46" i="130"/>
  <c r="M46" i="130"/>
  <c r="P45" i="130"/>
  <c r="O45" i="130"/>
  <c r="K45" i="130"/>
  <c r="M45" i="130" s="1"/>
  <c r="P44" i="130"/>
  <c r="Q44" i="130" s="1"/>
  <c r="M44" i="130"/>
  <c r="O43" i="130"/>
  <c r="Q43" i="130" s="1"/>
  <c r="K43" i="130"/>
  <c r="M43" i="130" s="1"/>
  <c r="Q42" i="130"/>
  <c r="M42" i="130"/>
  <c r="Q41" i="130"/>
  <c r="M41" i="130"/>
  <c r="Q40" i="130"/>
  <c r="M40" i="130"/>
  <c r="P39" i="130"/>
  <c r="O39" i="130"/>
  <c r="K39" i="130"/>
  <c r="M39" i="130" s="1"/>
  <c r="P38" i="130"/>
  <c r="O38" i="130"/>
  <c r="K38" i="130"/>
  <c r="M38" i="130" s="1"/>
  <c r="Q37" i="130"/>
  <c r="M37" i="130"/>
  <c r="O36" i="130"/>
  <c r="Q36" i="130" s="1"/>
  <c r="K36" i="130"/>
  <c r="M36" i="130" s="1"/>
  <c r="J36" i="130"/>
  <c r="Q35" i="130"/>
  <c r="M35" i="130"/>
  <c r="P34" i="130"/>
  <c r="O34" i="130"/>
  <c r="K34" i="130"/>
  <c r="M34" i="130" s="1"/>
  <c r="Q33" i="130"/>
  <c r="M33" i="130"/>
  <c r="P32" i="130"/>
  <c r="O32" i="130"/>
  <c r="K32" i="130"/>
  <c r="M32" i="130" s="1"/>
  <c r="J32" i="130"/>
  <c r="Q31" i="130"/>
  <c r="M31" i="130"/>
  <c r="P30" i="130"/>
  <c r="O30" i="130"/>
  <c r="N30" i="130"/>
  <c r="K30" i="130"/>
  <c r="M30" i="130" s="1"/>
  <c r="O27" i="130"/>
  <c r="Q27" i="130" s="1"/>
  <c r="K27" i="130"/>
  <c r="M27" i="130" s="1"/>
  <c r="J27" i="130"/>
  <c r="Q26" i="130"/>
  <c r="M26" i="130"/>
  <c r="O25" i="130"/>
  <c r="Q25" i="130" s="1"/>
  <c r="N25" i="130"/>
  <c r="K25" i="130"/>
  <c r="M25" i="130" s="1"/>
  <c r="J25" i="130"/>
  <c r="P24" i="130"/>
  <c r="O24" i="130"/>
  <c r="N24" i="130"/>
  <c r="K24" i="130"/>
  <c r="M24" i="130" s="1"/>
  <c r="P23" i="130"/>
  <c r="Q23" i="130" s="1"/>
  <c r="M23" i="130"/>
  <c r="P22" i="130"/>
  <c r="Q22" i="130" s="1"/>
  <c r="L22" i="130"/>
  <c r="M22" i="130" s="1"/>
  <c r="Q21" i="130"/>
  <c r="M21" i="130"/>
  <c r="P20" i="130"/>
  <c r="O20" i="130"/>
  <c r="N20" i="130"/>
  <c r="M20" i="130"/>
  <c r="O19" i="130"/>
  <c r="Q19" i="130" s="1"/>
  <c r="N19" i="130"/>
  <c r="K19" i="130"/>
  <c r="M19" i="130" s="1"/>
  <c r="J19" i="130"/>
  <c r="Q18" i="130"/>
  <c r="M18" i="130"/>
  <c r="O17" i="130"/>
  <c r="Q17" i="130" s="1"/>
  <c r="N17" i="130"/>
  <c r="K17" i="130"/>
  <c r="M17" i="130" s="1"/>
  <c r="J17" i="130"/>
  <c r="Q16" i="130"/>
  <c r="M16" i="130"/>
  <c r="P15" i="130"/>
  <c r="O15" i="130"/>
  <c r="K15" i="130"/>
  <c r="M15" i="130" s="1"/>
  <c r="Q14" i="130"/>
  <c r="M14" i="130"/>
  <c r="P13" i="130"/>
  <c r="Q13" i="130" s="1"/>
  <c r="L13" i="130"/>
  <c r="K13" i="130"/>
  <c r="Q11" i="130"/>
  <c r="M11" i="130"/>
  <c r="J10" i="130"/>
  <c r="B9" i="130"/>
  <c r="C9" i="130" s="1"/>
  <c r="D9" i="130" s="1"/>
  <c r="E9" i="130" s="1"/>
  <c r="F9" i="130" s="1"/>
  <c r="G9" i="130" s="1"/>
  <c r="H9" i="130" s="1"/>
  <c r="I9" i="130" s="1"/>
  <c r="J9" i="130" s="1"/>
  <c r="K9" i="130" s="1"/>
  <c r="L9" i="130" s="1"/>
  <c r="M9" i="130" s="1"/>
  <c r="N9" i="130" s="1"/>
  <c r="O9" i="130" s="1"/>
  <c r="P9" i="130" s="1"/>
  <c r="Q9" i="130" s="1"/>
  <c r="J193" i="130" l="1"/>
  <c r="P193" i="130"/>
  <c r="L193" i="130"/>
  <c r="N193" i="130"/>
  <c r="Q75" i="130"/>
  <c r="Q80" i="130"/>
  <c r="Q87" i="130"/>
  <c r="Q134" i="130"/>
  <c r="Q192" i="130"/>
  <c r="Q137" i="130"/>
  <c r="Q101" i="130"/>
  <c r="K193" i="130"/>
  <c r="O193" i="130"/>
  <c r="M13" i="130"/>
  <c r="Q20" i="130"/>
  <c r="Q24" i="130"/>
  <c r="Q30" i="130"/>
  <c r="Q34" i="130"/>
  <c r="Q72" i="130"/>
  <c r="Q105" i="130"/>
  <c r="Q110" i="130"/>
  <c r="Q113" i="130"/>
  <c r="Q115" i="130"/>
  <c r="M119" i="130"/>
  <c r="Q125" i="130"/>
  <c r="Q160" i="130"/>
  <c r="Q162" i="130"/>
  <c r="Q169" i="130"/>
  <c r="Q181" i="130"/>
  <c r="Q183" i="130"/>
  <c r="Q185" i="130"/>
  <c r="Q187" i="130"/>
  <c r="Q15" i="130"/>
  <c r="Q32" i="130"/>
  <c r="Q38" i="130"/>
  <c r="Q39" i="130"/>
  <c r="Q45" i="130"/>
  <c r="Q65" i="130"/>
  <c r="Q66" i="130"/>
  <c r="Q70" i="130"/>
  <c r="Q77" i="130"/>
  <c r="Q85" i="130"/>
  <c r="Q92" i="130"/>
  <c r="Q94" i="130"/>
  <c r="Q117" i="130"/>
  <c r="Q119" i="130"/>
  <c r="Q121" i="130"/>
  <c r="M123" i="130"/>
  <c r="Q123" i="130"/>
  <c r="Q130" i="130"/>
  <c r="Q144" i="130"/>
  <c r="M162" i="130"/>
  <c r="M174" i="130"/>
  <c r="Q174" i="130"/>
  <c r="M183" i="130"/>
  <c r="M10" i="130"/>
  <c r="Q10" i="130"/>
  <c r="I193" i="129"/>
  <c r="H193" i="129"/>
  <c r="P192" i="129"/>
  <c r="O192" i="129"/>
  <c r="N192" i="129"/>
  <c r="M192" i="129"/>
  <c r="Q191" i="129"/>
  <c r="M191" i="129"/>
  <c r="Q190" i="129"/>
  <c r="M190" i="129"/>
  <c r="Q189" i="129"/>
  <c r="M189" i="129"/>
  <c r="O188" i="129"/>
  <c r="Q188" i="129" s="1"/>
  <c r="M188" i="129"/>
  <c r="P187" i="129"/>
  <c r="O187" i="129"/>
  <c r="N187" i="129"/>
  <c r="K187" i="129"/>
  <c r="M187" i="129" s="1"/>
  <c r="J187" i="129"/>
  <c r="O186" i="129"/>
  <c r="Q186" i="129" s="1"/>
  <c r="M186" i="129"/>
  <c r="P185" i="129"/>
  <c r="O185" i="129"/>
  <c r="N185" i="129"/>
  <c r="M185" i="129"/>
  <c r="O184" i="129"/>
  <c r="Q184" i="129" s="1"/>
  <c r="M184" i="129"/>
  <c r="P183" i="129"/>
  <c r="O183" i="129"/>
  <c r="N183" i="129"/>
  <c r="L183" i="129"/>
  <c r="K183" i="129"/>
  <c r="J183" i="129"/>
  <c r="Q182" i="129"/>
  <c r="M182" i="129"/>
  <c r="P181" i="129"/>
  <c r="O181" i="129"/>
  <c r="N181" i="129"/>
  <c r="K181" i="129"/>
  <c r="M181" i="129" s="1"/>
  <c r="J181" i="129"/>
  <c r="O180" i="129"/>
  <c r="Q180" i="129" s="1"/>
  <c r="N180" i="129"/>
  <c r="K180" i="129"/>
  <c r="M180" i="129" s="1"/>
  <c r="J180" i="129"/>
  <c r="Q179" i="129"/>
  <c r="M179" i="129"/>
  <c r="O178" i="129"/>
  <c r="Q178" i="129" s="1"/>
  <c r="N178" i="129"/>
  <c r="K178" i="129"/>
  <c r="M178" i="129" s="1"/>
  <c r="J178" i="129"/>
  <c r="O177" i="129"/>
  <c r="Q177" i="129" s="1"/>
  <c r="M177" i="129"/>
  <c r="P174" i="129"/>
  <c r="O174" i="129"/>
  <c r="N174" i="129"/>
  <c r="L174" i="129"/>
  <c r="K174" i="129"/>
  <c r="J174" i="129"/>
  <c r="Q173" i="129"/>
  <c r="M173" i="129"/>
  <c r="Q172" i="129"/>
  <c r="M172" i="129"/>
  <c r="Q170" i="129"/>
  <c r="N170" i="129"/>
  <c r="M170" i="129"/>
  <c r="P169" i="129"/>
  <c r="O169" i="129"/>
  <c r="N169" i="129"/>
  <c r="K169" i="129"/>
  <c r="M169" i="129" s="1"/>
  <c r="J169" i="129"/>
  <c r="Q168" i="129"/>
  <c r="M168" i="129"/>
  <c r="O167" i="129"/>
  <c r="Q167" i="129" s="1"/>
  <c r="N167" i="129"/>
  <c r="M167" i="129"/>
  <c r="Q166" i="129"/>
  <c r="M166" i="129"/>
  <c r="O165" i="129"/>
  <c r="Q165" i="129" s="1"/>
  <c r="N165" i="129"/>
  <c r="K165" i="129"/>
  <c r="M165" i="129" s="1"/>
  <c r="J165" i="129"/>
  <c r="Q164" i="129"/>
  <c r="M164" i="129"/>
  <c r="Q163" i="129"/>
  <c r="M163" i="129"/>
  <c r="P162" i="129"/>
  <c r="O162" i="129"/>
  <c r="N162" i="129"/>
  <c r="L162" i="129"/>
  <c r="K162" i="129"/>
  <c r="J162" i="129"/>
  <c r="Q161" i="129"/>
  <c r="M161" i="129"/>
  <c r="P160" i="129"/>
  <c r="O160" i="129"/>
  <c r="N160" i="129"/>
  <c r="K160" i="129"/>
  <c r="M160" i="129" s="1"/>
  <c r="J160" i="129"/>
  <c r="Q159" i="129"/>
  <c r="M159" i="129"/>
  <c r="Q158" i="129"/>
  <c r="M158" i="129"/>
  <c r="P157" i="129"/>
  <c r="Q157" i="129" s="1"/>
  <c r="N157" i="129"/>
  <c r="M157" i="129"/>
  <c r="Q156" i="129"/>
  <c r="M156" i="129"/>
  <c r="Q155" i="129"/>
  <c r="M155" i="129"/>
  <c r="O154" i="129"/>
  <c r="Q154" i="129" s="1"/>
  <c r="M154" i="129"/>
  <c r="O153" i="129"/>
  <c r="Q153" i="129" s="1"/>
  <c r="N153" i="129"/>
  <c r="K153" i="129"/>
  <c r="M153" i="129" s="1"/>
  <c r="J153" i="129"/>
  <c r="Q151" i="129"/>
  <c r="M151" i="129"/>
  <c r="P150" i="129"/>
  <c r="O150" i="129"/>
  <c r="N150" i="129"/>
  <c r="K150" i="129"/>
  <c r="M150" i="129" s="1"/>
  <c r="J150" i="129"/>
  <c r="J148" i="129"/>
  <c r="P147" i="129"/>
  <c r="O147" i="129"/>
  <c r="N147" i="129"/>
  <c r="K147" i="129"/>
  <c r="J147" i="129"/>
  <c r="Q146" i="129"/>
  <c r="M146" i="129"/>
  <c r="Q145" i="129"/>
  <c r="M145" i="129"/>
  <c r="P144" i="129"/>
  <c r="O144" i="129"/>
  <c r="N144" i="129"/>
  <c r="K144" i="129"/>
  <c r="M144" i="129" s="1"/>
  <c r="J144" i="129"/>
  <c r="O143" i="129"/>
  <c r="Q143" i="129" s="1"/>
  <c r="M143" i="129"/>
  <c r="Q142" i="129"/>
  <c r="M142" i="129"/>
  <c r="Q140" i="129"/>
  <c r="M140" i="129"/>
  <c r="O139" i="129"/>
  <c r="Q139" i="129" s="1"/>
  <c r="N139" i="129"/>
  <c r="K139" i="129"/>
  <c r="M139" i="129" s="1"/>
  <c r="J139" i="129"/>
  <c r="Q138" i="129"/>
  <c r="M138" i="129"/>
  <c r="P137" i="129"/>
  <c r="O137" i="129"/>
  <c r="N137" i="129"/>
  <c r="K137" i="129"/>
  <c r="M137" i="129" s="1"/>
  <c r="J137" i="129"/>
  <c r="O136" i="129"/>
  <c r="N136" i="129"/>
  <c r="K136" i="129"/>
  <c r="M136" i="129" s="1"/>
  <c r="J136" i="129"/>
  <c r="P135" i="129"/>
  <c r="Q135" i="129" s="1"/>
  <c r="M135" i="129"/>
  <c r="P134" i="129"/>
  <c r="O134" i="129"/>
  <c r="N134" i="129"/>
  <c r="M134" i="129"/>
  <c r="O133" i="129"/>
  <c r="Q133" i="129" s="1"/>
  <c r="M133" i="129"/>
  <c r="O132" i="129"/>
  <c r="Q132" i="129" s="1"/>
  <c r="N132" i="129"/>
  <c r="M132" i="129"/>
  <c r="Q131" i="129"/>
  <c r="M131" i="129"/>
  <c r="P130" i="129"/>
  <c r="O130" i="129"/>
  <c r="N130" i="129"/>
  <c r="K130" i="129"/>
  <c r="M130" i="129" s="1"/>
  <c r="J130" i="129"/>
  <c r="Q129" i="129"/>
  <c r="M129" i="129"/>
  <c r="P128" i="129"/>
  <c r="O128" i="129"/>
  <c r="N128" i="129"/>
  <c r="K128" i="129"/>
  <c r="M128" i="129" s="1"/>
  <c r="J128" i="129"/>
  <c r="Q126" i="129"/>
  <c r="M126" i="129"/>
  <c r="P125" i="129"/>
  <c r="O125" i="129"/>
  <c r="N125" i="129"/>
  <c r="K125" i="129"/>
  <c r="M125" i="129" s="1"/>
  <c r="J125" i="129"/>
  <c r="Q124" i="129"/>
  <c r="M124" i="129"/>
  <c r="P123" i="129"/>
  <c r="O123" i="129"/>
  <c r="N123" i="129"/>
  <c r="L123" i="129"/>
  <c r="K123" i="129"/>
  <c r="J123" i="129"/>
  <c r="Q122" i="129"/>
  <c r="M122" i="129"/>
  <c r="P121" i="129"/>
  <c r="O121" i="129"/>
  <c r="N121" i="129"/>
  <c r="K121" i="129"/>
  <c r="M121" i="129" s="1"/>
  <c r="J121" i="129"/>
  <c r="Q120" i="129"/>
  <c r="M120" i="129"/>
  <c r="P119" i="129"/>
  <c r="O119" i="129"/>
  <c r="N119" i="129"/>
  <c r="L119" i="129"/>
  <c r="K119" i="129"/>
  <c r="J119" i="129"/>
  <c r="Q118" i="129"/>
  <c r="M118" i="129"/>
  <c r="P117" i="129"/>
  <c r="O117" i="129"/>
  <c r="N117" i="129"/>
  <c r="K117" i="129"/>
  <c r="M117" i="129" s="1"/>
  <c r="J117" i="129"/>
  <c r="Q116" i="129"/>
  <c r="M116" i="129"/>
  <c r="P115" i="129"/>
  <c r="O115" i="129"/>
  <c r="N115" i="129"/>
  <c r="K115" i="129"/>
  <c r="M115" i="129" s="1"/>
  <c r="J115" i="129"/>
  <c r="Q114" i="129"/>
  <c r="M114" i="129"/>
  <c r="P113" i="129"/>
  <c r="O113" i="129"/>
  <c r="N113" i="129"/>
  <c r="K113" i="129"/>
  <c r="M113" i="129" s="1"/>
  <c r="J113" i="129"/>
  <c r="P112" i="129"/>
  <c r="O112" i="129"/>
  <c r="N112" i="129"/>
  <c r="K112" i="129"/>
  <c r="M112" i="129" s="1"/>
  <c r="J112" i="129"/>
  <c r="Q111" i="129"/>
  <c r="N111" i="129"/>
  <c r="M111" i="129"/>
  <c r="P110" i="129"/>
  <c r="O110" i="129"/>
  <c r="N110" i="129"/>
  <c r="K110" i="129"/>
  <c r="M110" i="129" s="1"/>
  <c r="J110" i="129"/>
  <c r="Q109" i="129"/>
  <c r="M109" i="129"/>
  <c r="P108" i="129"/>
  <c r="Q108" i="129" s="1"/>
  <c r="N108" i="129"/>
  <c r="K108" i="129"/>
  <c r="M108" i="129" s="1"/>
  <c r="J108" i="129"/>
  <c r="P107" i="129"/>
  <c r="O107" i="129"/>
  <c r="N107" i="129"/>
  <c r="M107" i="129"/>
  <c r="J107" i="129"/>
  <c r="Q106" i="129"/>
  <c r="M106" i="129"/>
  <c r="P105" i="129"/>
  <c r="O105" i="129"/>
  <c r="N105" i="129"/>
  <c r="K105" i="129"/>
  <c r="M105" i="129" s="1"/>
  <c r="J105" i="129"/>
  <c r="Q104" i="129"/>
  <c r="M104" i="129"/>
  <c r="P103" i="129"/>
  <c r="O103" i="129"/>
  <c r="N103" i="129"/>
  <c r="K103" i="129"/>
  <c r="M103" i="129" s="1"/>
  <c r="J103" i="129"/>
  <c r="Q102" i="129"/>
  <c r="M102" i="129"/>
  <c r="P101" i="129"/>
  <c r="O101" i="129"/>
  <c r="N101" i="129"/>
  <c r="K101" i="129"/>
  <c r="M101" i="129" s="1"/>
  <c r="J101" i="129"/>
  <c r="Q100" i="129"/>
  <c r="M100" i="129"/>
  <c r="P99" i="129"/>
  <c r="O99" i="129"/>
  <c r="N99" i="129"/>
  <c r="K99" i="129"/>
  <c r="M99" i="129" s="1"/>
  <c r="J99" i="129"/>
  <c r="Q98" i="129"/>
  <c r="M98" i="129"/>
  <c r="O97" i="129"/>
  <c r="Q97" i="129" s="1"/>
  <c r="N97" i="129"/>
  <c r="K97" i="129"/>
  <c r="M97" i="129" s="1"/>
  <c r="J97" i="129"/>
  <c r="Q96" i="129"/>
  <c r="M96" i="129"/>
  <c r="Q95" i="129"/>
  <c r="M95" i="129"/>
  <c r="P94" i="129"/>
  <c r="O94" i="129"/>
  <c r="N94" i="129"/>
  <c r="K94" i="129"/>
  <c r="M94" i="129" s="1"/>
  <c r="J94" i="129"/>
  <c r="Q93" i="129"/>
  <c r="M93" i="129"/>
  <c r="P92" i="129"/>
  <c r="O92" i="129"/>
  <c r="N92" i="129"/>
  <c r="L92" i="129"/>
  <c r="K92" i="129"/>
  <c r="J92" i="129"/>
  <c r="Q91" i="129"/>
  <c r="M91" i="129"/>
  <c r="Q90" i="129"/>
  <c r="M90" i="129"/>
  <c r="Q88" i="129"/>
  <c r="M88" i="129"/>
  <c r="P87" i="129"/>
  <c r="O87" i="129"/>
  <c r="N87" i="129"/>
  <c r="K87" i="129"/>
  <c r="M87" i="129" s="1"/>
  <c r="J87" i="129"/>
  <c r="Q86" i="129"/>
  <c r="M86" i="129"/>
  <c r="P85" i="129"/>
  <c r="O85" i="129"/>
  <c r="N85" i="129"/>
  <c r="K85" i="129"/>
  <c r="M85" i="129" s="1"/>
  <c r="J85" i="129"/>
  <c r="Q84" i="129"/>
  <c r="M84" i="129"/>
  <c r="O83" i="129"/>
  <c r="Q83" i="129" s="1"/>
  <c r="N83" i="129"/>
  <c r="M83" i="129"/>
  <c r="Q82" i="129"/>
  <c r="M82" i="129"/>
  <c r="O81" i="129"/>
  <c r="Q81" i="129" s="1"/>
  <c r="N81" i="129"/>
  <c r="K81" i="129"/>
  <c r="M81" i="129" s="1"/>
  <c r="J81" i="129"/>
  <c r="P80" i="129"/>
  <c r="O80" i="129"/>
  <c r="N80" i="129"/>
  <c r="K80" i="129"/>
  <c r="M80" i="129" s="1"/>
  <c r="J80" i="129"/>
  <c r="Q79" i="129"/>
  <c r="M79" i="129"/>
  <c r="Q78" i="129"/>
  <c r="K78" i="129"/>
  <c r="M78" i="129" s="1"/>
  <c r="J78" i="129"/>
  <c r="P77" i="129"/>
  <c r="O77" i="129"/>
  <c r="N77" i="129"/>
  <c r="K77" i="129"/>
  <c r="M77" i="129" s="1"/>
  <c r="O76" i="129"/>
  <c r="Q76" i="129" s="1"/>
  <c r="N76" i="129"/>
  <c r="M76" i="129"/>
  <c r="P75" i="129"/>
  <c r="O75" i="129"/>
  <c r="N75" i="129"/>
  <c r="K75" i="129"/>
  <c r="M75" i="129" s="1"/>
  <c r="J75" i="129"/>
  <c r="Q74" i="129"/>
  <c r="M74" i="129"/>
  <c r="O73" i="129"/>
  <c r="Q73" i="129" s="1"/>
  <c r="N73" i="129"/>
  <c r="M73" i="129"/>
  <c r="P72" i="129"/>
  <c r="O72" i="129"/>
  <c r="N72" i="129"/>
  <c r="M72" i="129"/>
  <c r="Q71" i="129"/>
  <c r="M71" i="129"/>
  <c r="P70" i="129"/>
  <c r="O70" i="129"/>
  <c r="N70" i="129"/>
  <c r="M70" i="129"/>
  <c r="Q69" i="129"/>
  <c r="M69" i="129"/>
  <c r="P68" i="129"/>
  <c r="Q68" i="129" s="1"/>
  <c r="N68" i="129"/>
  <c r="M68" i="129"/>
  <c r="Q67" i="129"/>
  <c r="M67" i="129"/>
  <c r="P66" i="129"/>
  <c r="O66" i="129"/>
  <c r="N66" i="129"/>
  <c r="K66" i="129"/>
  <c r="M66" i="129" s="1"/>
  <c r="J66" i="129"/>
  <c r="P65" i="129"/>
  <c r="O65" i="129"/>
  <c r="N65" i="129"/>
  <c r="K65" i="129"/>
  <c r="M65" i="129" s="1"/>
  <c r="J65" i="129"/>
  <c r="Q64" i="129"/>
  <c r="M64" i="129"/>
  <c r="O63" i="129"/>
  <c r="Q63" i="129" s="1"/>
  <c r="N63" i="129"/>
  <c r="K63" i="129"/>
  <c r="M63" i="129" s="1"/>
  <c r="J63" i="129"/>
  <c r="Q62" i="129"/>
  <c r="M62" i="129"/>
  <c r="P61" i="129"/>
  <c r="O61" i="129"/>
  <c r="N61" i="129"/>
  <c r="K61" i="129"/>
  <c r="M61" i="129" s="1"/>
  <c r="J61" i="129"/>
  <c r="P60" i="129"/>
  <c r="Q60" i="129" s="1"/>
  <c r="M60" i="129"/>
  <c r="O59" i="129"/>
  <c r="Q59" i="129" s="1"/>
  <c r="N59" i="129"/>
  <c r="K59" i="129"/>
  <c r="M59" i="129" s="1"/>
  <c r="J59" i="129"/>
  <c r="Q58" i="129"/>
  <c r="M58" i="129"/>
  <c r="O57" i="129"/>
  <c r="Q57" i="129" s="1"/>
  <c r="N57" i="129"/>
  <c r="M57" i="129"/>
  <c r="Q55" i="129"/>
  <c r="M55" i="129"/>
  <c r="O54" i="129"/>
  <c r="Q54" i="129" s="1"/>
  <c r="N54" i="129"/>
  <c r="L54" i="129"/>
  <c r="K54" i="129"/>
  <c r="J54" i="129"/>
  <c r="Q53" i="129"/>
  <c r="M53" i="129"/>
  <c r="P52" i="129"/>
  <c r="O52" i="129"/>
  <c r="N52" i="129"/>
  <c r="K52" i="129"/>
  <c r="M52" i="129" s="1"/>
  <c r="J52" i="129"/>
  <c r="Q51" i="129"/>
  <c r="M51" i="129"/>
  <c r="Q50" i="129"/>
  <c r="M50" i="129"/>
  <c r="P49" i="129"/>
  <c r="O49" i="129"/>
  <c r="N49" i="129"/>
  <c r="K49" i="129"/>
  <c r="M49" i="129" s="1"/>
  <c r="J49" i="129"/>
  <c r="Q48" i="129"/>
  <c r="M48" i="129"/>
  <c r="P47" i="129"/>
  <c r="O47" i="129"/>
  <c r="N47" i="129"/>
  <c r="K47" i="129"/>
  <c r="M47" i="129" s="1"/>
  <c r="J47" i="129"/>
  <c r="Q46" i="129"/>
  <c r="M46" i="129"/>
  <c r="P45" i="129"/>
  <c r="O45" i="129"/>
  <c r="N45" i="129"/>
  <c r="K45" i="129"/>
  <c r="M45" i="129" s="1"/>
  <c r="J45" i="129"/>
  <c r="P44" i="129"/>
  <c r="Q44" i="129" s="1"/>
  <c r="M44" i="129"/>
  <c r="P43" i="129"/>
  <c r="O43" i="129"/>
  <c r="N43" i="129"/>
  <c r="K43" i="129"/>
  <c r="M43" i="129" s="1"/>
  <c r="J43" i="129"/>
  <c r="Q42" i="129"/>
  <c r="M42" i="129"/>
  <c r="Q41" i="129"/>
  <c r="M41" i="129"/>
  <c r="Q40" i="129"/>
  <c r="M40" i="129"/>
  <c r="P39" i="129"/>
  <c r="O39" i="129"/>
  <c r="N39" i="129"/>
  <c r="K39" i="129"/>
  <c r="M39" i="129" s="1"/>
  <c r="J39" i="129"/>
  <c r="P38" i="129"/>
  <c r="O38" i="129"/>
  <c r="N38" i="129"/>
  <c r="K38" i="129"/>
  <c r="M38" i="129" s="1"/>
  <c r="J38" i="129"/>
  <c r="Q37" i="129"/>
  <c r="M37" i="129"/>
  <c r="P36" i="129"/>
  <c r="O36" i="129"/>
  <c r="N36" i="129"/>
  <c r="K36" i="129"/>
  <c r="M36" i="129" s="1"/>
  <c r="J36" i="129"/>
  <c r="Q35" i="129"/>
  <c r="M35" i="129"/>
  <c r="P34" i="129"/>
  <c r="O34" i="129"/>
  <c r="N34" i="129"/>
  <c r="K34" i="129"/>
  <c r="M34" i="129" s="1"/>
  <c r="J34" i="129"/>
  <c r="Q33" i="129"/>
  <c r="M33" i="129"/>
  <c r="P32" i="129"/>
  <c r="O32" i="129"/>
  <c r="N32" i="129"/>
  <c r="K32" i="129"/>
  <c r="M32" i="129" s="1"/>
  <c r="J32" i="129"/>
  <c r="Q31" i="129"/>
  <c r="M31" i="129"/>
  <c r="P30" i="129"/>
  <c r="O30" i="129"/>
  <c r="N30" i="129"/>
  <c r="K30" i="129"/>
  <c r="M30" i="129" s="1"/>
  <c r="J30" i="129"/>
  <c r="P27" i="129"/>
  <c r="O27" i="129"/>
  <c r="N27" i="129"/>
  <c r="K27" i="129"/>
  <c r="M27" i="129" s="1"/>
  <c r="J27" i="129"/>
  <c r="Q26" i="129"/>
  <c r="M26" i="129"/>
  <c r="P25" i="129"/>
  <c r="O25" i="129"/>
  <c r="N25" i="129"/>
  <c r="K25" i="129"/>
  <c r="M25" i="129" s="1"/>
  <c r="J25" i="129"/>
  <c r="P24" i="129"/>
  <c r="O24" i="129"/>
  <c r="N24" i="129"/>
  <c r="K24" i="129"/>
  <c r="M24" i="129" s="1"/>
  <c r="J24" i="129"/>
  <c r="P23" i="129"/>
  <c r="Q23" i="129" s="1"/>
  <c r="M23" i="129"/>
  <c r="P22" i="129"/>
  <c r="Q22" i="129" s="1"/>
  <c r="N22" i="129"/>
  <c r="L22" i="129"/>
  <c r="M22" i="129" s="1"/>
  <c r="J22" i="129"/>
  <c r="Q21" i="129"/>
  <c r="M21" i="129"/>
  <c r="P20" i="129"/>
  <c r="O20" i="129"/>
  <c r="N20" i="129"/>
  <c r="M20" i="129"/>
  <c r="P19" i="129"/>
  <c r="O19" i="129"/>
  <c r="N19" i="129"/>
  <c r="K19" i="129"/>
  <c r="M19" i="129" s="1"/>
  <c r="J19" i="129"/>
  <c r="Q18" i="129"/>
  <c r="M18" i="129"/>
  <c r="P17" i="129"/>
  <c r="O17" i="129"/>
  <c r="N17" i="129"/>
  <c r="K17" i="129"/>
  <c r="M17" i="129" s="1"/>
  <c r="J17" i="129"/>
  <c r="Q16" i="129"/>
  <c r="M16" i="129"/>
  <c r="P15" i="129"/>
  <c r="O15" i="129"/>
  <c r="N15" i="129"/>
  <c r="K15" i="129"/>
  <c r="M15" i="129" s="1"/>
  <c r="J15" i="129"/>
  <c r="Q14" i="129"/>
  <c r="M14" i="129"/>
  <c r="P13" i="129"/>
  <c r="Q13" i="129" s="1"/>
  <c r="N13" i="129"/>
  <c r="L13" i="129"/>
  <c r="K13" i="129"/>
  <c r="J13" i="129"/>
  <c r="Q11" i="129"/>
  <c r="M11" i="129"/>
  <c r="P10" i="129"/>
  <c r="O10" i="129"/>
  <c r="N10" i="129"/>
  <c r="K10" i="129"/>
  <c r="J10" i="129"/>
  <c r="B9" i="129"/>
  <c r="C9" i="129" s="1"/>
  <c r="D9" i="129" s="1"/>
  <c r="E9" i="129" s="1"/>
  <c r="F9" i="129" s="1"/>
  <c r="G9" i="129" s="1"/>
  <c r="H9" i="129" s="1"/>
  <c r="I9" i="129" s="1"/>
  <c r="J9" i="129" s="1"/>
  <c r="K9" i="129" s="1"/>
  <c r="L9" i="129" s="1"/>
  <c r="M9" i="129" s="1"/>
  <c r="N9" i="129" s="1"/>
  <c r="O9" i="129" s="1"/>
  <c r="P9" i="129" s="1"/>
  <c r="Q9" i="129" s="1"/>
  <c r="P134" i="128"/>
  <c r="P119" i="128"/>
  <c r="L119" i="128"/>
  <c r="P117" i="128"/>
  <c r="P75" i="128"/>
  <c r="P115" i="128"/>
  <c r="P85" i="128"/>
  <c r="P47" i="128"/>
  <c r="P27" i="128"/>
  <c r="P17" i="128"/>
  <c r="L92" i="128"/>
  <c r="P92" i="128"/>
  <c r="P20" i="128"/>
  <c r="P80" i="128"/>
  <c r="P52" i="128"/>
  <c r="P174" i="128"/>
  <c r="L174" i="128"/>
  <c r="P192" i="128"/>
  <c r="P185" i="128"/>
  <c r="P183" i="128"/>
  <c r="L183" i="128"/>
  <c r="P150" i="128"/>
  <c r="P128" i="128"/>
  <c r="P123" i="128"/>
  <c r="L123" i="128"/>
  <c r="P157" i="128"/>
  <c r="P94" i="128"/>
  <c r="P87" i="128"/>
  <c r="P72" i="128"/>
  <c r="P65" i="128"/>
  <c r="L54" i="128"/>
  <c r="P25" i="128"/>
  <c r="P22" i="128"/>
  <c r="L22" i="128"/>
  <c r="P13" i="128"/>
  <c r="L13" i="128"/>
  <c r="P10" i="128"/>
  <c r="P113" i="128"/>
  <c r="P99" i="128"/>
  <c r="M193" i="130" l="1"/>
  <c r="Q193" i="130"/>
  <c r="J193" i="129"/>
  <c r="N193" i="129"/>
  <c r="Q77" i="129"/>
  <c r="Q61" i="129"/>
  <c r="Q65" i="129"/>
  <c r="Q66" i="129"/>
  <c r="M123" i="129"/>
  <c r="Q125" i="129"/>
  <c r="Q80" i="129"/>
  <c r="Q85" i="129"/>
  <c r="Q87" i="129"/>
  <c r="Q92" i="129"/>
  <c r="Q128" i="129"/>
  <c r="Q150" i="129"/>
  <c r="Q185" i="129"/>
  <c r="Q187" i="129"/>
  <c r="Q192" i="129"/>
  <c r="K193" i="129"/>
  <c r="O193" i="129"/>
  <c r="L193" i="129"/>
  <c r="Q25" i="129"/>
  <c r="Q27" i="129"/>
  <c r="Q39" i="129"/>
  <c r="Q43" i="129"/>
  <c r="Q45" i="129"/>
  <c r="Q49" i="129"/>
  <c r="M54" i="129"/>
  <c r="Q70" i="129"/>
  <c r="Q99" i="129"/>
  <c r="Q110" i="129"/>
  <c r="Q19" i="129"/>
  <c r="Q20" i="129"/>
  <c r="Q34" i="129"/>
  <c r="Q105" i="129"/>
  <c r="Q113" i="129"/>
  <c r="Q115" i="129"/>
  <c r="M119" i="129"/>
  <c r="Q137" i="129"/>
  <c r="Q160" i="129"/>
  <c r="Q162" i="129"/>
  <c r="Q169" i="129"/>
  <c r="M174" i="129"/>
  <c r="M183" i="129"/>
  <c r="Q72" i="129"/>
  <c r="P193" i="129"/>
  <c r="M13" i="129"/>
  <c r="Q15" i="129"/>
  <c r="Q17" i="129"/>
  <c r="Q24" i="129"/>
  <c r="Q30" i="129"/>
  <c r="Q32" i="129"/>
  <c r="Q36" i="129"/>
  <c r="Q38" i="129"/>
  <c r="Q47" i="129"/>
  <c r="Q52" i="129"/>
  <c r="Q75" i="129"/>
  <c r="M92" i="129"/>
  <c r="Q94" i="129"/>
  <c r="Q101" i="129"/>
  <c r="Q103" i="129"/>
  <c r="Q107" i="129"/>
  <c r="Q112" i="129"/>
  <c r="Q117" i="129"/>
  <c r="Q119" i="129"/>
  <c r="Q121" i="129"/>
  <c r="Q123" i="129"/>
  <c r="Q130" i="129"/>
  <c r="Q134" i="129"/>
  <c r="Q144" i="129"/>
  <c r="M162" i="129"/>
  <c r="Q174" i="129"/>
  <c r="Q181" i="129"/>
  <c r="Q183" i="129"/>
  <c r="M10" i="129"/>
  <c r="Q193" i="129"/>
  <c r="Q10" i="129"/>
  <c r="J148" i="128"/>
  <c r="J150" i="128"/>
  <c r="J121" i="128"/>
  <c r="N107" i="128"/>
  <c r="J107" i="128"/>
  <c r="N103" i="128"/>
  <c r="J103" i="128"/>
  <c r="N99" i="128"/>
  <c r="J99" i="128"/>
  <c r="N59" i="128"/>
  <c r="J59" i="128"/>
  <c r="I193" i="128"/>
  <c r="H193" i="128"/>
  <c r="O192" i="128"/>
  <c r="Q192" i="128" s="1"/>
  <c r="N192" i="128"/>
  <c r="M192" i="128"/>
  <c r="Q191" i="128"/>
  <c r="M191" i="128"/>
  <c r="Q190" i="128"/>
  <c r="M190" i="128"/>
  <c r="Q189" i="128"/>
  <c r="M189" i="128"/>
  <c r="O188" i="128"/>
  <c r="Q188" i="128" s="1"/>
  <c r="M188" i="128"/>
  <c r="P187" i="128"/>
  <c r="O187" i="128"/>
  <c r="N187" i="128"/>
  <c r="K187" i="128"/>
  <c r="M187" i="128" s="1"/>
  <c r="J187" i="128"/>
  <c r="O186" i="128"/>
  <c r="Q186" i="128" s="1"/>
  <c r="M186" i="128"/>
  <c r="O185" i="128"/>
  <c r="Q185" i="128" s="1"/>
  <c r="N185" i="128"/>
  <c r="M185" i="128"/>
  <c r="O184" i="128"/>
  <c r="Q184" i="128" s="1"/>
  <c r="M184" i="128"/>
  <c r="O183" i="128"/>
  <c r="Q183" i="128" s="1"/>
  <c r="N183" i="128"/>
  <c r="K183" i="128"/>
  <c r="M183" i="128" s="1"/>
  <c r="J183" i="128"/>
  <c r="Q182" i="128"/>
  <c r="M182" i="128"/>
  <c r="P181" i="128"/>
  <c r="O181" i="128"/>
  <c r="N181" i="128"/>
  <c r="K181" i="128"/>
  <c r="M181" i="128" s="1"/>
  <c r="J181" i="128"/>
  <c r="O180" i="128"/>
  <c r="Q180" i="128" s="1"/>
  <c r="N180" i="128"/>
  <c r="K180" i="128"/>
  <c r="M180" i="128" s="1"/>
  <c r="J180" i="128"/>
  <c r="Q179" i="128"/>
  <c r="M179" i="128"/>
  <c r="O178" i="128"/>
  <c r="Q178" i="128" s="1"/>
  <c r="N178" i="128"/>
  <c r="K178" i="128"/>
  <c r="M178" i="128" s="1"/>
  <c r="J178" i="128"/>
  <c r="O177" i="128"/>
  <c r="Q177" i="128" s="1"/>
  <c r="M177" i="128"/>
  <c r="O174" i="128"/>
  <c r="Q174" i="128" s="1"/>
  <c r="N174" i="128"/>
  <c r="K174" i="128"/>
  <c r="M174" i="128" s="1"/>
  <c r="J174" i="128"/>
  <c r="Q173" i="128"/>
  <c r="M173" i="128"/>
  <c r="Q172" i="128"/>
  <c r="M172" i="128"/>
  <c r="Q170" i="128"/>
  <c r="N170" i="128"/>
  <c r="M170" i="128"/>
  <c r="P169" i="128"/>
  <c r="O169" i="128"/>
  <c r="N169" i="128"/>
  <c r="K169" i="128"/>
  <c r="M169" i="128" s="1"/>
  <c r="J169" i="128"/>
  <c r="Q168" i="128"/>
  <c r="M168" i="128"/>
  <c r="O167" i="128"/>
  <c r="Q167" i="128" s="1"/>
  <c r="N167" i="128"/>
  <c r="M167" i="128"/>
  <c r="Q166" i="128"/>
  <c r="M166" i="128"/>
  <c r="O165" i="128"/>
  <c r="Q165" i="128" s="1"/>
  <c r="N165" i="128"/>
  <c r="K165" i="128"/>
  <c r="M165" i="128" s="1"/>
  <c r="J165" i="128"/>
  <c r="Q164" i="128"/>
  <c r="M164" i="128"/>
  <c r="Q163" i="128"/>
  <c r="M163" i="128"/>
  <c r="P162" i="128"/>
  <c r="O162" i="128"/>
  <c r="N162" i="128"/>
  <c r="L162" i="128"/>
  <c r="L193" i="128" s="1"/>
  <c r="K162" i="128"/>
  <c r="J162" i="128"/>
  <c r="Q161" i="128"/>
  <c r="M161" i="128"/>
  <c r="P160" i="128"/>
  <c r="O160" i="128"/>
  <c r="N160" i="128"/>
  <c r="K160" i="128"/>
  <c r="M160" i="128" s="1"/>
  <c r="J160" i="128"/>
  <c r="Q159" i="128"/>
  <c r="M159" i="128"/>
  <c r="Q158" i="128"/>
  <c r="M158" i="128"/>
  <c r="Q157" i="128"/>
  <c r="N157" i="128"/>
  <c r="M157" i="128"/>
  <c r="Q156" i="128"/>
  <c r="M156" i="128"/>
  <c r="Q155" i="128"/>
  <c r="M155" i="128"/>
  <c r="O154" i="128"/>
  <c r="Q154" i="128" s="1"/>
  <c r="M154" i="128"/>
  <c r="O153" i="128"/>
  <c r="Q153" i="128" s="1"/>
  <c r="N153" i="128"/>
  <c r="K153" i="128"/>
  <c r="M153" i="128" s="1"/>
  <c r="J153" i="128"/>
  <c r="Q151" i="128"/>
  <c r="M151" i="128"/>
  <c r="O150" i="128"/>
  <c r="N150" i="128"/>
  <c r="K150" i="128"/>
  <c r="M150" i="128" s="1"/>
  <c r="P147" i="128"/>
  <c r="O147" i="128"/>
  <c r="N147" i="128"/>
  <c r="K147" i="128"/>
  <c r="J147" i="128"/>
  <c r="Q146" i="128"/>
  <c r="M146" i="128"/>
  <c r="Q145" i="128"/>
  <c r="M145" i="128"/>
  <c r="P144" i="128"/>
  <c r="O144" i="128"/>
  <c r="N144" i="128"/>
  <c r="K144" i="128"/>
  <c r="M144" i="128" s="1"/>
  <c r="J144" i="128"/>
  <c r="O143" i="128"/>
  <c r="Q143" i="128" s="1"/>
  <c r="M143" i="128"/>
  <c r="Q142" i="128"/>
  <c r="M142" i="128"/>
  <c r="Q140" i="128"/>
  <c r="M140" i="128"/>
  <c r="O139" i="128"/>
  <c r="Q139" i="128" s="1"/>
  <c r="N139" i="128"/>
  <c r="K139" i="128"/>
  <c r="M139" i="128" s="1"/>
  <c r="J139" i="128"/>
  <c r="Q138" i="128"/>
  <c r="M138" i="128"/>
  <c r="P137" i="128"/>
  <c r="O137" i="128"/>
  <c r="N137" i="128"/>
  <c r="K137" i="128"/>
  <c r="M137" i="128" s="1"/>
  <c r="J137" i="128"/>
  <c r="O136" i="128"/>
  <c r="N136" i="128"/>
  <c r="K136" i="128"/>
  <c r="M136" i="128" s="1"/>
  <c r="J136" i="128"/>
  <c r="P135" i="128"/>
  <c r="Q135" i="128" s="1"/>
  <c r="M135" i="128"/>
  <c r="O134" i="128"/>
  <c r="N134" i="128"/>
  <c r="M134" i="128"/>
  <c r="O133" i="128"/>
  <c r="Q133" i="128" s="1"/>
  <c r="M133" i="128"/>
  <c r="O132" i="128"/>
  <c r="Q132" i="128" s="1"/>
  <c r="N132" i="128"/>
  <c r="M132" i="128"/>
  <c r="Q131" i="128"/>
  <c r="M131" i="128"/>
  <c r="P130" i="128"/>
  <c r="O130" i="128"/>
  <c r="N130" i="128"/>
  <c r="K130" i="128"/>
  <c r="M130" i="128" s="1"/>
  <c r="J130" i="128"/>
  <c r="Q129" i="128"/>
  <c r="M129" i="128"/>
  <c r="O128" i="128"/>
  <c r="Q128" i="128" s="1"/>
  <c r="N128" i="128"/>
  <c r="K128" i="128"/>
  <c r="M128" i="128" s="1"/>
  <c r="J128" i="128"/>
  <c r="Q126" i="128"/>
  <c r="M126" i="128"/>
  <c r="P125" i="128"/>
  <c r="O125" i="128"/>
  <c r="N125" i="128"/>
  <c r="K125" i="128"/>
  <c r="M125" i="128" s="1"/>
  <c r="J125" i="128"/>
  <c r="Q124" i="128"/>
  <c r="M124" i="128"/>
  <c r="O123" i="128"/>
  <c r="Q123" i="128" s="1"/>
  <c r="N123" i="128"/>
  <c r="K123" i="128"/>
  <c r="M123" i="128" s="1"/>
  <c r="J123" i="128"/>
  <c r="Q122" i="128"/>
  <c r="M122" i="128"/>
  <c r="P121" i="128"/>
  <c r="O121" i="128"/>
  <c r="N121" i="128"/>
  <c r="K121" i="128"/>
  <c r="M121" i="128" s="1"/>
  <c r="Q120" i="128"/>
  <c r="M120" i="128"/>
  <c r="O119" i="128"/>
  <c r="Q119" i="128" s="1"/>
  <c r="N119" i="128"/>
  <c r="K119" i="128"/>
  <c r="M119" i="128" s="1"/>
  <c r="J119" i="128"/>
  <c r="Q118" i="128"/>
  <c r="M118" i="128"/>
  <c r="O117" i="128"/>
  <c r="Q117" i="128" s="1"/>
  <c r="N117" i="128"/>
  <c r="K117" i="128"/>
  <c r="M117" i="128" s="1"/>
  <c r="J117" i="128"/>
  <c r="Q116" i="128"/>
  <c r="M116" i="128"/>
  <c r="O115" i="128"/>
  <c r="Q115" i="128" s="1"/>
  <c r="N115" i="128"/>
  <c r="K115" i="128"/>
  <c r="M115" i="128" s="1"/>
  <c r="J115" i="128"/>
  <c r="Q114" i="128"/>
  <c r="M114" i="128"/>
  <c r="O113" i="128"/>
  <c r="Q113" i="128" s="1"/>
  <c r="N113" i="128"/>
  <c r="K113" i="128"/>
  <c r="M113" i="128" s="1"/>
  <c r="J113" i="128"/>
  <c r="P112" i="128"/>
  <c r="O112" i="128"/>
  <c r="N112" i="128"/>
  <c r="K112" i="128"/>
  <c r="M112" i="128" s="1"/>
  <c r="J112" i="128"/>
  <c r="Q111" i="128"/>
  <c r="N111" i="128"/>
  <c r="M111" i="128"/>
  <c r="P110" i="128"/>
  <c r="O110" i="128"/>
  <c r="N110" i="128"/>
  <c r="K110" i="128"/>
  <c r="M110" i="128" s="1"/>
  <c r="J110" i="128"/>
  <c r="Q109" i="128"/>
  <c r="M109" i="128"/>
  <c r="P108" i="128"/>
  <c r="Q108" i="128" s="1"/>
  <c r="N108" i="128"/>
  <c r="K108" i="128"/>
  <c r="M108" i="128" s="1"/>
  <c r="J108" i="128"/>
  <c r="P107" i="128"/>
  <c r="O107" i="128"/>
  <c r="M107" i="128"/>
  <c r="Q106" i="128"/>
  <c r="M106" i="128"/>
  <c r="P105" i="128"/>
  <c r="O105" i="128"/>
  <c r="N105" i="128"/>
  <c r="K105" i="128"/>
  <c r="M105" i="128" s="1"/>
  <c r="J105" i="128"/>
  <c r="Q104" i="128"/>
  <c r="M104" i="128"/>
  <c r="P103" i="128"/>
  <c r="O103" i="128"/>
  <c r="K103" i="128"/>
  <c r="M103" i="128" s="1"/>
  <c r="Q102" i="128"/>
  <c r="M102" i="128"/>
  <c r="P101" i="128"/>
  <c r="O101" i="128"/>
  <c r="N101" i="128"/>
  <c r="K101" i="128"/>
  <c r="M101" i="128" s="1"/>
  <c r="J101" i="128"/>
  <c r="Q100" i="128"/>
  <c r="M100" i="128"/>
  <c r="O99" i="128"/>
  <c r="Q99" i="128" s="1"/>
  <c r="K99" i="128"/>
  <c r="M99" i="128" s="1"/>
  <c r="Q98" i="128"/>
  <c r="M98" i="128"/>
  <c r="O97" i="128"/>
  <c r="Q97" i="128" s="1"/>
  <c r="N97" i="128"/>
  <c r="K97" i="128"/>
  <c r="M97" i="128" s="1"/>
  <c r="J97" i="128"/>
  <c r="Q96" i="128"/>
  <c r="M96" i="128"/>
  <c r="Q95" i="128"/>
  <c r="M95" i="128"/>
  <c r="O94" i="128"/>
  <c r="Q94" i="128" s="1"/>
  <c r="N94" i="128"/>
  <c r="K94" i="128"/>
  <c r="M94" i="128" s="1"/>
  <c r="J94" i="128"/>
  <c r="Q93" i="128"/>
  <c r="M93" i="128"/>
  <c r="O92" i="128"/>
  <c r="Q92" i="128" s="1"/>
  <c r="N92" i="128"/>
  <c r="K92" i="128"/>
  <c r="M92" i="128" s="1"/>
  <c r="J92" i="128"/>
  <c r="Q91" i="128"/>
  <c r="M91" i="128"/>
  <c r="Q90" i="128"/>
  <c r="M90" i="128"/>
  <c r="Q88" i="128"/>
  <c r="M88" i="128"/>
  <c r="O87" i="128"/>
  <c r="Q87" i="128" s="1"/>
  <c r="N87" i="128"/>
  <c r="K87" i="128"/>
  <c r="M87" i="128" s="1"/>
  <c r="J87" i="128"/>
  <c r="Q86" i="128"/>
  <c r="M86" i="128"/>
  <c r="O85" i="128"/>
  <c r="N85" i="128"/>
  <c r="K85" i="128"/>
  <c r="M85" i="128" s="1"/>
  <c r="J85" i="128"/>
  <c r="Q84" i="128"/>
  <c r="M84" i="128"/>
  <c r="O83" i="128"/>
  <c r="Q83" i="128" s="1"/>
  <c r="N83" i="128"/>
  <c r="M83" i="128"/>
  <c r="Q82" i="128"/>
  <c r="M82" i="128"/>
  <c r="O81" i="128"/>
  <c r="Q81" i="128" s="1"/>
  <c r="N81" i="128"/>
  <c r="K81" i="128"/>
  <c r="M81" i="128" s="1"/>
  <c r="J81" i="128"/>
  <c r="O80" i="128"/>
  <c r="Q80" i="128" s="1"/>
  <c r="N80" i="128"/>
  <c r="K80" i="128"/>
  <c r="M80" i="128" s="1"/>
  <c r="J80" i="128"/>
  <c r="Q79" i="128"/>
  <c r="M79" i="128"/>
  <c r="Q78" i="128"/>
  <c r="K78" i="128"/>
  <c r="M78" i="128" s="1"/>
  <c r="J78" i="128"/>
  <c r="P77" i="128"/>
  <c r="O77" i="128"/>
  <c r="N77" i="128"/>
  <c r="K77" i="128"/>
  <c r="M77" i="128" s="1"/>
  <c r="O76" i="128"/>
  <c r="Q76" i="128" s="1"/>
  <c r="N76" i="128"/>
  <c r="M76" i="128"/>
  <c r="O75" i="128"/>
  <c r="Q75" i="128" s="1"/>
  <c r="N75" i="128"/>
  <c r="K75" i="128"/>
  <c r="M75" i="128" s="1"/>
  <c r="J75" i="128"/>
  <c r="Q74" i="128"/>
  <c r="M74" i="128"/>
  <c r="O73" i="128"/>
  <c r="Q73" i="128" s="1"/>
  <c r="N73" i="128"/>
  <c r="M73" i="128"/>
  <c r="O72" i="128"/>
  <c r="N72" i="128"/>
  <c r="M72" i="128"/>
  <c r="Q71" i="128"/>
  <c r="M71" i="128"/>
  <c r="P70" i="128"/>
  <c r="O70" i="128"/>
  <c r="N70" i="128"/>
  <c r="M70" i="128"/>
  <c r="Q69" i="128"/>
  <c r="M69" i="128"/>
  <c r="P68" i="128"/>
  <c r="Q68" i="128" s="1"/>
  <c r="N68" i="128"/>
  <c r="M68" i="128"/>
  <c r="Q67" i="128"/>
  <c r="M67" i="128"/>
  <c r="P66" i="128"/>
  <c r="O66" i="128"/>
  <c r="N66" i="128"/>
  <c r="K66" i="128"/>
  <c r="M66" i="128" s="1"/>
  <c r="J66" i="128"/>
  <c r="O65" i="128"/>
  <c r="Q65" i="128" s="1"/>
  <c r="N65" i="128"/>
  <c r="K65" i="128"/>
  <c r="M65" i="128" s="1"/>
  <c r="J65" i="128"/>
  <c r="Q64" i="128"/>
  <c r="M64" i="128"/>
  <c r="O63" i="128"/>
  <c r="Q63" i="128" s="1"/>
  <c r="N63" i="128"/>
  <c r="K63" i="128"/>
  <c r="M63" i="128" s="1"/>
  <c r="J63" i="128"/>
  <c r="Q62" i="128"/>
  <c r="M62" i="128"/>
  <c r="P61" i="128"/>
  <c r="O61" i="128"/>
  <c r="N61" i="128"/>
  <c r="K61" i="128"/>
  <c r="M61" i="128" s="1"/>
  <c r="J61" i="128"/>
  <c r="P60" i="128"/>
  <c r="Q60" i="128" s="1"/>
  <c r="M60" i="128"/>
  <c r="O59" i="128"/>
  <c r="Q59" i="128" s="1"/>
  <c r="K59" i="128"/>
  <c r="M59" i="128" s="1"/>
  <c r="Q58" i="128"/>
  <c r="M58" i="128"/>
  <c r="O57" i="128"/>
  <c r="Q57" i="128" s="1"/>
  <c r="N57" i="128"/>
  <c r="M57" i="128"/>
  <c r="Q55" i="128"/>
  <c r="M55" i="128"/>
  <c r="O54" i="128"/>
  <c r="Q54" i="128" s="1"/>
  <c r="N54" i="128"/>
  <c r="K54" i="128"/>
  <c r="M54" i="128" s="1"/>
  <c r="J54" i="128"/>
  <c r="Q53" i="128"/>
  <c r="M53" i="128"/>
  <c r="O52" i="128"/>
  <c r="Q52" i="128" s="1"/>
  <c r="N52" i="128"/>
  <c r="K52" i="128"/>
  <c r="M52" i="128" s="1"/>
  <c r="J52" i="128"/>
  <c r="Q51" i="128"/>
  <c r="M51" i="128"/>
  <c r="Q50" i="128"/>
  <c r="M50" i="128"/>
  <c r="P49" i="128"/>
  <c r="O49" i="128"/>
  <c r="N49" i="128"/>
  <c r="K49" i="128"/>
  <c r="M49" i="128" s="1"/>
  <c r="J49" i="128"/>
  <c r="Q48" i="128"/>
  <c r="M48" i="128"/>
  <c r="O47" i="128"/>
  <c r="Q47" i="128" s="1"/>
  <c r="N47" i="128"/>
  <c r="K47" i="128"/>
  <c r="M47" i="128" s="1"/>
  <c r="J47" i="128"/>
  <c r="Q46" i="128"/>
  <c r="M46" i="128"/>
  <c r="P45" i="128"/>
  <c r="O45" i="128"/>
  <c r="N45" i="128"/>
  <c r="K45" i="128"/>
  <c r="M45" i="128" s="1"/>
  <c r="J45" i="128"/>
  <c r="P44" i="128"/>
  <c r="Q44" i="128" s="1"/>
  <c r="M44" i="128"/>
  <c r="P43" i="128"/>
  <c r="O43" i="128"/>
  <c r="N43" i="128"/>
  <c r="K43" i="128"/>
  <c r="M43" i="128" s="1"/>
  <c r="J43" i="128"/>
  <c r="Q42" i="128"/>
  <c r="M42" i="128"/>
  <c r="Q41" i="128"/>
  <c r="M41" i="128"/>
  <c r="Q40" i="128"/>
  <c r="M40" i="128"/>
  <c r="P39" i="128"/>
  <c r="O39" i="128"/>
  <c r="N39" i="128"/>
  <c r="K39" i="128"/>
  <c r="M39" i="128" s="1"/>
  <c r="J39" i="128"/>
  <c r="P38" i="128"/>
  <c r="O38" i="128"/>
  <c r="N38" i="128"/>
  <c r="K38" i="128"/>
  <c r="M38" i="128" s="1"/>
  <c r="J38" i="128"/>
  <c r="Q37" i="128"/>
  <c r="M37" i="128"/>
  <c r="P36" i="128"/>
  <c r="O36" i="128"/>
  <c r="N36" i="128"/>
  <c r="K36" i="128"/>
  <c r="M36" i="128" s="1"/>
  <c r="J36" i="128"/>
  <c r="Q35" i="128"/>
  <c r="N35" i="128"/>
  <c r="M35" i="128"/>
  <c r="P34" i="128"/>
  <c r="O34" i="128"/>
  <c r="N34" i="128"/>
  <c r="K34" i="128"/>
  <c r="M34" i="128" s="1"/>
  <c r="J34" i="128"/>
  <c r="Q33" i="128"/>
  <c r="M33" i="128"/>
  <c r="P32" i="128"/>
  <c r="O32" i="128"/>
  <c r="N32" i="128"/>
  <c r="K32" i="128"/>
  <c r="M32" i="128" s="1"/>
  <c r="J32" i="128"/>
  <c r="Q31" i="128"/>
  <c r="M31" i="128"/>
  <c r="P30" i="128"/>
  <c r="O30" i="128"/>
  <c r="N30" i="128"/>
  <c r="K30" i="128"/>
  <c r="M30" i="128" s="1"/>
  <c r="J30" i="128"/>
  <c r="O27" i="128"/>
  <c r="Q27" i="128" s="1"/>
  <c r="N27" i="128"/>
  <c r="K27" i="128"/>
  <c r="M27" i="128" s="1"/>
  <c r="J27" i="128"/>
  <c r="Q26" i="128"/>
  <c r="M26" i="128"/>
  <c r="O25" i="128"/>
  <c r="Q25" i="128" s="1"/>
  <c r="N25" i="128"/>
  <c r="K25" i="128"/>
  <c r="M25" i="128" s="1"/>
  <c r="J25" i="128"/>
  <c r="P24" i="128"/>
  <c r="O24" i="128"/>
  <c r="N24" i="128"/>
  <c r="K24" i="128"/>
  <c r="M24" i="128" s="1"/>
  <c r="J24" i="128"/>
  <c r="P23" i="128"/>
  <c r="Q23" i="128" s="1"/>
  <c r="M23" i="128"/>
  <c r="Q22" i="128"/>
  <c r="N22" i="128"/>
  <c r="M22" i="128"/>
  <c r="J22" i="128"/>
  <c r="Q21" i="128"/>
  <c r="M21" i="128"/>
  <c r="O20" i="128"/>
  <c r="Q20" i="128" s="1"/>
  <c r="N20" i="128"/>
  <c r="M20" i="128"/>
  <c r="P19" i="128"/>
  <c r="O19" i="128"/>
  <c r="N19" i="128"/>
  <c r="K19" i="128"/>
  <c r="M19" i="128" s="1"/>
  <c r="J19" i="128"/>
  <c r="Q18" i="128"/>
  <c r="M18" i="128"/>
  <c r="O17" i="128"/>
  <c r="Q17" i="128" s="1"/>
  <c r="N17" i="128"/>
  <c r="K17" i="128"/>
  <c r="M17" i="128" s="1"/>
  <c r="J17" i="128"/>
  <c r="Q16" i="128"/>
  <c r="M16" i="128"/>
  <c r="P15" i="128"/>
  <c r="O15" i="128"/>
  <c r="N15" i="128"/>
  <c r="K15" i="128"/>
  <c r="M15" i="128" s="1"/>
  <c r="J15" i="128"/>
  <c r="Q14" i="128"/>
  <c r="M14" i="128"/>
  <c r="Q13" i="128"/>
  <c r="N13" i="128"/>
  <c r="K13" i="128"/>
  <c r="M13" i="128" s="1"/>
  <c r="J13" i="128"/>
  <c r="Q11" i="128"/>
  <c r="M11" i="128"/>
  <c r="O10" i="128"/>
  <c r="Q10" i="128" s="1"/>
  <c r="N10" i="128"/>
  <c r="K10" i="128"/>
  <c r="M10" i="128" s="1"/>
  <c r="J10" i="128"/>
  <c r="B9" i="128"/>
  <c r="C9" i="128" s="1"/>
  <c r="D9" i="128" s="1"/>
  <c r="E9" i="128" s="1"/>
  <c r="F9" i="128" s="1"/>
  <c r="G9" i="128" s="1"/>
  <c r="H9" i="128" s="1"/>
  <c r="I9" i="128" s="1"/>
  <c r="J9" i="128" s="1"/>
  <c r="K9" i="128" s="1"/>
  <c r="L9" i="128" s="1"/>
  <c r="M9" i="128" s="1"/>
  <c r="N9" i="128" s="1"/>
  <c r="O9" i="128" s="1"/>
  <c r="P9" i="128" s="1"/>
  <c r="Q9" i="128" s="1"/>
  <c r="Q32" i="128" l="1"/>
  <c r="Q34" i="128"/>
  <c r="Q103" i="128"/>
  <c r="Q105" i="128"/>
  <c r="Q137" i="128"/>
  <c r="Q160" i="128"/>
  <c r="Q162" i="128"/>
  <c r="M193" i="129"/>
  <c r="Q70" i="128"/>
  <c r="Q77" i="128"/>
  <c r="Q38" i="128"/>
  <c r="Q39" i="128"/>
  <c r="Q61" i="128"/>
  <c r="Q110" i="128"/>
  <c r="Q181" i="128"/>
  <c r="Q187" i="128"/>
  <c r="O193" i="128"/>
  <c r="Q24" i="128"/>
  <c r="Q30" i="128"/>
  <c r="Q36" i="128"/>
  <c r="Q43" i="128"/>
  <c r="Q45" i="128"/>
  <c r="Q49" i="128"/>
  <c r="Q101" i="128"/>
  <c r="Q112" i="128"/>
  <c r="Q125" i="128"/>
  <c r="M162" i="128"/>
  <c r="Q15" i="128"/>
  <c r="J193" i="128"/>
  <c r="N193" i="128"/>
  <c r="P193" i="128"/>
  <c r="Q19" i="128"/>
  <c r="Q66" i="128"/>
  <c r="Q72" i="128"/>
  <c r="Q85" i="128"/>
  <c r="Q107" i="128"/>
  <c r="Q121" i="128"/>
  <c r="Q130" i="128"/>
  <c r="Q134" i="128"/>
  <c r="Q144" i="128"/>
  <c r="Q150" i="128"/>
  <c r="Q169" i="128"/>
  <c r="K193" i="128"/>
  <c r="M193" i="128" s="1"/>
  <c r="O169" i="127"/>
  <c r="K92" i="127"/>
  <c r="O92" i="127"/>
  <c r="P92" i="127"/>
  <c r="P113" i="127"/>
  <c r="K113" i="127"/>
  <c r="K80" i="127"/>
  <c r="O80" i="127"/>
  <c r="O178" i="127"/>
  <c r="O150" i="127"/>
  <c r="P150" i="127"/>
  <c r="O63" i="127"/>
  <c r="K63" i="127"/>
  <c r="O130" i="127"/>
  <c r="P130" i="127"/>
  <c r="O125" i="127"/>
  <c r="P125" i="127"/>
  <c r="O123" i="127"/>
  <c r="P121" i="127"/>
  <c r="O115" i="127"/>
  <c r="P115" i="127"/>
  <c r="O110" i="127"/>
  <c r="P110" i="127"/>
  <c r="K110" i="127"/>
  <c r="O99" i="127"/>
  <c r="K101" i="127"/>
  <c r="P101" i="127"/>
  <c r="O94" i="127"/>
  <c r="K94" i="127"/>
  <c r="O77" i="127"/>
  <c r="P77" i="127"/>
  <c r="O66" i="127"/>
  <c r="P66" i="127"/>
  <c r="O65" i="127"/>
  <c r="O45" i="127"/>
  <c r="P45" i="127"/>
  <c r="O38" i="127"/>
  <c r="P38" i="127"/>
  <c r="O30" i="127"/>
  <c r="P30" i="127"/>
  <c r="O27" i="127"/>
  <c r="O17" i="127"/>
  <c r="O112" i="127"/>
  <c r="P112" i="127"/>
  <c r="O101" i="127"/>
  <c r="K32" i="127"/>
  <c r="O24" i="127"/>
  <c r="P24" i="127"/>
  <c r="K178" i="127"/>
  <c r="K150" i="127"/>
  <c r="K144" i="127"/>
  <c r="K130" i="127"/>
  <c r="K121" i="127"/>
  <c r="K115" i="127"/>
  <c r="K103" i="127"/>
  <c r="P99" i="127"/>
  <c r="K99" i="127"/>
  <c r="K105" i="127"/>
  <c r="K77" i="127"/>
  <c r="K19" i="127"/>
  <c r="P19" i="127"/>
  <c r="K66" i="127"/>
  <c r="K65" i="127"/>
  <c r="K45" i="127"/>
  <c r="K112" i="127"/>
  <c r="K38" i="127"/>
  <c r="K36" i="127"/>
  <c r="K30" i="127"/>
  <c r="K27" i="127"/>
  <c r="K25" i="127"/>
  <c r="K17" i="127"/>
  <c r="Q193" i="128" l="1"/>
  <c r="N150" i="127"/>
  <c r="J101" i="127"/>
  <c r="N94" i="127"/>
  <c r="J94" i="127"/>
  <c r="J36" i="127"/>
  <c r="J32" i="127"/>
  <c r="N19" i="127"/>
  <c r="I193" i="127"/>
  <c r="H193" i="127"/>
  <c r="O192" i="127"/>
  <c r="Q192" i="127" s="1"/>
  <c r="N192" i="127"/>
  <c r="M192" i="127"/>
  <c r="Q191" i="127"/>
  <c r="M191" i="127"/>
  <c r="Q190" i="127"/>
  <c r="M190" i="127"/>
  <c r="Q189" i="127"/>
  <c r="M189" i="127"/>
  <c r="O188" i="127"/>
  <c r="Q188" i="127" s="1"/>
  <c r="M188" i="127"/>
  <c r="P187" i="127"/>
  <c r="O187" i="127"/>
  <c r="N187" i="127"/>
  <c r="K187" i="127"/>
  <c r="M187" i="127" s="1"/>
  <c r="J187" i="127"/>
  <c r="O186" i="127"/>
  <c r="Q186" i="127" s="1"/>
  <c r="M186" i="127"/>
  <c r="O185" i="127"/>
  <c r="Q185" i="127" s="1"/>
  <c r="N185" i="127"/>
  <c r="M185" i="127"/>
  <c r="O184" i="127"/>
  <c r="Q184" i="127" s="1"/>
  <c r="M184" i="127"/>
  <c r="O183" i="127"/>
  <c r="Q183" i="127" s="1"/>
  <c r="N183" i="127"/>
  <c r="K183" i="127"/>
  <c r="M183" i="127" s="1"/>
  <c r="J183" i="127"/>
  <c r="Q182" i="127"/>
  <c r="M182" i="127"/>
  <c r="P181" i="127"/>
  <c r="O181" i="127"/>
  <c r="N181" i="127"/>
  <c r="K181" i="127"/>
  <c r="M181" i="127" s="1"/>
  <c r="J181" i="127"/>
  <c r="O180" i="127"/>
  <c r="Q180" i="127" s="1"/>
  <c r="N180" i="127"/>
  <c r="K180" i="127"/>
  <c r="M180" i="127" s="1"/>
  <c r="J180" i="127"/>
  <c r="Q179" i="127"/>
  <c r="M179" i="127"/>
  <c r="Q178" i="127"/>
  <c r="N178" i="127"/>
  <c r="M178" i="127"/>
  <c r="J178" i="127"/>
  <c r="O177" i="127"/>
  <c r="Q177" i="127" s="1"/>
  <c r="M177" i="127"/>
  <c r="O174" i="127"/>
  <c r="Q174" i="127" s="1"/>
  <c r="N174" i="127"/>
  <c r="K174" i="127"/>
  <c r="M174" i="127" s="1"/>
  <c r="J174" i="127"/>
  <c r="Q173" i="127"/>
  <c r="M173" i="127"/>
  <c r="Q172" i="127"/>
  <c r="M172" i="127"/>
  <c r="Q170" i="127"/>
  <c r="N170" i="127"/>
  <c r="M170" i="127"/>
  <c r="P169" i="127"/>
  <c r="Q169" i="127" s="1"/>
  <c r="N169" i="127"/>
  <c r="K169" i="127"/>
  <c r="M169" i="127" s="1"/>
  <c r="J169" i="127"/>
  <c r="Q168" i="127"/>
  <c r="M168" i="127"/>
  <c r="O167" i="127"/>
  <c r="Q167" i="127" s="1"/>
  <c r="N167" i="127"/>
  <c r="M167" i="127"/>
  <c r="Q166" i="127"/>
  <c r="M166" i="127"/>
  <c r="O165" i="127"/>
  <c r="Q165" i="127" s="1"/>
  <c r="N165" i="127"/>
  <c r="K165" i="127"/>
  <c r="M165" i="127" s="1"/>
  <c r="J165" i="127"/>
  <c r="Q164" i="127"/>
  <c r="M164" i="127"/>
  <c r="Q163" i="127"/>
  <c r="M163" i="127"/>
  <c r="P162" i="127"/>
  <c r="O162" i="127"/>
  <c r="N162" i="127"/>
  <c r="L162" i="127"/>
  <c r="L193" i="127" s="1"/>
  <c r="K162" i="127"/>
  <c r="J162" i="127"/>
  <c r="Q161" i="127"/>
  <c r="M161" i="127"/>
  <c r="P160" i="127"/>
  <c r="O160" i="127"/>
  <c r="N160" i="127"/>
  <c r="K160" i="127"/>
  <c r="M160" i="127" s="1"/>
  <c r="J160" i="127"/>
  <c r="Q159" i="127"/>
  <c r="M159" i="127"/>
  <c r="Q158" i="127"/>
  <c r="M158" i="127"/>
  <c r="Q157" i="127"/>
  <c r="N157" i="127"/>
  <c r="M157" i="127"/>
  <c r="Q156" i="127"/>
  <c r="M156" i="127"/>
  <c r="Q155" i="127"/>
  <c r="M155" i="127"/>
  <c r="O154" i="127"/>
  <c r="Q154" i="127" s="1"/>
  <c r="M154" i="127"/>
  <c r="O153" i="127"/>
  <c r="Q153" i="127" s="1"/>
  <c r="N153" i="127"/>
  <c r="K153" i="127"/>
  <c r="M153" i="127" s="1"/>
  <c r="J153" i="127"/>
  <c r="Q151" i="127"/>
  <c r="M151" i="127"/>
  <c r="Q150" i="127"/>
  <c r="M150" i="127"/>
  <c r="J150" i="127"/>
  <c r="P147" i="127"/>
  <c r="O147" i="127"/>
  <c r="N147" i="127"/>
  <c r="K147" i="127"/>
  <c r="J147" i="127"/>
  <c r="Q146" i="127"/>
  <c r="M146" i="127"/>
  <c r="Q145" i="127"/>
  <c r="M145" i="127"/>
  <c r="P144" i="127"/>
  <c r="O144" i="127"/>
  <c r="N144" i="127"/>
  <c r="M144" i="127"/>
  <c r="J144" i="127"/>
  <c r="O143" i="127"/>
  <c r="Q143" i="127" s="1"/>
  <c r="M143" i="127"/>
  <c r="Q142" i="127"/>
  <c r="M142" i="127"/>
  <c r="Q140" i="127"/>
  <c r="M140" i="127"/>
  <c r="O139" i="127"/>
  <c r="Q139" i="127" s="1"/>
  <c r="N139" i="127"/>
  <c r="K139" i="127"/>
  <c r="M139" i="127" s="1"/>
  <c r="J139" i="127"/>
  <c r="Q138" i="127"/>
  <c r="M138" i="127"/>
  <c r="P137" i="127"/>
  <c r="O137" i="127"/>
  <c r="N137" i="127"/>
  <c r="K137" i="127"/>
  <c r="M137" i="127" s="1"/>
  <c r="J137" i="127"/>
  <c r="P136" i="127"/>
  <c r="O136" i="127"/>
  <c r="N136" i="127"/>
  <c r="K136" i="127"/>
  <c r="M136" i="127" s="1"/>
  <c r="J136" i="127"/>
  <c r="P135" i="127"/>
  <c r="Q135" i="127" s="1"/>
  <c r="M135" i="127"/>
  <c r="P134" i="127"/>
  <c r="O134" i="127"/>
  <c r="N134" i="127"/>
  <c r="M134" i="127"/>
  <c r="O133" i="127"/>
  <c r="Q133" i="127" s="1"/>
  <c r="M133" i="127"/>
  <c r="O132" i="127"/>
  <c r="Q132" i="127" s="1"/>
  <c r="N132" i="127"/>
  <c r="M132" i="127"/>
  <c r="Q131" i="127"/>
  <c r="M131" i="127"/>
  <c r="Q130" i="127"/>
  <c r="N130" i="127"/>
  <c r="M130" i="127"/>
  <c r="J130" i="127"/>
  <c r="Q129" i="127"/>
  <c r="M129" i="127"/>
  <c r="O128" i="127"/>
  <c r="Q128" i="127" s="1"/>
  <c r="N128" i="127"/>
  <c r="K128" i="127"/>
  <c r="M128" i="127" s="1"/>
  <c r="J128" i="127"/>
  <c r="Q126" i="127"/>
  <c r="M126" i="127"/>
  <c r="Q125" i="127"/>
  <c r="N125" i="127"/>
  <c r="K125" i="127"/>
  <c r="M125" i="127" s="1"/>
  <c r="J125" i="127"/>
  <c r="Q124" i="127"/>
  <c r="M124" i="127"/>
  <c r="Q123" i="127"/>
  <c r="N123" i="127"/>
  <c r="K123" i="127"/>
  <c r="M123" i="127" s="1"/>
  <c r="J123" i="127"/>
  <c r="Q122" i="127"/>
  <c r="M122" i="127"/>
  <c r="O121" i="127"/>
  <c r="Q121" i="127" s="1"/>
  <c r="N121" i="127"/>
  <c r="M121" i="127"/>
  <c r="J121" i="127"/>
  <c r="Q120" i="127"/>
  <c r="M120" i="127"/>
  <c r="O119" i="127"/>
  <c r="Q119" i="127" s="1"/>
  <c r="N119" i="127"/>
  <c r="K119" i="127"/>
  <c r="M119" i="127" s="1"/>
  <c r="J119" i="127"/>
  <c r="Q118" i="127"/>
  <c r="M118" i="127"/>
  <c r="O117" i="127"/>
  <c r="Q117" i="127" s="1"/>
  <c r="N117" i="127"/>
  <c r="K117" i="127"/>
  <c r="M117" i="127" s="1"/>
  <c r="J117" i="127"/>
  <c r="Q116" i="127"/>
  <c r="M116" i="127"/>
  <c r="Q115" i="127"/>
  <c r="N115" i="127"/>
  <c r="M115" i="127"/>
  <c r="J115" i="127"/>
  <c r="Q114" i="127"/>
  <c r="M114" i="127"/>
  <c r="O113" i="127"/>
  <c r="Q113" i="127" s="1"/>
  <c r="N113" i="127"/>
  <c r="M113" i="127"/>
  <c r="J113" i="127"/>
  <c r="Q112" i="127"/>
  <c r="N112" i="127"/>
  <c r="M112" i="127"/>
  <c r="J112" i="127"/>
  <c r="Q111" i="127"/>
  <c r="N111" i="127"/>
  <c r="M111" i="127"/>
  <c r="Q110" i="127"/>
  <c r="N110" i="127"/>
  <c r="M110" i="127"/>
  <c r="J110" i="127"/>
  <c r="Q109" i="127"/>
  <c r="M109" i="127"/>
  <c r="P108" i="127"/>
  <c r="Q108" i="127" s="1"/>
  <c r="N108" i="127"/>
  <c r="K108" i="127"/>
  <c r="M108" i="127" s="1"/>
  <c r="J108" i="127"/>
  <c r="P107" i="127"/>
  <c r="O107" i="127"/>
  <c r="N107" i="127"/>
  <c r="M107" i="127"/>
  <c r="Q106" i="127"/>
  <c r="M106" i="127"/>
  <c r="P105" i="127"/>
  <c r="O105" i="127"/>
  <c r="N105" i="127"/>
  <c r="M105" i="127"/>
  <c r="J105" i="127"/>
  <c r="Q104" i="127"/>
  <c r="M104" i="127"/>
  <c r="P103" i="127"/>
  <c r="O103" i="127"/>
  <c r="N103" i="127"/>
  <c r="M103" i="127"/>
  <c r="J103" i="127"/>
  <c r="Q102" i="127"/>
  <c r="M102" i="127"/>
  <c r="Q101" i="127"/>
  <c r="N101" i="127"/>
  <c r="M101" i="127"/>
  <c r="Q100" i="127"/>
  <c r="M100" i="127"/>
  <c r="Q99" i="127"/>
  <c r="N99" i="127"/>
  <c r="M99" i="127"/>
  <c r="J99" i="127"/>
  <c r="Q98" i="127"/>
  <c r="M98" i="127"/>
  <c r="O97" i="127"/>
  <c r="Q97" i="127" s="1"/>
  <c r="N97" i="127"/>
  <c r="K97" i="127"/>
  <c r="M97" i="127" s="1"/>
  <c r="J97" i="127"/>
  <c r="Q96" i="127"/>
  <c r="M96" i="127"/>
  <c r="Q95" i="127"/>
  <c r="M95" i="127"/>
  <c r="Q94" i="127"/>
  <c r="M94" i="127"/>
  <c r="Q93" i="127"/>
  <c r="M93" i="127"/>
  <c r="Q92" i="127"/>
  <c r="N92" i="127"/>
  <c r="M92" i="127"/>
  <c r="J92" i="127"/>
  <c r="Q91" i="127"/>
  <c r="M91" i="127"/>
  <c r="Q90" i="127"/>
  <c r="M90" i="127"/>
  <c r="Q88" i="127"/>
  <c r="M88" i="127"/>
  <c r="O87" i="127"/>
  <c r="Q87" i="127" s="1"/>
  <c r="N87" i="127"/>
  <c r="K87" i="127"/>
  <c r="M87" i="127" s="1"/>
  <c r="J87" i="127"/>
  <c r="Q86" i="127"/>
  <c r="M86" i="127"/>
  <c r="P85" i="127"/>
  <c r="O85" i="127"/>
  <c r="N85" i="127"/>
  <c r="K85" i="127"/>
  <c r="M85" i="127" s="1"/>
  <c r="J85" i="127"/>
  <c r="Q84" i="127"/>
  <c r="M84" i="127"/>
  <c r="O83" i="127"/>
  <c r="Q83" i="127" s="1"/>
  <c r="N83" i="127"/>
  <c r="M83" i="127"/>
  <c r="Q82" i="127"/>
  <c r="M82" i="127"/>
  <c r="O81" i="127"/>
  <c r="Q81" i="127" s="1"/>
  <c r="N81" i="127"/>
  <c r="K81" i="127"/>
  <c r="M81" i="127" s="1"/>
  <c r="J81" i="127"/>
  <c r="Q80" i="127"/>
  <c r="N80" i="127"/>
  <c r="M80" i="127"/>
  <c r="J80" i="127"/>
  <c r="Q79" i="127"/>
  <c r="M79" i="127"/>
  <c r="Q78" i="127"/>
  <c r="K78" i="127"/>
  <c r="M78" i="127" s="1"/>
  <c r="J78" i="127"/>
  <c r="Q77" i="127"/>
  <c r="N77" i="127"/>
  <c r="M77" i="127"/>
  <c r="O76" i="127"/>
  <c r="Q76" i="127" s="1"/>
  <c r="N76" i="127"/>
  <c r="M76" i="127"/>
  <c r="P75" i="127"/>
  <c r="O75" i="127"/>
  <c r="N75" i="127"/>
  <c r="K75" i="127"/>
  <c r="M75" i="127" s="1"/>
  <c r="J75" i="127"/>
  <c r="Q74" i="127"/>
  <c r="M74" i="127"/>
  <c r="O73" i="127"/>
  <c r="Q73" i="127" s="1"/>
  <c r="N73" i="127"/>
  <c r="M73" i="127"/>
  <c r="P72" i="127"/>
  <c r="O72" i="127"/>
  <c r="N72" i="127"/>
  <c r="M72" i="127"/>
  <c r="Q71" i="127"/>
  <c r="M71" i="127"/>
  <c r="P70" i="127"/>
  <c r="O70" i="127"/>
  <c r="N70" i="127"/>
  <c r="M70" i="127"/>
  <c r="Q69" i="127"/>
  <c r="M69" i="127"/>
  <c r="P68" i="127"/>
  <c r="Q68" i="127" s="1"/>
  <c r="N68" i="127"/>
  <c r="M68" i="127"/>
  <c r="Q67" i="127"/>
  <c r="M67" i="127"/>
  <c r="Q66" i="127"/>
  <c r="N66" i="127"/>
  <c r="M66" i="127"/>
  <c r="J66" i="127"/>
  <c r="Q65" i="127"/>
  <c r="N65" i="127"/>
  <c r="M65" i="127"/>
  <c r="J65" i="127"/>
  <c r="Q64" i="127"/>
  <c r="M64" i="127"/>
  <c r="Q63" i="127"/>
  <c r="N63" i="127"/>
  <c r="M63" i="127"/>
  <c r="J63" i="127"/>
  <c r="Q62" i="127"/>
  <c r="M62" i="127"/>
  <c r="P61" i="127"/>
  <c r="O61" i="127"/>
  <c r="N61" i="127"/>
  <c r="K61" i="127"/>
  <c r="M61" i="127" s="1"/>
  <c r="J61" i="127"/>
  <c r="P60" i="127"/>
  <c r="Q60" i="127" s="1"/>
  <c r="M60" i="127"/>
  <c r="O59" i="127"/>
  <c r="Q59" i="127" s="1"/>
  <c r="N59" i="127"/>
  <c r="K59" i="127"/>
  <c r="M59" i="127" s="1"/>
  <c r="J59" i="127"/>
  <c r="Q58" i="127"/>
  <c r="M58" i="127"/>
  <c r="O57" i="127"/>
  <c r="Q57" i="127" s="1"/>
  <c r="N57" i="127"/>
  <c r="M57" i="127"/>
  <c r="Q55" i="127"/>
  <c r="M55" i="127"/>
  <c r="O54" i="127"/>
  <c r="Q54" i="127" s="1"/>
  <c r="N54" i="127"/>
  <c r="K54" i="127"/>
  <c r="M54" i="127" s="1"/>
  <c r="J54" i="127"/>
  <c r="Q53" i="127"/>
  <c r="M53" i="127"/>
  <c r="P52" i="127"/>
  <c r="O52" i="127"/>
  <c r="N52" i="127"/>
  <c r="K52" i="127"/>
  <c r="M52" i="127" s="1"/>
  <c r="J52" i="127"/>
  <c r="Q51" i="127"/>
  <c r="M51" i="127"/>
  <c r="Q50" i="127"/>
  <c r="M50" i="127"/>
  <c r="P49" i="127"/>
  <c r="O49" i="127"/>
  <c r="N49" i="127"/>
  <c r="K49" i="127"/>
  <c r="M49" i="127" s="1"/>
  <c r="J49" i="127"/>
  <c r="Q48" i="127"/>
  <c r="M48" i="127"/>
  <c r="P47" i="127"/>
  <c r="O47" i="127"/>
  <c r="N47" i="127"/>
  <c r="K47" i="127"/>
  <c r="M47" i="127" s="1"/>
  <c r="J47" i="127"/>
  <c r="Q46" i="127"/>
  <c r="M46" i="127"/>
  <c r="Q45" i="127"/>
  <c r="N45" i="127"/>
  <c r="M45" i="127"/>
  <c r="J45" i="127"/>
  <c r="P44" i="127"/>
  <c r="Q44" i="127" s="1"/>
  <c r="M44" i="127"/>
  <c r="P43" i="127"/>
  <c r="O43" i="127"/>
  <c r="N43" i="127"/>
  <c r="K43" i="127"/>
  <c r="M43" i="127" s="1"/>
  <c r="J43" i="127"/>
  <c r="Q42" i="127"/>
  <c r="M42" i="127"/>
  <c r="Q41" i="127"/>
  <c r="M41" i="127"/>
  <c r="Q40" i="127"/>
  <c r="M40" i="127"/>
  <c r="P39" i="127"/>
  <c r="O39" i="127"/>
  <c r="N39" i="127"/>
  <c r="K39" i="127"/>
  <c r="M39" i="127" s="1"/>
  <c r="J39" i="127"/>
  <c r="Q38" i="127"/>
  <c r="N38" i="127"/>
  <c r="M38" i="127"/>
  <c r="J38" i="127"/>
  <c r="Q37" i="127"/>
  <c r="M37" i="127"/>
  <c r="P36" i="127"/>
  <c r="O36" i="127"/>
  <c r="N36" i="127"/>
  <c r="M36" i="127"/>
  <c r="Q35" i="127"/>
  <c r="N35" i="127"/>
  <c r="M35" i="127"/>
  <c r="P34" i="127"/>
  <c r="O34" i="127"/>
  <c r="N34" i="127"/>
  <c r="K34" i="127"/>
  <c r="M34" i="127" s="1"/>
  <c r="J34" i="127"/>
  <c r="Q33" i="127"/>
  <c r="M33" i="127"/>
  <c r="P32" i="127"/>
  <c r="O32" i="127"/>
  <c r="N32" i="127"/>
  <c r="M32" i="127"/>
  <c r="Q31" i="127"/>
  <c r="M31" i="127"/>
  <c r="Q30" i="127"/>
  <c r="N30" i="127"/>
  <c r="M30" i="127"/>
  <c r="J30" i="127"/>
  <c r="Q27" i="127"/>
  <c r="N27" i="127"/>
  <c r="M27" i="127"/>
  <c r="J27" i="127"/>
  <c r="Q26" i="127"/>
  <c r="M26" i="127"/>
  <c r="O25" i="127"/>
  <c r="Q25" i="127" s="1"/>
  <c r="N25" i="127"/>
  <c r="M25" i="127"/>
  <c r="J25" i="127"/>
  <c r="Q24" i="127"/>
  <c r="N24" i="127"/>
  <c r="K24" i="127"/>
  <c r="M24" i="127" s="1"/>
  <c r="J24" i="127"/>
  <c r="P23" i="127"/>
  <c r="Q23" i="127" s="1"/>
  <c r="M23" i="127"/>
  <c r="Q22" i="127"/>
  <c r="N22" i="127"/>
  <c r="M22" i="127"/>
  <c r="J22" i="127"/>
  <c r="Q21" i="127"/>
  <c r="M21" i="127"/>
  <c r="O20" i="127"/>
  <c r="Q20" i="127" s="1"/>
  <c r="N20" i="127"/>
  <c r="M20" i="127"/>
  <c r="O19" i="127"/>
  <c r="Q19" i="127" s="1"/>
  <c r="M19" i="127"/>
  <c r="J19" i="127"/>
  <c r="Q18" i="127"/>
  <c r="M18" i="127"/>
  <c r="Q17" i="127"/>
  <c r="N17" i="127"/>
  <c r="M17" i="127"/>
  <c r="J17" i="127"/>
  <c r="Q16" i="127"/>
  <c r="M16" i="127"/>
  <c r="P15" i="127"/>
  <c r="O15" i="127"/>
  <c r="N15" i="127"/>
  <c r="K15" i="127"/>
  <c r="M15" i="127" s="1"/>
  <c r="J15" i="127"/>
  <c r="Q14" i="127"/>
  <c r="M14" i="127"/>
  <c r="Q13" i="127"/>
  <c r="N13" i="127"/>
  <c r="K13" i="127"/>
  <c r="M13" i="127" s="1"/>
  <c r="J13" i="127"/>
  <c r="Q11" i="127"/>
  <c r="M11" i="127"/>
  <c r="O10" i="127"/>
  <c r="N10" i="127"/>
  <c r="K10" i="127"/>
  <c r="M10" i="127" s="1"/>
  <c r="J10" i="127"/>
  <c r="B9" i="127"/>
  <c r="C9" i="127" s="1"/>
  <c r="D9" i="127" s="1"/>
  <c r="E9" i="127" s="1"/>
  <c r="F9" i="127" s="1"/>
  <c r="G9" i="127" s="1"/>
  <c r="H9" i="127" s="1"/>
  <c r="I9" i="127" s="1"/>
  <c r="J9" i="127" s="1"/>
  <c r="K9" i="127" s="1"/>
  <c r="L9" i="127" s="1"/>
  <c r="M9" i="127" s="1"/>
  <c r="N9" i="127" s="1"/>
  <c r="O9" i="127" s="1"/>
  <c r="P9" i="127" s="1"/>
  <c r="Q9" i="127" s="1"/>
  <c r="P193" i="127" l="1"/>
  <c r="Q160" i="127"/>
  <c r="Q162" i="127"/>
  <c r="Q181" i="127"/>
  <c r="Q187" i="127"/>
  <c r="Q32" i="127"/>
  <c r="Q36" i="127"/>
  <c r="Q49" i="127"/>
  <c r="Q52" i="127"/>
  <c r="Q61" i="127"/>
  <c r="Q75" i="127"/>
  <c r="J193" i="127"/>
  <c r="O193" i="127"/>
  <c r="Q105" i="127"/>
  <c r="Q107" i="127"/>
  <c r="K193" i="127"/>
  <c r="M193" i="127" s="1"/>
  <c r="N193" i="127"/>
  <c r="Q15" i="127"/>
  <c r="Q34" i="127"/>
  <c r="Q39" i="127"/>
  <c r="Q43" i="127"/>
  <c r="Q47" i="127"/>
  <c r="Q70" i="127"/>
  <c r="Q72" i="127"/>
  <c r="Q85" i="127"/>
  <c r="Q103" i="127"/>
  <c r="Q134" i="127"/>
  <c r="Q137" i="127"/>
  <c r="Q144" i="127"/>
  <c r="M162" i="127"/>
  <c r="Q193" i="127"/>
  <c r="Q10" i="127"/>
  <c r="O136" i="126"/>
  <c r="K136" i="126"/>
  <c r="K138" i="126"/>
  <c r="N19" i="126" l="1"/>
  <c r="N176" i="126" l="1"/>
  <c r="J176" i="126"/>
  <c r="N167" i="126"/>
  <c r="J167" i="126"/>
  <c r="N149" i="126"/>
  <c r="J143" i="126"/>
  <c r="N136" i="126"/>
  <c r="J136" i="126"/>
  <c r="N127" i="126"/>
  <c r="J127" i="126"/>
  <c r="N129" i="126"/>
  <c r="J129" i="126"/>
  <c r="N124" i="126"/>
  <c r="N120" i="126"/>
  <c r="N114" i="126"/>
  <c r="J114" i="126"/>
  <c r="N109" i="126"/>
  <c r="J109" i="126"/>
  <c r="J102" i="126"/>
  <c r="N91" i="126"/>
  <c r="J91" i="126"/>
  <c r="J104" i="126"/>
  <c r="N98" i="126"/>
  <c r="N79" i="126"/>
  <c r="J79" i="126"/>
  <c r="N60" i="126" l="1"/>
  <c r="J60" i="126"/>
  <c r="N51" i="126"/>
  <c r="J51" i="126"/>
  <c r="N44" i="126"/>
  <c r="J44" i="126"/>
  <c r="N111" i="126"/>
  <c r="J111" i="126"/>
  <c r="N37" i="126"/>
  <c r="J37" i="126"/>
  <c r="N31" i="126"/>
  <c r="J31" i="126"/>
  <c r="N29" i="126"/>
  <c r="J29" i="126"/>
  <c r="N27" i="126"/>
  <c r="J27" i="126"/>
  <c r="J25" i="126"/>
  <c r="N17" i="126"/>
  <c r="J17" i="126"/>
  <c r="N24" i="126"/>
  <c r="N10" i="126"/>
  <c r="J10" i="126"/>
  <c r="I191" i="126"/>
  <c r="H191" i="126"/>
  <c r="O190" i="126"/>
  <c r="Q190" i="126" s="1"/>
  <c r="N190" i="126"/>
  <c r="M190" i="126"/>
  <c r="Q189" i="126"/>
  <c r="M189" i="126"/>
  <c r="Q188" i="126"/>
  <c r="M188" i="126"/>
  <c r="Q187" i="126"/>
  <c r="M187" i="126"/>
  <c r="O186" i="126"/>
  <c r="Q186" i="126" s="1"/>
  <c r="M186" i="126"/>
  <c r="P185" i="126"/>
  <c r="O185" i="126"/>
  <c r="N185" i="126"/>
  <c r="K185" i="126"/>
  <c r="M185" i="126" s="1"/>
  <c r="J185" i="126"/>
  <c r="O184" i="126"/>
  <c r="Q184" i="126" s="1"/>
  <c r="M184" i="126"/>
  <c r="O183" i="126"/>
  <c r="Q183" i="126" s="1"/>
  <c r="N183" i="126"/>
  <c r="M183" i="126"/>
  <c r="O182" i="126"/>
  <c r="Q182" i="126" s="1"/>
  <c r="M182" i="126"/>
  <c r="O181" i="126"/>
  <c r="Q181" i="126" s="1"/>
  <c r="N181" i="126"/>
  <c r="K181" i="126"/>
  <c r="M181" i="126" s="1"/>
  <c r="J181" i="126"/>
  <c r="Q180" i="126"/>
  <c r="M180" i="126"/>
  <c r="P179" i="126"/>
  <c r="O179" i="126"/>
  <c r="N179" i="126"/>
  <c r="K179" i="126"/>
  <c r="M179" i="126" s="1"/>
  <c r="J179" i="126"/>
  <c r="O178" i="126"/>
  <c r="Q178" i="126" s="1"/>
  <c r="N178" i="126"/>
  <c r="K178" i="126"/>
  <c r="M178" i="126" s="1"/>
  <c r="J178" i="126"/>
  <c r="Q177" i="126"/>
  <c r="M177" i="126"/>
  <c r="O176" i="126"/>
  <c r="Q176" i="126" s="1"/>
  <c r="M176" i="126"/>
  <c r="O175" i="126"/>
  <c r="Q175" i="126" s="1"/>
  <c r="M175" i="126"/>
  <c r="O172" i="126"/>
  <c r="Q172" i="126" s="1"/>
  <c r="N172" i="126"/>
  <c r="K172" i="126"/>
  <c r="M172" i="126" s="1"/>
  <c r="J172" i="126"/>
  <c r="Q171" i="126"/>
  <c r="M171" i="126"/>
  <c r="Q170" i="126"/>
  <c r="M170" i="126"/>
  <c r="Q168" i="126"/>
  <c r="N168" i="126"/>
  <c r="M168" i="126"/>
  <c r="P167" i="126"/>
  <c r="O167" i="126"/>
  <c r="K167" i="126"/>
  <c r="M167" i="126" s="1"/>
  <c r="Q166" i="126"/>
  <c r="M166" i="126"/>
  <c r="O165" i="126"/>
  <c r="Q165" i="126" s="1"/>
  <c r="N165" i="126"/>
  <c r="M165" i="126"/>
  <c r="Q164" i="126"/>
  <c r="M164" i="126"/>
  <c r="O163" i="126"/>
  <c r="Q163" i="126" s="1"/>
  <c r="N163" i="126"/>
  <c r="K163" i="126"/>
  <c r="M163" i="126" s="1"/>
  <c r="J163" i="126"/>
  <c r="Q162" i="126"/>
  <c r="M162" i="126"/>
  <c r="Q161" i="126"/>
  <c r="M161" i="126"/>
  <c r="P160" i="126"/>
  <c r="O160" i="126"/>
  <c r="N160" i="126"/>
  <c r="L160" i="126"/>
  <c r="L191" i="126" s="1"/>
  <c r="K160" i="126"/>
  <c r="J160" i="126"/>
  <c r="Q159" i="126"/>
  <c r="M159" i="126"/>
  <c r="P158" i="126"/>
  <c r="O158" i="126"/>
  <c r="N158" i="126"/>
  <c r="K158" i="126"/>
  <c r="M158" i="126" s="1"/>
  <c r="J158" i="126"/>
  <c r="Q157" i="126"/>
  <c r="M157" i="126"/>
  <c r="Q156" i="126"/>
  <c r="M156" i="126"/>
  <c r="Q155" i="126"/>
  <c r="N155" i="126"/>
  <c r="M155" i="126"/>
  <c r="Q154" i="126"/>
  <c r="M154" i="126"/>
  <c r="Q153" i="126"/>
  <c r="M153" i="126"/>
  <c r="O152" i="126"/>
  <c r="Q152" i="126" s="1"/>
  <c r="M152" i="126"/>
  <c r="O151" i="126"/>
  <c r="Q151" i="126" s="1"/>
  <c r="N151" i="126"/>
  <c r="K151" i="126"/>
  <c r="M151" i="126" s="1"/>
  <c r="J151" i="126"/>
  <c r="Q150" i="126"/>
  <c r="M150" i="126"/>
  <c r="P149" i="126"/>
  <c r="O149" i="126"/>
  <c r="K149" i="126"/>
  <c r="M149" i="126" s="1"/>
  <c r="J149" i="126"/>
  <c r="P146" i="126"/>
  <c r="O146" i="126"/>
  <c r="N146" i="126"/>
  <c r="K146" i="126"/>
  <c r="J146" i="126"/>
  <c r="Q145" i="126"/>
  <c r="M145" i="126"/>
  <c r="Q144" i="126"/>
  <c r="M144" i="126"/>
  <c r="P143" i="126"/>
  <c r="O143" i="126"/>
  <c r="N143" i="126"/>
  <c r="K143" i="126"/>
  <c r="M143" i="126" s="1"/>
  <c r="O142" i="126"/>
  <c r="Q142" i="126" s="1"/>
  <c r="M142" i="126"/>
  <c r="Q141" i="126"/>
  <c r="M141" i="126"/>
  <c r="Q139" i="126"/>
  <c r="M139" i="126"/>
  <c r="O138" i="126"/>
  <c r="Q138" i="126" s="1"/>
  <c r="N138" i="126"/>
  <c r="M138" i="126"/>
  <c r="J138" i="126"/>
  <c r="Q137" i="126"/>
  <c r="M137" i="126"/>
  <c r="P136" i="126"/>
  <c r="Q136" i="126" s="1"/>
  <c r="M136" i="126"/>
  <c r="P135" i="126"/>
  <c r="O135" i="126"/>
  <c r="N135" i="126"/>
  <c r="K135" i="126"/>
  <c r="M135" i="126" s="1"/>
  <c r="J135" i="126"/>
  <c r="P134" i="126"/>
  <c r="Q134" i="126" s="1"/>
  <c r="M134" i="126"/>
  <c r="P133" i="126"/>
  <c r="O133" i="126"/>
  <c r="N133" i="126"/>
  <c r="M133" i="126"/>
  <c r="O132" i="126"/>
  <c r="Q132" i="126" s="1"/>
  <c r="M132" i="126"/>
  <c r="O131" i="126"/>
  <c r="Q131" i="126" s="1"/>
  <c r="N131" i="126"/>
  <c r="M131" i="126"/>
  <c r="Q130" i="126"/>
  <c r="M130" i="126"/>
  <c r="P129" i="126"/>
  <c r="O129" i="126"/>
  <c r="K129" i="126"/>
  <c r="M129" i="126" s="1"/>
  <c r="Q128" i="126"/>
  <c r="M128" i="126"/>
  <c r="O127" i="126"/>
  <c r="Q127" i="126" s="1"/>
  <c r="K127" i="126"/>
  <c r="M127" i="126" s="1"/>
  <c r="Q125" i="126"/>
  <c r="M125" i="126"/>
  <c r="P124" i="126"/>
  <c r="O124" i="126"/>
  <c r="K124" i="126"/>
  <c r="M124" i="126" s="1"/>
  <c r="J124" i="126"/>
  <c r="Q123" i="126"/>
  <c r="M123" i="126"/>
  <c r="O122" i="126"/>
  <c r="Q122" i="126" s="1"/>
  <c r="N122" i="126"/>
  <c r="K122" i="126"/>
  <c r="M122" i="126" s="1"/>
  <c r="J122" i="126"/>
  <c r="Q121" i="126"/>
  <c r="M121" i="126"/>
  <c r="P120" i="126"/>
  <c r="O120" i="126"/>
  <c r="K120" i="126"/>
  <c r="M120" i="126" s="1"/>
  <c r="J120" i="126"/>
  <c r="Q119" i="126"/>
  <c r="M119" i="126"/>
  <c r="O118" i="126"/>
  <c r="Q118" i="126" s="1"/>
  <c r="N118" i="126"/>
  <c r="K118" i="126"/>
  <c r="M118" i="126" s="1"/>
  <c r="J118" i="126"/>
  <c r="Q117" i="126"/>
  <c r="M117" i="126"/>
  <c r="O116" i="126"/>
  <c r="Q116" i="126" s="1"/>
  <c r="N116" i="126"/>
  <c r="K116" i="126"/>
  <c r="M116" i="126" s="1"/>
  <c r="J116" i="126"/>
  <c r="Q115" i="126"/>
  <c r="M115" i="126"/>
  <c r="P114" i="126"/>
  <c r="O114" i="126"/>
  <c r="K114" i="126"/>
  <c r="M114" i="126" s="1"/>
  <c r="Q113" i="126"/>
  <c r="M113" i="126"/>
  <c r="P112" i="126"/>
  <c r="O112" i="126"/>
  <c r="N112" i="126"/>
  <c r="K112" i="126"/>
  <c r="M112" i="126" s="1"/>
  <c r="J112" i="126"/>
  <c r="P111" i="126"/>
  <c r="O111" i="126"/>
  <c r="K111" i="126"/>
  <c r="M111" i="126" s="1"/>
  <c r="Q110" i="126"/>
  <c r="N110" i="126"/>
  <c r="M110" i="126"/>
  <c r="P109" i="126"/>
  <c r="O109" i="126"/>
  <c r="K109" i="126"/>
  <c r="M109" i="126" s="1"/>
  <c r="Q108" i="126"/>
  <c r="M108" i="126"/>
  <c r="P107" i="126"/>
  <c r="Q107" i="126" s="1"/>
  <c r="N107" i="126"/>
  <c r="K107" i="126"/>
  <c r="M107" i="126" s="1"/>
  <c r="J107" i="126"/>
  <c r="P106" i="126"/>
  <c r="O106" i="126"/>
  <c r="N106" i="126"/>
  <c r="M106" i="126"/>
  <c r="Q105" i="126"/>
  <c r="M105" i="126"/>
  <c r="P104" i="126"/>
  <c r="O104" i="126"/>
  <c r="N104" i="126"/>
  <c r="K104" i="126"/>
  <c r="M104" i="126" s="1"/>
  <c r="Q103" i="126"/>
  <c r="M103" i="126"/>
  <c r="P102" i="126"/>
  <c r="O102" i="126"/>
  <c r="N102" i="126"/>
  <c r="K102" i="126"/>
  <c r="M102" i="126" s="1"/>
  <c r="Q101" i="126"/>
  <c r="M101" i="126"/>
  <c r="P100" i="126"/>
  <c r="O100" i="126"/>
  <c r="N100" i="126"/>
  <c r="K100" i="126"/>
  <c r="M100" i="126" s="1"/>
  <c r="J100" i="126"/>
  <c r="Q99" i="126"/>
  <c r="M99" i="126"/>
  <c r="O98" i="126"/>
  <c r="Q98" i="126" s="1"/>
  <c r="K98" i="126"/>
  <c r="M98" i="126" s="1"/>
  <c r="J98" i="126"/>
  <c r="Q97" i="126"/>
  <c r="M97" i="126"/>
  <c r="O96" i="126"/>
  <c r="Q96" i="126" s="1"/>
  <c r="N96" i="126"/>
  <c r="K96" i="126"/>
  <c r="M96" i="126" s="1"/>
  <c r="J96" i="126"/>
  <c r="Q95" i="126"/>
  <c r="M95" i="126"/>
  <c r="Q94" i="126"/>
  <c r="M94" i="126"/>
  <c r="O93" i="126"/>
  <c r="Q93" i="126" s="1"/>
  <c r="N93" i="126"/>
  <c r="K93" i="126"/>
  <c r="M93" i="126" s="1"/>
  <c r="J93" i="126"/>
  <c r="Q92" i="126"/>
  <c r="M92" i="126"/>
  <c r="P91" i="126"/>
  <c r="O91" i="126"/>
  <c r="K91" i="126"/>
  <c r="M91" i="126" s="1"/>
  <c r="Q90" i="126"/>
  <c r="M90" i="126"/>
  <c r="Q89" i="126"/>
  <c r="M89" i="126"/>
  <c r="Q87" i="126"/>
  <c r="M87" i="126"/>
  <c r="O86" i="126"/>
  <c r="Q86" i="126" s="1"/>
  <c r="N86" i="126"/>
  <c r="K86" i="126"/>
  <c r="M86" i="126" s="1"/>
  <c r="J86" i="126"/>
  <c r="Q85" i="126"/>
  <c r="M85" i="126"/>
  <c r="P84" i="126"/>
  <c r="O84" i="126"/>
  <c r="N84" i="126"/>
  <c r="K84" i="126"/>
  <c r="M84" i="126" s="1"/>
  <c r="J84" i="126"/>
  <c r="Q83" i="126"/>
  <c r="M83" i="126"/>
  <c r="O82" i="126"/>
  <c r="Q82" i="126" s="1"/>
  <c r="N82" i="126"/>
  <c r="M82" i="126"/>
  <c r="Q81" i="126"/>
  <c r="M81" i="126"/>
  <c r="O80" i="126"/>
  <c r="Q80" i="126" s="1"/>
  <c r="N80" i="126"/>
  <c r="K80" i="126"/>
  <c r="M80" i="126" s="1"/>
  <c r="J80" i="126"/>
  <c r="O79" i="126"/>
  <c r="Q79" i="126" s="1"/>
  <c r="M79" i="126"/>
  <c r="Q78" i="126"/>
  <c r="M78" i="126"/>
  <c r="Q77" i="126"/>
  <c r="K77" i="126"/>
  <c r="M77" i="126" s="1"/>
  <c r="J77" i="126"/>
  <c r="P76" i="126"/>
  <c r="O76" i="126"/>
  <c r="N76" i="126"/>
  <c r="K76" i="126"/>
  <c r="M76" i="126" s="1"/>
  <c r="O75" i="126"/>
  <c r="Q75" i="126" s="1"/>
  <c r="N75" i="126"/>
  <c r="M75" i="126"/>
  <c r="P74" i="126"/>
  <c r="O74" i="126"/>
  <c r="N74" i="126"/>
  <c r="K74" i="126"/>
  <c r="M74" i="126" s="1"/>
  <c r="J74" i="126"/>
  <c r="Q73" i="126"/>
  <c r="M73" i="126"/>
  <c r="O72" i="126"/>
  <c r="Q72" i="126" s="1"/>
  <c r="N72" i="126"/>
  <c r="M72" i="126"/>
  <c r="P71" i="126"/>
  <c r="O71" i="126"/>
  <c r="N71" i="126"/>
  <c r="M71" i="126"/>
  <c r="Q70" i="126"/>
  <c r="M70" i="126"/>
  <c r="P69" i="126"/>
  <c r="O69" i="126"/>
  <c r="N69" i="126"/>
  <c r="M69" i="126"/>
  <c r="Q68" i="126"/>
  <c r="M68" i="126"/>
  <c r="P67" i="126"/>
  <c r="Q67" i="126" s="1"/>
  <c r="N67" i="126"/>
  <c r="M67" i="126"/>
  <c r="Q66" i="126"/>
  <c r="M66" i="126"/>
  <c r="P65" i="126"/>
  <c r="O65" i="126"/>
  <c r="N65" i="126"/>
  <c r="K65" i="126"/>
  <c r="M65" i="126" s="1"/>
  <c r="J65" i="126"/>
  <c r="O64" i="126"/>
  <c r="Q64" i="126" s="1"/>
  <c r="N64" i="126"/>
  <c r="K64" i="126"/>
  <c r="M64" i="126" s="1"/>
  <c r="J64" i="126"/>
  <c r="Q63" i="126"/>
  <c r="M63" i="126"/>
  <c r="O62" i="126"/>
  <c r="Q62" i="126" s="1"/>
  <c r="N62" i="126"/>
  <c r="K62" i="126"/>
  <c r="M62" i="126" s="1"/>
  <c r="J62" i="126"/>
  <c r="Q61" i="126"/>
  <c r="M61" i="126"/>
  <c r="P60" i="126"/>
  <c r="O60" i="126"/>
  <c r="K60" i="126"/>
  <c r="M60" i="126" s="1"/>
  <c r="P59" i="126"/>
  <c r="Q59" i="126" s="1"/>
  <c r="M59" i="126"/>
  <c r="O58" i="126"/>
  <c r="Q58" i="126" s="1"/>
  <c r="N58" i="126"/>
  <c r="K58" i="126"/>
  <c r="M58" i="126" s="1"/>
  <c r="J58" i="126"/>
  <c r="Q57" i="126"/>
  <c r="M57" i="126"/>
  <c r="O56" i="126"/>
  <c r="Q56" i="126" s="1"/>
  <c r="N56" i="126"/>
  <c r="M56" i="126"/>
  <c r="Q54" i="126"/>
  <c r="M54" i="126"/>
  <c r="O53" i="126"/>
  <c r="Q53" i="126" s="1"/>
  <c r="N53" i="126"/>
  <c r="K53" i="126"/>
  <c r="M53" i="126" s="1"/>
  <c r="J53" i="126"/>
  <c r="Q52" i="126"/>
  <c r="M52" i="126"/>
  <c r="P51" i="126"/>
  <c r="O51" i="126"/>
  <c r="K51" i="126"/>
  <c r="M51" i="126" s="1"/>
  <c r="Q50" i="126"/>
  <c r="M50" i="126"/>
  <c r="Q49" i="126"/>
  <c r="M49" i="126"/>
  <c r="P48" i="126"/>
  <c r="O48" i="126"/>
  <c r="N48" i="126"/>
  <c r="K48" i="126"/>
  <c r="M48" i="126" s="1"/>
  <c r="J48" i="126"/>
  <c r="Q47" i="126"/>
  <c r="M47" i="126"/>
  <c r="P46" i="126"/>
  <c r="O46" i="126"/>
  <c r="N46" i="126"/>
  <c r="K46" i="126"/>
  <c r="M46" i="126" s="1"/>
  <c r="J46" i="126"/>
  <c r="Q45" i="126"/>
  <c r="M45" i="126"/>
  <c r="P44" i="126"/>
  <c r="O44" i="126"/>
  <c r="K44" i="126"/>
  <c r="M44" i="126" s="1"/>
  <c r="P43" i="126"/>
  <c r="Q43" i="126" s="1"/>
  <c r="M43" i="126"/>
  <c r="P42" i="126"/>
  <c r="O42" i="126"/>
  <c r="N42" i="126"/>
  <c r="K42" i="126"/>
  <c r="M42" i="126" s="1"/>
  <c r="J42" i="126"/>
  <c r="Q41" i="126"/>
  <c r="M41" i="126"/>
  <c r="Q40" i="126"/>
  <c r="M40" i="126"/>
  <c r="Q39" i="126"/>
  <c r="M39" i="126"/>
  <c r="P38" i="126"/>
  <c r="O38" i="126"/>
  <c r="N38" i="126"/>
  <c r="K38" i="126"/>
  <c r="M38" i="126" s="1"/>
  <c r="J38" i="126"/>
  <c r="P37" i="126"/>
  <c r="O37" i="126"/>
  <c r="K37" i="126"/>
  <c r="M37" i="126" s="1"/>
  <c r="Q36" i="126"/>
  <c r="M36" i="126"/>
  <c r="P35" i="126"/>
  <c r="O35" i="126"/>
  <c r="N35" i="126"/>
  <c r="K35" i="126"/>
  <c r="M35" i="126" s="1"/>
  <c r="J35" i="126"/>
  <c r="Q34" i="126"/>
  <c r="N34" i="126"/>
  <c r="M34" i="126"/>
  <c r="P33" i="126"/>
  <c r="O33" i="126"/>
  <c r="N33" i="126"/>
  <c r="K33" i="126"/>
  <c r="M33" i="126" s="1"/>
  <c r="J33" i="126"/>
  <c r="Q32" i="126"/>
  <c r="M32" i="126"/>
  <c r="P31" i="126"/>
  <c r="O31" i="126"/>
  <c r="K31" i="126"/>
  <c r="M31" i="126" s="1"/>
  <c r="Q30" i="126"/>
  <c r="M30" i="126"/>
  <c r="P29" i="126"/>
  <c r="O29" i="126"/>
  <c r="K29" i="126"/>
  <c r="M29" i="126" s="1"/>
  <c r="O27" i="126"/>
  <c r="Q27" i="126" s="1"/>
  <c r="K27" i="126"/>
  <c r="M27" i="126" s="1"/>
  <c r="Q26" i="126"/>
  <c r="M26" i="126"/>
  <c r="O25" i="126"/>
  <c r="Q25" i="126" s="1"/>
  <c r="N25" i="126"/>
  <c r="M25" i="126"/>
  <c r="O24" i="126"/>
  <c r="Q24" i="126" s="1"/>
  <c r="K24" i="126"/>
  <c r="M24" i="126" s="1"/>
  <c r="J24" i="126"/>
  <c r="P23" i="126"/>
  <c r="Q23" i="126" s="1"/>
  <c r="M23" i="126"/>
  <c r="Q22" i="126"/>
  <c r="N22" i="126"/>
  <c r="M22" i="126"/>
  <c r="J22" i="126"/>
  <c r="Q21" i="126"/>
  <c r="M21" i="126"/>
  <c r="O20" i="126"/>
  <c r="Q20" i="126" s="1"/>
  <c r="N20" i="126"/>
  <c r="M20" i="126"/>
  <c r="P19" i="126"/>
  <c r="O19" i="126"/>
  <c r="K19" i="126"/>
  <c r="M19" i="126" s="1"/>
  <c r="J19" i="126"/>
  <c r="Q18" i="126"/>
  <c r="M18" i="126"/>
  <c r="O17" i="126"/>
  <c r="Q17" i="126" s="1"/>
  <c r="K17" i="126"/>
  <c r="M17" i="126" s="1"/>
  <c r="Q16" i="126"/>
  <c r="M16" i="126"/>
  <c r="P15" i="126"/>
  <c r="O15" i="126"/>
  <c r="N15" i="126"/>
  <c r="K15" i="126"/>
  <c r="M15" i="126" s="1"/>
  <c r="J15" i="126"/>
  <c r="Q14" i="126"/>
  <c r="M14" i="126"/>
  <c r="Q13" i="126"/>
  <c r="N13" i="126"/>
  <c r="K13" i="126"/>
  <c r="M13" i="126" s="1"/>
  <c r="J13" i="126"/>
  <c r="Q11" i="126"/>
  <c r="M11" i="126"/>
  <c r="O10" i="126"/>
  <c r="K10" i="126"/>
  <c r="B9" i="126"/>
  <c r="C9" i="126" s="1"/>
  <c r="D9" i="126" s="1"/>
  <c r="E9" i="126" s="1"/>
  <c r="F9" i="126" s="1"/>
  <c r="G9" i="126" s="1"/>
  <c r="H9" i="126" s="1"/>
  <c r="I9" i="126" s="1"/>
  <c r="J9" i="126" s="1"/>
  <c r="K9" i="126" s="1"/>
  <c r="L9" i="126" s="1"/>
  <c r="M9" i="126" s="1"/>
  <c r="N9" i="126" s="1"/>
  <c r="O9" i="126" s="1"/>
  <c r="P9" i="126" s="1"/>
  <c r="Q9" i="126" s="1"/>
  <c r="Q65" i="126" l="1"/>
  <c r="Q74" i="126"/>
  <c r="Q91" i="126"/>
  <c r="Q102" i="126"/>
  <c r="Q104" i="126"/>
  <c r="Q106" i="126"/>
  <c r="Q109" i="126"/>
  <c r="Q111" i="126"/>
  <c r="Q112" i="126"/>
  <c r="M160" i="126"/>
  <c r="Q120" i="126"/>
  <c r="K191" i="126"/>
  <c r="M191" i="126" s="1"/>
  <c r="N191" i="126"/>
  <c r="Q35" i="126"/>
  <c r="Q149" i="126"/>
  <c r="J191" i="126"/>
  <c r="Q15" i="126"/>
  <c r="Q19" i="126"/>
  <c r="Q29" i="126"/>
  <c r="Q42" i="126"/>
  <c r="Q44" i="126"/>
  <c r="Q46" i="126"/>
  <c r="Q179" i="126"/>
  <c r="Q185" i="126"/>
  <c r="M10" i="126"/>
  <c r="P191" i="126"/>
  <c r="Q31" i="126"/>
  <c r="Q33" i="126"/>
  <c r="Q37" i="126"/>
  <c r="Q38" i="126"/>
  <c r="Q48" i="126"/>
  <c r="Q51" i="126"/>
  <c r="Q60" i="126"/>
  <c r="Q69" i="126"/>
  <c r="Q71" i="126"/>
  <c r="Q76" i="126"/>
  <c r="Q84" i="126"/>
  <c r="Q100" i="126"/>
  <c r="Q114" i="126"/>
  <c r="Q124" i="126"/>
  <c r="Q129" i="126"/>
  <c r="Q133" i="126"/>
  <c r="Q143" i="126"/>
  <c r="Q158" i="126"/>
  <c r="Q160" i="126"/>
  <c r="Q167" i="126"/>
  <c r="O191" i="126"/>
  <c r="Q10" i="126"/>
  <c r="K167" i="125"/>
  <c r="K149" i="125"/>
  <c r="O136" i="125"/>
  <c r="K62" i="125"/>
  <c r="O129" i="125"/>
  <c r="K129" i="125"/>
  <c r="O124" i="125"/>
  <c r="K124" i="125"/>
  <c r="K122" i="125"/>
  <c r="O114" i="125"/>
  <c r="K109" i="125"/>
  <c r="O102" i="125"/>
  <c r="O104" i="125"/>
  <c r="K104" i="125"/>
  <c r="O96" i="125"/>
  <c r="K98" i="125"/>
  <c r="O93" i="125"/>
  <c r="K93" i="125"/>
  <c r="K65" i="125"/>
  <c r="O46" i="125"/>
  <c r="K46" i="125"/>
  <c r="O35" i="125"/>
  <c r="K35" i="125"/>
  <c r="K29" i="125"/>
  <c r="O29" i="125"/>
  <c r="O27" i="125"/>
  <c r="K27" i="125"/>
  <c r="O38" i="125"/>
  <c r="K38" i="125"/>
  <c r="K146" i="125"/>
  <c r="O91" i="125"/>
  <c r="K91" i="125"/>
  <c r="K51" i="125"/>
  <c r="K185" i="125"/>
  <c r="O181" i="125"/>
  <c r="K181" i="125"/>
  <c r="O178" i="125"/>
  <c r="K178" i="125"/>
  <c r="K158" i="125"/>
  <c r="O151" i="125"/>
  <c r="K151" i="125"/>
  <c r="O143" i="125"/>
  <c r="K143" i="125"/>
  <c r="O62" i="125"/>
  <c r="O142" i="125"/>
  <c r="K138" i="125"/>
  <c r="O127" i="125"/>
  <c r="O122" i="125"/>
  <c r="K107" i="125"/>
  <c r="O100" i="125"/>
  <c r="K100" i="125"/>
  <c r="O82" i="125"/>
  <c r="K80" i="125"/>
  <c r="K19" i="125"/>
  <c r="O60" i="125"/>
  <c r="K60" i="125"/>
  <c r="O58" i="125"/>
  <c r="K58" i="125"/>
  <c r="O53" i="125"/>
  <c r="K53" i="125"/>
  <c r="K42" i="125"/>
  <c r="O31" i="125"/>
  <c r="K31" i="125"/>
  <c r="O15" i="125"/>
  <c r="K15" i="125"/>
  <c r="O118" i="125"/>
  <c r="K118" i="125"/>
  <c r="O33" i="125"/>
  <c r="K33" i="125"/>
  <c r="K13" i="125"/>
  <c r="K10" i="125"/>
  <c r="Q191" i="126" l="1"/>
  <c r="N167" i="125"/>
  <c r="J167" i="125"/>
  <c r="J149" i="125"/>
  <c r="J136" i="125"/>
  <c r="N129" i="125"/>
  <c r="J129" i="125"/>
  <c r="N124" i="125"/>
  <c r="J124" i="125"/>
  <c r="J122" i="125"/>
  <c r="N114" i="125"/>
  <c r="J109" i="125"/>
  <c r="N102" i="125"/>
  <c r="N104" i="125"/>
  <c r="J104" i="125"/>
  <c r="J98" i="125"/>
  <c r="N100" i="125"/>
  <c r="J93" i="125"/>
  <c r="J62" i="125"/>
  <c r="J65" i="125"/>
  <c r="N46" i="125"/>
  <c r="J46" i="125"/>
  <c r="N35" i="125"/>
  <c r="J35" i="125"/>
  <c r="N29" i="125"/>
  <c r="J29" i="125"/>
  <c r="N27" i="125"/>
  <c r="I191" i="125"/>
  <c r="H191" i="125"/>
  <c r="O190" i="125"/>
  <c r="Q190" i="125" s="1"/>
  <c r="N190" i="125"/>
  <c r="M190" i="125"/>
  <c r="Q189" i="125"/>
  <c r="M189" i="125"/>
  <c r="Q188" i="125"/>
  <c r="M188" i="125"/>
  <c r="Q187" i="125"/>
  <c r="M187" i="125"/>
  <c r="O186" i="125"/>
  <c r="Q186" i="125" s="1"/>
  <c r="M186" i="125"/>
  <c r="P185" i="125"/>
  <c r="O185" i="125"/>
  <c r="N185" i="125"/>
  <c r="M185" i="125"/>
  <c r="J185" i="125"/>
  <c r="O184" i="125"/>
  <c r="Q184" i="125" s="1"/>
  <c r="M184" i="125"/>
  <c r="O183" i="125"/>
  <c r="Q183" i="125" s="1"/>
  <c r="N183" i="125"/>
  <c r="M183" i="125"/>
  <c r="O182" i="125"/>
  <c r="Q182" i="125" s="1"/>
  <c r="M182" i="125"/>
  <c r="Q181" i="125"/>
  <c r="N181" i="125"/>
  <c r="M181" i="125"/>
  <c r="J181" i="125"/>
  <c r="Q180" i="125"/>
  <c r="M180" i="125"/>
  <c r="P179" i="125"/>
  <c r="O179" i="125"/>
  <c r="N179" i="125"/>
  <c r="K179" i="125"/>
  <c r="M179" i="125" s="1"/>
  <c r="J179" i="125"/>
  <c r="Q178" i="125"/>
  <c r="N178" i="125"/>
  <c r="M178" i="125"/>
  <c r="J178" i="125"/>
  <c r="Q177" i="125"/>
  <c r="M177" i="125"/>
  <c r="O176" i="125"/>
  <c r="Q176" i="125" s="1"/>
  <c r="N176" i="125"/>
  <c r="M176" i="125"/>
  <c r="O175" i="125"/>
  <c r="Q175" i="125" s="1"/>
  <c r="M175" i="125"/>
  <c r="O172" i="125"/>
  <c r="Q172" i="125" s="1"/>
  <c r="N172" i="125"/>
  <c r="K172" i="125"/>
  <c r="M172" i="125" s="1"/>
  <c r="J172" i="125"/>
  <c r="Q171" i="125"/>
  <c r="M171" i="125"/>
  <c r="Q170" i="125"/>
  <c r="M170" i="125"/>
  <c r="Q168" i="125"/>
  <c r="N168" i="125"/>
  <c r="M168" i="125"/>
  <c r="P167" i="125"/>
  <c r="O167" i="125"/>
  <c r="M167" i="125"/>
  <c r="Q166" i="125"/>
  <c r="M166" i="125"/>
  <c r="O165" i="125"/>
  <c r="Q165" i="125" s="1"/>
  <c r="N165" i="125"/>
  <c r="M165" i="125"/>
  <c r="Q164" i="125"/>
  <c r="M164" i="125"/>
  <c r="O163" i="125"/>
  <c r="Q163" i="125" s="1"/>
  <c r="N163" i="125"/>
  <c r="K163" i="125"/>
  <c r="M163" i="125" s="1"/>
  <c r="J163" i="125"/>
  <c r="Q162" i="125"/>
  <c r="M162" i="125"/>
  <c r="Q161" i="125"/>
  <c r="M161" i="125"/>
  <c r="P160" i="125"/>
  <c r="O160" i="125"/>
  <c r="N160" i="125"/>
  <c r="L160" i="125"/>
  <c r="L191" i="125" s="1"/>
  <c r="K160" i="125"/>
  <c r="J160" i="125"/>
  <c r="Q159" i="125"/>
  <c r="M159" i="125"/>
  <c r="P158" i="125"/>
  <c r="O158" i="125"/>
  <c r="N158" i="125"/>
  <c r="M158" i="125"/>
  <c r="J158" i="125"/>
  <c r="Q157" i="125"/>
  <c r="M157" i="125"/>
  <c r="Q156" i="125"/>
  <c r="M156" i="125"/>
  <c r="Q155" i="125"/>
  <c r="N155" i="125"/>
  <c r="M155" i="125"/>
  <c r="Q154" i="125"/>
  <c r="M154" i="125"/>
  <c r="Q153" i="125"/>
  <c r="M153" i="125"/>
  <c r="O152" i="125"/>
  <c r="Q152" i="125" s="1"/>
  <c r="M152" i="125"/>
  <c r="Q151" i="125"/>
  <c r="N151" i="125"/>
  <c r="M151" i="125"/>
  <c r="J151" i="125"/>
  <c r="Q150" i="125"/>
  <c r="M150" i="125"/>
  <c r="P149" i="125"/>
  <c r="O149" i="125"/>
  <c r="N149" i="125"/>
  <c r="M149" i="125"/>
  <c r="P146" i="125"/>
  <c r="O146" i="125"/>
  <c r="N146" i="125"/>
  <c r="J146" i="125"/>
  <c r="Q145" i="125"/>
  <c r="M145" i="125"/>
  <c r="Q144" i="125"/>
  <c r="M144" i="125"/>
  <c r="P143" i="125"/>
  <c r="Q143" i="125" s="1"/>
  <c r="N143" i="125"/>
  <c r="M143" i="125"/>
  <c r="J143" i="125"/>
  <c r="Q142" i="125"/>
  <c r="M142" i="125"/>
  <c r="Q141" i="125"/>
  <c r="M141" i="125"/>
  <c r="Q139" i="125"/>
  <c r="M139" i="125"/>
  <c r="O138" i="125"/>
  <c r="Q138" i="125" s="1"/>
  <c r="N138" i="125"/>
  <c r="M138" i="125"/>
  <c r="J138" i="125"/>
  <c r="Q137" i="125"/>
  <c r="M137" i="125"/>
  <c r="P136" i="125"/>
  <c r="N136" i="125"/>
  <c r="K136" i="125"/>
  <c r="M136" i="125" s="1"/>
  <c r="P135" i="125"/>
  <c r="O135" i="125"/>
  <c r="N135" i="125"/>
  <c r="K135" i="125"/>
  <c r="M135" i="125" s="1"/>
  <c r="J135" i="125"/>
  <c r="P134" i="125"/>
  <c r="Q134" i="125" s="1"/>
  <c r="M134" i="125"/>
  <c r="P133" i="125"/>
  <c r="O133" i="125"/>
  <c r="N133" i="125"/>
  <c r="M133" i="125"/>
  <c r="O132" i="125"/>
  <c r="Q132" i="125" s="1"/>
  <c r="M132" i="125"/>
  <c r="O131" i="125"/>
  <c r="Q131" i="125" s="1"/>
  <c r="N131" i="125"/>
  <c r="M131" i="125"/>
  <c r="Q130" i="125"/>
  <c r="M130" i="125"/>
  <c r="P129" i="125"/>
  <c r="Q129" i="125" s="1"/>
  <c r="M129" i="125"/>
  <c r="Q128" i="125"/>
  <c r="M128" i="125"/>
  <c r="Q127" i="125"/>
  <c r="N127" i="125"/>
  <c r="K127" i="125"/>
  <c r="M127" i="125" s="1"/>
  <c r="Q125" i="125"/>
  <c r="M125" i="125"/>
  <c r="P124" i="125"/>
  <c r="M124" i="125"/>
  <c r="Q123" i="125"/>
  <c r="M123" i="125"/>
  <c r="Q122" i="125"/>
  <c r="N122" i="125"/>
  <c r="M122" i="125"/>
  <c r="Q121" i="125"/>
  <c r="M121" i="125"/>
  <c r="P120" i="125"/>
  <c r="O120" i="125"/>
  <c r="N120" i="125"/>
  <c r="K120" i="125"/>
  <c r="M120" i="125" s="1"/>
  <c r="J120" i="125"/>
  <c r="Q119" i="125"/>
  <c r="M119" i="125"/>
  <c r="Q118" i="125"/>
  <c r="N118" i="125"/>
  <c r="M118" i="125"/>
  <c r="J118" i="125"/>
  <c r="Q117" i="125"/>
  <c r="M117" i="125"/>
  <c r="O116" i="125"/>
  <c r="Q116" i="125" s="1"/>
  <c r="N116" i="125"/>
  <c r="K116" i="125"/>
  <c r="M116" i="125" s="1"/>
  <c r="J116" i="125"/>
  <c r="Q115" i="125"/>
  <c r="M115" i="125"/>
  <c r="P114" i="125"/>
  <c r="K114" i="125"/>
  <c r="M114" i="125" s="1"/>
  <c r="J114" i="125"/>
  <c r="Q113" i="125"/>
  <c r="M113" i="125"/>
  <c r="P112" i="125"/>
  <c r="O112" i="125"/>
  <c r="N112" i="125"/>
  <c r="K112" i="125"/>
  <c r="M112" i="125" s="1"/>
  <c r="J112" i="125"/>
  <c r="P111" i="125"/>
  <c r="O111" i="125"/>
  <c r="N111" i="125"/>
  <c r="K111" i="125"/>
  <c r="M111" i="125" s="1"/>
  <c r="J111" i="125"/>
  <c r="Q110" i="125"/>
  <c r="N110" i="125"/>
  <c r="M110" i="125"/>
  <c r="P109" i="125"/>
  <c r="O109" i="125"/>
  <c r="N109" i="125"/>
  <c r="M109" i="125"/>
  <c r="Q108" i="125"/>
  <c r="M108" i="125"/>
  <c r="P107" i="125"/>
  <c r="Q107" i="125" s="1"/>
  <c r="N107" i="125"/>
  <c r="M107" i="125"/>
  <c r="J107" i="125"/>
  <c r="P106" i="125"/>
  <c r="O106" i="125"/>
  <c r="N106" i="125"/>
  <c r="M106" i="125"/>
  <c r="Q105" i="125"/>
  <c r="M105" i="125"/>
  <c r="P104" i="125"/>
  <c r="Q104" i="125" s="1"/>
  <c r="M104" i="125"/>
  <c r="Q103" i="125"/>
  <c r="M103" i="125"/>
  <c r="P102" i="125"/>
  <c r="Q102" i="125" s="1"/>
  <c r="K102" i="125"/>
  <c r="M102" i="125" s="1"/>
  <c r="J102" i="125"/>
  <c r="Q101" i="125"/>
  <c r="M101" i="125"/>
  <c r="P100" i="125"/>
  <c r="Q100" i="125" s="1"/>
  <c r="M100" i="125"/>
  <c r="J100" i="125"/>
  <c r="Q99" i="125"/>
  <c r="M99" i="125"/>
  <c r="O98" i="125"/>
  <c r="Q98" i="125" s="1"/>
  <c r="N98" i="125"/>
  <c r="M98" i="125"/>
  <c r="Q97" i="125"/>
  <c r="M97" i="125"/>
  <c r="Q96" i="125"/>
  <c r="N96" i="125"/>
  <c r="K96" i="125"/>
  <c r="M96" i="125" s="1"/>
  <c r="J96" i="125"/>
  <c r="Q95" i="125"/>
  <c r="M95" i="125"/>
  <c r="Q94" i="125"/>
  <c r="M94" i="125"/>
  <c r="Q93" i="125"/>
  <c r="N93" i="125"/>
  <c r="M93" i="125"/>
  <c r="Q92" i="125"/>
  <c r="M92" i="125"/>
  <c r="P91" i="125"/>
  <c r="Q91" i="125" s="1"/>
  <c r="N91" i="125"/>
  <c r="M91" i="125"/>
  <c r="J91" i="125"/>
  <c r="Q90" i="125"/>
  <c r="M90" i="125"/>
  <c r="Q89" i="125"/>
  <c r="M89" i="125"/>
  <c r="Q87" i="125"/>
  <c r="M87" i="125"/>
  <c r="O86" i="125"/>
  <c r="Q86" i="125" s="1"/>
  <c r="N86" i="125"/>
  <c r="K86" i="125"/>
  <c r="M86" i="125" s="1"/>
  <c r="J86" i="125"/>
  <c r="Q85" i="125"/>
  <c r="M85" i="125"/>
  <c r="P84" i="125"/>
  <c r="O84" i="125"/>
  <c r="N84" i="125"/>
  <c r="K84" i="125"/>
  <c r="M84" i="125" s="1"/>
  <c r="J84" i="125"/>
  <c r="Q83" i="125"/>
  <c r="M83" i="125"/>
  <c r="Q82" i="125"/>
  <c r="N82" i="125"/>
  <c r="M82" i="125"/>
  <c r="Q81" i="125"/>
  <c r="M81" i="125"/>
  <c r="O80" i="125"/>
  <c r="Q80" i="125" s="1"/>
  <c r="N80" i="125"/>
  <c r="M80" i="125"/>
  <c r="J80" i="125"/>
  <c r="O79" i="125"/>
  <c r="Q79" i="125" s="1"/>
  <c r="N79" i="125"/>
  <c r="M79" i="125"/>
  <c r="Q78" i="125"/>
  <c r="M78" i="125"/>
  <c r="Q77" i="125"/>
  <c r="K77" i="125"/>
  <c r="M77" i="125" s="1"/>
  <c r="J77" i="125"/>
  <c r="P76" i="125"/>
  <c r="O76" i="125"/>
  <c r="N76" i="125"/>
  <c r="K76" i="125"/>
  <c r="M76" i="125" s="1"/>
  <c r="O75" i="125"/>
  <c r="Q75" i="125" s="1"/>
  <c r="N75" i="125"/>
  <c r="M75" i="125"/>
  <c r="P74" i="125"/>
  <c r="O74" i="125"/>
  <c r="N74" i="125"/>
  <c r="K74" i="125"/>
  <c r="M74" i="125" s="1"/>
  <c r="J74" i="125"/>
  <c r="Q73" i="125"/>
  <c r="M73" i="125"/>
  <c r="O72" i="125"/>
  <c r="Q72" i="125" s="1"/>
  <c r="N72" i="125"/>
  <c r="M72" i="125"/>
  <c r="P71" i="125"/>
  <c r="O71" i="125"/>
  <c r="N71" i="125"/>
  <c r="M71" i="125"/>
  <c r="Q70" i="125"/>
  <c r="M70" i="125"/>
  <c r="P69" i="125"/>
  <c r="O69" i="125"/>
  <c r="N69" i="125"/>
  <c r="M69" i="125"/>
  <c r="Q68" i="125"/>
  <c r="M68" i="125"/>
  <c r="P67" i="125"/>
  <c r="Q67" i="125" s="1"/>
  <c r="N67" i="125"/>
  <c r="M67" i="125"/>
  <c r="Q66" i="125"/>
  <c r="M66" i="125"/>
  <c r="P65" i="125"/>
  <c r="O65" i="125"/>
  <c r="N65" i="125"/>
  <c r="M65" i="125"/>
  <c r="O64" i="125"/>
  <c r="Q64" i="125" s="1"/>
  <c r="N64" i="125"/>
  <c r="K64" i="125"/>
  <c r="M64" i="125" s="1"/>
  <c r="J64" i="125"/>
  <c r="Q63" i="125"/>
  <c r="M63" i="125"/>
  <c r="Q62" i="125"/>
  <c r="N62" i="125"/>
  <c r="M62" i="125"/>
  <c r="Q61" i="125"/>
  <c r="M61" i="125"/>
  <c r="P60" i="125"/>
  <c r="N60" i="125"/>
  <c r="M60" i="125"/>
  <c r="J60" i="125"/>
  <c r="P59" i="125"/>
  <c r="Q59" i="125" s="1"/>
  <c r="M59" i="125"/>
  <c r="Q58" i="125"/>
  <c r="N58" i="125"/>
  <c r="M58" i="125"/>
  <c r="J58" i="125"/>
  <c r="Q57" i="125"/>
  <c r="M57" i="125"/>
  <c r="O56" i="125"/>
  <c r="Q56" i="125" s="1"/>
  <c r="N56" i="125"/>
  <c r="M56" i="125"/>
  <c r="Q54" i="125"/>
  <c r="M54" i="125"/>
  <c r="Q53" i="125"/>
  <c r="N53" i="125"/>
  <c r="M53" i="125"/>
  <c r="J53" i="125"/>
  <c r="Q52" i="125"/>
  <c r="M52" i="125"/>
  <c r="P51" i="125"/>
  <c r="O51" i="125"/>
  <c r="N51" i="125"/>
  <c r="M51" i="125"/>
  <c r="J51" i="125"/>
  <c r="Q50" i="125"/>
  <c r="M50" i="125"/>
  <c r="Q49" i="125"/>
  <c r="M49" i="125"/>
  <c r="P48" i="125"/>
  <c r="O48" i="125"/>
  <c r="N48" i="125"/>
  <c r="K48" i="125"/>
  <c r="M48" i="125" s="1"/>
  <c r="J48" i="125"/>
  <c r="Q47" i="125"/>
  <c r="M47" i="125"/>
  <c r="P46" i="125"/>
  <c r="Q46" i="125" s="1"/>
  <c r="M46" i="125"/>
  <c r="Q45" i="125"/>
  <c r="M45" i="125"/>
  <c r="P44" i="125"/>
  <c r="O44" i="125"/>
  <c r="N44" i="125"/>
  <c r="K44" i="125"/>
  <c r="M44" i="125" s="1"/>
  <c r="J44" i="125"/>
  <c r="P43" i="125"/>
  <c r="Q43" i="125" s="1"/>
  <c r="M43" i="125"/>
  <c r="P42" i="125"/>
  <c r="O42" i="125"/>
  <c r="N42" i="125"/>
  <c r="M42" i="125"/>
  <c r="J42" i="125"/>
  <c r="Q41" i="125"/>
  <c r="M41" i="125"/>
  <c r="Q40" i="125"/>
  <c r="M40" i="125"/>
  <c r="Q39" i="125"/>
  <c r="M39" i="125"/>
  <c r="P38" i="125"/>
  <c r="Q38" i="125" s="1"/>
  <c r="N38" i="125"/>
  <c r="M38" i="125"/>
  <c r="J38" i="125"/>
  <c r="P37" i="125"/>
  <c r="O37" i="125"/>
  <c r="N37" i="125"/>
  <c r="K37" i="125"/>
  <c r="M37" i="125" s="1"/>
  <c r="J37" i="125"/>
  <c r="Q36" i="125"/>
  <c r="M36" i="125"/>
  <c r="P35" i="125"/>
  <c r="Q35" i="125" s="1"/>
  <c r="M35" i="125"/>
  <c r="Q34" i="125"/>
  <c r="N34" i="125"/>
  <c r="M34" i="125"/>
  <c r="P33" i="125"/>
  <c r="Q33" i="125" s="1"/>
  <c r="N33" i="125"/>
  <c r="M33" i="125"/>
  <c r="J33" i="125"/>
  <c r="Q32" i="125"/>
  <c r="M32" i="125"/>
  <c r="P31" i="125"/>
  <c r="Q31" i="125" s="1"/>
  <c r="N31" i="125"/>
  <c r="M31" i="125"/>
  <c r="J31" i="125"/>
  <c r="Q30" i="125"/>
  <c r="M30" i="125"/>
  <c r="P29" i="125"/>
  <c r="Q29" i="125" s="1"/>
  <c r="M29" i="125"/>
  <c r="Q27" i="125"/>
  <c r="M27" i="125"/>
  <c r="J27" i="125"/>
  <c r="Q26" i="125"/>
  <c r="M26" i="125"/>
  <c r="O25" i="125"/>
  <c r="Q25" i="125" s="1"/>
  <c r="N25" i="125"/>
  <c r="M25" i="125"/>
  <c r="O24" i="125"/>
  <c r="Q24" i="125" s="1"/>
  <c r="N24" i="125"/>
  <c r="K24" i="125"/>
  <c r="M24" i="125" s="1"/>
  <c r="J24" i="125"/>
  <c r="P23" i="125"/>
  <c r="Q23" i="125" s="1"/>
  <c r="M23" i="125"/>
  <c r="Q22" i="125"/>
  <c r="N22" i="125"/>
  <c r="M22" i="125"/>
  <c r="J22" i="125"/>
  <c r="Q21" i="125"/>
  <c r="M21" i="125"/>
  <c r="O20" i="125"/>
  <c r="Q20" i="125" s="1"/>
  <c r="N20" i="125"/>
  <c r="M20" i="125"/>
  <c r="P19" i="125"/>
  <c r="O19" i="125"/>
  <c r="N19" i="125"/>
  <c r="M19" i="125"/>
  <c r="J19" i="125"/>
  <c r="Q18" i="125"/>
  <c r="M18" i="125"/>
  <c r="O17" i="125"/>
  <c r="Q17" i="125" s="1"/>
  <c r="N17" i="125"/>
  <c r="K17" i="125"/>
  <c r="M17" i="125" s="1"/>
  <c r="J17" i="125"/>
  <c r="Q16" i="125"/>
  <c r="M16" i="125"/>
  <c r="P15" i="125"/>
  <c r="N15" i="125"/>
  <c r="M15" i="125"/>
  <c r="J15" i="125"/>
  <c r="Q14" i="125"/>
  <c r="M14" i="125"/>
  <c r="Q13" i="125"/>
  <c r="N13" i="125"/>
  <c r="M13" i="125"/>
  <c r="J13" i="125"/>
  <c r="Q11" i="125"/>
  <c r="M11" i="125"/>
  <c r="O10" i="125"/>
  <c r="N10" i="125"/>
  <c r="M10" i="125"/>
  <c r="J10" i="125"/>
  <c r="B9" i="125"/>
  <c r="C9" i="125" s="1"/>
  <c r="D9" i="125" s="1"/>
  <c r="E9" i="125" s="1"/>
  <c r="F9" i="125" s="1"/>
  <c r="G9" i="125" s="1"/>
  <c r="H9" i="125" s="1"/>
  <c r="I9" i="125" s="1"/>
  <c r="J9" i="125" s="1"/>
  <c r="K9" i="125" s="1"/>
  <c r="L9" i="125" s="1"/>
  <c r="M9" i="125" s="1"/>
  <c r="N9" i="125" s="1"/>
  <c r="O9" i="125" s="1"/>
  <c r="P9" i="125" s="1"/>
  <c r="Q9" i="125" s="1"/>
  <c r="Q74" i="125" l="1"/>
  <c r="J191" i="125"/>
  <c r="Q185" i="125"/>
  <c r="P191" i="125"/>
  <c r="Q106" i="125"/>
  <c r="Q133" i="125"/>
  <c r="Q149" i="125"/>
  <c r="Q158" i="125"/>
  <c r="Q160" i="125"/>
  <c r="Q167" i="125"/>
  <c r="K191" i="125"/>
  <c r="M191" i="125" s="1"/>
  <c r="N191" i="125"/>
  <c r="Q19" i="125"/>
  <c r="Q51" i="125"/>
  <c r="Q65" i="125"/>
  <c r="Q69" i="125"/>
  <c r="Q71" i="125"/>
  <c r="Q84" i="125"/>
  <c r="Q112" i="125"/>
  <c r="Q120" i="125"/>
  <c r="M160" i="125"/>
  <c r="Q37" i="125"/>
  <c r="Q42" i="125"/>
  <c r="Q44" i="125"/>
  <c r="Q48" i="125"/>
  <c r="Q60" i="125"/>
  <c r="Q76" i="125"/>
  <c r="O191" i="125"/>
  <c r="Q191" i="125" s="1"/>
  <c r="Q10" i="125"/>
  <c r="Q15" i="125"/>
  <c r="Q109" i="125"/>
  <c r="Q111" i="125"/>
  <c r="Q114" i="125"/>
  <c r="Q124" i="125"/>
  <c r="Q136" i="125"/>
  <c r="Q179" i="125"/>
  <c r="P35" i="124"/>
  <c r="P102" i="124"/>
  <c r="P133" i="124"/>
  <c r="P167" i="124"/>
  <c r="P67" i="124"/>
  <c r="P84" i="124"/>
  <c r="P135" i="124"/>
  <c r="P51" i="124"/>
  <c r="P74" i="124"/>
  <c r="P185" i="124"/>
  <c r="P179" i="124"/>
  <c r="P146" i="124"/>
  <c r="P149" i="124"/>
  <c r="P143" i="124"/>
  <c r="P120" i="124"/>
  <c r="P114" i="124"/>
  <c r="P107" i="124"/>
  <c r="P106" i="124"/>
  <c r="P100" i="124"/>
  <c r="P69" i="124"/>
  <c r="P19" i="124"/>
  <c r="P60" i="124"/>
  <c r="P46" i="124"/>
  <c r="P31" i="124"/>
  <c r="P15" i="124"/>
  <c r="P160" i="124"/>
  <c r="L160" i="124"/>
  <c r="N185" i="124" l="1"/>
  <c r="J185" i="124"/>
  <c r="N181" i="124"/>
  <c r="J181" i="124"/>
  <c r="N178" i="124"/>
  <c r="J178" i="124"/>
  <c r="J158" i="124"/>
  <c r="N151" i="124"/>
  <c r="J151" i="124"/>
  <c r="J146" i="124"/>
  <c r="N143" i="124"/>
  <c r="J143" i="124"/>
  <c r="N138" i="124"/>
  <c r="J138" i="124"/>
  <c r="N127" i="124"/>
  <c r="N122" i="124"/>
  <c r="J122" i="124"/>
  <c r="N118" i="124"/>
  <c r="J118" i="124"/>
  <c r="N107" i="124"/>
  <c r="J107" i="124"/>
  <c r="J91" i="124"/>
  <c r="N96" i="124"/>
  <c r="N100" i="124"/>
  <c r="J100" i="124"/>
  <c r="N82" i="124"/>
  <c r="N80" i="124"/>
  <c r="J80" i="124"/>
  <c r="N62" i="124"/>
  <c r="J62" i="124"/>
  <c r="N60" i="124"/>
  <c r="J60" i="124"/>
  <c r="N58" i="124"/>
  <c r="J58" i="124"/>
  <c r="N53" i="124"/>
  <c r="J53" i="124"/>
  <c r="J51" i="124"/>
  <c r="J42" i="124"/>
  <c r="N38" i="124"/>
  <c r="J38" i="124"/>
  <c r="N31" i="124"/>
  <c r="J31" i="124"/>
  <c r="N33" i="124"/>
  <c r="J33" i="124"/>
  <c r="N15" i="124"/>
  <c r="J15" i="124"/>
  <c r="J13" i="124"/>
  <c r="J10" i="124"/>
  <c r="L191" i="124"/>
  <c r="I191" i="124"/>
  <c r="H191" i="124"/>
  <c r="O190" i="124"/>
  <c r="Q190" i="124" s="1"/>
  <c r="N190" i="124"/>
  <c r="M190" i="124"/>
  <c r="Q189" i="124"/>
  <c r="M189" i="124"/>
  <c r="Q188" i="124"/>
  <c r="M188" i="124"/>
  <c r="Q187" i="124"/>
  <c r="M187" i="124"/>
  <c r="O186" i="124"/>
  <c r="Q186" i="124" s="1"/>
  <c r="M186" i="124"/>
  <c r="O185" i="124"/>
  <c r="Q185" i="124" s="1"/>
  <c r="K185" i="124"/>
  <c r="M185" i="124" s="1"/>
  <c r="O184" i="124"/>
  <c r="Q184" i="124" s="1"/>
  <c r="M184" i="124"/>
  <c r="O183" i="124"/>
  <c r="Q183" i="124" s="1"/>
  <c r="N183" i="124"/>
  <c r="M183" i="124"/>
  <c r="O182" i="124"/>
  <c r="Q182" i="124" s="1"/>
  <c r="M182" i="124"/>
  <c r="O181" i="124"/>
  <c r="Q181" i="124" s="1"/>
  <c r="K181" i="124"/>
  <c r="M181" i="124" s="1"/>
  <c r="Q180" i="124"/>
  <c r="M180" i="124"/>
  <c r="O179" i="124"/>
  <c r="Q179" i="124" s="1"/>
  <c r="N179" i="124"/>
  <c r="K179" i="124"/>
  <c r="M179" i="124" s="1"/>
  <c r="J179" i="124"/>
  <c r="O178" i="124"/>
  <c r="Q178" i="124" s="1"/>
  <c r="M178" i="124"/>
  <c r="Q177" i="124"/>
  <c r="M177" i="124"/>
  <c r="O176" i="124"/>
  <c r="Q176" i="124" s="1"/>
  <c r="N176" i="124"/>
  <c r="M176" i="124"/>
  <c r="O175" i="124"/>
  <c r="Q175" i="124" s="1"/>
  <c r="M175" i="124"/>
  <c r="O172" i="124"/>
  <c r="Q172" i="124" s="1"/>
  <c r="N172" i="124"/>
  <c r="K172" i="124"/>
  <c r="M172" i="124" s="1"/>
  <c r="J172" i="124"/>
  <c r="Q171" i="124"/>
  <c r="M171" i="124"/>
  <c r="Q170" i="124"/>
  <c r="M170" i="124"/>
  <c r="Q168" i="124"/>
  <c r="N168" i="124"/>
  <c r="M168" i="124"/>
  <c r="O167" i="124"/>
  <c r="Q167" i="124" s="1"/>
  <c r="N167" i="124"/>
  <c r="K167" i="124"/>
  <c r="M167" i="124" s="1"/>
  <c r="J167" i="124"/>
  <c r="Q166" i="124"/>
  <c r="M166" i="124"/>
  <c r="O165" i="124"/>
  <c r="Q165" i="124" s="1"/>
  <c r="N165" i="124"/>
  <c r="M165" i="124"/>
  <c r="Q164" i="124"/>
  <c r="M164" i="124"/>
  <c r="O163" i="124"/>
  <c r="Q163" i="124" s="1"/>
  <c r="N163" i="124"/>
  <c r="K163" i="124"/>
  <c r="M163" i="124" s="1"/>
  <c r="J163" i="124"/>
  <c r="Q162" i="124"/>
  <c r="M162" i="124"/>
  <c r="Q161" i="124"/>
  <c r="M161" i="124"/>
  <c r="O160" i="124"/>
  <c r="Q160" i="124" s="1"/>
  <c r="N160" i="124"/>
  <c r="K160" i="124"/>
  <c r="M160" i="124" s="1"/>
  <c r="J160" i="124"/>
  <c r="Q159" i="124"/>
  <c r="M159" i="124"/>
  <c r="P158" i="124"/>
  <c r="O158" i="124"/>
  <c r="N158" i="124"/>
  <c r="M158" i="124"/>
  <c r="Q157" i="124"/>
  <c r="M157" i="124"/>
  <c r="Q156" i="124"/>
  <c r="M156" i="124"/>
  <c r="Q155" i="124"/>
  <c r="N155" i="124"/>
  <c r="M155" i="124"/>
  <c r="Q154" i="124"/>
  <c r="M154" i="124"/>
  <c r="Q153" i="124"/>
  <c r="M153" i="124"/>
  <c r="O152" i="124"/>
  <c r="Q152" i="124" s="1"/>
  <c r="M152" i="124"/>
  <c r="O151" i="124"/>
  <c r="Q151" i="124" s="1"/>
  <c r="M151" i="124"/>
  <c r="Q150" i="124"/>
  <c r="M150" i="124"/>
  <c r="O149" i="124"/>
  <c r="Q149" i="124" s="1"/>
  <c r="N149" i="124"/>
  <c r="K149" i="124"/>
  <c r="M149" i="124" s="1"/>
  <c r="O146" i="124"/>
  <c r="N146" i="124"/>
  <c r="K146" i="124"/>
  <c r="Q145" i="124"/>
  <c r="M145" i="124"/>
  <c r="Q144" i="124"/>
  <c r="M144" i="124"/>
  <c r="O143" i="124"/>
  <c r="Q143" i="124" s="1"/>
  <c r="K143" i="124"/>
  <c r="M143" i="124" s="1"/>
  <c r="Q142" i="124"/>
  <c r="M142" i="124"/>
  <c r="Q141" i="124"/>
  <c r="M141" i="124"/>
  <c r="Q139" i="124"/>
  <c r="M139" i="124"/>
  <c r="O138" i="124"/>
  <c r="Q138" i="124" s="1"/>
  <c r="K138" i="124"/>
  <c r="M138" i="124" s="1"/>
  <c r="Q137" i="124"/>
  <c r="M137" i="124"/>
  <c r="P136" i="124"/>
  <c r="O136" i="124"/>
  <c r="N136" i="124"/>
  <c r="K136" i="124"/>
  <c r="M136" i="124" s="1"/>
  <c r="J136" i="124"/>
  <c r="O135" i="124"/>
  <c r="N135" i="124"/>
  <c r="K135" i="124"/>
  <c r="M135" i="124" s="1"/>
  <c r="J135" i="124"/>
  <c r="P134" i="124"/>
  <c r="Q134" i="124" s="1"/>
  <c r="M134" i="124"/>
  <c r="O133" i="124"/>
  <c r="Q133" i="124" s="1"/>
  <c r="N133" i="124"/>
  <c r="M133" i="124"/>
  <c r="O132" i="124"/>
  <c r="Q132" i="124" s="1"/>
  <c r="M132" i="124"/>
  <c r="O131" i="124"/>
  <c r="Q131" i="124" s="1"/>
  <c r="N131" i="124"/>
  <c r="M131" i="124"/>
  <c r="Q130" i="124"/>
  <c r="M130" i="124"/>
  <c r="P129" i="124"/>
  <c r="O129" i="124"/>
  <c r="N129" i="124"/>
  <c r="K129" i="124"/>
  <c r="M129" i="124" s="1"/>
  <c r="J129" i="124"/>
  <c r="Q128" i="124"/>
  <c r="M128" i="124"/>
  <c r="O127" i="124"/>
  <c r="Q127" i="124" s="1"/>
  <c r="K127" i="124"/>
  <c r="M127" i="124" s="1"/>
  <c r="Q125" i="124"/>
  <c r="M125" i="124"/>
  <c r="P124" i="124"/>
  <c r="O124" i="124"/>
  <c r="N124" i="124"/>
  <c r="K124" i="124"/>
  <c r="M124" i="124" s="1"/>
  <c r="J124" i="124"/>
  <c r="Q123" i="124"/>
  <c r="M123" i="124"/>
  <c r="O122" i="124"/>
  <c r="Q122" i="124" s="1"/>
  <c r="K122" i="124"/>
  <c r="M122" i="124" s="1"/>
  <c r="Q121" i="124"/>
  <c r="M121" i="124"/>
  <c r="O120" i="124"/>
  <c r="Q120" i="124" s="1"/>
  <c r="N120" i="124"/>
  <c r="K120" i="124"/>
  <c r="M120" i="124" s="1"/>
  <c r="J120" i="124"/>
  <c r="Q119" i="124"/>
  <c r="M119" i="124"/>
  <c r="Q118" i="124"/>
  <c r="M118" i="124"/>
  <c r="Q117" i="124"/>
  <c r="M117" i="124"/>
  <c r="O116" i="124"/>
  <c r="Q116" i="124" s="1"/>
  <c r="N116" i="124"/>
  <c r="K116" i="124"/>
  <c r="M116" i="124" s="1"/>
  <c r="J116" i="124"/>
  <c r="Q115" i="124"/>
  <c r="M115" i="124"/>
  <c r="O114" i="124"/>
  <c r="Q114" i="124" s="1"/>
  <c r="N114" i="124"/>
  <c r="K114" i="124"/>
  <c r="M114" i="124" s="1"/>
  <c r="J114" i="124"/>
  <c r="Q113" i="124"/>
  <c r="M113" i="124"/>
  <c r="P112" i="124"/>
  <c r="O112" i="124"/>
  <c r="N112" i="124"/>
  <c r="K112" i="124"/>
  <c r="M112" i="124" s="1"/>
  <c r="J112" i="124"/>
  <c r="P111" i="124"/>
  <c r="O111" i="124"/>
  <c r="N111" i="124"/>
  <c r="K111" i="124"/>
  <c r="M111" i="124" s="1"/>
  <c r="J111" i="124"/>
  <c r="Q110" i="124"/>
  <c r="N110" i="124"/>
  <c r="M110" i="124"/>
  <c r="P109" i="124"/>
  <c r="O109" i="124"/>
  <c r="N109" i="124"/>
  <c r="K109" i="124"/>
  <c r="M109" i="124" s="1"/>
  <c r="J109" i="124"/>
  <c r="Q108" i="124"/>
  <c r="M108" i="124"/>
  <c r="O107" i="124"/>
  <c r="Q107" i="124" s="1"/>
  <c r="M107" i="124"/>
  <c r="O106" i="124"/>
  <c r="Q106" i="124" s="1"/>
  <c r="N106" i="124"/>
  <c r="M106" i="124"/>
  <c r="Q105" i="124"/>
  <c r="M105" i="124"/>
  <c r="P104" i="124"/>
  <c r="O104" i="124"/>
  <c r="N104" i="124"/>
  <c r="K104" i="124"/>
  <c r="M104" i="124" s="1"/>
  <c r="J104" i="124"/>
  <c r="Q103" i="124"/>
  <c r="M103" i="124"/>
  <c r="O102" i="124"/>
  <c r="Q102" i="124" s="1"/>
  <c r="N102" i="124"/>
  <c r="K102" i="124"/>
  <c r="M102" i="124" s="1"/>
  <c r="J102" i="124"/>
  <c r="Q101" i="124"/>
  <c r="M101" i="124"/>
  <c r="O100" i="124"/>
  <c r="Q100" i="124" s="1"/>
  <c r="K100" i="124"/>
  <c r="M100" i="124" s="1"/>
  <c r="Q99" i="124"/>
  <c r="M99" i="124"/>
  <c r="O98" i="124"/>
  <c r="Q98" i="124" s="1"/>
  <c r="N98" i="124"/>
  <c r="K98" i="124"/>
  <c r="M98" i="124" s="1"/>
  <c r="J98" i="124"/>
  <c r="Q97" i="124"/>
  <c r="M97" i="124"/>
  <c r="O96" i="124"/>
  <c r="Q96" i="124" s="1"/>
  <c r="K96" i="124"/>
  <c r="M96" i="124" s="1"/>
  <c r="J96" i="124"/>
  <c r="Q95" i="124"/>
  <c r="M95" i="124"/>
  <c r="Q94" i="124"/>
  <c r="M94" i="124"/>
  <c r="O93" i="124"/>
  <c r="Q93" i="124" s="1"/>
  <c r="N93" i="124"/>
  <c r="K93" i="124"/>
  <c r="M93" i="124" s="1"/>
  <c r="J93" i="124"/>
  <c r="Q92" i="124"/>
  <c r="M92" i="124"/>
  <c r="P91" i="124"/>
  <c r="O91" i="124"/>
  <c r="N91" i="124"/>
  <c r="K91" i="124"/>
  <c r="M91" i="124" s="1"/>
  <c r="Q90" i="124"/>
  <c r="M90" i="124"/>
  <c r="Q89" i="124"/>
  <c r="M89" i="124"/>
  <c r="Q87" i="124"/>
  <c r="M87" i="124"/>
  <c r="O86" i="124"/>
  <c r="Q86" i="124" s="1"/>
  <c r="N86" i="124"/>
  <c r="K86" i="124"/>
  <c r="M86" i="124" s="1"/>
  <c r="J86" i="124"/>
  <c r="Q85" i="124"/>
  <c r="M85" i="124"/>
  <c r="O84" i="124"/>
  <c r="Q84" i="124" s="1"/>
  <c r="N84" i="124"/>
  <c r="K84" i="124"/>
  <c r="M84" i="124" s="1"/>
  <c r="J84" i="124"/>
  <c r="Q83" i="124"/>
  <c r="M83" i="124"/>
  <c r="O82" i="124"/>
  <c r="Q82" i="124" s="1"/>
  <c r="M82" i="124"/>
  <c r="Q81" i="124"/>
  <c r="M81" i="124"/>
  <c r="O80" i="124"/>
  <c r="Q80" i="124" s="1"/>
  <c r="M80" i="124"/>
  <c r="O79" i="124"/>
  <c r="Q79" i="124" s="1"/>
  <c r="N79" i="124"/>
  <c r="M79" i="124"/>
  <c r="Q78" i="124"/>
  <c r="M78" i="124"/>
  <c r="Q77" i="124"/>
  <c r="K77" i="124"/>
  <c r="M77" i="124" s="1"/>
  <c r="J77" i="124"/>
  <c r="P76" i="124"/>
  <c r="O76" i="124"/>
  <c r="N76" i="124"/>
  <c r="K76" i="124"/>
  <c r="M76" i="124" s="1"/>
  <c r="O75" i="124"/>
  <c r="Q75" i="124" s="1"/>
  <c r="N75" i="124"/>
  <c r="M75" i="124"/>
  <c r="O74" i="124"/>
  <c r="Q74" i="124" s="1"/>
  <c r="N74" i="124"/>
  <c r="K74" i="124"/>
  <c r="M74" i="124" s="1"/>
  <c r="J74" i="124"/>
  <c r="Q73" i="124"/>
  <c r="M73" i="124"/>
  <c r="O72" i="124"/>
  <c r="Q72" i="124" s="1"/>
  <c r="N72" i="124"/>
  <c r="M72" i="124"/>
  <c r="P71" i="124"/>
  <c r="O71" i="124"/>
  <c r="N71" i="124"/>
  <c r="M71" i="124"/>
  <c r="Q70" i="124"/>
  <c r="M70" i="124"/>
  <c r="O69" i="124"/>
  <c r="Q69" i="124" s="1"/>
  <c r="N69" i="124"/>
  <c r="M69" i="124"/>
  <c r="Q68" i="124"/>
  <c r="M68" i="124"/>
  <c r="Q67" i="124"/>
  <c r="N67" i="124"/>
  <c r="M67" i="124"/>
  <c r="Q66" i="124"/>
  <c r="M66" i="124"/>
  <c r="P65" i="124"/>
  <c r="O65" i="124"/>
  <c r="N65" i="124"/>
  <c r="M65" i="124"/>
  <c r="O64" i="124"/>
  <c r="Q64" i="124" s="1"/>
  <c r="N64" i="124"/>
  <c r="K64" i="124"/>
  <c r="M64" i="124" s="1"/>
  <c r="J64" i="124"/>
  <c r="Q63" i="124"/>
  <c r="M63" i="124"/>
  <c r="O62" i="124"/>
  <c r="Q62" i="124" s="1"/>
  <c r="K62" i="124"/>
  <c r="M62" i="124" s="1"/>
  <c r="Q61" i="124"/>
  <c r="M61" i="124"/>
  <c r="O60" i="124"/>
  <c r="Q60" i="124" s="1"/>
  <c r="K60" i="124"/>
  <c r="M60" i="124" s="1"/>
  <c r="P59" i="124"/>
  <c r="Q59" i="124" s="1"/>
  <c r="M59" i="124"/>
  <c r="O58" i="124"/>
  <c r="Q58" i="124" s="1"/>
  <c r="K58" i="124"/>
  <c r="M58" i="124" s="1"/>
  <c r="Q57" i="124"/>
  <c r="M57" i="124"/>
  <c r="O56" i="124"/>
  <c r="Q56" i="124" s="1"/>
  <c r="N56" i="124"/>
  <c r="M56" i="124"/>
  <c r="Q54" i="124"/>
  <c r="M54" i="124"/>
  <c r="O53" i="124"/>
  <c r="Q53" i="124" s="1"/>
  <c r="K53" i="124"/>
  <c r="M53" i="124" s="1"/>
  <c r="Q52" i="124"/>
  <c r="M52" i="124"/>
  <c r="O51" i="124"/>
  <c r="Q51" i="124" s="1"/>
  <c r="N51" i="124"/>
  <c r="M51" i="124"/>
  <c r="Q50" i="124"/>
  <c r="M50" i="124"/>
  <c r="Q49" i="124"/>
  <c r="M49" i="124"/>
  <c r="P48" i="124"/>
  <c r="O48" i="124"/>
  <c r="N48" i="124"/>
  <c r="K48" i="124"/>
  <c r="M48" i="124" s="1"/>
  <c r="J48" i="124"/>
  <c r="Q47" i="124"/>
  <c r="M47" i="124"/>
  <c r="O46" i="124"/>
  <c r="Q46" i="124" s="1"/>
  <c r="N46" i="124"/>
  <c r="K46" i="124"/>
  <c r="M46" i="124" s="1"/>
  <c r="J46" i="124"/>
  <c r="Q45" i="124"/>
  <c r="M45" i="124"/>
  <c r="P44" i="124"/>
  <c r="O44" i="124"/>
  <c r="N44" i="124"/>
  <c r="K44" i="124"/>
  <c r="M44" i="124" s="1"/>
  <c r="J44" i="124"/>
  <c r="P43" i="124"/>
  <c r="Q43" i="124" s="1"/>
  <c r="M43" i="124"/>
  <c r="P42" i="124"/>
  <c r="O42" i="124"/>
  <c r="N42" i="124"/>
  <c r="K42" i="124"/>
  <c r="M42" i="124" s="1"/>
  <c r="Q41" i="124"/>
  <c r="M41" i="124"/>
  <c r="Q40" i="124"/>
  <c r="M40" i="124"/>
  <c r="Q39" i="124"/>
  <c r="M39" i="124"/>
  <c r="P38" i="124"/>
  <c r="O38" i="124"/>
  <c r="K38" i="124"/>
  <c r="M38" i="124" s="1"/>
  <c r="P37" i="124"/>
  <c r="O37" i="124"/>
  <c r="N37" i="124"/>
  <c r="K37" i="124"/>
  <c r="M37" i="124" s="1"/>
  <c r="J37" i="124"/>
  <c r="Q36" i="124"/>
  <c r="M36" i="124"/>
  <c r="O35" i="124"/>
  <c r="Q35" i="124" s="1"/>
  <c r="N35" i="124"/>
  <c r="K35" i="124"/>
  <c r="M35" i="124" s="1"/>
  <c r="J35" i="124"/>
  <c r="Q34" i="124"/>
  <c r="N34" i="124"/>
  <c r="M34" i="124"/>
  <c r="P33" i="124"/>
  <c r="O33" i="124"/>
  <c r="M33" i="124"/>
  <c r="Q32" i="124"/>
  <c r="M32" i="124"/>
  <c r="O31" i="124"/>
  <c r="Q31" i="124" s="1"/>
  <c r="M31" i="124"/>
  <c r="Q30" i="124"/>
  <c r="M30" i="124"/>
  <c r="P29" i="124"/>
  <c r="O29" i="124"/>
  <c r="N29" i="124"/>
  <c r="K29" i="124"/>
  <c r="M29" i="124" s="1"/>
  <c r="J29" i="124"/>
  <c r="O27" i="124"/>
  <c r="Q27" i="124" s="1"/>
  <c r="N27" i="124"/>
  <c r="K27" i="124"/>
  <c r="M27" i="124" s="1"/>
  <c r="J27" i="124"/>
  <c r="Q26" i="124"/>
  <c r="M26" i="124"/>
  <c r="O25" i="124"/>
  <c r="Q25" i="124" s="1"/>
  <c r="N25" i="124"/>
  <c r="M25" i="124"/>
  <c r="O24" i="124"/>
  <c r="Q24" i="124" s="1"/>
  <c r="N24" i="124"/>
  <c r="K24" i="124"/>
  <c r="M24" i="124" s="1"/>
  <c r="J24" i="124"/>
  <c r="P23" i="124"/>
  <c r="Q23" i="124" s="1"/>
  <c r="M23" i="124"/>
  <c r="Q22" i="124"/>
  <c r="N22" i="124"/>
  <c r="M22" i="124"/>
  <c r="J22" i="124"/>
  <c r="Q21" i="124"/>
  <c r="M21" i="124"/>
  <c r="O20" i="124"/>
  <c r="Q20" i="124" s="1"/>
  <c r="N20" i="124"/>
  <c r="M20" i="124"/>
  <c r="O19" i="124"/>
  <c r="Q19" i="124" s="1"/>
  <c r="N19" i="124"/>
  <c r="K19" i="124"/>
  <c r="M19" i="124" s="1"/>
  <c r="J19" i="124"/>
  <c r="Q18" i="124"/>
  <c r="M18" i="124"/>
  <c r="O17" i="124"/>
  <c r="Q17" i="124" s="1"/>
  <c r="N17" i="124"/>
  <c r="K17" i="124"/>
  <c r="M17" i="124" s="1"/>
  <c r="J17" i="124"/>
  <c r="Q16" i="124"/>
  <c r="M16" i="124"/>
  <c r="O15" i="124"/>
  <c r="Q15" i="124" s="1"/>
  <c r="K15" i="124"/>
  <c r="M15" i="124" s="1"/>
  <c r="Q14" i="124"/>
  <c r="M14" i="124"/>
  <c r="Q13" i="124"/>
  <c r="N13" i="124"/>
  <c r="K13" i="124"/>
  <c r="M13" i="124" s="1"/>
  <c r="Q11" i="124"/>
  <c r="M11" i="124"/>
  <c r="O10" i="124"/>
  <c r="N10" i="124"/>
  <c r="K10" i="124"/>
  <c r="B9" i="124"/>
  <c r="C9" i="124" s="1"/>
  <c r="D9" i="124" s="1"/>
  <c r="E9" i="124" s="1"/>
  <c r="F9" i="124" s="1"/>
  <c r="G9" i="124" s="1"/>
  <c r="H9" i="124" s="1"/>
  <c r="I9" i="124" s="1"/>
  <c r="J9" i="124" s="1"/>
  <c r="K9" i="124" s="1"/>
  <c r="L9" i="124" s="1"/>
  <c r="M9" i="124" s="1"/>
  <c r="N9" i="124" s="1"/>
  <c r="O9" i="124" s="1"/>
  <c r="P9" i="124" s="1"/>
  <c r="Q9" i="124" s="1"/>
  <c r="O106" i="123"/>
  <c r="O112" i="123"/>
  <c r="O79" i="123"/>
  <c r="O136" i="123"/>
  <c r="O84" i="123"/>
  <c r="K84" i="123"/>
  <c r="K53" i="123"/>
  <c r="O111" i="123"/>
  <c r="K111" i="123"/>
  <c r="O35" i="123"/>
  <c r="K35" i="123"/>
  <c r="O25" i="123"/>
  <c r="O31" i="123"/>
  <c r="O135" i="123"/>
  <c r="O56" i="123"/>
  <c r="O172" i="123"/>
  <c r="K172" i="123"/>
  <c r="K179" i="123"/>
  <c r="O163" i="123"/>
  <c r="K163" i="123"/>
  <c r="O149" i="123"/>
  <c r="O138" i="123"/>
  <c r="K138" i="123"/>
  <c r="O116" i="123"/>
  <c r="K116" i="123"/>
  <c r="K114" i="123"/>
  <c r="O107" i="123"/>
  <c r="O102" i="123"/>
  <c r="O96" i="123"/>
  <c r="O98" i="123"/>
  <c r="O82" i="123"/>
  <c r="O69" i="123"/>
  <c r="K48" i="123"/>
  <c r="O15" i="123"/>
  <c r="K15" i="123"/>
  <c r="J191" i="124" l="1"/>
  <c r="Q29" i="124"/>
  <c r="Q33" i="124"/>
  <c r="Q109" i="124"/>
  <c r="O191" i="124"/>
  <c r="P191" i="124"/>
  <c r="Q37" i="124"/>
  <c r="Q42" i="124"/>
  <c r="Q44" i="124"/>
  <c r="Q48" i="124"/>
  <c r="Q65" i="124"/>
  <c r="Q71" i="124"/>
  <c r="Q112" i="124"/>
  <c r="Q124" i="124"/>
  <c r="N191" i="124"/>
  <c r="Q10" i="124"/>
  <c r="Q38" i="124"/>
  <c r="Q76" i="124"/>
  <c r="Q91" i="124"/>
  <c r="Q104" i="124"/>
  <c r="Q111" i="124"/>
  <c r="Q129" i="124"/>
  <c r="Q136" i="124"/>
  <c r="Q158" i="124"/>
  <c r="K191" i="124"/>
  <c r="M191" i="124" s="1"/>
  <c r="M10" i="124"/>
  <c r="N136" i="123"/>
  <c r="N118" i="123"/>
  <c r="N106" i="123"/>
  <c r="N84" i="123"/>
  <c r="J84" i="123"/>
  <c r="J53" i="123"/>
  <c r="N111" i="123"/>
  <c r="J111" i="123"/>
  <c r="N35" i="123"/>
  <c r="J35" i="123"/>
  <c r="N25" i="123"/>
  <c r="J19" i="123"/>
  <c r="L191" i="123"/>
  <c r="I191" i="123"/>
  <c r="H191" i="123"/>
  <c r="O190" i="123"/>
  <c r="Q190" i="123" s="1"/>
  <c r="N190" i="123"/>
  <c r="M190" i="123"/>
  <c r="Q189" i="123"/>
  <c r="M189" i="123"/>
  <c r="Q188" i="123"/>
  <c r="M188" i="123"/>
  <c r="Q187" i="123"/>
  <c r="M187" i="123"/>
  <c r="O186" i="123"/>
  <c r="Q186" i="123" s="1"/>
  <c r="M186" i="123"/>
  <c r="O185" i="123"/>
  <c r="Q185" i="123" s="1"/>
  <c r="N185" i="123"/>
  <c r="K185" i="123"/>
  <c r="M185" i="123" s="1"/>
  <c r="J185" i="123"/>
  <c r="P184" i="123"/>
  <c r="O184" i="123"/>
  <c r="M184" i="123"/>
  <c r="O183" i="123"/>
  <c r="Q183" i="123" s="1"/>
  <c r="N183" i="123"/>
  <c r="M183" i="123"/>
  <c r="P182" i="123"/>
  <c r="O182" i="123"/>
  <c r="M182" i="123"/>
  <c r="O181" i="123"/>
  <c r="Q181" i="123" s="1"/>
  <c r="N181" i="123"/>
  <c r="K181" i="123"/>
  <c r="M181" i="123" s="1"/>
  <c r="J181" i="123"/>
  <c r="Q180" i="123"/>
  <c r="M180" i="123"/>
  <c r="O179" i="123"/>
  <c r="Q179" i="123" s="1"/>
  <c r="N179" i="123"/>
  <c r="M179" i="123"/>
  <c r="J179" i="123"/>
  <c r="O178" i="123"/>
  <c r="Q178" i="123" s="1"/>
  <c r="N178" i="123"/>
  <c r="M178" i="123"/>
  <c r="Q177" i="123"/>
  <c r="M177" i="123"/>
  <c r="O176" i="123"/>
  <c r="Q176" i="123" s="1"/>
  <c r="N176" i="123"/>
  <c r="M176" i="123"/>
  <c r="P175" i="123"/>
  <c r="O175" i="123"/>
  <c r="M175" i="123"/>
  <c r="Q172" i="123"/>
  <c r="N172" i="123"/>
  <c r="M172" i="123"/>
  <c r="J172" i="123"/>
  <c r="Q171" i="123"/>
  <c r="M171" i="123"/>
  <c r="Q170" i="123"/>
  <c r="M170" i="123"/>
  <c r="Q168" i="123"/>
  <c r="N168" i="123"/>
  <c r="M168" i="123"/>
  <c r="O167" i="123"/>
  <c r="Q167" i="123" s="1"/>
  <c r="N167" i="123"/>
  <c r="K167" i="123"/>
  <c r="M167" i="123" s="1"/>
  <c r="J167" i="123"/>
  <c r="Q166" i="123"/>
  <c r="M166" i="123"/>
  <c r="O165" i="123"/>
  <c r="Q165" i="123" s="1"/>
  <c r="N165" i="123"/>
  <c r="M165" i="123"/>
  <c r="Q164" i="123"/>
  <c r="M164" i="123"/>
  <c r="Q163" i="123"/>
  <c r="N163" i="123"/>
  <c r="M163" i="123"/>
  <c r="J163" i="123"/>
  <c r="Q162" i="123"/>
  <c r="M162" i="123"/>
  <c r="Q161" i="123"/>
  <c r="M161" i="123"/>
  <c r="O160" i="123"/>
  <c r="Q160" i="123" s="1"/>
  <c r="N160" i="123"/>
  <c r="K160" i="123"/>
  <c r="M160" i="123" s="1"/>
  <c r="J160" i="123"/>
  <c r="Q159" i="123"/>
  <c r="M159" i="123"/>
  <c r="P158" i="123"/>
  <c r="O158" i="123"/>
  <c r="N158" i="123"/>
  <c r="M158" i="123"/>
  <c r="Q157" i="123"/>
  <c r="M157" i="123"/>
  <c r="Q156" i="123"/>
  <c r="M156" i="123"/>
  <c r="Q155" i="123"/>
  <c r="N155" i="123"/>
  <c r="M155" i="123"/>
  <c r="Q154" i="123"/>
  <c r="M154" i="123"/>
  <c r="Q153" i="123"/>
  <c r="M153" i="123"/>
  <c r="P152" i="123"/>
  <c r="O152" i="123"/>
  <c r="M152" i="123"/>
  <c r="O151" i="123"/>
  <c r="Q151" i="123" s="1"/>
  <c r="N151" i="123"/>
  <c r="M151" i="123"/>
  <c r="Q150" i="123"/>
  <c r="M150" i="123"/>
  <c r="Q149" i="123"/>
  <c r="N149" i="123"/>
  <c r="K149" i="123"/>
  <c r="M149" i="123" s="1"/>
  <c r="O146" i="123"/>
  <c r="N146" i="123"/>
  <c r="K146" i="123"/>
  <c r="J146" i="123"/>
  <c r="Q145" i="123"/>
  <c r="M145" i="123"/>
  <c r="Q144" i="123"/>
  <c r="M144" i="123"/>
  <c r="O143" i="123"/>
  <c r="Q143" i="123" s="1"/>
  <c r="N143" i="123"/>
  <c r="K143" i="123"/>
  <c r="M143" i="123" s="1"/>
  <c r="J143" i="123"/>
  <c r="Q142" i="123"/>
  <c r="M142" i="123"/>
  <c r="Q141" i="123"/>
  <c r="M141" i="123"/>
  <c r="P139" i="123"/>
  <c r="Q139" i="123" s="1"/>
  <c r="M139" i="123"/>
  <c r="Q138" i="123"/>
  <c r="N138" i="123"/>
  <c r="M138" i="123"/>
  <c r="J138" i="123"/>
  <c r="Q137" i="123"/>
  <c r="M137" i="123"/>
  <c r="P136" i="123"/>
  <c r="Q136" i="123" s="1"/>
  <c r="K136" i="123"/>
  <c r="M136" i="123" s="1"/>
  <c r="J136" i="123"/>
  <c r="N135" i="123"/>
  <c r="K135" i="123"/>
  <c r="M135" i="123" s="1"/>
  <c r="J135" i="123"/>
  <c r="P134" i="123"/>
  <c r="Q134" i="123" s="1"/>
  <c r="M134" i="123"/>
  <c r="O133" i="123"/>
  <c r="Q133" i="123" s="1"/>
  <c r="N133" i="123"/>
  <c r="M133" i="123"/>
  <c r="P132" i="123"/>
  <c r="O132" i="123"/>
  <c r="M132" i="123"/>
  <c r="O131" i="123"/>
  <c r="Q131" i="123" s="1"/>
  <c r="N131" i="123"/>
  <c r="M131" i="123"/>
  <c r="Q130" i="123"/>
  <c r="M130" i="123"/>
  <c r="P129" i="123"/>
  <c r="O129" i="123"/>
  <c r="N129" i="123"/>
  <c r="K129" i="123"/>
  <c r="M129" i="123" s="1"/>
  <c r="J129" i="123"/>
  <c r="Q128" i="123"/>
  <c r="M128" i="123"/>
  <c r="O127" i="123"/>
  <c r="Q127" i="123" s="1"/>
  <c r="N127" i="123"/>
  <c r="K127" i="123"/>
  <c r="M127" i="123" s="1"/>
  <c r="Q125" i="123"/>
  <c r="M125" i="123"/>
  <c r="P124" i="123"/>
  <c r="O124" i="123"/>
  <c r="N124" i="123"/>
  <c r="K124" i="123"/>
  <c r="M124" i="123" s="1"/>
  <c r="J124" i="123"/>
  <c r="P123" i="123"/>
  <c r="Q123" i="123" s="1"/>
  <c r="M123" i="123"/>
  <c r="O122" i="123"/>
  <c r="Q122" i="123" s="1"/>
  <c r="N122" i="123"/>
  <c r="K122" i="123"/>
  <c r="M122" i="123" s="1"/>
  <c r="J122" i="123"/>
  <c r="P121" i="123"/>
  <c r="Q121" i="123" s="1"/>
  <c r="M121" i="123"/>
  <c r="O120" i="123"/>
  <c r="Q120" i="123" s="1"/>
  <c r="N120" i="123"/>
  <c r="K120" i="123"/>
  <c r="M120" i="123" s="1"/>
  <c r="J120" i="123"/>
  <c r="Q119" i="123"/>
  <c r="M119" i="123"/>
  <c r="Q118" i="123"/>
  <c r="M118" i="123"/>
  <c r="J118" i="123"/>
  <c r="Q117" i="123"/>
  <c r="M117" i="123"/>
  <c r="Q116" i="123"/>
  <c r="N116" i="123"/>
  <c r="M116" i="123"/>
  <c r="J116" i="123"/>
  <c r="Q115" i="123"/>
  <c r="M115" i="123"/>
  <c r="O114" i="123"/>
  <c r="Q114" i="123" s="1"/>
  <c r="N114" i="123"/>
  <c r="M114" i="123"/>
  <c r="J114" i="123"/>
  <c r="Q113" i="123"/>
  <c r="M113" i="123"/>
  <c r="P112" i="123"/>
  <c r="N112" i="123"/>
  <c r="K112" i="123"/>
  <c r="M112" i="123" s="1"/>
  <c r="J112" i="123"/>
  <c r="P111" i="123"/>
  <c r="M111" i="123"/>
  <c r="Q110" i="123"/>
  <c r="N110" i="123"/>
  <c r="M110" i="123"/>
  <c r="P109" i="123"/>
  <c r="O109" i="123"/>
  <c r="N109" i="123"/>
  <c r="K109" i="123"/>
  <c r="M109" i="123" s="1"/>
  <c r="J109" i="123"/>
  <c r="P108" i="123"/>
  <c r="Q108" i="123" s="1"/>
  <c r="M108" i="123"/>
  <c r="Q107" i="123"/>
  <c r="N107" i="123"/>
  <c r="M107" i="123"/>
  <c r="Q106" i="123"/>
  <c r="M106" i="123"/>
  <c r="Q105" i="123"/>
  <c r="M105" i="123"/>
  <c r="P104" i="123"/>
  <c r="O104" i="123"/>
  <c r="N104" i="123"/>
  <c r="K104" i="123"/>
  <c r="M104" i="123" s="1"/>
  <c r="J104" i="123"/>
  <c r="Q103" i="123"/>
  <c r="M103" i="123"/>
  <c r="Q102" i="123"/>
  <c r="N102" i="123"/>
  <c r="K102" i="123"/>
  <c r="M102" i="123" s="1"/>
  <c r="J102" i="123"/>
  <c r="Q101" i="123"/>
  <c r="M101" i="123"/>
  <c r="O100" i="123"/>
  <c r="Q100" i="123" s="1"/>
  <c r="N100" i="123"/>
  <c r="K100" i="123"/>
  <c r="M100" i="123" s="1"/>
  <c r="Q99" i="123"/>
  <c r="M99" i="123"/>
  <c r="Q98" i="123"/>
  <c r="N98" i="123"/>
  <c r="K98" i="123"/>
  <c r="M98" i="123" s="1"/>
  <c r="J98" i="123"/>
  <c r="P97" i="123"/>
  <c r="Q97" i="123" s="1"/>
  <c r="M97" i="123"/>
  <c r="Q96" i="123"/>
  <c r="N96" i="123"/>
  <c r="K96" i="123"/>
  <c r="M96" i="123" s="1"/>
  <c r="J96" i="123"/>
  <c r="Q95" i="123"/>
  <c r="M95" i="123"/>
  <c r="Q94" i="123"/>
  <c r="N94" i="123"/>
  <c r="M94" i="123"/>
  <c r="O93" i="123"/>
  <c r="Q93" i="123" s="1"/>
  <c r="N93" i="123"/>
  <c r="K93" i="123"/>
  <c r="M93" i="123" s="1"/>
  <c r="J93" i="123"/>
  <c r="Q92" i="123"/>
  <c r="M92" i="123"/>
  <c r="P91" i="123"/>
  <c r="O91" i="123"/>
  <c r="N91" i="123"/>
  <c r="K91" i="123"/>
  <c r="M91" i="123" s="1"/>
  <c r="J91" i="123"/>
  <c r="Q90" i="123"/>
  <c r="M90" i="123"/>
  <c r="Q89" i="123"/>
  <c r="M89" i="123"/>
  <c r="P87" i="123"/>
  <c r="Q87" i="123" s="1"/>
  <c r="M87" i="123"/>
  <c r="O86" i="123"/>
  <c r="Q86" i="123" s="1"/>
  <c r="N86" i="123"/>
  <c r="K86" i="123"/>
  <c r="M86" i="123" s="1"/>
  <c r="J86" i="123"/>
  <c r="Q85" i="123"/>
  <c r="M85" i="123"/>
  <c r="Q84" i="123"/>
  <c r="M84" i="123"/>
  <c r="P83" i="123"/>
  <c r="Q83" i="123" s="1"/>
  <c r="M83" i="123"/>
  <c r="Q82" i="123"/>
  <c r="N82" i="123"/>
  <c r="M82" i="123"/>
  <c r="Q81" i="123"/>
  <c r="M81" i="123"/>
  <c r="O80" i="123"/>
  <c r="Q80" i="123" s="1"/>
  <c r="N80" i="123"/>
  <c r="M80" i="123"/>
  <c r="Q79" i="123"/>
  <c r="N79" i="123"/>
  <c r="M79" i="123"/>
  <c r="Q78" i="123"/>
  <c r="M78" i="123"/>
  <c r="Q77" i="123"/>
  <c r="K77" i="123"/>
  <c r="M77" i="123" s="1"/>
  <c r="J77" i="123"/>
  <c r="P76" i="123"/>
  <c r="O76" i="123"/>
  <c r="N76" i="123"/>
  <c r="K76" i="123"/>
  <c r="M76" i="123" s="1"/>
  <c r="O75" i="123"/>
  <c r="Q75" i="123" s="1"/>
  <c r="N75" i="123"/>
  <c r="M75" i="123"/>
  <c r="O74" i="123"/>
  <c r="Q74" i="123" s="1"/>
  <c r="N74" i="123"/>
  <c r="K74" i="123"/>
  <c r="M74" i="123" s="1"/>
  <c r="J74" i="123"/>
  <c r="Q73" i="123"/>
  <c r="M73" i="123"/>
  <c r="O72" i="123"/>
  <c r="Q72" i="123" s="1"/>
  <c r="N72" i="123"/>
  <c r="M72" i="123"/>
  <c r="P71" i="123"/>
  <c r="O71" i="123"/>
  <c r="N71" i="123"/>
  <c r="M71" i="123"/>
  <c r="P70" i="123"/>
  <c r="Q70" i="123" s="1"/>
  <c r="M70" i="123"/>
  <c r="Q69" i="123"/>
  <c r="N69" i="123"/>
  <c r="M69" i="123"/>
  <c r="Q68" i="123"/>
  <c r="M68" i="123"/>
  <c r="Q67" i="123"/>
  <c r="N67" i="123"/>
  <c r="M67" i="123"/>
  <c r="Q66" i="123"/>
  <c r="M66" i="123"/>
  <c r="P65" i="123"/>
  <c r="O65" i="123"/>
  <c r="N65" i="123"/>
  <c r="M65" i="123"/>
  <c r="O64" i="123"/>
  <c r="Q64" i="123" s="1"/>
  <c r="N64" i="123"/>
  <c r="K64" i="123"/>
  <c r="M64" i="123" s="1"/>
  <c r="J64" i="123"/>
  <c r="P63" i="123"/>
  <c r="Q63" i="123" s="1"/>
  <c r="M63" i="123"/>
  <c r="O62" i="123"/>
  <c r="Q62" i="123" s="1"/>
  <c r="N62" i="123"/>
  <c r="K62" i="123"/>
  <c r="M62" i="123" s="1"/>
  <c r="J62" i="123"/>
  <c r="Q61" i="123"/>
  <c r="M61" i="123"/>
  <c r="O60" i="123"/>
  <c r="Q60" i="123" s="1"/>
  <c r="N60" i="123"/>
  <c r="K60" i="123"/>
  <c r="M60" i="123" s="1"/>
  <c r="J60" i="123"/>
  <c r="P59" i="123"/>
  <c r="Q59" i="123" s="1"/>
  <c r="M59" i="123"/>
  <c r="O58" i="123"/>
  <c r="Q58" i="123" s="1"/>
  <c r="N58" i="123"/>
  <c r="K58" i="123"/>
  <c r="M58" i="123" s="1"/>
  <c r="J58" i="123"/>
  <c r="Q57" i="123"/>
  <c r="M57" i="123"/>
  <c r="Q56" i="123"/>
  <c r="N56" i="123"/>
  <c r="M56" i="123"/>
  <c r="Q54" i="123"/>
  <c r="M54" i="123"/>
  <c r="O53" i="123"/>
  <c r="Q53" i="123" s="1"/>
  <c r="N53" i="123"/>
  <c r="M53" i="123"/>
  <c r="Q52" i="123"/>
  <c r="M52" i="123"/>
  <c r="O51" i="123"/>
  <c r="Q51" i="123" s="1"/>
  <c r="N51" i="123"/>
  <c r="M51" i="123"/>
  <c r="J51" i="123"/>
  <c r="Q50" i="123"/>
  <c r="M50" i="123"/>
  <c r="P49" i="123"/>
  <c r="Q49" i="123" s="1"/>
  <c r="M49" i="123"/>
  <c r="P48" i="123"/>
  <c r="O48" i="123"/>
  <c r="N48" i="123"/>
  <c r="M48" i="123"/>
  <c r="J48" i="123"/>
  <c r="Q47" i="123"/>
  <c r="M47" i="123"/>
  <c r="O46" i="123"/>
  <c r="Q46" i="123" s="1"/>
  <c r="N46" i="123"/>
  <c r="K46" i="123"/>
  <c r="M46" i="123" s="1"/>
  <c r="J46" i="123"/>
  <c r="Q45" i="123"/>
  <c r="M45" i="123"/>
  <c r="P44" i="123"/>
  <c r="O44" i="123"/>
  <c r="N44" i="123"/>
  <c r="K44" i="123"/>
  <c r="M44" i="123" s="1"/>
  <c r="J44" i="123"/>
  <c r="P43" i="123"/>
  <c r="Q43" i="123" s="1"/>
  <c r="M43" i="123"/>
  <c r="P42" i="123"/>
  <c r="O42" i="123"/>
  <c r="N42" i="123"/>
  <c r="K42" i="123"/>
  <c r="M42" i="123" s="1"/>
  <c r="J42" i="123"/>
  <c r="Q41" i="123"/>
  <c r="M41" i="123"/>
  <c r="Q40" i="123"/>
  <c r="M40" i="123"/>
  <c r="Q39" i="123"/>
  <c r="M39" i="123"/>
  <c r="P38" i="123"/>
  <c r="O38" i="123"/>
  <c r="N38" i="123"/>
  <c r="K38" i="123"/>
  <c r="M38" i="123" s="1"/>
  <c r="J38" i="123"/>
  <c r="P37" i="123"/>
  <c r="O37" i="123"/>
  <c r="N37" i="123"/>
  <c r="K37" i="123"/>
  <c r="M37" i="123" s="1"/>
  <c r="J37" i="123"/>
  <c r="Q36" i="123"/>
  <c r="M36" i="123"/>
  <c r="Q35" i="123"/>
  <c r="M35" i="123"/>
  <c r="Q34" i="123"/>
  <c r="N34" i="123"/>
  <c r="M34" i="123"/>
  <c r="P33" i="123"/>
  <c r="O33" i="123"/>
  <c r="N33" i="123"/>
  <c r="M33" i="123"/>
  <c r="P32" i="123"/>
  <c r="Q32" i="123" s="1"/>
  <c r="M32" i="123"/>
  <c r="Q31" i="123"/>
  <c r="N31" i="123"/>
  <c r="M31" i="123"/>
  <c r="Q30" i="123"/>
  <c r="M30" i="123"/>
  <c r="P29" i="123"/>
  <c r="O29" i="123"/>
  <c r="N29" i="123"/>
  <c r="K29" i="123"/>
  <c r="M29" i="123" s="1"/>
  <c r="J29" i="123"/>
  <c r="O27" i="123"/>
  <c r="Q27" i="123" s="1"/>
  <c r="N27" i="123"/>
  <c r="K27" i="123"/>
  <c r="M27" i="123" s="1"/>
  <c r="J27" i="123"/>
  <c r="Q26" i="123"/>
  <c r="M26" i="123"/>
  <c r="Q25" i="123"/>
  <c r="M25" i="123"/>
  <c r="O24" i="123"/>
  <c r="Q24" i="123" s="1"/>
  <c r="N24" i="123"/>
  <c r="K24" i="123"/>
  <c r="M24" i="123" s="1"/>
  <c r="J24" i="123"/>
  <c r="P23" i="123"/>
  <c r="Q23" i="123" s="1"/>
  <c r="M23" i="123"/>
  <c r="Q22" i="123"/>
  <c r="N22" i="123"/>
  <c r="M22" i="123"/>
  <c r="J22" i="123"/>
  <c r="P21" i="123"/>
  <c r="Q21" i="123" s="1"/>
  <c r="M21" i="123"/>
  <c r="O20" i="123"/>
  <c r="Q20" i="123" s="1"/>
  <c r="N20" i="123"/>
  <c r="M20" i="123"/>
  <c r="O19" i="123"/>
  <c r="Q19" i="123" s="1"/>
  <c r="N19" i="123"/>
  <c r="K19" i="123"/>
  <c r="M19" i="123" s="1"/>
  <c r="P18" i="123"/>
  <c r="Q18" i="123" s="1"/>
  <c r="M18" i="123"/>
  <c r="O17" i="123"/>
  <c r="Q17" i="123" s="1"/>
  <c r="N17" i="123"/>
  <c r="K17" i="123"/>
  <c r="M17" i="123" s="1"/>
  <c r="J17" i="123"/>
  <c r="P16" i="123"/>
  <c r="Q16" i="123" s="1"/>
  <c r="M16" i="123"/>
  <c r="Q15" i="123"/>
  <c r="N15" i="123"/>
  <c r="M15" i="123"/>
  <c r="J15" i="123"/>
  <c r="Q14" i="123"/>
  <c r="M14" i="123"/>
  <c r="Q13" i="123"/>
  <c r="N13" i="123"/>
  <c r="K13" i="123"/>
  <c r="M13" i="123" s="1"/>
  <c r="J13" i="123"/>
  <c r="Q11" i="123"/>
  <c r="M11" i="123"/>
  <c r="O10" i="123"/>
  <c r="N10" i="123"/>
  <c r="K10" i="123"/>
  <c r="M10" i="123" s="1"/>
  <c r="B9" i="123"/>
  <c r="C9" i="123" s="1"/>
  <c r="D9" i="123" s="1"/>
  <c r="E9" i="123" s="1"/>
  <c r="F9" i="123" s="1"/>
  <c r="G9" i="123" s="1"/>
  <c r="H9" i="123" s="1"/>
  <c r="I9" i="123" s="1"/>
  <c r="J9" i="123" s="1"/>
  <c r="K9" i="123" s="1"/>
  <c r="L9" i="123" s="1"/>
  <c r="M9" i="123" s="1"/>
  <c r="N9" i="123" s="1"/>
  <c r="O9" i="123" s="1"/>
  <c r="P9" i="123" s="1"/>
  <c r="Q9" i="123" s="1"/>
  <c r="O112" i="122"/>
  <c r="O79" i="122"/>
  <c r="O171" i="122"/>
  <c r="O181" i="122"/>
  <c r="O183" i="122"/>
  <c r="O188" i="122"/>
  <c r="O20" i="122"/>
  <c r="O122" i="122"/>
  <c r="K120" i="122"/>
  <c r="O120" i="122"/>
  <c r="O104" i="122"/>
  <c r="K96" i="122"/>
  <c r="K98" i="122"/>
  <c r="K86" i="122"/>
  <c r="O80" i="122"/>
  <c r="K77" i="122"/>
  <c r="O71" i="122"/>
  <c r="O19" i="122"/>
  <c r="O64" i="122"/>
  <c r="O60" i="122"/>
  <c r="O37" i="122"/>
  <c r="K13" i="122"/>
  <c r="O10" i="122"/>
  <c r="O51" i="122"/>
  <c r="O74" i="122"/>
  <c r="O166" i="122"/>
  <c r="K74" i="122"/>
  <c r="K166" i="122"/>
  <c r="K148" i="122"/>
  <c r="O136" i="122"/>
  <c r="O62" i="122"/>
  <c r="O131" i="122"/>
  <c r="O127" i="122"/>
  <c r="K127" i="122"/>
  <c r="O129" i="122"/>
  <c r="K129" i="122"/>
  <c r="K122" i="122"/>
  <c r="O100" i="122"/>
  <c r="K100" i="122"/>
  <c r="O93" i="122"/>
  <c r="K93" i="122"/>
  <c r="O76" i="122"/>
  <c r="K76" i="122"/>
  <c r="O65" i="122"/>
  <c r="K64" i="122"/>
  <c r="K60" i="122"/>
  <c r="O53" i="122"/>
  <c r="K53" i="122"/>
  <c r="Q76" i="123" l="1"/>
  <c r="Q91" i="123"/>
  <c r="Q191" i="124"/>
  <c r="O191" i="123"/>
  <c r="Q129" i="123"/>
  <c r="Q175" i="123"/>
  <c r="Q184" i="123"/>
  <c r="Q29" i="123"/>
  <c r="Q37" i="123"/>
  <c r="Q65" i="123"/>
  <c r="Q71" i="123"/>
  <c r="Q124" i="123"/>
  <c r="Q158" i="123"/>
  <c r="K191" i="123"/>
  <c r="M191" i="123" s="1"/>
  <c r="N191" i="123"/>
  <c r="J191" i="123"/>
  <c r="Q33" i="123"/>
  <c r="Q38" i="123"/>
  <c r="Q42" i="123"/>
  <c r="Q44" i="123"/>
  <c r="Q48" i="123"/>
  <c r="Q104" i="123"/>
  <c r="Q109" i="123"/>
  <c r="Q111" i="123"/>
  <c r="Q112" i="123"/>
  <c r="Q132" i="123"/>
  <c r="Q152" i="123"/>
  <c r="Q182" i="123"/>
  <c r="P191" i="123"/>
  <c r="Q10" i="123"/>
  <c r="J177" i="122"/>
  <c r="N171" i="122"/>
  <c r="J171" i="122"/>
  <c r="N162" i="122"/>
  <c r="J162" i="122"/>
  <c r="N135" i="122"/>
  <c r="N148" i="122"/>
  <c r="N138" i="122"/>
  <c r="J138" i="122"/>
  <c r="N116" i="122"/>
  <c r="J116" i="122"/>
  <c r="J114" i="122"/>
  <c r="N107" i="122"/>
  <c r="N102" i="122"/>
  <c r="J102" i="122"/>
  <c r="N96" i="122"/>
  <c r="N98" i="122"/>
  <c r="N82" i="122"/>
  <c r="N76" i="122"/>
  <c r="N69" i="122"/>
  <c r="J48" i="122"/>
  <c r="N15" i="122"/>
  <c r="J15" i="122"/>
  <c r="L189" i="122"/>
  <c r="I189" i="122"/>
  <c r="H189" i="122"/>
  <c r="Q188" i="122"/>
  <c r="N188" i="122"/>
  <c r="M188" i="122"/>
  <c r="Q187" i="122"/>
  <c r="M187" i="122"/>
  <c r="Q186" i="122"/>
  <c r="M186" i="122"/>
  <c r="Q185" i="122"/>
  <c r="M185" i="122"/>
  <c r="O184" i="122"/>
  <c r="Q184" i="122" s="1"/>
  <c r="M184" i="122"/>
  <c r="Q183" i="122"/>
  <c r="N183" i="122"/>
  <c r="K183" i="122"/>
  <c r="M183" i="122" s="1"/>
  <c r="J183" i="122"/>
  <c r="P182" i="122"/>
  <c r="O182" i="122"/>
  <c r="M182" i="122"/>
  <c r="Q181" i="122"/>
  <c r="N181" i="122"/>
  <c r="M181" i="122"/>
  <c r="P180" i="122"/>
  <c r="O180" i="122"/>
  <c r="M180" i="122"/>
  <c r="O179" i="122"/>
  <c r="Q179" i="122" s="1"/>
  <c r="N179" i="122"/>
  <c r="K179" i="122"/>
  <c r="M179" i="122" s="1"/>
  <c r="J179" i="122"/>
  <c r="Q178" i="122"/>
  <c r="M178" i="122"/>
  <c r="O177" i="122"/>
  <c r="Q177" i="122" s="1"/>
  <c r="N177" i="122"/>
  <c r="K177" i="122"/>
  <c r="M177" i="122" s="1"/>
  <c r="O176" i="122"/>
  <c r="Q176" i="122" s="1"/>
  <c r="N176" i="122"/>
  <c r="M176" i="122"/>
  <c r="Q175" i="122"/>
  <c r="M175" i="122"/>
  <c r="O174" i="122"/>
  <c r="Q174" i="122" s="1"/>
  <c r="N174" i="122"/>
  <c r="M174" i="122"/>
  <c r="P173" i="122"/>
  <c r="O173" i="122"/>
  <c r="M173" i="122"/>
  <c r="Q171" i="122"/>
  <c r="K171" i="122"/>
  <c r="M171" i="122" s="1"/>
  <c r="Q170" i="122"/>
  <c r="M170" i="122"/>
  <c r="Q169" i="122"/>
  <c r="M169" i="122"/>
  <c r="Q167" i="122"/>
  <c r="N167" i="122"/>
  <c r="M167" i="122"/>
  <c r="Q166" i="122"/>
  <c r="N166" i="122"/>
  <c r="M166" i="122"/>
  <c r="J166" i="122"/>
  <c r="Q165" i="122"/>
  <c r="M165" i="122"/>
  <c r="O164" i="122"/>
  <c r="Q164" i="122" s="1"/>
  <c r="N164" i="122"/>
  <c r="M164" i="122"/>
  <c r="Q163" i="122"/>
  <c r="M163" i="122"/>
  <c r="O162" i="122"/>
  <c r="Q162" i="122" s="1"/>
  <c r="M162" i="122"/>
  <c r="Q161" i="122"/>
  <c r="M161" i="122"/>
  <c r="Q160" i="122"/>
  <c r="M160" i="122"/>
  <c r="O159" i="122"/>
  <c r="Q159" i="122" s="1"/>
  <c r="N159" i="122"/>
  <c r="K159" i="122"/>
  <c r="M159" i="122" s="1"/>
  <c r="J159" i="122"/>
  <c r="Q158" i="122"/>
  <c r="M158" i="122"/>
  <c r="P157" i="122"/>
  <c r="O157" i="122"/>
  <c r="N157" i="122"/>
  <c r="M157" i="122"/>
  <c r="Q156" i="122"/>
  <c r="M156" i="122"/>
  <c r="Q155" i="122"/>
  <c r="M155" i="122"/>
  <c r="Q154" i="122"/>
  <c r="N154" i="122"/>
  <c r="M154" i="122"/>
  <c r="Q153" i="122"/>
  <c r="M153" i="122"/>
  <c r="Q152" i="122"/>
  <c r="M152" i="122"/>
  <c r="P151" i="122"/>
  <c r="O151" i="122"/>
  <c r="M151" i="122"/>
  <c r="O150" i="122"/>
  <c r="Q150" i="122" s="1"/>
  <c r="N150" i="122"/>
  <c r="M150" i="122"/>
  <c r="Q149" i="122"/>
  <c r="M149" i="122"/>
  <c r="O148" i="122"/>
  <c r="Q148" i="122" s="1"/>
  <c r="M148" i="122"/>
  <c r="O146" i="122"/>
  <c r="N146" i="122"/>
  <c r="K146" i="122"/>
  <c r="J146" i="122"/>
  <c r="Q145" i="122"/>
  <c r="M145" i="122"/>
  <c r="Q144" i="122"/>
  <c r="M144" i="122"/>
  <c r="O143" i="122"/>
  <c r="Q143" i="122" s="1"/>
  <c r="N143" i="122"/>
  <c r="K143" i="122"/>
  <c r="M143" i="122" s="1"/>
  <c r="J143" i="122"/>
  <c r="Q142" i="122"/>
  <c r="M142" i="122"/>
  <c r="Q141" i="122"/>
  <c r="M141" i="122"/>
  <c r="P139" i="122"/>
  <c r="Q139" i="122" s="1"/>
  <c r="M139" i="122"/>
  <c r="O138" i="122"/>
  <c r="Q138" i="122" s="1"/>
  <c r="M138" i="122"/>
  <c r="Q137" i="122"/>
  <c r="M137" i="122"/>
  <c r="P136" i="122"/>
  <c r="Q136" i="122" s="1"/>
  <c r="N136" i="122"/>
  <c r="K136" i="122"/>
  <c r="M136" i="122" s="1"/>
  <c r="J136" i="122"/>
  <c r="O135" i="122"/>
  <c r="K135" i="122"/>
  <c r="M135" i="122" s="1"/>
  <c r="J135" i="122"/>
  <c r="P134" i="122"/>
  <c r="Q134" i="122" s="1"/>
  <c r="M134" i="122"/>
  <c r="O133" i="122"/>
  <c r="Q133" i="122" s="1"/>
  <c r="N133" i="122"/>
  <c r="M133" i="122"/>
  <c r="P132" i="122"/>
  <c r="O132" i="122"/>
  <c r="M132" i="122"/>
  <c r="Q131" i="122"/>
  <c r="N131" i="122"/>
  <c r="M131" i="122"/>
  <c r="Q130" i="122"/>
  <c r="M130" i="122"/>
  <c r="P129" i="122"/>
  <c r="Q129" i="122" s="1"/>
  <c r="N129" i="122"/>
  <c r="M129" i="122"/>
  <c r="J129" i="122"/>
  <c r="Q128" i="122"/>
  <c r="M128" i="122"/>
  <c r="Q127" i="122"/>
  <c r="N127" i="122"/>
  <c r="M127" i="122"/>
  <c r="Q125" i="122"/>
  <c r="M125" i="122"/>
  <c r="P124" i="122"/>
  <c r="O124" i="122"/>
  <c r="N124" i="122"/>
  <c r="K124" i="122"/>
  <c r="M124" i="122" s="1"/>
  <c r="J124" i="122"/>
  <c r="P123" i="122"/>
  <c r="Q123" i="122" s="1"/>
  <c r="M123" i="122"/>
  <c r="Q122" i="122"/>
  <c r="N122" i="122"/>
  <c r="M122" i="122"/>
  <c r="J122" i="122"/>
  <c r="P121" i="122"/>
  <c r="Q121" i="122" s="1"/>
  <c r="M121" i="122"/>
  <c r="Q120" i="122"/>
  <c r="N120" i="122"/>
  <c r="M120" i="122"/>
  <c r="J120" i="122"/>
  <c r="Q119" i="122"/>
  <c r="M119" i="122"/>
  <c r="Q118" i="122"/>
  <c r="N118" i="122"/>
  <c r="M118" i="122"/>
  <c r="J118" i="122"/>
  <c r="Q117" i="122"/>
  <c r="M117" i="122"/>
  <c r="O116" i="122"/>
  <c r="Q116" i="122" s="1"/>
  <c r="M116" i="122"/>
  <c r="Q115" i="122"/>
  <c r="M115" i="122"/>
  <c r="O114" i="122"/>
  <c r="Q114" i="122" s="1"/>
  <c r="N114" i="122"/>
  <c r="K114" i="122"/>
  <c r="M114" i="122" s="1"/>
  <c r="Q113" i="122"/>
  <c r="M113" i="122"/>
  <c r="P112" i="122"/>
  <c r="Q112" i="122" s="1"/>
  <c r="N112" i="122"/>
  <c r="K112" i="122"/>
  <c r="M112" i="122" s="1"/>
  <c r="J112" i="122"/>
  <c r="P111" i="122"/>
  <c r="O111" i="122"/>
  <c r="N111" i="122"/>
  <c r="K111" i="122"/>
  <c r="M111" i="122" s="1"/>
  <c r="J111" i="122"/>
  <c r="Q110" i="122"/>
  <c r="N110" i="122"/>
  <c r="M110" i="122"/>
  <c r="P109" i="122"/>
  <c r="O109" i="122"/>
  <c r="N109" i="122"/>
  <c r="K109" i="122"/>
  <c r="M109" i="122" s="1"/>
  <c r="J109" i="122"/>
  <c r="P108" i="122"/>
  <c r="Q108" i="122" s="1"/>
  <c r="M108" i="122"/>
  <c r="Q107" i="122"/>
  <c r="M107" i="122"/>
  <c r="O106" i="122"/>
  <c r="Q106" i="122" s="1"/>
  <c r="N106" i="122"/>
  <c r="M106" i="122"/>
  <c r="Q105" i="122"/>
  <c r="M105" i="122"/>
  <c r="P104" i="122"/>
  <c r="Q104" i="122" s="1"/>
  <c r="N104" i="122"/>
  <c r="K104" i="122"/>
  <c r="M104" i="122" s="1"/>
  <c r="J104" i="122"/>
  <c r="Q103" i="122"/>
  <c r="M103" i="122"/>
  <c r="O102" i="122"/>
  <c r="Q102" i="122" s="1"/>
  <c r="K102" i="122"/>
  <c r="M102" i="122" s="1"/>
  <c r="Q101" i="122"/>
  <c r="M101" i="122"/>
  <c r="Q100" i="122"/>
  <c r="N100" i="122"/>
  <c r="M100" i="122"/>
  <c r="Q99" i="122"/>
  <c r="M99" i="122"/>
  <c r="O98" i="122"/>
  <c r="Q98" i="122" s="1"/>
  <c r="M98" i="122"/>
  <c r="J98" i="122"/>
  <c r="P97" i="122"/>
  <c r="Q97" i="122" s="1"/>
  <c r="M97" i="122"/>
  <c r="Q96" i="122"/>
  <c r="M96" i="122"/>
  <c r="J96" i="122"/>
  <c r="Q95" i="122"/>
  <c r="M95" i="122"/>
  <c r="Q94" i="122"/>
  <c r="N94" i="122"/>
  <c r="M94" i="122"/>
  <c r="Q93" i="122"/>
  <c r="N93" i="122"/>
  <c r="M93" i="122"/>
  <c r="J93" i="122"/>
  <c r="Q92" i="122"/>
  <c r="N92" i="122"/>
  <c r="M92" i="122"/>
  <c r="P91" i="122"/>
  <c r="O91" i="122"/>
  <c r="N91" i="122"/>
  <c r="K91" i="122"/>
  <c r="M91" i="122" s="1"/>
  <c r="J91" i="122"/>
  <c r="Q90" i="122"/>
  <c r="M90" i="122"/>
  <c r="Q89" i="122"/>
  <c r="M89" i="122"/>
  <c r="P87" i="122"/>
  <c r="Q87" i="122" s="1"/>
  <c r="M87" i="122"/>
  <c r="O86" i="122"/>
  <c r="Q86" i="122" s="1"/>
  <c r="N86" i="122"/>
  <c r="M86" i="122"/>
  <c r="J86" i="122"/>
  <c r="Q85" i="122"/>
  <c r="M85" i="122"/>
  <c r="O84" i="122"/>
  <c r="Q84" i="122" s="1"/>
  <c r="N84" i="122"/>
  <c r="M84" i="122"/>
  <c r="J84" i="122"/>
  <c r="P83" i="122"/>
  <c r="Q83" i="122" s="1"/>
  <c r="M83" i="122"/>
  <c r="O82" i="122"/>
  <c r="Q82" i="122" s="1"/>
  <c r="M82" i="122"/>
  <c r="Q81" i="122"/>
  <c r="M81" i="122"/>
  <c r="Q80" i="122"/>
  <c r="N80" i="122"/>
  <c r="M80" i="122"/>
  <c r="Q79" i="122"/>
  <c r="N79" i="122"/>
  <c r="M79" i="122"/>
  <c r="Q78" i="122"/>
  <c r="M78" i="122"/>
  <c r="Q77" i="122"/>
  <c r="M77" i="122"/>
  <c r="J77" i="122"/>
  <c r="P76" i="122"/>
  <c r="Q76" i="122" s="1"/>
  <c r="M76" i="122"/>
  <c r="O75" i="122"/>
  <c r="Q75" i="122" s="1"/>
  <c r="N75" i="122"/>
  <c r="M75" i="122"/>
  <c r="Q74" i="122"/>
  <c r="N74" i="122"/>
  <c r="M74" i="122"/>
  <c r="J74" i="122"/>
  <c r="Q73" i="122"/>
  <c r="M73" i="122"/>
  <c r="O72" i="122"/>
  <c r="Q72" i="122" s="1"/>
  <c r="N72" i="122"/>
  <c r="M72" i="122"/>
  <c r="P71" i="122"/>
  <c r="Q71" i="122" s="1"/>
  <c r="N71" i="122"/>
  <c r="M71" i="122"/>
  <c r="P70" i="122"/>
  <c r="Q70" i="122" s="1"/>
  <c r="M70" i="122"/>
  <c r="O69" i="122"/>
  <c r="Q69" i="122" s="1"/>
  <c r="M69" i="122"/>
  <c r="P68" i="122"/>
  <c r="Q68" i="122" s="1"/>
  <c r="M68" i="122"/>
  <c r="Q67" i="122"/>
  <c r="N67" i="122"/>
  <c r="M67" i="122"/>
  <c r="Q66" i="122"/>
  <c r="M66" i="122"/>
  <c r="P65" i="122"/>
  <c r="Q65" i="122" s="1"/>
  <c r="N65" i="122"/>
  <c r="M65" i="122"/>
  <c r="Q64" i="122"/>
  <c r="N64" i="122"/>
  <c r="M64" i="122"/>
  <c r="J64" i="122"/>
  <c r="P63" i="122"/>
  <c r="Q63" i="122" s="1"/>
  <c r="M63" i="122"/>
  <c r="Q62" i="122"/>
  <c r="N62" i="122"/>
  <c r="K62" i="122"/>
  <c r="M62" i="122" s="1"/>
  <c r="J62" i="122"/>
  <c r="Q61" i="122"/>
  <c r="M61" i="122"/>
  <c r="Q60" i="122"/>
  <c r="N60" i="122"/>
  <c r="M60" i="122"/>
  <c r="J60" i="122"/>
  <c r="P59" i="122"/>
  <c r="Q59" i="122" s="1"/>
  <c r="M59" i="122"/>
  <c r="O58" i="122"/>
  <c r="Q58" i="122" s="1"/>
  <c r="N58" i="122"/>
  <c r="K58" i="122"/>
  <c r="M58" i="122" s="1"/>
  <c r="J58" i="122"/>
  <c r="Q57" i="122"/>
  <c r="M57" i="122"/>
  <c r="O56" i="122"/>
  <c r="Q56" i="122" s="1"/>
  <c r="N56" i="122"/>
  <c r="M56" i="122"/>
  <c r="Q54" i="122"/>
  <c r="M54" i="122"/>
  <c r="Q53" i="122"/>
  <c r="N53" i="122"/>
  <c r="M53" i="122"/>
  <c r="J53" i="122"/>
  <c r="Q52" i="122"/>
  <c r="M52" i="122"/>
  <c r="Q51" i="122"/>
  <c r="N51" i="122"/>
  <c r="M51" i="122"/>
  <c r="J51" i="122"/>
  <c r="Q50" i="122"/>
  <c r="M50" i="122"/>
  <c r="P49" i="122"/>
  <c r="Q49" i="122" s="1"/>
  <c r="M49" i="122"/>
  <c r="P48" i="122"/>
  <c r="O48" i="122"/>
  <c r="N48" i="122"/>
  <c r="K48" i="122"/>
  <c r="M48" i="122" s="1"/>
  <c r="Q47" i="122"/>
  <c r="M47" i="122"/>
  <c r="O46" i="122"/>
  <c r="Q46" i="122" s="1"/>
  <c r="N46" i="122"/>
  <c r="K46" i="122"/>
  <c r="M46" i="122" s="1"/>
  <c r="J46" i="122"/>
  <c r="Q45" i="122"/>
  <c r="M45" i="122"/>
  <c r="P44" i="122"/>
  <c r="O44" i="122"/>
  <c r="N44" i="122"/>
  <c r="K44" i="122"/>
  <c r="M44" i="122" s="1"/>
  <c r="J44" i="122"/>
  <c r="P43" i="122"/>
  <c r="Q43" i="122" s="1"/>
  <c r="M43" i="122"/>
  <c r="P42" i="122"/>
  <c r="O42" i="122"/>
  <c r="N42" i="122"/>
  <c r="K42" i="122"/>
  <c r="M42" i="122" s="1"/>
  <c r="J42" i="122"/>
  <c r="Q41" i="122"/>
  <c r="M41" i="122"/>
  <c r="Q40" i="122"/>
  <c r="M40" i="122"/>
  <c r="Q39" i="122"/>
  <c r="M39" i="122"/>
  <c r="P38" i="122"/>
  <c r="O38" i="122"/>
  <c r="N38" i="122"/>
  <c r="K38" i="122"/>
  <c r="M38" i="122" s="1"/>
  <c r="J38" i="122"/>
  <c r="P37" i="122"/>
  <c r="Q37" i="122" s="1"/>
  <c r="N37" i="122"/>
  <c r="K37" i="122"/>
  <c r="M37" i="122" s="1"/>
  <c r="J37" i="122"/>
  <c r="Q36" i="122"/>
  <c r="M36" i="122"/>
  <c r="O35" i="122"/>
  <c r="Q35" i="122" s="1"/>
  <c r="N35" i="122"/>
  <c r="M35" i="122"/>
  <c r="Q34" i="122"/>
  <c r="N34" i="122"/>
  <c r="M34" i="122"/>
  <c r="P33" i="122"/>
  <c r="O33" i="122"/>
  <c r="N33" i="122"/>
  <c r="M33" i="122"/>
  <c r="P32" i="122"/>
  <c r="Q32" i="122" s="1"/>
  <c r="M32" i="122"/>
  <c r="Q31" i="122"/>
  <c r="N31" i="122"/>
  <c r="M31" i="122"/>
  <c r="Q30" i="122"/>
  <c r="M30" i="122"/>
  <c r="P29" i="122"/>
  <c r="O29" i="122"/>
  <c r="N29" i="122"/>
  <c r="K29" i="122"/>
  <c r="M29" i="122" s="1"/>
  <c r="J29" i="122"/>
  <c r="O27" i="122"/>
  <c r="Q27" i="122" s="1"/>
  <c r="N27" i="122"/>
  <c r="K27" i="122"/>
  <c r="M27" i="122" s="1"/>
  <c r="J27" i="122"/>
  <c r="Q26" i="122"/>
  <c r="M26" i="122"/>
  <c r="O25" i="122"/>
  <c r="Q25" i="122" s="1"/>
  <c r="N25" i="122"/>
  <c r="M25" i="122"/>
  <c r="O24" i="122"/>
  <c r="Q24" i="122" s="1"/>
  <c r="N24" i="122"/>
  <c r="K24" i="122"/>
  <c r="M24" i="122" s="1"/>
  <c r="J24" i="122"/>
  <c r="P23" i="122"/>
  <c r="Q23" i="122" s="1"/>
  <c r="M23" i="122"/>
  <c r="Q22" i="122"/>
  <c r="N22" i="122"/>
  <c r="M22" i="122"/>
  <c r="J22" i="122"/>
  <c r="P21" i="122"/>
  <c r="Q21" i="122" s="1"/>
  <c r="M21" i="122"/>
  <c r="Q20" i="122"/>
  <c r="N20" i="122"/>
  <c r="M20" i="122"/>
  <c r="Q19" i="122"/>
  <c r="N19" i="122"/>
  <c r="K19" i="122"/>
  <c r="M19" i="122" s="1"/>
  <c r="J19" i="122"/>
  <c r="P18" i="122"/>
  <c r="Q18" i="122" s="1"/>
  <c r="M18" i="122"/>
  <c r="O17" i="122"/>
  <c r="Q17" i="122" s="1"/>
  <c r="N17" i="122"/>
  <c r="K17" i="122"/>
  <c r="M17" i="122" s="1"/>
  <c r="J17" i="122"/>
  <c r="P16" i="122"/>
  <c r="Q16" i="122" s="1"/>
  <c r="M16" i="122"/>
  <c r="O15" i="122"/>
  <c r="Q15" i="122" s="1"/>
  <c r="K15" i="122"/>
  <c r="M15" i="122" s="1"/>
  <c r="Q14" i="122"/>
  <c r="M14" i="122"/>
  <c r="Q13" i="122"/>
  <c r="N13" i="122"/>
  <c r="M13" i="122"/>
  <c r="J13" i="122"/>
  <c r="Q11" i="122"/>
  <c r="M11" i="122"/>
  <c r="N10" i="122"/>
  <c r="K10" i="122"/>
  <c r="M10" i="122" s="1"/>
  <c r="B9" i="122"/>
  <c r="C9" i="122" s="1"/>
  <c r="D9" i="122" s="1"/>
  <c r="E9" i="122" s="1"/>
  <c r="F9" i="122" s="1"/>
  <c r="G9" i="122" s="1"/>
  <c r="H9" i="122" s="1"/>
  <c r="I9" i="122" s="1"/>
  <c r="J9" i="122" s="1"/>
  <c r="K9" i="122" s="1"/>
  <c r="L9" i="122" s="1"/>
  <c r="M9" i="122" s="1"/>
  <c r="N9" i="122" s="1"/>
  <c r="O9" i="122" s="1"/>
  <c r="P9" i="122" s="1"/>
  <c r="Q9" i="122" s="1"/>
  <c r="Q191" i="123" l="1"/>
  <c r="Q33" i="122"/>
  <c r="Q48" i="122"/>
  <c r="O189" i="122"/>
  <c r="K189" i="122"/>
  <c r="N189" i="122"/>
  <c r="Q29" i="122"/>
  <c r="Q91" i="122"/>
  <c r="Q109" i="122"/>
  <c r="Q157" i="122"/>
  <c r="Q173" i="122"/>
  <c r="J189" i="122"/>
  <c r="P189" i="122"/>
  <c r="Q38" i="122"/>
  <c r="Q42" i="122"/>
  <c r="Q44" i="122"/>
  <c r="Q111" i="122"/>
  <c r="Q124" i="122"/>
  <c r="Q132" i="122"/>
  <c r="Q151" i="122"/>
  <c r="Q180" i="122"/>
  <c r="Q182" i="122"/>
  <c r="M189" i="122"/>
  <c r="Q10" i="122"/>
  <c r="K142" i="121"/>
  <c r="O131" i="121"/>
  <c r="K131" i="121"/>
  <c r="O87" i="121"/>
  <c r="K87" i="121"/>
  <c r="O108" i="121"/>
  <c r="K108" i="121"/>
  <c r="K165" i="121"/>
  <c r="K177" i="121"/>
  <c r="K171" i="121"/>
  <c r="O171" i="121"/>
  <c r="O168" i="121"/>
  <c r="O161" i="121"/>
  <c r="K161" i="121"/>
  <c r="K154" i="121"/>
  <c r="O154" i="121"/>
  <c r="O152" i="121"/>
  <c r="O143" i="121"/>
  <c r="K132" i="121"/>
  <c r="O132" i="121"/>
  <c r="O145" i="121"/>
  <c r="O59" i="121"/>
  <c r="K59" i="121"/>
  <c r="O134" i="121"/>
  <c r="O129" i="121"/>
  <c r="O125" i="121"/>
  <c r="O120" i="121"/>
  <c r="K120" i="121"/>
  <c r="K118" i="121"/>
  <c r="O118" i="121"/>
  <c r="O116" i="121"/>
  <c r="O110" i="121"/>
  <c r="O105" i="121"/>
  <c r="K105" i="121"/>
  <c r="K92" i="121"/>
  <c r="K94" i="121"/>
  <c r="O69" i="121"/>
  <c r="O44" i="121"/>
  <c r="K44" i="121"/>
  <c r="O26" i="121"/>
  <c r="K26" i="121"/>
  <c r="Q189" i="122" l="1"/>
  <c r="L183" i="121"/>
  <c r="I183" i="121"/>
  <c r="H183" i="121"/>
  <c r="O182" i="121"/>
  <c r="Q182" i="121" s="1"/>
  <c r="N182" i="121"/>
  <c r="M182" i="121"/>
  <c r="Q181" i="121"/>
  <c r="M181" i="121"/>
  <c r="Q180" i="121"/>
  <c r="M180" i="121"/>
  <c r="Q179" i="121"/>
  <c r="M179" i="121"/>
  <c r="O178" i="121"/>
  <c r="Q178" i="121" s="1"/>
  <c r="M178" i="121"/>
  <c r="O177" i="121"/>
  <c r="Q177" i="121" s="1"/>
  <c r="N177" i="121"/>
  <c r="M177" i="121"/>
  <c r="J177" i="121"/>
  <c r="P176" i="121"/>
  <c r="O176" i="121"/>
  <c r="M176" i="121"/>
  <c r="O175" i="121"/>
  <c r="Q175" i="121" s="1"/>
  <c r="N175" i="121"/>
  <c r="M175" i="121"/>
  <c r="P174" i="121"/>
  <c r="O174" i="121"/>
  <c r="M174" i="121"/>
  <c r="O173" i="121"/>
  <c r="Q173" i="121" s="1"/>
  <c r="N173" i="121"/>
  <c r="K173" i="121"/>
  <c r="M173" i="121" s="1"/>
  <c r="J173" i="121"/>
  <c r="Q172" i="121"/>
  <c r="M172" i="121"/>
  <c r="Q171" i="121"/>
  <c r="N171" i="121"/>
  <c r="M171" i="121"/>
  <c r="J171" i="121"/>
  <c r="O170" i="121"/>
  <c r="Q170" i="121" s="1"/>
  <c r="N170" i="121"/>
  <c r="M170" i="121"/>
  <c r="Q169" i="121"/>
  <c r="M169" i="121"/>
  <c r="Q168" i="121"/>
  <c r="N168" i="121"/>
  <c r="M168" i="121"/>
  <c r="P167" i="121"/>
  <c r="O167" i="121"/>
  <c r="M167" i="121"/>
  <c r="O165" i="121"/>
  <c r="Q165" i="121" s="1"/>
  <c r="N165" i="121"/>
  <c r="M165" i="121"/>
  <c r="J165" i="121"/>
  <c r="Q164" i="121"/>
  <c r="M164" i="121"/>
  <c r="Q163" i="121"/>
  <c r="M163" i="121"/>
  <c r="Q162" i="121"/>
  <c r="N162" i="121"/>
  <c r="M162" i="121"/>
  <c r="Q161" i="121"/>
  <c r="N161" i="121"/>
  <c r="M161" i="121"/>
  <c r="J161" i="121"/>
  <c r="Q160" i="121"/>
  <c r="M160" i="121"/>
  <c r="O159" i="121"/>
  <c r="Q159" i="121" s="1"/>
  <c r="N159" i="121"/>
  <c r="M159" i="121"/>
  <c r="Q158" i="121"/>
  <c r="M158" i="121"/>
  <c r="O157" i="121"/>
  <c r="Q157" i="121" s="1"/>
  <c r="N157" i="121"/>
  <c r="M157" i="121"/>
  <c r="Q156" i="121"/>
  <c r="M156" i="121"/>
  <c r="Q155" i="121"/>
  <c r="M155" i="121"/>
  <c r="Q154" i="121"/>
  <c r="N154" i="121"/>
  <c r="M154" i="121"/>
  <c r="J154" i="121"/>
  <c r="Q153" i="121"/>
  <c r="M153" i="121"/>
  <c r="P152" i="121"/>
  <c r="Q152" i="121" s="1"/>
  <c r="N152" i="121"/>
  <c r="M152" i="121"/>
  <c r="Q151" i="121"/>
  <c r="M151" i="121"/>
  <c r="Q150" i="121"/>
  <c r="M150" i="121"/>
  <c r="Q149" i="121"/>
  <c r="N149" i="121"/>
  <c r="M149" i="121"/>
  <c r="Q148" i="121"/>
  <c r="M148" i="121"/>
  <c r="Q147" i="121"/>
  <c r="M147" i="121"/>
  <c r="P146" i="121"/>
  <c r="O146" i="121"/>
  <c r="M146" i="121"/>
  <c r="Q145" i="121"/>
  <c r="N145" i="121"/>
  <c r="M145" i="121"/>
  <c r="Q144" i="121"/>
  <c r="M144" i="121"/>
  <c r="Q143" i="121"/>
  <c r="N143" i="121"/>
  <c r="M143" i="121"/>
  <c r="O142" i="121"/>
  <c r="N142" i="121"/>
  <c r="J142" i="121"/>
  <c r="Q141" i="121"/>
  <c r="M141" i="121"/>
  <c r="Q140" i="121"/>
  <c r="M140" i="121"/>
  <c r="O139" i="121"/>
  <c r="Q139" i="121" s="1"/>
  <c r="N139" i="121"/>
  <c r="K139" i="121"/>
  <c r="M139" i="121" s="1"/>
  <c r="J139" i="121"/>
  <c r="Q138" i="121"/>
  <c r="M138" i="121"/>
  <c r="Q137" i="121"/>
  <c r="M137" i="121"/>
  <c r="P135" i="121"/>
  <c r="Q135" i="121" s="1"/>
  <c r="M135" i="121"/>
  <c r="Q134" i="121"/>
  <c r="N134" i="121"/>
  <c r="M134" i="121"/>
  <c r="J134" i="121"/>
  <c r="Q133" i="121"/>
  <c r="M133" i="121"/>
  <c r="P132" i="121"/>
  <c r="Q132" i="121" s="1"/>
  <c r="N132" i="121"/>
  <c r="M132" i="121"/>
  <c r="J132" i="121"/>
  <c r="N131" i="121"/>
  <c r="M131" i="121"/>
  <c r="J131" i="121"/>
  <c r="P130" i="121"/>
  <c r="Q130" i="121" s="1"/>
  <c r="M130" i="121"/>
  <c r="Q129" i="121"/>
  <c r="N129" i="121"/>
  <c r="M129" i="121"/>
  <c r="P128" i="121"/>
  <c r="O128" i="121"/>
  <c r="M128" i="121"/>
  <c r="Q127" i="121"/>
  <c r="N127" i="121"/>
  <c r="M127" i="121"/>
  <c r="Q126" i="121"/>
  <c r="M126" i="121"/>
  <c r="P125" i="121"/>
  <c r="Q125" i="121" s="1"/>
  <c r="N125" i="121"/>
  <c r="M125" i="121"/>
  <c r="J125" i="121"/>
  <c r="Q124" i="121"/>
  <c r="M124" i="121"/>
  <c r="O123" i="121"/>
  <c r="Q123" i="121" s="1"/>
  <c r="N123" i="121"/>
  <c r="M123" i="121"/>
  <c r="Q121" i="121"/>
  <c r="M121" i="121"/>
  <c r="P120" i="121"/>
  <c r="Q120" i="121" s="1"/>
  <c r="N120" i="121"/>
  <c r="M120" i="121"/>
  <c r="J120" i="121"/>
  <c r="P119" i="121"/>
  <c r="Q119" i="121" s="1"/>
  <c r="M119" i="121"/>
  <c r="Q118" i="121"/>
  <c r="N118" i="121"/>
  <c r="M118" i="121"/>
  <c r="J118" i="121"/>
  <c r="P117" i="121"/>
  <c r="Q117" i="121" s="1"/>
  <c r="M117" i="121"/>
  <c r="Q116" i="121"/>
  <c r="N116" i="121"/>
  <c r="K116" i="121"/>
  <c r="M116" i="121" s="1"/>
  <c r="J116" i="121"/>
  <c r="Q115" i="121"/>
  <c r="M115" i="121"/>
  <c r="Q114" i="121"/>
  <c r="N114" i="121"/>
  <c r="M114" i="121"/>
  <c r="J114" i="121"/>
  <c r="Q113" i="121"/>
  <c r="M113" i="121"/>
  <c r="O112" i="121"/>
  <c r="Q112" i="121" s="1"/>
  <c r="N112" i="121"/>
  <c r="M112" i="121"/>
  <c r="Q111" i="121"/>
  <c r="M111" i="121"/>
  <c r="Q110" i="121"/>
  <c r="N110" i="121"/>
  <c r="K110" i="121"/>
  <c r="M110" i="121" s="1"/>
  <c r="J110" i="121"/>
  <c r="Q109" i="121"/>
  <c r="M109" i="121"/>
  <c r="P108" i="121"/>
  <c r="Q108" i="121" s="1"/>
  <c r="N108" i="121"/>
  <c r="M108" i="121"/>
  <c r="J108" i="121"/>
  <c r="P107" i="121"/>
  <c r="O107" i="121"/>
  <c r="N107" i="121"/>
  <c r="K107" i="121"/>
  <c r="M107" i="121" s="1"/>
  <c r="J107" i="121"/>
  <c r="Q106" i="121"/>
  <c r="N106" i="121"/>
  <c r="M106" i="121"/>
  <c r="P105" i="121"/>
  <c r="Q105" i="121" s="1"/>
  <c r="N105" i="121"/>
  <c r="M105" i="121"/>
  <c r="J105" i="121"/>
  <c r="P104" i="121"/>
  <c r="Q104" i="121" s="1"/>
  <c r="M104" i="121"/>
  <c r="Q103" i="121"/>
  <c r="N103" i="121"/>
  <c r="M103" i="121"/>
  <c r="O102" i="121"/>
  <c r="Q102" i="121" s="1"/>
  <c r="N102" i="121"/>
  <c r="M102" i="121"/>
  <c r="Q101" i="121"/>
  <c r="M101" i="121"/>
  <c r="P100" i="121"/>
  <c r="O100" i="121"/>
  <c r="N100" i="121"/>
  <c r="K100" i="121"/>
  <c r="M100" i="121" s="1"/>
  <c r="J100" i="121"/>
  <c r="Q99" i="121"/>
  <c r="M99" i="121"/>
  <c r="O98" i="121"/>
  <c r="Q98" i="121" s="1"/>
  <c r="N98" i="121"/>
  <c r="K98" i="121"/>
  <c r="M98" i="121" s="1"/>
  <c r="J98" i="121"/>
  <c r="Q97" i="121"/>
  <c r="M97" i="121"/>
  <c r="O96" i="121"/>
  <c r="Q96" i="121" s="1"/>
  <c r="N96" i="121"/>
  <c r="M96" i="121"/>
  <c r="Q95" i="121"/>
  <c r="M95" i="121"/>
  <c r="O94" i="121"/>
  <c r="Q94" i="121" s="1"/>
  <c r="N94" i="121"/>
  <c r="M94" i="121"/>
  <c r="J94" i="121"/>
  <c r="P93" i="121"/>
  <c r="Q93" i="121" s="1"/>
  <c r="M93" i="121"/>
  <c r="Q92" i="121"/>
  <c r="N92" i="121"/>
  <c r="M92" i="121"/>
  <c r="J92" i="121"/>
  <c r="Q91" i="121"/>
  <c r="M91" i="121"/>
  <c r="Q90" i="121"/>
  <c r="N90" i="121"/>
  <c r="M90" i="121"/>
  <c r="O89" i="121"/>
  <c r="Q89" i="121" s="1"/>
  <c r="N89" i="121"/>
  <c r="M89" i="121"/>
  <c r="J89" i="121"/>
  <c r="Q88" i="121"/>
  <c r="N88" i="121"/>
  <c r="M88" i="121"/>
  <c r="P87" i="121"/>
  <c r="Q87" i="121" s="1"/>
  <c r="N87" i="121"/>
  <c r="M87" i="121"/>
  <c r="J87" i="121"/>
  <c r="Q86" i="121"/>
  <c r="M86" i="121"/>
  <c r="Q85" i="121"/>
  <c r="M85" i="121"/>
  <c r="P84" i="121"/>
  <c r="Q84" i="121" s="1"/>
  <c r="M84" i="121"/>
  <c r="O83" i="121"/>
  <c r="Q83" i="121" s="1"/>
  <c r="N83" i="121"/>
  <c r="K83" i="121"/>
  <c r="M83" i="121" s="1"/>
  <c r="J83" i="121"/>
  <c r="Q82" i="121"/>
  <c r="M82" i="121"/>
  <c r="O81" i="121"/>
  <c r="Q81" i="121" s="1"/>
  <c r="N81" i="121"/>
  <c r="M81" i="121"/>
  <c r="J81" i="121"/>
  <c r="P80" i="121"/>
  <c r="Q80" i="121" s="1"/>
  <c r="M80" i="121"/>
  <c r="O79" i="121"/>
  <c r="Q79" i="121" s="1"/>
  <c r="N79" i="121"/>
  <c r="M79" i="121"/>
  <c r="Q78" i="121"/>
  <c r="M78" i="121"/>
  <c r="O77" i="121"/>
  <c r="Q77" i="121" s="1"/>
  <c r="N77" i="121"/>
  <c r="M77" i="121"/>
  <c r="O76" i="121"/>
  <c r="Q76" i="121" s="1"/>
  <c r="N76" i="121"/>
  <c r="M76" i="121"/>
  <c r="Q75" i="121"/>
  <c r="M75" i="121"/>
  <c r="Q74" i="121"/>
  <c r="K74" i="121"/>
  <c r="M74" i="121" s="1"/>
  <c r="J74" i="121"/>
  <c r="P73" i="121"/>
  <c r="O73" i="121"/>
  <c r="N73" i="121"/>
  <c r="M73" i="121"/>
  <c r="O72" i="121"/>
  <c r="Q72" i="121" s="1"/>
  <c r="N72" i="121"/>
  <c r="M72" i="121"/>
  <c r="O71" i="121"/>
  <c r="Q71" i="121" s="1"/>
  <c r="N71" i="121"/>
  <c r="K71" i="121"/>
  <c r="M71" i="121" s="1"/>
  <c r="J71" i="121"/>
  <c r="Q70" i="121"/>
  <c r="M70" i="121"/>
  <c r="Q69" i="121"/>
  <c r="N69" i="121"/>
  <c r="M69" i="121"/>
  <c r="P68" i="121"/>
  <c r="O68" i="121"/>
  <c r="N68" i="121"/>
  <c r="M68" i="121"/>
  <c r="P67" i="121"/>
  <c r="Q67" i="121" s="1"/>
  <c r="M67" i="121"/>
  <c r="O66" i="121"/>
  <c r="Q66" i="121" s="1"/>
  <c r="N66" i="121"/>
  <c r="M66" i="121"/>
  <c r="P65" i="121"/>
  <c r="Q65" i="121" s="1"/>
  <c r="M65" i="121"/>
  <c r="Q64" i="121"/>
  <c r="N64" i="121"/>
  <c r="M64" i="121"/>
  <c r="Q63" i="121"/>
  <c r="M63" i="121"/>
  <c r="P62" i="121"/>
  <c r="O62" i="121"/>
  <c r="N62" i="121"/>
  <c r="M62" i="121"/>
  <c r="O61" i="121"/>
  <c r="Q61" i="121" s="1"/>
  <c r="N61" i="121"/>
  <c r="M61" i="121"/>
  <c r="J61" i="121"/>
  <c r="P60" i="121"/>
  <c r="Q60" i="121" s="1"/>
  <c r="M60" i="121"/>
  <c r="Q59" i="121"/>
  <c r="N59" i="121"/>
  <c r="M59" i="121"/>
  <c r="J59" i="121"/>
  <c r="Q58" i="121"/>
  <c r="M58" i="121"/>
  <c r="O57" i="121"/>
  <c r="Q57" i="121" s="1"/>
  <c r="N57" i="121"/>
  <c r="K57" i="121"/>
  <c r="M57" i="121" s="1"/>
  <c r="J57" i="121"/>
  <c r="P56" i="121"/>
  <c r="Q56" i="121" s="1"/>
  <c r="M56" i="121"/>
  <c r="O55" i="121"/>
  <c r="Q55" i="121" s="1"/>
  <c r="N55" i="121"/>
  <c r="K55" i="121"/>
  <c r="M55" i="121" s="1"/>
  <c r="J55" i="121"/>
  <c r="Q54" i="121"/>
  <c r="M54" i="121"/>
  <c r="O53" i="121"/>
  <c r="Q53" i="121" s="1"/>
  <c r="N53" i="121"/>
  <c r="M53" i="121"/>
  <c r="Q52" i="121"/>
  <c r="M52" i="121"/>
  <c r="O51" i="121"/>
  <c r="Q51" i="121" s="1"/>
  <c r="N51" i="121"/>
  <c r="M51" i="121"/>
  <c r="J51" i="121"/>
  <c r="Q50" i="121"/>
  <c r="M50" i="121"/>
  <c r="O49" i="121"/>
  <c r="Q49" i="121" s="1"/>
  <c r="N49" i="121"/>
  <c r="M49" i="121"/>
  <c r="J49" i="121"/>
  <c r="Q48" i="121"/>
  <c r="M48" i="121"/>
  <c r="P47" i="121"/>
  <c r="Q47" i="121" s="1"/>
  <c r="M47" i="121"/>
  <c r="P46" i="121"/>
  <c r="O46" i="121"/>
  <c r="N46" i="121"/>
  <c r="K46" i="121"/>
  <c r="M46" i="121" s="1"/>
  <c r="J46" i="121"/>
  <c r="Q45" i="121"/>
  <c r="M45" i="121"/>
  <c r="Q44" i="121"/>
  <c r="N44" i="121"/>
  <c r="M44" i="121"/>
  <c r="J44" i="121"/>
  <c r="Q43" i="121"/>
  <c r="M43" i="121"/>
  <c r="P42" i="121"/>
  <c r="O42" i="121"/>
  <c r="N42" i="121"/>
  <c r="K42" i="121"/>
  <c r="M42" i="121" s="1"/>
  <c r="J42" i="121"/>
  <c r="P41" i="121"/>
  <c r="Q41" i="121" s="1"/>
  <c r="M41" i="121"/>
  <c r="P40" i="121"/>
  <c r="O40" i="121"/>
  <c r="N40" i="121"/>
  <c r="K40" i="121"/>
  <c r="M40" i="121" s="1"/>
  <c r="J40" i="121"/>
  <c r="Q39" i="121"/>
  <c r="M39" i="121"/>
  <c r="Q38" i="121"/>
  <c r="M38" i="121"/>
  <c r="Q37" i="121"/>
  <c r="M37" i="121"/>
  <c r="P36" i="121"/>
  <c r="O36" i="121"/>
  <c r="N36" i="121"/>
  <c r="K36" i="121"/>
  <c r="M36" i="121" s="1"/>
  <c r="J36" i="121"/>
  <c r="P35" i="121"/>
  <c r="Q35" i="121" s="1"/>
  <c r="N35" i="121"/>
  <c r="K35" i="121"/>
  <c r="M35" i="121" s="1"/>
  <c r="J35" i="121"/>
  <c r="Q34" i="121"/>
  <c r="M34" i="121"/>
  <c r="O33" i="121"/>
  <c r="Q33" i="121" s="1"/>
  <c r="N33" i="121"/>
  <c r="M33" i="121"/>
  <c r="Q32" i="121"/>
  <c r="N32" i="121"/>
  <c r="M32" i="121"/>
  <c r="P31" i="121"/>
  <c r="O31" i="121"/>
  <c r="N31" i="121"/>
  <c r="M31" i="121"/>
  <c r="P30" i="121"/>
  <c r="Q30" i="121" s="1"/>
  <c r="M30" i="121"/>
  <c r="Q29" i="121"/>
  <c r="N29" i="121"/>
  <c r="M29" i="121"/>
  <c r="Q28" i="121"/>
  <c r="M28" i="121"/>
  <c r="P27" i="121"/>
  <c r="O27" i="121"/>
  <c r="N27" i="121"/>
  <c r="K27" i="121"/>
  <c r="M27" i="121" s="1"/>
  <c r="J27" i="121"/>
  <c r="Q26" i="121"/>
  <c r="N26" i="121"/>
  <c r="M26" i="121"/>
  <c r="J26" i="121"/>
  <c r="Q25" i="121"/>
  <c r="M25" i="121"/>
  <c r="O24" i="121"/>
  <c r="Q24" i="121" s="1"/>
  <c r="N24" i="121"/>
  <c r="M24" i="121"/>
  <c r="O23" i="121"/>
  <c r="Q23" i="121" s="1"/>
  <c r="N23" i="121"/>
  <c r="K23" i="121"/>
  <c r="M23" i="121" s="1"/>
  <c r="J23" i="121"/>
  <c r="P22" i="121"/>
  <c r="Q22" i="121" s="1"/>
  <c r="M22" i="121"/>
  <c r="Q21" i="121"/>
  <c r="N21" i="121"/>
  <c r="M21" i="121"/>
  <c r="J21" i="121"/>
  <c r="P20" i="121"/>
  <c r="Q20" i="121" s="1"/>
  <c r="M20" i="121"/>
  <c r="O19" i="121"/>
  <c r="Q19" i="121" s="1"/>
  <c r="N19" i="121"/>
  <c r="M19" i="121"/>
  <c r="O18" i="121"/>
  <c r="Q18" i="121" s="1"/>
  <c r="N18" i="121"/>
  <c r="K18" i="121"/>
  <c r="M18" i="121" s="1"/>
  <c r="J18" i="121"/>
  <c r="P17" i="121"/>
  <c r="M17" i="121"/>
  <c r="O16" i="121"/>
  <c r="Q16" i="121" s="1"/>
  <c r="N16" i="121"/>
  <c r="K16" i="121"/>
  <c r="M16" i="121" s="1"/>
  <c r="J16" i="121"/>
  <c r="P15" i="121"/>
  <c r="Q15" i="121" s="1"/>
  <c r="M15" i="121"/>
  <c r="O14" i="121"/>
  <c r="Q14" i="121" s="1"/>
  <c r="N14" i="121"/>
  <c r="K14" i="121"/>
  <c r="M14" i="121" s="1"/>
  <c r="J14" i="121"/>
  <c r="Q13" i="121"/>
  <c r="M13" i="121"/>
  <c r="Q12" i="121"/>
  <c r="N12" i="121"/>
  <c r="M12" i="121"/>
  <c r="J12" i="121"/>
  <c r="Q11" i="121"/>
  <c r="M11" i="121"/>
  <c r="O10" i="121"/>
  <c r="N10" i="121"/>
  <c r="K10" i="121"/>
  <c r="M10" i="121" s="1"/>
  <c r="B9" i="121"/>
  <c r="C9" i="121" s="1"/>
  <c r="D9" i="121" s="1"/>
  <c r="E9" i="121" s="1"/>
  <c r="F9" i="121" s="1"/>
  <c r="G9" i="121" s="1"/>
  <c r="H9" i="121" s="1"/>
  <c r="I9" i="121" s="1"/>
  <c r="J9" i="121" s="1"/>
  <c r="K9" i="121" s="1"/>
  <c r="L9" i="121" s="1"/>
  <c r="M9" i="121" s="1"/>
  <c r="N9" i="121" s="1"/>
  <c r="O9" i="121" s="1"/>
  <c r="P9" i="121" s="1"/>
  <c r="Q9" i="121" s="1"/>
  <c r="Q100" i="121" l="1"/>
  <c r="Q167" i="121"/>
  <c r="Q27" i="121"/>
  <c r="Q36" i="121"/>
  <c r="Q40" i="121"/>
  <c r="Q42" i="121"/>
  <c r="Q46" i="121"/>
  <c r="Q62" i="121"/>
  <c r="Q73" i="121"/>
  <c r="Q107" i="121"/>
  <c r="Q128" i="121"/>
  <c r="Q146" i="121"/>
  <c r="Q174" i="121"/>
  <c r="Q176" i="121"/>
  <c r="O183" i="121"/>
  <c r="Q10" i="121"/>
  <c r="K183" i="121"/>
  <c r="M183" i="121" s="1"/>
  <c r="J183" i="121"/>
  <c r="N183" i="121"/>
  <c r="Q17" i="121"/>
  <c r="P183" i="121"/>
  <c r="Q31" i="121"/>
  <c r="Q68" i="121"/>
  <c r="Q38" i="120"/>
  <c r="M38" i="120"/>
  <c r="Q183" i="121" l="1"/>
  <c r="P15" i="120"/>
  <c r="P117" i="120"/>
  <c r="P93" i="120"/>
  <c r="P47" i="120"/>
  <c r="P17" i="120"/>
  <c r="P166" i="120"/>
  <c r="O166" i="120"/>
  <c r="O177" i="120"/>
  <c r="P175" i="120"/>
  <c r="O175" i="120"/>
  <c r="P173" i="120"/>
  <c r="O173" i="120"/>
  <c r="P146" i="120"/>
  <c r="O146" i="120"/>
  <c r="P60" i="120"/>
  <c r="P135" i="120"/>
  <c r="P130" i="120"/>
  <c r="P128" i="120"/>
  <c r="O128" i="120"/>
  <c r="P119" i="120"/>
  <c r="P104" i="120"/>
  <c r="P84" i="120"/>
  <c r="P80" i="120"/>
  <c r="P67" i="120"/>
  <c r="P65" i="120"/>
  <c r="P56" i="120"/>
  <c r="P41" i="120"/>
  <c r="P30" i="120"/>
  <c r="P22" i="120"/>
  <c r="P20" i="120"/>
  <c r="O100" i="120" l="1"/>
  <c r="K100" i="120"/>
  <c r="K83" i="120"/>
  <c r="O83" i="120"/>
  <c r="O77" i="120"/>
  <c r="O72" i="120"/>
  <c r="O68" i="120"/>
  <c r="O66" i="120"/>
  <c r="O62" i="120"/>
  <c r="O61" i="120"/>
  <c r="O51" i="120"/>
  <c r="O42" i="120"/>
  <c r="O40" i="120"/>
  <c r="K40" i="120"/>
  <c r="O36" i="120"/>
  <c r="K36" i="120"/>
  <c r="K35" i="120"/>
  <c r="O27" i="120"/>
  <c r="K27" i="120"/>
  <c r="O23" i="120"/>
  <c r="K23" i="120"/>
  <c r="K10" i="120"/>
  <c r="N131" i="120" l="1"/>
  <c r="J131" i="120"/>
  <c r="J142" i="120"/>
  <c r="J176" i="120"/>
  <c r="N170" i="120"/>
  <c r="J170" i="120"/>
  <c r="J165" i="120"/>
  <c r="N161" i="120"/>
  <c r="J161" i="120"/>
  <c r="N152" i="120"/>
  <c r="N143" i="120"/>
  <c r="N145" i="120"/>
  <c r="N132" i="120"/>
  <c r="J132" i="120"/>
  <c r="N134" i="120"/>
  <c r="J134" i="120"/>
  <c r="N129" i="120"/>
  <c r="N127" i="120"/>
  <c r="N125" i="120"/>
  <c r="J125" i="120"/>
  <c r="N120" i="120"/>
  <c r="J120" i="120"/>
  <c r="N118" i="120"/>
  <c r="J118" i="120"/>
  <c r="N116" i="120"/>
  <c r="N108" i="120"/>
  <c r="J108" i="120"/>
  <c r="N110" i="120"/>
  <c r="N105" i="120"/>
  <c r="J105" i="120"/>
  <c r="N87" i="120"/>
  <c r="J87" i="120"/>
  <c r="N100" i="120"/>
  <c r="J100" i="120"/>
  <c r="N92" i="120"/>
  <c r="J92" i="120"/>
  <c r="N94" i="120"/>
  <c r="J94" i="120"/>
  <c r="N83" i="120"/>
  <c r="J83" i="120"/>
  <c r="N77" i="120"/>
  <c r="N72" i="120"/>
  <c r="N68" i="120"/>
  <c r="N66" i="120"/>
  <c r="N62" i="120"/>
  <c r="N69" i="120"/>
  <c r="N53" i="120"/>
  <c r="N51" i="120"/>
  <c r="J51" i="120"/>
  <c r="N42" i="120"/>
  <c r="N44" i="120"/>
  <c r="J44" i="120"/>
  <c r="N40" i="120"/>
  <c r="J40" i="120"/>
  <c r="N36" i="120"/>
  <c r="J36" i="120"/>
  <c r="N35" i="120"/>
  <c r="J35" i="120"/>
  <c r="N33" i="120"/>
  <c r="N27" i="120"/>
  <c r="J27" i="120"/>
  <c r="N26" i="120"/>
  <c r="J26" i="120"/>
  <c r="N23" i="120"/>
  <c r="J23" i="120"/>
  <c r="J12" i="120"/>
  <c r="L182" i="120" l="1"/>
  <c r="I182" i="120"/>
  <c r="H182" i="120"/>
  <c r="O181" i="120"/>
  <c r="Q181" i="120" s="1"/>
  <c r="N181" i="120"/>
  <c r="M181" i="120"/>
  <c r="Q180" i="120"/>
  <c r="M180" i="120"/>
  <c r="Q179" i="120"/>
  <c r="M179" i="120"/>
  <c r="Q178" i="120"/>
  <c r="M178" i="120"/>
  <c r="Q177" i="120"/>
  <c r="M177" i="120"/>
  <c r="O176" i="120"/>
  <c r="Q176" i="120" s="1"/>
  <c r="N176" i="120"/>
  <c r="M176" i="120"/>
  <c r="Q175" i="120"/>
  <c r="M175" i="120"/>
  <c r="O174" i="120"/>
  <c r="Q174" i="120" s="1"/>
  <c r="N174" i="120"/>
  <c r="M174" i="120"/>
  <c r="Q173" i="120"/>
  <c r="M173" i="120"/>
  <c r="O172" i="120"/>
  <c r="Q172" i="120" s="1"/>
  <c r="N172" i="120"/>
  <c r="K172" i="120"/>
  <c r="M172" i="120" s="1"/>
  <c r="J172" i="120"/>
  <c r="Q171" i="120"/>
  <c r="M171" i="120"/>
  <c r="O170" i="120"/>
  <c r="Q170" i="120" s="1"/>
  <c r="M170" i="120"/>
  <c r="O169" i="120"/>
  <c r="Q169" i="120" s="1"/>
  <c r="N169" i="120"/>
  <c r="M169" i="120"/>
  <c r="Q168" i="120"/>
  <c r="M168" i="120"/>
  <c r="Q167" i="120"/>
  <c r="N167" i="120"/>
  <c r="M167" i="120"/>
  <c r="Q166" i="120"/>
  <c r="M166" i="120"/>
  <c r="O165" i="120"/>
  <c r="Q165" i="120" s="1"/>
  <c r="N165" i="120"/>
  <c r="K165" i="120"/>
  <c r="M165" i="120" s="1"/>
  <c r="Q164" i="120"/>
  <c r="M164" i="120"/>
  <c r="Q163" i="120"/>
  <c r="M163" i="120"/>
  <c r="Q162" i="120"/>
  <c r="N162" i="120"/>
  <c r="M162" i="120"/>
  <c r="O161" i="120"/>
  <c r="Q161" i="120" s="1"/>
  <c r="M161" i="120"/>
  <c r="Q160" i="120"/>
  <c r="M160" i="120"/>
  <c r="O159" i="120"/>
  <c r="Q159" i="120" s="1"/>
  <c r="N159" i="120"/>
  <c r="M159" i="120"/>
  <c r="Q158" i="120"/>
  <c r="M158" i="120"/>
  <c r="O157" i="120"/>
  <c r="Q157" i="120" s="1"/>
  <c r="N157" i="120"/>
  <c r="M157" i="120"/>
  <c r="Q156" i="120"/>
  <c r="M156" i="120"/>
  <c r="Q155" i="120"/>
  <c r="M155" i="120"/>
  <c r="Q154" i="120"/>
  <c r="N154" i="120"/>
  <c r="M154" i="120"/>
  <c r="J154" i="120"/>
  <c r="Q153" i="120"/>
  <c r="M153" i="120"/>
  <c r="P152" i="120"/>
  <c r="O152" i="120"/>
  <c r="M152" i="120"/>
  <c r="Q151" i="120"/>
  <c r="M151" i="120"/>
  <c r="Q150" i="120"/>
  <c r="M150" i="120"/>
  <c r="Q149" i="120"/>
  <c r="N149" i="120"/>
  <c r="M149" i="120"/>
  <c r="Q148" i="120"/>
  <c r="M148" i="120"/>
  <c r="Q147" i="120"/>
  <c r="M147" i="120"/>
  <c r="Q146" i="120"/>
  <c r="M146" i="120"/>
  <c r="Q145" i="120"/>
  <c r="M145" i="120"/>
  <c r="Q144" i="120"/>
  <c r="M144" i="120"/>
  <c r="O143" i="120"/>
  <c r="Q143" i="120" s="1"/>
  <c r="M143" i="120"/>
  <c r="O142" i="120"/>
  <c r="N142" i="120"/>
  <c r="Q141" i="120"/>
  <c r="M141" i="120"/>
  <c r="Q140" i="120"/>
  <c r="M140" i="120"/>
  <c r="O139" i="120"/>
  <c r="Q139" i="120" s="1"/>
  <c r="N139" i="120"/>
  <c r="K139" i="120"/>
  <c r="M139" i="120" s="1"/>
  <c r="J139" i="120"/>
  <c r="Q138" i="120"/>
  <c r="M138" i="120"/>
  <c r="Q137" i="120"/>
  <c r="M137" i="120"/>
  <c r="Q135" i="120"/>
  <c r="M135" i="120"/>
  <c r="Q134" i="120"/>
  <c r="M134" i="120"/>
  <c r="Q133" i="120"/>
  <c r="M133" i="120"/>
  <c r="P132" i="120"/>
  <c r="O132" i="120"/>
  <c r="K132" i="120"/>
  <c r="M132" i="120" s="1"/>
  <c r="O131" i="120"/>
  <c r="M131" i="120"/>
  <c r="Q130" i="120"/>
  <c r="M130" i="120"/>
  <c r="O129" i="120"/>
  <c r="Q129" i="120" s="1"/>
  <c r="M129" i="120"/>
  <c r="Q128" i="120"/>
  <c r="M128" i="120"/>
  <c r="Q127" i="120"/>
  <c r="M127" i="120"/>
  <c r="Q126" i="120"/>
  <c r="M126" i="120"/>
  <c r="P125" i="120"/>
  <c r="O125" i="120"/>
  <c r="M125" i="120"/>
  <c r="Q124" i="120"/>
  <c r="M124" i="120"/>
  <c r="O123" i="120"/>
  <c r="Q123" i="120" s="1"/>
  <c r="N123" i="120"/>
  <c r="M123" i="120"/>
  <c r="Q121" i="120"/>
  <c r="M121" i="120"/>
  <c r="P120" i="120"/>
  <c r="O120" i="120"/>
  <c r="M120" i="120"/>
  <c r="Q119" i="120"/>
  <c r="M119" i="120"/>
  <c r="O118" i="120"/>
  <c r="Q118" i="120" s="1"/>
  <c r="M118" i="120"/>
  <c r="Q117" i="120"/>
  <c r="M117" i="120"/>
  <c r="O116" i="120"/>
  <c r="Q116" i="120" s="1"/>
  <c r="K116" i="120"/>
  <c r="M116" i="120" s="1"/>
  <c r="J116" i="120"/>
  <c r="Q115" i="120"/>
  <c r="M115" i="120"/>
  <c r="Q114" i="120"/>
  <c r="N114" i="120"/>
  <c r="M114" i="120"/>
  <c r="J114" i="120"/>
  <c r="Q113" i="120"/>
  <c r="M113" i="120"/>
  <c r="O112" i="120"/>
  <c r="Q112" i="120" s="1"/>
  <c r="N112" i="120"/>
  <c r="M112" i="120"/>
  <c r="Q111" i="120"/>
  <c r="M111" i="120"/>
  <c r="O110" i="120"/>
  <c r="Q110" i="120" s="1"/>
  <c r="K110" i="120"/>
  <c r="M110" i="120" s="1"/>
  <c r="J110" i="120"/>
  <c r="Q109" i="120"/>
  <c r="M109" i="120"/>
  <c r="P108" i="120"/>
  <c r="O108" i="120"/>
  <c r="K108" i="120"/>
  <c r="M108" i="120" s="1"/>
  <c r="P107" i="120"/>
  <c r="O107" i="120"/>
  <c r="N107" i="120"/>
  <c r="K107" i="120"/>
  <c r="M107" i="120" s="1"/>
  <c r="J107" i="120"/>
  <c r="Q106" i="120"/>
  <c r="N106" i="120"/>
  <c r="M106" i="120"/>
  <c r="P105" i="120"/>
  <c r="O105" i="120"/>
  <c r="M105" i="120"/>
  <c r="Q104" i="120"/>
  <c r="M104" i="120"/>
  <c r="Q103" i="120"/>
  <c r="N103" i="120"/>
  <c r="M103" i="120"/>
  <c r="O102" i="120"/>
  <c r="Q102" i="120" s="1"/>
  <c r="N102" i="120"/>
  <c r="M102" i="120"/>
  <c r="Q101" i="120"/>
  <c r="M101" i="120"/>
  <c r="P100" i="120"/>
  <c r="Q100" i="120" s="1"/>
  <c r="M100" i="120"/>
  <c r="Q99" i="120"/>
  <c r="M99" i="120"/>
  <c r="O98" i="120"/>
  <c r="Q98" i="120" s="1"/>
  <c r="N98" i="120"/>
  <c r="K98" i="120"/>
  <c r="M98" i="120" s="1"/>
  <c r="J98" i="120"/>
  <c r="Q97" i="120"/>
  <c r="M97" i="120"/>
  <c r="O96" i="120"/>
  <c r="Q96" i="120" s="1"/>
  <c r="N96" i="120"/>
  <c r="M96" i="120"/>
  <c r="Q95" i="120"/>
  <c r="M95" i="120"/>
  <c r="O94" i="120"/>
  <c r="Q94" i="120" s="1"/>
  <c r="K94" i="120"/>
  <c r="M94" i="120" s="1"/>
  <c r="Q93" i="120"/>
  <c r="M93" i="120"/>
  <c r="Q92" i="120"/>
  <c r="M92" i="120"/>
  <c r="Q91" i="120"/>
  <c r="M91" i="120"/>
  <c r="Q90" i="120"/>
  <c r="N90" i="120"/>
  <c r="M90" i="120"/>
  <c r="O89" i="120"/>
  <c r="Q89" i="120" s="1"/>
  <c r="N89" i="120"/>
  <c r="M89" i="120"/>
  <c r="J89" i="120"/>
  <c r="Q88" i="120"/>
  <c r="N88" i="120"/>
  <c r="M88" i="120"/>
  <c r="P87" i="120"/>
  <c r="O87" i="120"/>
  <c r="K87" i="120"/>
  <c r="M87" i="120" s="1"/>
  <c r="Q86" i="120"/>
  <c r="M86" i="120"/>
  <c r="Q85" i="120"/>
  <c r="M85" i="120"/>
  <c r="Q84" i="120"/>
  <c r="M84" i="120"/>
  <c r="Q83" i="120"/>
  <c r="M83" i="120"/>
  <c r="Q82" i="120"/>
  <c r="M82" i="120"/>
  <c r="O81" i="120"/>
  <c r="Q81" i="120" s="1"/>
  <c r="N81" i="120"/>
  <c r="M81" i="120"/>
  <c r="J81" i="120"/>
  <c r="Q80" i="120"/>
  <c r="M80" i="120"/>
  <c r="O79" i="120"/>
  <c r="Q79" i="120" s="1"/>
  <c r="N79" i="120"/>
  <c r="M79" i="120"/>
  <c r="Q78" i="120"/>
  <c r="M78" i="120"/>
  <c r="Q77" i="120"/>
  <c r="M77" i="120"/>
  <c r="O76" i="120"/>
  <c r="Q76" i="120" s="1"/>
  <c r="N76" i="120"/>
  <c r="M76" i="120"/>
  <c r="Q75" i="120"/>
  <c r="M75" i="120"/>
  <c r="Q74" i="120"/>
  <c r="K74" i="120"/>
  <c r="M74" i="120" s="1"/>
  <c r="J74" i="120"/>
  <c r="P73" i="120"/>
  <c r="O73" i="120"/>
  <c r="N73" i="120"/>
  <c r="M73" i="120"/>
  <c r="Q72" i="120"/>
  <c r="M72" i="120"/>
  <c r="O71" i="120"/>
  <c r="Q71" i="120" s="1"/>
  <c r="N71" i="120"/>
  <c r="K71" i="120"/>
  <c r="M71" i="120" s="1"/>
  <c r="J71" i="120"/>
  <c r="Q70" i="120"/>
  <c r="M70" i="120"/>
  <c r="O69" i="120"/>
  <c r="Q69" i="120" s="1"/>
  <c r="M69" i="120"/>
  <c r="P68" i="120"/>
  <c r="Q68" i="120" s="1"/>
  <c r="M68" i="120"/>
  <c r="Q67" i="120"/>
  <c r="M67" i="120"/>
  <c r="Q66" i="120"/>
  <c r="M66" i="120"/>
  <c r="Q65" i="120"/>
  <c r="M65" i="120"/>
  <c r="Q64" i="120"/>
  <c r="N64" i="120"/>
  <c r="M64" i="120"/>
  <c r="Q63" i="120"/>
  <c r="M63" i="120"/>
  <c r="P62" i="120"/>
  <c r="Q62" i="120" s="1"/>
  <c r="M62" i="120"/>
  <c r="Q61" i="120"/>
  <c r="N61" i="120"/>
  <c r="M61" i="120"/>
  <c r="J61" i="120"/>
  <c r="Q60" i="120"/>
  <c r="M60" i="120"/>
  <c r="O59" i="120"/>
  <c r="Q59" i="120" s="1"/>
  <c r="N59" i="120"/>
  <c r="K59" i="120"/>
  <c r="M59" i="120" s="1"/>
  <c r="J59" i="120"/>
  <c r="Q58" i="120"/>
  <c r="M58" i="120"/>
  <c r="O57" i="120"/>
  <c r="Q57" i="120" s="1"/>
  <c r="N57" i="120"/>
  <c r="K57" i="120"/>
  <c r="M57" i="120" s="1"/>
  <c r="J57" i="120"/>
  <c r="Q56" i="120"/>
  <c r="M56" i="120"/>
  <c r="O55" i="120"/>
  <c r="Q55" i="120" s="1"/>
  <c r="N55" i="120"/>
  <c r="K55" i="120"/>
  <c r="M55" i="120" s="1"/>
  <c r="J55" i="120"/>
  <c r="Q54" i="120"/>
  <c r="M54" i="120"/>
  <c r="O53" i="120"/>
  <c r="Q53" i="120" s="1"/>
  <c r="M53" i="120"/>
  <c r="Q52" i="120"/>
  <c r="M52" i="120"/>
  <c r="Q51" i="120"/>
  <c r="M51" i="120"/>
  <c r="Q50" i="120"/>
  <c r="M50" i="120"/>
  <c r="O49" i="120"/>
  <c r="Q49" i="120" s="1"/>
  <c r="N49" i="120"/>
  <c r="M49" i="120"/>
  <c r="J49" i="120"/>
  <c r="Q48" i="120"/>
  <c r="M48" i="120"/>
  <c r="Q47" i="120"/>
  <c r="M47" i="120"/>
  <c r="P46" i="120"/>
  <c r="O46" i="120"/>
  <c r="N46" i="120"/>
  <c r="K46" i="120"/>
  <c r="M46" i="120" s="1"/>
  <c r="J46" i="120"/>
  <c r="Q45" i="120"/>
  <c r="M45" i="120"/>
  <c r="O44" i="120"/>
  <c r="Q44" i="120" s="1"/>
  <c r="M44" i="120"/>
  <c r="Q43" i="120"/>
  <c r="M43" i="120"/>
  <c r="P42" i="120"/>
  <c r="Q42" i="120" s="1"/>
  <c r="K42" i="120"/>
  <c r="M42" i="120" s="1"/>
  <c r="J42" i="120"/>
  <c r="Q41" i="120"/>
  <c r="M41" i="120"/>
  <c r="P40" i="120"/>
  <c r="Q40" i="120" s="1"/>
  <c r="M40" i="120"/>
  <c r="Q39" i="120"/>
  <c r="M39" i="120"/>
  <c r="Q37" i="120"/>
  <c r="M37" i="120"/>
  <c r="P36" i="120"/>
  <c r="Q36" i="120" s="1"/>
  <c r="M36" i="120"/>
  <c r="P35" i="120"/>
  <c r="Q35" i="120" s="1"/>
  <c r="M35" i="120"/>
  <c r="Q34" i="120"/>
  <c r="M34" i="120"/>
  <c r="O33" i="120"/>
  <c r="Q33" i="120" s="1"/>
  <c r="M33" i="120"/>
  <c r="Q32" i="120"/>
  <c r="N32" i="120"/>
  <c r="M32" i="120"/>
  <c r="P31" i="120"/>
  <c r="O31" i="120"/>
  <c r="N31" i="120"/>
  <c r="M31" i="120"/>
  <c r="Q30" i="120"/>
  <c r="M30" i="120"/>
  <c r="Q29" i="120"/>
  <c r="N29" i="120"/>
  <c r="M29" i="120"/>
  <c r="Q28" i="120"/>
  <c r="M28" i="120"/>
  <c r="P27" i="120"/>
  <c r="M27" i="120"/>
  <c r="O26" i="120"/>
  <c r="Q26" i="120" s="1"/>
  <c r="K26" i="120"/>
  <c r="M26" i="120" s="1"/>
  <c r="Q25" i="120"/>
  <c r="M25" i="120"/>
  <c r="O24" i="120"/>
  <c r="Q24" i="120" s="1"/>
  <c r="N24" i="120"/>
  <c r="M24" i="120"/>
  <c r="Q23" i="120"/>
  <c r="M23" i="120"/>
  <c r="Q22" i="120"/>
  <c r="M22" i="120"/>
  <c r="Q21" i="120"/>
  <c r="N21" i="120"/>
  <c r="M21" i="120"/>
  <c r="J21" i="120"/>
  <c r="Q20" i="120"/>
  <c r="M20" i="120"/>
  <c r="O19" i="120"/>
  <c r="Q19" i="120" s="1"/>
  <c r="N19" i="120"/>
  <c r="M19" i="120"/>
  <c r="O18" i="120"/>
  <c r="Q18" i="120" s="1"/>
  <c r="N18" i="120"/>
  <c r="K18" i="120"/>
  <c r="M18" i="120" s="1"/>
  <c r="J18" i="120"/>
  <c r="Q17" i="120"/>
  <c r="M17" i="120"/>
  <c r="O16" i="120"/>
  <c r="Q16" i="120" s="1"/>
  <c r="N16" i="120"/>
  <c r="K16" i="120"/>
  <c r="M16" i="120" s="1"/>
  <c r="J16" i="120"/>
  <c r="Q15" i="120"/>
  <c r="M15" i="120"/>
  <c r="O14" i="120"/>
  <c r="Q14" i="120" s="1"/>
  <c r="N14" i="120"/>
  <c r="K14" i="120"/>
  <c r="M14" i="120" s="1"/>
  <c r="J14" i="120"/>
  <c r="Q13" i="120"/>
  <c r="M13" i="120"/>
  <c r="Q12" i="120"/>
  <c r="N12" i="120"/>
  <c r="M12" i="120"/>
  <c r="Q11" i="120"/>
  <c r="M11" i="120"/>
  <c r="O10" i="120"/>
  <c r="N10" i="120"/>
  <c r="M10" i="120"/>
  <c r="B9" i="120"/>
  <c r="C9" i="120" s="1"/>
  <c r="D9" i="120" s="1"/>
  <c r="E9" i="120" s="1"/>
  <c r="F9" i="120" s="1"/>
  <c r="G9" i="120" s="1"/>
  <c r="H9" i="120" s="1"/>
  <c r="I9" i="120" s="1"/>
  <c r="J9" i="120" s="1"/>
  <c r="K9" i="120" s="1"/>
  <c r="L9" i="120" s="1"/>
  <c r="M9" i="120" s="1"/>
  <c r="N9" i="120" s="1"/>
  <c r="O9" i="120" s="1"/>
  <c r="P9" i="120" s="1"/>
  <c r="Q9" i="120" s="1"/>
  <c r="Q120" i="120" l="1"/>
  <c r="Q125" i="120"/>
  <c r="J182" i="120"/>
  <c r="Q87" i="120"/>
  <c r="N182" i="120"/>
  <c r="P182" i="120"/>
  <c r="Q31" i="120"/>
  <c r="Q107" i="120"/>
  <c r="O182" i="120"/>
  <c r="K182" i="120"/>
  <c r="M182" i="120" s="1"/>
  <c r="Q27" i="120"/>
  <c r="Q46" i="120"/>
  <c r="Q73" i="120"/>
  <c r="Q105" i="120"/>
  <c r="Q108" i="120"/>
  <c r="Q132" i="120"/>
  <c r="Q152" i="120"/>
  <c r="Q10" i="120"/>
  <c r="O143" i="119"/>
  <c r="K109" i="119"/>
  <c r="O171" i="119"/>
  <c r="O162" i="119"/>
  <c r="O121" i="119"/>
  <c r="K111" i="119"/>
  <c r="O99" i="119"/>
  <c r="K99" i="119"/>
  <c r="O101" i="119"/>
  <c r="O94" i="119"/>
  <c r="K94" i="119"/>
  <c r="O89" i="119"/>
  <c r="O81" i="119"/>
  <c r="K74" i="119"/>
  <c r="K108" i="119"/>
  <c r="O62" i="119"/>
  <c r="O69" i="119"/>
  <c r="O57" i="119"/>
  <c r="K57" i="119"/>
  <c r="O55" i="119"/>
  <c r="K55" i="119"/>
  <c r="O46" i="119"/>
  <c r="K46" i="119"/>
  <c r="O42" i="119"/>
  <c r="K42" i="119"/>
  <c r="O35" i="119"/>
  <c r="O27" i="119"/>
  <c r="O24" i="119"/>
  <c r="K16" i="119"/>
  <c r="O16" i="119"/>
  <c r="O49" i="119"/>
  <c r="O170" i="119"/>
  <c r="O160" i="119"/>
  <c r="O144" i="119"/>
  <c r="O59" i="119"/>
  <c r="K59" i="119"/>
  <c r="O124" i="119"/>
  <c r="O117" i="119"/>
  <c r="O111" i="119"/>
  <c r="O53" i="119"/>
  <c r="O44" i="119"/>
  <c r="O26" i="119"/>
  <c r="K26" i="119"/>
  <c r="O14" i="119"/>
  <c r="K14" i="119"/>
  <c r="O10" i="119"/>
  <c r="P109" i="119"/>
  <c r="P87" i="119"/>
  <c r="P133" i="119"/>
  <c r="P126" i="119"/>
  <c r="P121" i="119"/>
  <c r="P106" i="119"/>
  <c r="P101" i="119"/>
  <c r="P62" i="119"/>
  <c r="P46" i="119"/>
  <c r="P42" i="119"/>
  <c r="P35" i="119"/>
  <c r="P27" i="119"/>
  <c r="P31" i="119"/>
  <c r="Q182" i="120" l="1"/>
  <c r="Q180" i="119"/>
  <c r="M180" i="119"/>
  <c r="J74" i="119" l="1"/>
  <c r="N171" i="119"/>
  <c r="N162" i="119"/>
  <c r="N160" i="119"/>
  <c r="N144" i="119"/>
  <c r="N121" i="119"/>
  <c r="N109" i="119"/>
  <c r="J109" i="119"/>
  <c r="J111" i="119"/>
  <c r="N99" i="119"/>
  <c r="J99" i="119"/>
  <c r="N101" i="119"/>
  <c r="N94" i="119"/>
  <c r="J94" i="119"/>
  <c r="N81" i="119"/>
  <c r="J81" i="119"/>
  <c r="N62" i="119"/>
  <c r="N69" i="119"/>
  <c r="N57" i="119"/>
  <c r="J57" i="119"/>
  <c r="N46" i="119"/>
  <c r="N42" i="119"/>
  <c r="J42" i="119"/>
  <c r="N35" i="119"/>
  <c r="N27" i="119"/>
  <c r="N24" i="119"/>
  <c r="J18" i="119"/>
  <c r="N16" i="119"/>
  <c r="J16" i="119"/>
  <c r="L183" i="119"/>
  <c r="I183" i="119"/>
  <c r="H183" i="119"/>
  <c r="O182" i="119"/>
  <c r="Q182" i="119" s="1"/>
  <c r="N182" i="119"/>
  <c r="M182" i="119"/>
  <c r="Q181" i="119"/>
  <c r="M181" i="119"/>
  <c r="Q179" i="119"/>
  <c r="M179" i="119"/>
  <c r="Q178" i="119"/>
  <c r="M178" i="119"/>
  <c r="O177" i="119"/>
  <c r="Q177" i="119" s="1"/>
  <c r="N177" i="119"/>
  <c r="M177" i="119"/>
  <c r="Q176" i="119"/>
  <c r="M176" i="119"/>
  <c r="O175" i="119"/>
  <c r="Q175" i="119" s="1"/>
  <c r="N175" i="119"/>
  <c r="M175" i="119"/>
  <c r="Q174" i="119"/>
  <c r="M174" i="119"/>
  <c r="O173" i="119"/>
  <c r="Q173" i="119" s="1"/>
  <c r="N173" i="119"/>
  <c r="K173" i="119"/>
  <c r="M173" i="119" s="1"/>
  <c r="J173" i="119"/>
  <c r="Q172" i="119"/>
  <c r="M172" i="119"/>
  <c r="Q171" i="119"/>
  <c r="M171" i="119"/>
  <c r="Q170" i="119"/>
  <c r="N170" i="119"/>
  <c r="M170" i="119"/>
  <c r="Q169" i="119"/>
  <c r="M169" i="119"/>
  <c r="Q168" i="119"/>
  <c r="N168" i="119"/>
  <c r="M168" i="119"/>
  <c r="Q167" i="119"/>
  <c r="M167" i="119"/>
  <c r="O166" i="119"/>
  <c r="Q166" i="119" s="1"/>
  <c r="N166" i="119"/>
  <c r="K166" i="119"/>
  <c r="M166" i="119" s="1"/>
  <c r="J166" i="119"/>
  <c r="Q165" i="119"/>
  <c r="M165" i="119"/>
  <c r="Q164" i="119"/>
  <c r="M164" i="119"/>
  <c r="Q163" i="119"/>
  <c r="N163" i="119"/>
  <c r="M163" i="119"/>
  <c r="Q162" i="119"/>
  <c r="M162" i="119"/>
  <c r="Q161" i="119"/>
  <c r="M161" i="119"/>
  <c r="Q160" i="119"/>
  <c r="M160" i="119"/>
  <c r="Q159" i="119"/>
  <c r="M159" i="119"/>
  <c r="O158" i="119"/>
  <c r="Q158" i="119" s="1"/>
  <c r="N158" i="119"/>
  <c r="M158" i="119"/>
  <c r="Q157" i="119"/>
  <c r="M157" i="119"/>
  <c r="Q156" i="119"/>
  <c r="M156" i="119"/>
  <c r="Q155" i="119"/>
  <c r="N155" i="119"/>
  <c r="M155" i="119"/>
  <c r="J155" i="119"/>
  <c r="Q154" i="119"/>
  <c r="M154" i="119"/>
  <c r="P153" i="119"/>
  <c r="O153" i="119"/>
  <c r="N153" i="119"/>
  <c r="M153" i="119"/>
  <c r="Q152" i="119"/>
  <c r="M152" i="119"/>
  <c r="Q151" i="119"/>
  <c r="M151" i="119"/>
  <c r="Q150" i="119"/>
  <c r="N150" i="119"/>
  <c r="M150" i="119"/>
  <c r="Q149" i="119"/>
  <c r="M149" i="119"/>
  <c r="Q148" i="119"/>
  <c r="M148" i="119"/>
  <c r="Q147" i="119"/>
  <c r="M147" i="119"/>
  <c r="Q146" i="119"/>
  <c r="M146" i="119"/>
  <c r="Q145" i="119"/>
  <c r="M145" i="119"/>
  <c r="Q144" i="119"/>
  <c r="M144" i="119"/>
  <c r="N143" i="119"/>
  <c r="Q142" i="119"/>
  <c r="M142" i="119"/>
  <c r="Q141" i="119"/>
  <c r="M141" i="119"/>
  <c r="O140" i="119"/>
  <c r="Q140" i="119" s="1"/>
  <c r="N140" i="119"/>
  <c r="K140" i="119"/>
  <c r="M140" i="119" s="1"/>
  <c r="J140" i="119"/>
  <c r="Q139" i="119"/>
  <c r="M139" i="119"/>
  <c r="Q138" i="119"/>
  <c r="M138" i="119"/>
  <c r="Q136" i="119"/>
  <c r="M136" i="119"/>
  <c r="Q135" i="119"/>
  <c r="M135" i="119"/>
  <c r="Q134" i="119"/>
  <c r="M134" i="119"/>
  <c r="O133" i="119"/>
  <c r="Q133" i="119" s="1"/>
  <c r="N133" i="119"/>
  <c r="K133" i="119"/>
  <c r="M133" i="119" s="1"/>
  <c r="J133" i="119"/>
  <c r="O132" i="119"/>
  <c r="N132" i="119"/>
  <c r="M132" i="119"/>
  <c r="Q131" i="119"/>
  <c r="M131" i="119"/>
  <c r="O130" i="119"/>
  <c r="Q130" i="119" s="1"/>
  <c r="N130" i="119"/>
  <c r="M130" i="119"/>
  <c r="Q129" i="119"/>
  <c r="M129" i="119"/>
  <c r="Q128" i="119"/>
  <c r="M128" i="119"/>
  <c r="Q127" i="119"/>
  <c r="M127" i="119"/>
  <c r="O126" i="119"/>
  <c r="Q126" i="119" s="1"/>
  <c r="N126" i="119"/>
  <c r="M126" i="119"/>
  <c r="Q125" i="119"/>
  <c r="M125" i="119"/>
  <c r="Q124" i="119"/>
  <c r="N124" i="119"/>
  <c r="M124" i="119"/>
  <c r="Q122" i="119"/>
  <c r="M122" i="119"/>
  <c r="Q121" i="119"/>
  <c r="M121" i="119"/>
  <c r="Q120" i="119"/>
  <c r="M120" i="119"/>
  <c r="O119" i="119"/>
  <c r="Q119" i="119" s="1"/>
  <c r="N119" i="119"/>
  <c r="M119" i="119"/>
  <c r="J119" i="119"/>
  <c r="Q118" i="119"/>
  <c r="M118" i="119"/>
  <c r="Q117" i="119"/>
  <c r="N117" i="119"/>
  <c r="K117" i="119"/>
  <c r="M117" i="119" s="1"/>
  <c r="J117" i="119"/>
  <c r="Q116" i="119"/>
  <c r="M116" i="119"/>
  <c r="Q115" i="119"/>
  <c r="N115" i="119"/>
  <c r="M115" i="119"/>
  <c r="J115" i="119"/>
  <c r="Q114" i="119"/>
  <c r="M114" i="119"/>
  <c r="O113" i="119"/>
  <c r="Q113" i="119" s="1"/>
  <c r="N113" i="119"/>
  <c r="M113" i="119"/>
  <c r="Q112" i="119"/>
  <c r="M112" i="119"/>
  <c r="Q111" i="119"/>
  <c r="N111" i="119"/>
  <c r="M111" i="119"/>
  <c r="Q110" i="119"/>
  <c r="M110" i="119"/>
  <c r="O109" i="119"/>
  <c r="Q109" i="119" s="1"/>
  <c r="M109" i="119"/>
  <c r="P108" i="119"/>
  <c r="O108" i="119"/>
  <c r="N108" i="119"/>
  <c r="M108" i="119"/>
  <c r="J108" i="119"/>
  <c r="Q107" i="119"/>
  <c r="N107" i="119"/>
  <c r="M107" i="119"/>
  <c r="O106" i="119"/>
  <c r="Q106" i="119" s="1"/>
  <c r="N106" i="119"/>
  <c r="M106" i="119"/>
  <c r="Q105" i="119"/>
  <c r="M105" i="119"/>
  <c r="Q104" i="119"/>
  <c r="N104" i="119"/>
  <c r="M104" i="119"/>
  <c r="O103" i="119"/>
  <c r="Q103" i="119" s="1"/>
  <c r="N103" i="119"/>
  <c r="M103" i="119"/>
  <c r="Q102" i="119"/>
  <c r="M102" i="119"/>
  <c r="Q101" i="119"/>
  <c r="M101" i="119"/>
  <c r="Q100" i="119"/>
  <c r="M100" i="119"/>
  <c r="Q99" i="119"/>
  <c r="M99" i="119"/>
  <c r="Q98" i="119"/>
  <c r="M98" i="119"/>
  <c r="O96" i="119"/>
  <c r="Q96" i="119" s="1"/>
  <c r="N96" i="119"/>
  <c r="M96" i="119"/>
  <c r="Q95" i="119"/>
  <c r="M95" i="119"/>
  <c r="Q94" i="119"/>
  <c r="M94" i="119"/>
  <c r="Q93" i="119"/>
  <c r="M93" i="119"/>
  <c r="Q92" i="119"/>
  <c r="M92" i="119"/>
  <c r="Q91" i="119"/>
  <c r="M91" i="119"/>
  <c r="Q90" i="119"/>
  <c r="N90" i="119"/>
  <c r="M90" i="119"/>
  <c r="Q89" i="119"/>
  <c r="N89" i="119"/>
  <c r="M89" i="119"/>
  <c r="J89" i="119"/>
  <c r="O87" i="119"/>
  <c r="Q87" i="119" s="1"/>
  <c r="N87" i="119"/>
  <c r="K87" i="119"/>
  <c r="M87" i="119" s="1"/>
  <c r="J87" i="119"/>
  <c r="Q86" i="119"/>
  <c r="M86" i="119"/>
  <c r="Q85" i="119"/>
  <c r="M85" i="119"/>
  <c r="Q84" i="119"/>
  <c r="M84" i="119"/>
  <c r="O83" i="119"/>
  <c r="Q83" i="119" s="1"/>
  <c r="N83" i="119"/>
  <c r="M83" i="119"/>
  <c r="Q82" i="119"/>
  <c r="M82" i="119"/>
  <c r="Q81" i="119"/>
  <c r="M81" i="119"/>
  <c r="Q80" i="119"/>
  <c r="M80" i="119"/>
  <c r="O79" i="119"/>
  <c r="Q79" i="119" s="1"/>
  <c r="N79" i="119"/>
  <c r="M79" i="119"/>
  <c r="Q78" i="119"/>
  <c r="M78" i="119"/>
  <c r="Q77" i="119"/>
  <c r="M77" i="119"/>
  <c r="O76" i="119"/>
  <c r="Q76" i="119" s="1"/>
  <c r="N76" i="119"/>
  <c r="M76" i="119"/>
  <c r="Q75" i="119"/>
  <c r="M75" i="119"/>
  <c r="Q74" i="119"/>
  <c r="M74" i="119"/>
  <c r="P73" i="119"/>
  <c r="O73" i="119"/>
  <c r="N73" i="119"/>
  <c r="M73" i="119"/>
  <c r="Q72" i="119"/>
  <c r="M72" i="119"/>
  <c r="O71" i="119"/>
  <c r="Q71" i="119" s="1"/>
  <c r="N71" i="119"/>
  <c r="K71" i="119"/>
  <c r="M71" i="119" s="1"/>
  <c r="J71" i="119"/>
  <c r="Q70" i="119"/>
  <c r="M70" i="119"/>
  <c r="Q69" i="119"/>
  <c r="M69" i="119"/>
  <c r="P68" i="119"/>
  <c r="O68" i="119"/>
  <c r="N68" i="119"/>
  <c r="M68" i="119"/>
  <c r="Q67" i="119"/>
  <c r="M67" i="119"/>
  <c r="O66" i="119"/>
  <c r="Q66" i="119" s="1"/>
  <c r="N66" i="119"/>
  <c r="M66" i="119"/>
  <c r="Q65" i="119"/>
  <c r="M65" i="119"/>
  <c r="Q64" i="119"/>
  <c r="N64" i="119"/>
  <c r="M64" i="119"/>
  <c r="Q63" i="119"/>
  <c r="N63" i="119"/>
  <c r="M63" i="119"/>
  <c r="Q62" i="119"/>
  <c r="M62" i="119"/>
  <c r="O61" i="119"/>
  <c r="Q61" i="119" s="1"/>
  <c r="N61" i="119"/>
  <c r="M61" i="119"/>
  <c r="J61" i="119"/>
  <c r="Q60" i="119"/>
  <c r="M60" i="119"/>
  <c r="Q59" i="119"/>
  <c r="N59" i="119"/>
  <c r="M59" i="119"/>
  <c r="J59" i="119"/>
  <c r="Q58" i="119"/>
  <c r="M58" i="119"/>
  <c r="Q57" i="119"/>
  <c r="M57" i="119"/>
  <c r="Q56" i="119"/>
  <c r="M56" i="119"/>
  <c r="Q55" i="119"/>
  <c r="N55" i="119"/>
  <c r="M55" i="119"/>
  <c r="J55" i="119"/>
  <c r="Q54" i="119"/>
  <c r="M54" i="119"/>
  <c r="Q53" i="119"/>
  <c r="M53" i="119"/>
  <c r="Q52" i="119"/>
  <c r="M52" i="119"/>
  <c r="O51" i="119"/>
  <c r="Q51" i="119" s="1"/>
  <c r="M51" i="119"/>
  <c r="J51" i="119"/>
  <c r="Q50" i="119"/>
  <c r="M50" i="119"/>
  <c r="Q49" i="119"/>
  <c r="N49" i="119"/>
  <c r="M49" i="119"/>
  <c r="J49" i="119"/>
  <c r="Q48" i="119"/>
  <c r="N48" i="119"/>
  <c r="M48" i="119"/>
  <c r="Q47" i="119"/>
  <c r="M47" i="119"/>
  <c r="Q46" i="119"/>
  <c r="M46" i="119"/>
  <c r="J46" i="119"/>
  <c r="Q45" i="119"/>
  <c r="M45" i="119"/>
  <c r="Q44" i="119"/>
  <c r="N44" i="119"/>
  <c r="M44" i="119"/>
  <c r="Q43" i="119"/>
  <c r="M43" i="119"/>
  <c r="Q42" i="119"/>
  <c r="M42" i="119"/>
  <c r="Q41" i="119"/>
  <c r="M41" i="119"/>
  <c r="P40" i="119"/>
  <c r="O40" i="119"/>
  <c r="N40" i="119"/>
  <c r="M40" i="119"/>
  <c r="J40" i="119"/>
  <c r="Q39" i="119"/>
  <c r="M39" i="119"/>
  <c r="Q37" i="119"/>
  <c r="M37" i="119"/>
  <c r="P36" i="119"/>
  <c r="O36" i="119"/>
  <c r="N36" i="119"/>
  <c r="M36" i="119"/>
  <c r="Q35" i="119"/>
  <c r="M35" i="119"/>
  <c r="Q34" i="119"/>
  <c r="M34" i="119"/>
  <c r="O33" i="119"/>
  <c r="Q33" i="119" s="1"/>
  <c r="N33" i="119"/>
  <c r="M33" i="119"/>
  <c r="Q32" i="119"/>
  <c r="N32" i="119"/>
  <c r="M32" i="119"/>
  <c r="O31" i="119"/>
  <c r="Q31" i="119" s="1"/>
  <c r="N31" i="119"/>
  <c r="M31" i="119"/>
  <c r="Q30" i="119"/>
  <c r="M30" i="119"/>
  <c r="Q29" i="119"/>
  <c r="N29" i="119"/>
  <c r="M29" i="119"/>
  <c r="Q28" i="119"/>
  <c r="M28" i="119"/>
  <c r="Q27" i="119"/>
  <c r="M27" i="119"/>
  <c r="Q26" i="119"/>
  <c r="N26" i="119"/>
  <c r="M26" i="119"/>
  <c r="J26" i="119"/>
  <c r="Q25" i="119"/>
  <c r="M25" i="119"/>
  <c r="Q24" i="119"/>
  <c r="M24" i="119"/>
  <c r="Q88" i="119"/>
  <c r="N88" i="119"/>
  <c r="M88" i="119"/>
  <c r="O23" i="119"/>
  <c r="Q23" i="119" s="1"/>
  <c r="N23" i="119"/>
  <c r="M23" i="119"/>
  <c r="Q22" i="119"/>
  <c r="M22" i="119"/>
  <c r="Q21" i="119"/>
  <c r="N21" i="119"/>
  <c r="M21" i="119"/>
  <c r="J21" i="119"/>
  <c r="Q20" i="119"/>
  <c r="M20" i="119"/>
  <c r="O19" i="119"/>
  <c r="Q19" i="119" s="1"/>
  <c r="N19" i="119"/>
  <c r="M19" i="119"/>
  <c r="O18" i="119"/>
  <c r="Q18" i="119" s="1"/>
  <c r="N18" i="119"/>
  <c r="K18" i="119"/>
  <c r="Q17" i="119"/>
  <c r="M17" i="119"/>
  <c r="Q16" i="119"/>
  <c r="M16" i="119"/>
  <c r="Q15" i="119"/>
  <c r="M15" i="119"/>
  <c r="N14" i="119"/>
  <c r="M14" i="119"/>
  <c r="J14" i="119"/>
  <c r="Q13" i="119"/>
  <c r="M13" i="119"/>
  <c r="Q12" i="119"/>
  <c r="N12" i="119"/>
  <c r="M12" i="119"/>
  <c r="J12" i="119"/>
  <c r="Q11" i="119"/>
  <c r="M11" i="119"/>
  <c r="Q10" i="119"/>
  <c r="N10" i="119"/>
  <c r="M10" i="119"/>
  <c r="B9" i="119"/>
  <c r="C9" i="119" s="1"/>
  <c r="D9" i="119" s="1"/>
  <c r="E9" i="119" s="1"/>
  <c r="F9" i="119" s="1"/>
  <c r="G9" i="119" s="1"/>
  <c r="H9" i="119" s="1"/>
  <c r="I9" i="119" s="1"/>
  <c r="J9" i="119" s="1"/>
  <c r="K9" i="119" s="1"/>
  <c r="L9" i="119" s="1"/>
  <c r="M9" i="119" s="1"/>
  <c r="N9" i="119" s="1"/>
  <c r="O9" i="119" s="1"/>
  <c r="P9" i="119" s="1"/>
  <c r="Q9" i="119" s="1"/>
  <c r="K183" i="119" l="1"/>
  <c r="P183" i="119"/>
  <c r="Q40" i="119"/>
  <c r="Q68" i="119"/>
  <c r="O183" i="119"/>
  <c r="N183" i="119"/>
  <c r="J183" i="119"/>
  <c r="Q14" i="119"/>
  <c r="Q36" i="119"/>
  <c r="Q73" i="119"/>
  <c r="Q108" i="119"/>
  <c r="Q153" i="119"/>
  <c r="M183" i="119"/>
  <c r="M18" i="119"/>
  <c r="O19" i="118"/>
  <c r="O88" i="118"/>
  <c r="K88" i="118"/>
  <c r="O108" i="118"/>
  <c r="O77" i="118"/>
  <c r="O50" i="118"/>
  <c r="K72" i="118"/>
  <c r="O72" i="118"/>
  <c r="O69" i="118"/>
  <c r="K165" i="118"/>
  <c r="O165" i="118"/>
  <c r="O180" i="118"/>
  <c r="O174" i="118"/>
  <c r="O172" i="118"/>
  <c r="K172" i="118"/>
  <c r="O161" i="118"/>
  <c r="O143" i="118"/>
  <c r="O139" i="118"/>
  <c r="K139" i="118"/>
  <c r="O132" i="118"/>
  <c r="K132" i="118"/>
  <c r="O123" i="118"/>
  <c r="O118" i="118"/>
  <c r="K116" i="118"/>
  <c r="O112" i="118"/>
  <c r="O102" i="118"/>
  <c r="O89" i="118"/>
  <c r="O84" i="118"/>
  <c r="O74" i="118"/>
  <c r="O67" i="118"/>
  <c r="O18" i="118"/>
  <c r="K18" i="118"/>
  <c r="O62" i="118"/>
  <c r="O52" i="118"/>
  <c r="O58" i="118"/>
  <c r="O41" i="118"/>
  <c r="O107" i="118"/>
  <c r="O34" i="118"/>
  <c r="Q183" i="119" l="1"/>
  <c r="N154" i="118"/>
  <c r="J154" i="118"/>
  <c r="N143" i="118"/>
  <c r="N123" i="118"/>
  <c r="N116" i="118"/>
  <c r="N110" i="118"/>
  <c r="N98" i="118"/>
  <c r="N94" i="118"/>
  <c r="N89" i="118"/>
  <c r="J89" i="118"/>
  <c r="N60" i="118"/>
  <c r="J60" i="118"/>
  <c r="N58" i="118"/>
  <c r="J58" i="118"/>
  <c r="N50" i="118"/>
  <c r="J50" i="118"/>
  <c r="J47" i="118"/>
  <c r="N45" i="118"/>
  <c r="N27" i="118"/>
  <c r="J27" i="118"/>
  <c r="N16" i="118"/>
  <c r="N10" i="118"/>
  <c r="L181" i="118"/>
  <c r="K181" i="118"/>
  <c r="I181" i="118"/>
  <c r="H181" i="118"/>
  <c r="Q180" i="118"/>
  <c r="N180" i="118"/>
  <c r="M180" i="118"/>
  <c r="Q179" i="118"/>
  <c r="M179" i="118"/>
  <c r="Q178" i="118"/>
  <c r="M178" i="118"/>
  <c r="Q177" i="118"/>
  <c r="M177" i="118"/>
  <c r="O176" i="118"/>
  <c r="Q176" i="118" s="1"/>
  <c r="N176" i="118"/>
  <c r="M176" i="118"/>
  <c r="Q175" i="118"/>
  <c r="M175" i="118"/>
  <c r="Q174" i="118"/>
  <c r="N174" i="118"/>
  <c r="M174" i="118"/>
  <c r="Q173" i="118"/>
  <c r="M173" i="118"/>
  <c r="Q172" i="118"/>
  <c r="N172" i="118"/>
  <c r="M172" i="118"/>
  <c r="J172" i="118"/>
  <c r="Q171" i="118"/>
  <c r="M171" i="118"/>
  <c r="O170" i="118"/>
  <c r="Q170" i="118" s="1"/>
  <c r="N170" i="118"/>
  <c r="M170" i="118"/>
  <c r="Q169" i="118"/>
  <c r="N169" i="118"/>
  <c r="M169" i="118"/>
  <c r="Q168" i="118"/>
  <c r="M168" i="118"/>
  <c r="Q167" i="118"/>
  <c r="N167" i="118"/>
  <c r="M167" i="118"/>
  <c r="Q166" i="118"/>
  <c r="M166" i="118"/>
  <c r="Q165" i="118"/>
  <c r="N165" i="118"/>
  <c r="M165" i="118"/>
  <c r="J165" i="118"/>
  <c r="Q164" i="118"/>
  <c r="M164" i="118"/>
  <c r="Q163" i="118"/>
  <c r="M163" i="118"/>
  <c r="Q162" i="118"/>
  <c r="N162" i="118"/>
  <c r="M162" i="118"/>
  <c r="Q161" i="118"/>
  <c r="N161" i="118"/>
  <c r="M161" i="118"/>
  <c r="Q160" i="118"/>
  <c r="M160" i="118"/>
  <c r="Q159" i="118"/>
  <c r="M159" i="118"/>
  <c r="Q158" i="118"/>
  <c r="M158" i="118"/>
  <c r="O157" i="118"/>
  <c r="Q157" i="118" s="1"/>
  <c r="N157" i="118"/>
  <c r="M157" i="118"/>
  <c r="Q156" i="118"/>
  <c r="M156" i="118"/>
  <c r="Q155" i="118"/>
  <c r="M155" i="118"/>
  <c r="Q154" i="118"/>
  <c r="M154" i="118"/>
  <c r="Q153" i="118"/>
  <c r="M153" i="118"/>
  <c r="P152" i="118"/>
  <c r="O152" i="118"/>
  <c r="N152" i="118"/>
  <c r="M152" i="118"/>
  <c r="Q151" i="118"/>
  <c r="M151" i="118"/>
  <c r="Q150" i="118"/>
  <c r="M150" i="118"/>
  <c r="Q149" i="118"/>
  <c r="N149" i="118"/>
  <c r="M149" i="118"/>
  <c r="Q148" i="118"/>
  <c r="M148" i="118"/>
  <c r="Q147" i="118"/>
  <c r="M147" i="118"/>
  <c r="Q146" i="118"/>
  <c r="M146" i="118"/>
  <c r="Q145" i="118"/>
  <c r="M145" i="118"/>
  <c r="Q144" i="118"/>
  <c r="M144" i="118"/>
  <c r="Q143" i="118"/>
  <c r="M143" i="118"/>
  <c r="O142" i="118"/>
  <c r="N142" i="118"/>
  <c r="Q141" i="118"/>
  <c r="M141" i="118"/>
  <c r="Q140" i="118"/>
  <c r="M140" i="118"/>
  <c r="Q139" i="118"/>
  <c r="N139" i="118"/>
  <c r="M139" i="118"/>
  <c r="J139" i="118"/>
  <c r="Q138" i="118"/>
  <c r="M138" i="118"/>
  <c r="Q137" i="118"/>
  <c r="M137" i="118"/>
  <c r="Q135" i="118"/>
  <c r="M135" i="118"/>
  <c r="Q134" i="118"/>
  <c r="M134" i="118"/>
  <c r="Q133" i="118"/>
  <c r="M133" i="118"/>
  <c r="Q132" i="118"/>
  <c r="N132" i="118"/>
  <c r="M132" i="118"/>
  <c r="J132" i="118"/>
  <c r="O131" i="118"/>
  <c r="N131" i="118"/>
  <c r="M131" i="118"/>
  <c r="Q130" i="118"/>
  <c r="M130" i="118"/>
  <c r="O129" i="118"/>
  <c r="Q129" i="118" s="1"/>
  <c r="N129" i="118"/>
  <c r="M129" i="118"/>
  <c r="Q128" i="118"/>
  <c r="M128" i="118"/>
  <c r="Q127" i="118"/>
  <c r="M127" i="118"/>
  <c r="Q126" i="118"/>
  <c r="M126" i="118"/>
  <c r="O125" i="118"/>
  <c r="Q125" i="118" s="1"/>
  <c r="N125" i="118"/>
  <c r="M125" i="118"/>
  <c r="Q124" i="118"/>
  <c r="M124" i="118"/>
  <c r="Q123" i="118"/>
  <c r="M123" i="118"/>
  <c r="Q121" i="118"/>
  <c r="M121" i="118"/>
  <c r="O120" i="118"/>
  <c r="Q120" i="118" s="1"/>
  <c r="N120" i="118"/>
  <c r="M120" i="118"/>
  <c r="Q119" i="118"/>
  <c r="M119" i="118"/>
  <c r="Q118" i="118"/>
  <c r="N118" i="118"/>
  <c r="M118" i="118"/>
  <c r="J118" i="118"/>
  <c r="Q117" i="118"/>
  <c r="M117" i="118"/>
  <c r="O116" i="118"/>
  <c r="Q116" i="118" s="1"/>
  <c r="M116" i="118"/>
  <c r="J116" i="118"/>
  <c r="Q115" i="118"/>
  <c r="M115" i="118"/>
  <c r="Q114" i="118"/>
  <c r="N114" i="118"/>
  <c r="M114" i="118"/>
  <c r="J114" i="118"/>
  <c r="Q113" i="118"/>
  <c r="M113" i="118"/>
  <c r="Q112" i="118"/>
  <c r="N112" i="118"/>
  <c r="M112" i="118"/>
  <c r="Q111" i="118"/>
  <c r="M111" i="118"/>
  <c r="O110" i="118"/>
  <c r="Q110" i="118" s="1"/>
  <c r="M110" i="118"/>
  <c r="Q109" i="118"/>
  <c r="M109" i="118"/>
  <c r="Q108" i="118"/>
  <c r="N108" i="118"/>
  <c r="M108" i="118"/>
  <c r="P107" i="118"/>
  <c r="Q107" i="118" s="1"/>
  <c r="N107" i="118"/>
  <c r="M107" i="118"/>
  <c r="J107" i="118"/>
  <c r="Q106" i="118"/>
  <c r="N106" i="118"/>
  <c r="M106" i="118"/>
  <c r="O105" i="118"/>
  <c r="Q105" i="118" s="1"/>
  <c r="N105" i="118"/>
  <c r="M105" i="118"/>
  <c r="Q104" i="118"/>
  <c r="M104" i="118"/>
  <c r="Q103" i="118"/>
  <c r="N103" i="118"/>
  <c r="M103" i="118"/>
  <c r="Q102" i="118"/>
  <c r="N102" i="118"/>
  <c r="M102" i="118"/>
  <c r="Q101" i="118"/>
  <c r="M101" i="118"/>
  <c r="O100" i="118"/>
  <c r="Q100" i="118" s="1"/>
  <c r="N100" i="118"/>
  <c r="M100" i="118"/>
  <c r="Q99" i="118"/>
  <c r="M99" i="118"/>
  <c r="Q98" i="118"/>
  <c r="M98" i="118"/>
  <c r="Q97" i="118"/>
  <c r="M97" i="118"/>
  <c r="O96" i="118"/>
  <c r="Q96" i="118" s="1"/>
  <c r="N96" i="118"/>
  <c r="M96" i="118"/>
  <c r="Q95" i="118"/>
  <c r="M95" i="118"/>
  <c r="O94" i="118"/>
  <c r="Q94" i="118" s="1"/>
  <c r="M94" i="118"/>
  <c r="Q93" i="118"/>
  <c r="M93" i="118"/>
  <c r="Q92" i="118"/>
  <c r="M92" i="118"/>
  <c r="Q91" i="118"/>
  <c r="M91" i="118"/>
  <c r="Q90" i="118"/>
  <c r="N90" i="118"/>
  <c r="M90" i="118"/>
  <c r="Q89" i="118"/>
  <c r="M89" i="118"/>
  <c r="Q88" i="118"/>
  <c r="N88" i="118"/>
  <c r="M88" i="118"/>
  <c r="J88" i="118"/>
  <c r="Q87" i="118"/>
  <c r="M87" i="118"/>
  <c r="Q86" i="118"/>
  <c r="M86" i="118"/>
  <c r="Q85" i="118"/>
  <c r="M85" i="118"/>
  <c r="Q84" i="118"/>
  <c r="N84" i="118"/>
  <c r="M84" i="118"/>
  <c r="Q83" i="118"/>
  <c r="M83" i="118"/>
  <c r="Q82" i="118"/>
  <c r="N82" i="118"/>
  <c r="M82" i="118"/>
  <c r="J82" i="118"/>
  <c r="Q81" i="118"/>
  <c r="M81" i="118"/>
  <c r="O80" i="118"/>
  <c r="Q80" i="118" s="1"/>
  <c r="N80" i="118"/>
  <c r="M80" i="118"/>
  <c r="Q79" i="118"/>
  <c r="M79" i="118"/>
  <c r="Q78" i="118"/>
  <c r="M78" i="118"/>
  <c r="Q77" i="118"/>
  <c r="N77" i="118"/>
  <c r="M77" i="118"/>
  <c r="Q76" i="118"/>
  <c r="M76" i="118"/>
  <c r="Q75" i="118"/>
  <c r="M75" i="118"/>
  <c r="P74" i="118"/>
  <c r="Q74" i="118" s="1"/>
  <c r="N74" i="118"/>
  <c r="M74" i="118"/>
  <c r="Q73" i="118"/>
  <c r="M73" i="118"/>
  <c r="Q72" i="118"/>
  <c r="N72" i="118"/>
  <c r="M72" i="118"/>
  <c r="J72" i="118"/>
  <c r="Q71" i="118"/>
  <c r="M71" i="118"/>
  <c r="Q70" i="118"/>
  <c r="M70" i="118"/>
  <c r="P69" i="118"/>
  <c r="Q69" i="118" s="1"/>
  <c r="N69" i="118"/>
  <c r="M69" i="118"/>
  <c r="Q68" i="118"/>
  <c r="M68" i="118"/>
  <c r="Q67" i="118"/>
  <c r="N67" i="118"/>
  <c r="M67" i="118"/>
  <c r="Q66" i="118"/>
  <c r="M66" i="118"/>
  <c r="Q65" i="118"/>
  <c r="N65" i="118"/>
  <c r="M65" i="118"/>
  <c r="Q64" i="118"/>
  <c r="N64" i="118"/>
  <c r="M64" i="118"/>
  <c r="O63" i="118"/>
  <c r="Q63" i="118" s="1"/>
  <c r="N63" i="118"/>
  <c r="M63" i="118"/>
  <c r="Q62" i="118"/>
  <c r="N62" i="118"/>
  <c r="M62" i="118"/>
  <c r="J62" i="118"/>
  <c r="Q61" i="118"/>
  <c r="M61" i="118"/>
  <c r="Q60" i="118"/>
  <c r="M60" i="118"/>
  <c r="Q59" i="118"/>
  <c r="M59" i="118"/>
  <c r="Q58" i="118"/>
  <c r="M58" i="118"/>
  <c r="Q57" i="118"/>
  <c r="M57" i="118"/>
  <c r="Q56" i="118"/>
  <c r="N56" i="118"/>
  <c r="M56" i="118"/>
  <c r="J56" i="118"/>
  <c r="Q55" i="118"/>
  <c r="M55" i="118"/>
  <c r="Q54" i="118"/>
  <c r="M54" i="118"/>
  <c r="Q53" i="118"/>
  <c r="M53" i="118"/>
  <c r="Q52" i="118"/>
  <c r="M52" i="118"/>
  <c r="J52" i="118"/>
  <c r="Q51" i="118"/>
  <c r="M51" i="118"/>
  <c r="Q50" i="118"/>
  <c r="M50" i="118"/>
  <c r="Q49" i="118"/>
  <c r="N49" i="118"/>
  <c r="M49" i="118"/>
  <c r="Q48" i="118"/>
  <c r="M48" i="118"/>
  <c r="O47" i="118"/>
  <c r="Q47" i="118" s="1"/>
  <c r="N47" i="118"/>
  <c r="M47" i="118"/>
  <c r="Q46" i="118"/>
  <c r="M46" i="118"/>
  <c r="O45" i="118"/>
  <c r="Q45" i="118" s="1"/>
  <c r="M45" i="118"/>
  <c r="Q44" i="118"/>
  <c r="M44" i="118"/>
  <c r="O43" i="118"/>
  <c r="Q43" i="118" s="1"/>
  <c r="N43" i="118"/>
  <c r="M43" i="118"/>
  <c r="Q42" i="118"/>
  <c r="M42" i="118"/>
  <c r="P41" i="118"/>
  <c r="Q41" i="118" s="1"/>
  <c r="N41" i="118"/>
  <c r="M41" i="118"/>
  <c r="J41" i="118"/>
  <c r="Q40" i="118"/>
  <c r="M40" i="118"/>
  <c r="Q38" i="118"/>
  <c r="M38" i="118"/>
  <c r="P37" i="118"/>
  <c r="O37" i="118"/>
  <c r="N37" i="118"/>
  <c r="M37" i="118"/>
  <c r="O36" i="118"/>
  <c r="Q36" i="118" s="1"/>
  <c r="N36" i="118"/>
  <c r="M36" i="118"/>
  <c r="Q35" i="118"/>
  <c r="M35" i="118"/>
  <c r="Q34" i="118"/>
  <c r="N34" i="118"/>
  <c r="M34" i="118"/>
  <c r="Q33" i="118"/>
  <c r="N33" i="118"/>
  <c r="M33" i="118"/>
  <c r="O32" i="118"/>
  <c r="Q32" i="118" s="1"/>
  <c r="N32" i="118"/>
  <c r="M32" i="118"/>
  <c r="Q31" i="118"/>
  <c r="M31" i="118"/>
  <c r="Q30" i="118"/>
  <c r="N30" i="118"/>
  <c r="M30" i="118"/>
  <c r="Q29" i="118"/>
  <c r="N29" i="118"/>
  <c r="M29" i="118"/>
  <c r="O28" i="118"/>
  <c r="Q28" i="118" s="1"/>
  <c r="N28" i="118"/>
  <c r="M28" i="118"/>
  <c r="Q27" i="118"/>
  <c r="M27" i="118"/>
  <c r="Q26" i="118"/>
  <c r="M26" i="118"/>
  <c r="Q25" i="118"/>
  <c r="N25" i="118"/>
  <c r="M25" i="118"/>
  <c r="Q24" i="118"/>
  <c r="N24" i="118"/>
  <c r="M24" i="118"/>
  <c r="O23" i="118"/>
  <c r="Q23" i="118" s="1"/>
  <c r="N23" i="118"/>
  <c r="M23" i="118"/>
  <c r="Q22" i="118"/>
  <c r="M22" i="118"/>
  <c r="Q21" i="118"/>
  <c r="N21" i="118"/>
  <c r="M21" i="118"/>
  <c r="J21" i="118"/>
  <c r="Q20" i="118"/>
  <c r="M20" i="118"/>
  <c r="Q19" i="118"/>
  <c r="N19" i="118"/>
  <c r="M19" i="118"/>
  <c r="Q18" i="118"/>
  <c r="N18" i="118"/>
  <c r="M18" i="118"/>
  <c r="J18" i="118"/>
  <c r="Q17" i="118"/>
  <c r="M17" i="118"/>
  <c r="Q16" i="118"/>
  <c r="M16" i="118"/>
  <c r="O15" i="118"/>
  <c r="Q15" i="118" s="1"/>
  <c r="M15" i="118"/>
  <c r="O14" i="118"/>
  <c r="N14" i="118"/>
  <c r="M14" i="118"/>
  <c r="J14" i="118"/>
  <c r="Q13" i="118"/>
  <c r="M13" i="118"/>
  <c r="Q12" i="118"/>
  <c r="N12" i="118"/>
  <c r="M12" i="118"/>
  <c r="J12" i="118"/>
  <c r="Q11" i="118"/>
  <c r="M11" i="118"/>
  <c r="Q10" i="118"/>
  <c r="M10" i="118"/>
  <c r="B9" i="118"/>
  <c r="C9" i="118" s="1"/>
  <c r="D9" i="118" s="1"/>
  <c r="E9" i="118" s="1"/>
  <c r="F9" i="118" s="1"/>
  <c r="G9" i="118" s="1"/>
  <c r="H9" i="118" s="1"/>
  <c r="I9" i="118" s="1"/>
  <c r="J9" i="118" s="1"/>
  <c r="K9" i="118" s="1"/>
  <c r="L9" i="118" s="1"/>
  <c r="M9" i="118" s="1"/>
  <c r="N9" i="118" s="1"/>
  <c r="O9" i="118" s="1"/>
  <c r="P9" i="118" s="1"/>
  <c r="Q9" i="118" s="1"/>
  <c r="N181" i="118" l="1"/>
  <c r="J181" i="118"/>
  <c r="Q37" i="118"/>
  <c r="Q152" i="118"/>
  <c r="O181" i="118"/>
  <c r="Q14" i="118"/>
  <c r="P181" i="118"/>
  <c r="M181" i="118"/>
  <c r="O15" i="117"/>
  <c r="Q181" i="118" l="1"/>
  <c r="N144" i="117"/>
  <c r="N182" i="117"/>
  <c r="N176" i="117"/>
  <c r="N174" i="117"/>
  <c r="J174" i="117"/>
  <c r="N171" i="117"/>
  <c r="N167" i="117"/>
  <c r="J167" i="117"/>
  <c r="N161" i="117"/>
  <c r="N151" i="117"/>
  <c r="N134" i="117"/>
  <c r="J134" i="117"/>
  <c r="N125" i="117"/>
  <c r="J118" i="117"/>
  <c r="N114" i="117"/>
  <c r="J116" i="117"/>
  <c r="N91" i="117"/>
  <c r="N86" i="117"/>
  <c r="N84" i="117"/>
  <c r="J84" i="117"/>
  <c r="N74" i="117"/>
  <c r="J74" i="117"/>
  <c r="N71" i="117"/>
  <c r="N69" i="117"/>
  <c r="N67" i="117"/>
  <c r="N64" i="117"/>
  <c r="N60" i="117"/>
  <c r="N58" i="117"/>
  <c r="J58" i="117"/>
  <c r="N52" i="117"/>
  <c r="N42" i="117"/>
  <c r="J42" i="117"/>
  <c r="J109" i="117"/>
  <c r="N34" i="117"/>
  <c r="N30" i="117"/>
  <c r="J18" i="117"/>
  <c r="N21" i="117"/>
  <c r="J21" i="117"/>
  <c r="N19" i="117"/>
  <c r="N14" i="117"/>
  <c r="J14" i="117"/>
  <c r="N12" i="117"/>
  <c r="J12" i="117"/>
  <c r="N10" i="117"/>
  <c r="L183" i="117"/>
  <c r="K183" i="117"/>
  <c r="I183" i="117"/>
  <c r="H183" i="117"/>
  <c r="Q182" i="117"/>
  <c r="M182" i="117"/>
  <c r="Q181" i="117"/>
  <c r="M181" i="117"/>
  <c r="Q180" i="117"/>
  <c r="M180" i="117"/>
  <c r="Q179" i="117"/>
  <c r="M179" i="117"/>
  <c r="O178" i="117"/>
  <c r="Q178" i="117" s="1"/>
  <c r="N178" i="117"/>
  <c r="M178" i="117"/>
  <c r="Q177" i="117"/>
  <c r="M177" i="117"/>
  <c r="Q176" i="117"/>
  <c r="M176" i="117"/>
  <c r="Q175" i="117"/>
  <c r="M175" i="117"/>
  <c r="Q174" i="117"/>
  <c r="M174" i="117"/>
  <c r="Q173" i="117"/>
  <c r="M173" i="117"/>
  <c r="O172" i="117"/>
  <c r="Q172" i="117" s="1"/>
  <c r="N172" i="117"/>
  <c r="M172" i="117"/>
  <c r="Q171" i="117"/>
  <c r="M171" i="117"/>
  <c r="Q170" i="117"/>
  <c r="M170" i="117"/>
  <c r="Q169" i="117"/>
  <c r="N169" i="117"/>
  <c r="M169" i="117"/>
  <c r="Q168" i="117"/>
  <c r="M168" i="117"/>
  <c r="O167" i="117"/>
  <c r="Q167" i="117" s="1"/>
  <c r="M167" i="117"/>
  <c r="Q166" i="117"/>
  <c r="M166" i="117"/>
  <c r="Q165" i="117"/>
  <c r="M165" i="117"/>
  <c r="Q164" i="117"/>
  <c r="N164" i="117"/>
  <c r="M164" i="117"/>
  <c r="O163" i="117"/>
  <c r="Q163" i="117" s="1"/>
  <c r="N163" i="117"/>
  <c r="M163" i="117"/>
  <c r="Q162" i="117"/>
  <c r="M162" i="117"/>
  <c r="Q161" i="117"/>
  <c r="M161" i="117"/>
  <c r="Q160" i="117"/>
  <c r="M160" i="117"/>
  <c r="O159" i="117"/>
  <c r="Q159" i="117" s="1"/>
  <c r="N159" i="117"/>
  <c r="M159" i="117"/>
  <c r="Q158" i="117"/>
  <c r="M158" i="117"/>
  <c r="Q157" i="117"/>
  <c r="M157" i="117"/>
  <c r="Q156" i="117"/>
  <c r="M156" i="117"/>
  <c r="Q155" i="117"/>
  <c r="M155" i="117"/>
  <c r="P154" i="117"/>
  <c r="O154" i="117"/>
  <c r="N154" i="117"/>
  <c r="M154" i="117"/>
  <c r="Q153" i="117"/>
  <c r="M153" i="117"/>
  <c r="Q152" i="117"/>
  <c r="M152" i="117"/>
  <c r="Q151" i="117"/>
  <c r="M151" i="117"/>
  <c r="Q150" i="117"/>
  <c r="M150" i="117"/>
  <c r="Q149" i="117"/>
  <c r="M149" i="117"/>
  <c r="Q148" i="117"/>
  <c r="M148" i="117"/>
  <c r="Q147" i="117"/>
  <c r="M147" i="117"/>
  <c r="Q146" i="117"/>
  <c r="M146" i="117"/>
  <c r="O145" i="117"/>
  <c r="Q145" i="117" s="1"/>
  <c r="N145" i="117"/>
  <c r="M145" i="117"/>
  <c r="O144" i="117"/>
  <c r="Q143" i="117"/>
  <c r="M143" i="117"/>
  <c r="Q142" i="117"/>
  <c r="M142" i="117"/>
  <c r="O141" i="117"/>
  <c r="Q141" i="117" s="1"/>
  <c r="N141" i="117"/>
  <c r="M141" i="117"/>
  <c r="J141" i="117"/>
  <c r="Q140" i="117"/>
  <c r="M140" i="117"/>
  <c r="Q139" i="117"/>
  <c r="M139" i="117"/>
  <c r="Q137" i="117"/>
  <c r="M137" i="117"/>
  <c r="Q136" i="117"/>
  <c r="M136" i="117"/>
  <c r="Q135" i="117"/>
  <c r="M135" i="117"/>
  <c r="O134" i="117"/>
  <c r="Q134" i="117" s="1"/>
  <c r="M134" i="117"/>
  <c r="O133" i="117"/>
  <c r="N133" i="117"/>
  <c r="M133" i="117"/>
  <c r="Q132" i="117"/>
  <c r="M132" i="117"/>
  <c r="O131" i="117"/>
  <c r="Q131" i="117" s="1"/>
  <c r="N131" i="117"/>
  <c r="M131" i="117"/>
  <c r="Q130" i="117"/>
  <c r="M130" i="117"/>
  <c r="Q129" i="117"/>
  <c r="M129" i="117"/>
  <c r="Q128" i="117"/>
  <c r="M128" i="117"/>
  <c r="O127" i="117"/>
  <c r="Q127" i="117" s="1"/>
  <c r="N127" i="117"/>
  <c r="M127" i="117"/>
  <c r="Q126" i="117"/>
  <c r="M126" i="117"/>
  <c r="Q125" i="117"/>
  <c r="M125" i="117"/>
  <c r="Q123" i="117"/>
  <c r="M123" i="117"/>
  <c r="O122" i="117"/>
  <c r="Q122" i="117" s="1"/>
  <c r="N122" i="117"/>
  <c r="M122" i="117"/>
  <c r="Q121" i="117"/>
  <c r="M121" i="117"/>
  <c r="Q120" i="117"/>
  <c r="N120" i="117"/>
  <c r="M120" i="117"/>
  <c r="J120" i="117"/>
  <c r="Q119" i="117"/>
  <c r="M119" i="117"/>
  <c r="O118" i="117"/>
  <c r="Q118" i="117" s="1"/>
  <c r="N118" i="117"/>
  <c r="M118" i="117"/>
  <c r="Q117" i="117"/>
  <c r="M117" i="117"/>
  <c r="Q116" i="117"/>
  <c r="N116" i="117"/>
  <c r="M116" i="117"/>
  <c r="Q115" i="117"/>
  <c r="M115" i="117"/>
  <c r="Q114" i="117"/>
  <c r="M114" i="117"/>
  <c r="Q113" i="117"/>
  <c r="M113" i="117"/>
  <c r="O112" i="117"/>
  <c r="Q112" i="117" s="1"/>
  <c r="N112" i="117"/>
  <c r="M112" i="117"/>
  <c r="Q111" i="117"/>
  <c r="M111" i="117"/>
  <c r="O110" i="117"/>
  <c r="Q110" i="117" s="1"/>
  <c r="N110" i="117"/>
  <c r="M110" i="117"/>
  <c r="P109" i="117"/>
  <c r="O109" i="117"/>
  <c r="N109" i="117"/>
  <c r="M109" i="117"/>
  <c r="Q108" i="117"/>
  <c r="N108" i="117"/>
  <c r="M108" i="117"/>
  <c r="O107" i="117"/>
  <c r="Q107" i="117" s="1"/>
  <c r="N107" i="117"/>
  <c r="M107" i="117"/>
  <c r="Q106" i="117"/>
  <c r="M106" i="117"/>
  <c r="Q105" i="117"/>
  <c r="N105" i="117"/>
  <c r="M105" i="117"/>
  <c r="Q104" i="117"/>
  <c r="N104" i="117"/>
  <c r="M104" i="117"/>
  <c r="Q103" i="117"/>
  <c r="M103" i="117"/>
  <c r="O102" i="117"/>
  <c r="Q102" i="117" s="1"/>
  <c r="N102" i="117"/>
  <c r="M102" i="117"/>
  <c r="Q101" i="117"/>
  <c r="M101" i="117"/>
  <c r="Q100" i="117"/>
  <c r="N100" i="117"/>
  <c r="M100" i="117"/>
  <c r="Q99" i="117"/>
  <c r="M99" i="117"/>
  <c r="O98" i="117"/>
  <c r="Q98" i="117" s="1"/>
  <c r="N98" i="117"/>
  <c r="M98" i="117"/>
  <c r="Q97" i="117"/>
  <c r="M97" i="117"/>
  <c r="O96" i="117"/>
  <c r="Q96" i="117" s="1"/>
  <c r="N96" i="117"/>
  <c r="M96" i="117"/>
  <c r="Q95" i="117"/>
  <c r="M95" i="117"/>
  <c r="Q94" i="117"/>
  <c r="M94" i="117"/>
  <c r="Q93" i="117"/>
  <c r="M93" i="117"/>
  <c r="Q92" i="117"/>
  <c r="N92" i="117"/>
  <c r="M92" i="117"/>
  <c r="Q91" i="117"/>
  <c r="M91" i="117"/>
  <c r="O90" i="117"/>
  <c r="Q90" i="117" s="1"/>
  <c r="N90" i="117"/>
  <c r="M90" i="117"/>
  <c r="J90" i="117"/>
  <c r="Q89" i="117"/>
  <c r="M89" i="117"/>
  <c r="Q88" i="117"/>
  <c r="M88" i="117"/>
  <c r="Q87" i="117"/>
  <c r="M87" i="117"/>
  <c r="Q86" i="117"/>
  <c r="M86" i="117"/>
  <c r="Q85" i="117"/>
  <c r="M85" i="117"/>
  <c r="Q84" i="117"/>
  <c r="M84" i="117"/>
  <c r="Q83" i="117"/>
  <c r="M83" i="117"/>
  <c r="O82" i="117"/>
  <c r="Q82" i="117" s="1"/>
  <c r="N82" i="117"/>
  <c r="M82" i="117"/>
  <c r="Q81" i="117"/>
  <c r="M81" i="117"/>
  <c r="Q80" i="117"/>
  <c r="M80" i="117"/>
  <c r="Q79" i="117"/>
  <c r="N79" i="117"/>
  <c r="M79" i="117"/>
  <c r="Q78" i="117"/>
  <c r="M78" i="117"/>
  <c r="Q77" i="117"/>
  <c r="M77" i="117"/>
  <c r="P76" i="117"/>
  <c r="O76" i="117"/>
  <c r="N76" i="117"/>
  <c r="M76" i="117"/>
  <c r="Q75" i="117"/>
  <c r="M75" i="117"/>
  <c r="O74" i="117"/>
  <c r="Q74" i="117" s="1"/>
  <c r="M74" i="117"/>
  <c r="Q73" i="117"/>
  <c r="M73" i="117"/>
  <c r="Q72" i="117"/>
  <c r="M72" i="117"/>
  <c r="P71" i="117"/>
  <c r="O71" i="117"/>
  <c r="M71" i="117"/>
  <c r="Q70" i="117"/>
  <c r="M70" i="117"/>
  <c r="O69" i="117"/>
  <c r="Q69" i="117" s="1"/>
  <c r="M69" i="117"/>
  <c r="Q68" i="117"/>
  <c r="M68" i="117"/>
  <c r="Q67" i="117"/>
  <c r="M67" i="117"/>
  <c r="Q66" i="117"/>
  <c r="N66" i="117"/>
  <c r="M66" i="117"/>
  <c r="O65" i="117"/>
  <c r="Q65" i="117" s="1"/>
  <c r="N65" i="117"/>
  <c r="M65" i="117"/>
  <c r="Q64" i="117"/>
  <c r="M64" i="117"/>
  <c r="J64" i="117"/>
  <c r="Q63" i="117"/>
  <c r="M63" i="117"/>
  <c r="Q62" i="117"/>
  <c r="M62" i="117"/>
  <c r="Q61" i="117"/>
  <c r="M61" i="117"/>
  <c r="O60" i="117"/>
  <c r="Q60" i="117" s="1"/>
  <c r="M60" i="117"/>
  <c r="Q59" i="117"/>
  <c r="M59" i="117"/>
  <c r="Q58" i="117"/>
  <c r="M58" i="117"/>
  <c r="Q57" i="117"/>
  <c r="M57" i="117"/>
  <c r="Q56" i="117"/>
  <c r="M56" i="117"/>
  <c r="Q55" i="117"/>
  <c r="M55" i="117"/>
  <c r="Q54" i="117"/>
  <c r="M54" i="117"/>
  <c r="J54" i="117"/>
  <c r="Q53" i="117"/>
  <c r="M53" i="117"/>
  <c r="O52" i="117"/>
  <c r="Q52" i="117" s="1"/>
  <c r="M52" i="117"/>
  <c r="Q51" i="117"/>
  <c r="N51" i="117"/>
  <c r="M51" i="117"/>
  <c r="Q50" i="117"/>
  <c r="M50" i="117"/>
  <c r="Q49" i="117"/>
  <c r="M49" i="117"/>
  <c r="O48" i="117"/>
  <c r="Q48" i="117" s="1"/>
  <c r="N48" i="117"/>
  <c r="M48" i="117"/>
  <c r="J48" i="117"/>
  <c r="Q47" i="117"/>
  <c r="M47" i="117"/>
  <c r="O46" i="117"/>
  <c r="Q46" i="117" s="1"/>
  <c r="N46" i="117"/>
  <c r="M46" i="117"/>
  <c r="Q45" i="117"/>
  <c r="M45" i="117"/>
  <c r="O44" i="117"/>
  <c r="Q44" i="117" s="1"/>
  <c r="N44" i="117"/>
  <c r="M44" i="117"/>
  <c r="Q43" i="117"/>
  <c r="M43" i="117"/>
  <c r="P42" i="117"/>
  <c r="O42" i="117"/>
  <c r="M42" i="117"/>
  <c r="Q41" i="117"/>
  <c r="M41" i="117"/>
  <c r="Q39" i="117"/>
  <c r="M39" i="117"/>
  <c r="P38" i="117"/>
  <c r="O38" i="117"/>
  <c r="N38" i="117"/>
  <c r="M38" i="117"/>
  <c r="Q37" i="117"/>
  <c r="M37" i="117"/>
  <c r="O36" i="117"/>
  <c r="Q36" i="117" s="1"/>
  <c r="N36" i="117"/>
  <c r="M36" i="117"/>
  <c r="Q35" i="117"/>
  <c r="M35" i="117"/>
  <c r="O34" i="117"/>
  <c r="Q34" i="117" s="1"/>
  <c r="M34" i="117"/>
  <c r="Q33" i="117"/>
  <c r="N33" i="117"/>
  <c r="M33" i="117"/>
  <c r="O32" i="117"/>
  <c r="Q32" i="117" s="1"/>
  <c r="N32" i="117"/>
  <c r="M32" i="117"/>
  <c r="Q31" i="117"/>
  <c r="M31" i="117"/>
  <c r="Q30" i="117"/>
  <c r="M30" i="117"/>
  <c r="Q29" i="117"/>
  <c r="N29" i="117"/>
  <c r="M29" i="117"/>
  <c r="O28" i="117"/>
  <c r="Q28" i="117" s="1"/>
  <c r="N28" i="117"/>
  <c r="M28" i="117"/>
  <c r="Q27" i="117"/>
  <c r="M27" i="117"/>
  <c r="Q26" i="117"/>
  <c r="M26" i="117"/>
  <c r="Q25" i="117"/>
  <c r="N25" i="117"/>
  <c r="M25" i="117"/>
  <c r="Q24" i="117"/>
  <c r="N24" i="117"/>
  <c r="M24" i="117"/>
  <c r="O23" i="117"/>
  <c r="Q23" i="117" s="1"/>
  <c r="N23" i="117"/>
  <c r="M23" i="117"/>
  <c r="Q22" i="117"/>
  <c r="M22" i="117"/>
  <c r="Q21" i="117"/>
  <c r="M21" i="117"/>
  <c r="Q20" i="117"/>
  <c r="M20" i="117"/>
  <c r="Q19" i="117"/>
  <c r="M19" i="117"/>
  <c r="Q18" i="117"/>
  <c r="N18" i="117"/>
  <c r="M18" i="117"/>
  <c r="Q17" i="117"/>
  <c r="M17" i="117"/>
  <c r="Q16" i="117"/>
  <c r="M16" i="117"/>
  <c r="Q15" i="117"/>
  <c r="M15" i="117"/>
  <c r="O14" i="117"/>
  <c r="M14" i="117"/>
  <c r="Q13" i="117"/>
  <c r="M13" i="117"/>
  <c r="Q12" i="117"/>
  <c r="M12" i="117"/>
  <c r="Q11" i="117"/>
  <c r="M11" i="117"/>
  <c r="Q10" i="117"/>
  <c r="M10" i="117"/>
  <c r="B9" i="117"/>
  <c r="C9" i="117" s="1"/>
  <c r="D9" i="117" s="1"/>
  <c r="E9" i="117" s="1"/>
  <c r="F9" i="117" s="1"/>
  <c r="G9" i="117" s="1"/>
  <c r="H9" i="117" s="1"/>
  <c r="I9" i="117" s="1"/>
  <c r="J9" i="117" s="1"/>
  <c r="K9" i="117" s="1"/>
  <c r="L9" i="117" s="1"/>
  <c r="M9" i="117" s="1"/>
  <c r="N9" i="117" s="1"/>
  <c r="O9" i="117" s="1"/>
  <c r="P9" i="117" s="1"/>
  <c r="Q9" i="117" s="1"/>
  <c r="O14" i="116"/>
  <c r="O23" i="116"/>
  <c r="O28" i="116"/>
  <c r="O32" i="116"/>
  <c r="O34" i="116"/>
  <c r="O36" i="116"/>
  <c r="O43" i="116"/>
  <c r="O45" i="116"/>
  <c r="O47" i="116"/>
  <c r="O51" i="116"/>
  <c r="O59" i="116"/>
  <c r="O64" i="116"/>
  <c r="O68" i="116"/>
  <c r="O73" i="116"/>
  <c r="O82" i="116"/>
  <c r="O90" i="116"/>
  <c r="O96" i="116"/>
  <c r="O98" i="116"/>
  <c r="O107" i="116"/>
  <c r="O112" i="116"/>
  <c r="O119" i="116"/>
  <c r="O123" i="116"/>
  <c r="O128" i="116"/>
  <c r="O132" i="116"/>
  <c r="O134" i="116"/>
  <c r="O135" i="116"/>
  <c r="O142" i="116"/>
  <c r="O145" i="116"/>
  <c r="O146" i="116"/>
  <c r="O160" i="116"/>
  <c r="O164" i="116"/>
  <c r="O168" i="116"/>
  <c r="O173" i="116"/>
  <c r="O179" i="116"/>
  <c r="O110" i="116"/>
  <c r="J183" i="117" l="1"/>
  <c r="Q109" i="117"/>
  <c r="M183" i="117"/>
  <c r="O183" i="117"/>
  <c r="Q38" i="117"/>
  <c r="N183" i="117"/>
  <c r="Q14" i="117"/>
  <c r="P183" i="117"/>
  <c r="Q42" i="117"/>
  <c r="Q71" i="117"/>
  <c r="Q76" i="117"/>
  <c r="Q154" i="117"/>
  <c r="O102" i="116"/>
  <c r="P155" i="116"/>
  <c r="P109" i="116"/>
  <c r="P76" i="116"/>
  <c r="P70" i="116"/>
  <c r="P41" i="116"/>
  <c r="P38" i="116"/>
  <c r="O155" i="116"/>
  <c r="O76" i="116"/>
  <c r="O70" i="116"/>
  <c r="O109" i="116"/>
  <c r="O41" i="116"/>
  <c r="O38" i="116"/>
  <c r="Q183" i="117" l="1"/>
  <c r="N170" i="116"/>
  <c r="N164" i="116"/>
  <c r="N146" i="116"/>
  <c r="N142" i="116"/>
  <c r="J142" i="116"/>
  <c r="N121" i="116"/>
  <c r="J121" i="116"/>
  <c r="N117" i="116"/>
  <c r="N110" i="116"/>
  <c r="N104" i="116"/>
  <c r="N90" i="116"/>
  <c r="J90" i="116"/>
  <c r="N98" i="116"/>
  <c r="N84" i="116"/>
  <c r="N76" i="116"/>
  <c r="N63" i="116"/>
  <c r="J63" i="116"/>
  <c r="M63" i="116"/>
  <c r="J53" i="116"/>
  <c r="J47" i="116"/>
  <c r="N109" i="116"/>
  <c r="J109" i="116"/>
  <c r="N34" i="116"/>
  <c r="N18" i="116"/>
  <c r="J18" i="116"/>
  <c r="P184" i="116"/>
  <c r="O184" i="116"/>
  <c r="L184" i="116"/>
  <c r="K184" i="116"/>
  <c r="I184" i="116"/>
  <c r="H184" i="116"/>
  <c r="Q183" i="116"/>
  <c r="M183" i="116"/>
  <c r="Q182" i="116"/>
  <c r="M182" i="116"/>
  <c r="Q181" i="116"/>
  <c r="M181" i="116"/>
  <c r="Q180" i="116"/>
  <c r="M180" i="116"/>
  <c r="Q179" i="116"/>
  <c r="N179" i="116"/>
  <c r="M179" i="116"/>
  <c r="Q178" i="116"/>
  <c r="M178" i="116"/>
  <c r="Q177" i="116"/>
  <c r="M177" i="116"/>
  <c r="Q176" i="116"/>
  <c r="M176" i="116"/>
  <c r="Q175" i="116"/>
  <c r="M175" i="116"/>
  <c r="Q174" i="116"/>
  <c r="M174" i="116"/>
  <c r="Q173" i="116"/>
  <c r="N173" i="116"/>
  <c r="M173" i="116"/>
  <c r="Q172" i="116"/>
  <c r="M172" i="116"/>
  <c r="Q171" i="116"/>
  <c r="M171" i="116"/>
  <c r="Q170" i="116"/>
  <c r="M170" i="116"/>
  <c r="Q169" i="116"/>
  <c r="M169" i="116"/>
  <c r="Q168" i="116"/>
  <c r="N168" i="116"/>
  <c r="M168" i="116"/>
  <c r="Q167" i="116"/>
  <c r="M167" i="116"/>
  <c r="Q166" i="116"/>
  <c r="M166" i="116"/>
  <c r="Q165" i="116"/>
  <c r="N165" i="116"/>
  <c r="M165" i="116"/>
  <c r="Q164" i="116"/>
  <c r="M164" i="116"/>
  <c r="Q163" i="116"/>
  <c r="M163" i="116"/>
  <c r="Q162" i="116"/>
  <c r="M162" i="116"/>
  <c r="Q161" i="116"/>
  <c r="M161" i="116"/>
  <c r="Q160" i="116"/>
  <c r="N160" i="116"/>
  <c r="M160" i="116"/>
  <c r="Q159" i="116"/>
  <c r="M159" i="116"/>
  <c r="Q158" i="116"/>
  <c r="M158" i="116"/>
  <c r="Q157" i="116"/>
  <c r="M157" i="116"/>
  <c r="Q156" i="116"/>
  <c r="M156" i="116"/>
  <c r="Q155" i="116"/>
  <c r="N155" i="116"/>
  <c r="M155" i="116"/>
  <c r="Q154" i="116"/>
  <c r="M154" i="116"/>
  <c r="Q153" i="116"/>
  <c r="M153" i="116"/>
  <c r="Q152" i="116"/>
  <c r="M152" i="116"/>
  <c r="Q151" i="116"/>
  <c r="M151" i="116"/>
  <c r="Q150" i="116"/>
  <c r="M150" i="116"/>
  <c r="Q149" i="116"/>
  <c r="M149" i="116"/>
  <c r="Q148" i="116"/>
  <c r="M148" i="116"/>
  <c r="Q147" i="116"/>
  <c r="M147" i="116"/>
  <c r="Q146" i="116"/>
  <c r="M146" i="116"/>
  <c r="N145" i="116"/>
  <c r="Q144" i="116"/>
  <c r="M144" i="116"/>
  <c r="Q143" i="116"/>
  <c r="M143" i="116"/>
  <c r="Q142" i="116"/>
  <c r="M142" i="116"/>
  <c r="Q141" i="116"/>
  <c r="M141" i="116"/>
  <c r="Q140" i="116"/>
  <c r="M140" i="116"/>
  <c r="Q138" i="116"/>
  <c r="M138" i="116"/>
  <c r="Q137" i="116"/>
  <c r="M137" i="116"/>
  <c r="Q136" i="116"/>
  <c r="M136" i="116"/>
  <c r="Q135" i="116"/>
  <c r="N135" i="116"/>
  <c r="M135" i="116"/>
  <c r="N134" i="116"/>
  <c r="M134" i="116"/>
  <c r="Q133" i="116"/>
  <c r="M133" i="116"/>
  <c r="Q132" i="116"/>
  <c r="N132" i="116"/>
  <c r="M132" i="116"/>
  <c r="Q131" i="116"/>
  <c r="M131" i="116"/>
  <c r="Q130" i="116"/>
  <c r="M130" i="116"/>
  <c r="Q129" i="116"/>
  <c r="N129" i="116"/>
  <c r="M129" i="116"/>
  <c r="Q128" i="116"/>
  <c r="N128" i="116"/>
  <c r="M128" i="116"/>
  <c r="Q127" i="116"/>
  <c r="M127" i="116"/>
  <c r="Q126" i="116"/>
  <c r="M126" i="116"/>
  <c r="Q124" i="116"/>
  <c r="N124" i="116"/>
  <c r="M124" i="116"/>
  <c r="Q123" i="116"/>
  <c r="N123" i="116"/>
  <c r="M123" i="116"/>
  <c r="Q122" i="116"/>
  <c r="M122" i="116"/>
  <c r="Q121" i="116"/>
  <c r="M121" i="116"/>
  <c r="Q120" i="116"/>
  <c r="M120" i="116"/>
  <c r="Q119" i="116"/>
  <c r="N119" i="116"/>
  <c r="M119" i="116"/>
  <c r="Q118" i="116"/>
  <c r="M118" i="116"/>
  <c r="Q117" i="116"/>
  <c r="M117" i="116"/>
  <c r="Q116" i="116"/>
  <c r="M116" i="116"/>
  <c r="Q115" i="116"/>
  <c r="M115" i="116"/>
  <c r="Q114" i="116"/>
  <c r="M114" i="116"/>
  <c r="Q113" i="116"/>
  <c r="M113" i="116"/>
  <c r="Q112" i="116"/>
  <c r="N112" i="116"/>
  <c r="M112" i="116"/>
  <c r="Q111" i="116"/>
  <c r="M111" i="116"/>
  <c r="Q110" i="116"/>
  <c r="M110" i="116"/>
  <c r="Q109" i="116"/>
  <c r="M109" i="116"/>
  <c r="Q108" i="116"/>
  <c r="N108" i="116"/>
  <c r="M108" i="116"/>
  <c r="Q107" i="116"/>
  <c r="N107" i="116"/>
  <c r="M107" i="116"/>
  <c r="Q106" i="116"/>
  <c r="M106" i="116"/>
  <c r="Q105" i="116"/>
  <c r="N105" i="116"/>
  <c r="M105" i="116"/>
  <c r="Q104" i="116"/>
  <c r="M104" i="116"/>
  <c r="Q103" i="116"/>
  <c r="M103" i="116"/>
  <c r="Q102" i="116"/>
  <c r="N102" i="116"/>
  <c r="M102" i="116"/>
  <c r="Q101" i="116"/>
  <c r="M101" i="116"/>
  <c r="Q100" i="116"/>
  <c r="N100" i="116"/>
  <c r="M100" i="116"/>
  <c r="Q99" i="116"/>
  <c r="M99" i="116"/>
  <c r="Q98" i="116"/>
  <c r="M98" i="116"/>
  <c r="Q97" i="116"/>
  <c r="M97" i="116"/>
  <c r="Q96" i="116"/>
  <c r="N96" i="116"/>
  <c r="M96" i="116"/>
  <c r="Q95" i="116"/>
  <c r="M95" i="116"/>
  <c r="Q94" i="116"/>
  <c r="M94" i="116"/>
  <c r="Q93" i="116"/>
  <c r="M93" i="116"/>
  <c r="Q92" i="116"/>
  <c r="N92" i="116"/>
  <c r="M92" i="116"/>
  <c r="Q91" i="116"/>
  <c r="N91" i="116"/>
  <c r="M91" i="116"/>
  <c r="Q90" i="116"/>
  <c r="M90" i="116"/>
  <c r="Q89" i="116"/>
  <c r="M89" i="116"/>
  <c r="Q88" i="116"/>
  <c r="M88" i="116"/>
  <c r="Q87" i="116"/>
  <c r="M87" i="116"/>
  <c r="Q86" i="116"/>
  <c r="M86" i="116"/>
  <c r="Q85" i="116"/>
  <c r="M85" i="116"/>
  <c r="Q84" i="116"/>
  <c r="M84" i="116"/>
  <c r="Q83" i="116"/>
  <c r="M83" i="116"/>
  <c r="Q82" i="116"/>
  <c r="N82" i="116"/>
  <c r="M82" i="116"/>
  <c r="Q81" i="116"/>
  <c r="M81" i="116"/>
  <c r="Q80" i="116"/>
  <c r="M80" i="116"/>
  <c r="Q79" i="116"/>
  <c r="N79" i="116"/>
  <c r="M79" i="116"/>
  <c r="Q78" i="116"/>
  <c r="M78" i="116"/>
  <c r="Q77" i="116"/>
  <c r="M77" i="116"/>
  <c r="Q76" i="116"/>
  <c r="M76" i="116"/>
  <c r="Q75" i="116"/>
  <c r="M75" i="116"/>
  <c r="Q74" i="116"/>
  <c r="M74" i="116"/>
  <c r="Q73" i="116"/>
  <c r="N73" i="116"/>
  <c r="M73" i="116"/>
  <c r="Q72" i="116"/>
  <c r="M72" i="116"/>
  <c r="Q71" i="116"/>
  <c r="M71" i="116"/>
  <c r="Q70" i="116"/>
  <c r="N70" i="116"/>
  <c r="M70" i="116"/>
  <c r="Q69" i="116"/>
  <c r="M69" i="116"/>
  <c r="Q68" i="116"/>
  <c r="N68" i="116"/>
  <c r="M68" i="116"/>
  <c r="Q67" i="116"/>
  <c r="M67" i="116"/>
  <c r="Q66" i="116"/>
  <c r="M66" i="116"/>
  <c r="Q65" i="116"/>
  <c r="N65" i="116"/>
  <c r="M65" i="116"/>
  <c r="Q64" i="116"/>
  <c r="N64" i="116"/>
  <c r="M64" i="116"/>
  <c r="Q63" i="116"/>
  <c r="Q62" i="116"/>
  <c r="M62" i="116"/>
  <c r="Q61" i="116"/>
  <c r="M61" i="116"/>
  <c r="Q60" i="116"/>
  <c r="M60" i="116"/>
  <c r="Q59" i="116"/>
  <c r="N59" i="116"/>
  <c r="M59" i="116"/>
  <c r="Q58" i="116"/>
  <c r="M58" i="116"/>
  <c r="Q57" i="116"/>
  <c r="M57" i="116"/>
  <c r="Q56" i="116"/>
  <c r="M56" i="116"/>
  <c r="Q55" i="116"/>
  <c r="M55" i="116"/>
  <c r="Q54" i="116"/>
  <c r="M54" i="116"/>
  <c r="Q53" i="116"/>
  <c r="M53" i="116"/>
  <c r="Q52" i="116"/>
  <c r="M52" i="116"/>
  <c r="Q51" i="116"/>
  <c r="N51" i="116"/>
  <c r="M51" i="116"/>
  <c r="Q50" i="116"/>
  <c r="N50" i="116"/>
  <c r="M50" i="116"/>
  <c r="Q49" i="116"/>
  <c r="M49" i="116"/>
  <c r="Q48" i="116"/>
  <c r="M48" i="116"/>
  <c r="Q47" i="116"/>
  <c r="N47" i="116"/>
  <c r="M47" i="116"/>
  <c r="Q46" i="116"/>
  <c r="M46" i="116"/>
  <c r="Q45" i="116"/>
  <c r="N45" i="116"/>
  <c r="M45" i="116"/>
  <c r="Q44" i="116"/>
  <c r="N44" i="116"/>
  <c r="M44" i="116"/>
  <c r="Q43" i="116"/>
  <c r="N43" i="116"/>
  <c r="M43" i="116"/>
  <c r="Q42" i="116"/>
  <c r="M42" i="116"/>
  <c r="Q41" i="116"/>
  <c r="N41" i="116"/>
  <c r="M41" i="116"/>
  <c r="Q40" i="116"/>
  <c r="M40" i="116"/>
  <c r="Q39" i="116"/>
  <c r="M39" i="116"/>
  <c r="Q38" i="116"/>
  <c r="N38" i="116"/>
  <c r="M38" i="116"/>
  <c r="Q37" i="116"/>
  <c r="M37" i="116"/>
  <c r="Q36" i="116"/>
  <c r="N36" i="116"/>
  <c r="M36" i="116"/>
  <c r="Q35" i="116"/>
  <c r="N35" i="116"/>
  <c r="M35" i="116"/>
  <c r="Q34" i="116"/>
  <c r="M34" i="116"/>
  <c r="Q33" i="116"/>
  <c r="N33" i="116"/>
  <c r="M33" i="116"/>
  <c r="Q32" i="116"/>
  <c r="N32" i="116"/>
  <c r="M32" i="116"/>
  <c r="Q31" i="116"/>
  <c r="M31" i="116"/>
  <c r="Q30" i="116"/>
  <c r="N30" i="116"/>
  <c r="M30" i="116"/>
  <c r="Q29" i="116"/>
  <c r="N29" i="116"/>
  <c r="M29" i="116"/>
  <c r="Q28" i="116"/>
  <c r="N28" i="116"/>
  <c r="M28" i="116"/>
  <c r="Q27" i="116"/>
  <c r="M27" i="116"/>
  <c r="Q26" i="116"/>
  <c r="M26" i="116"/>
  <c r="Q25" i="116"/>
  <c r="N25" i="116"/>
  <c r="M25" i="116"/>
  <c r="Q24" i="116"/>
  <c r="N24" i="116"/>
  <c r="M24" i="116"/>
  <c r="Q23" i="116"/>
  <c r="N23" i="116"/>
  <c r="M23" i="116"/>
  <c r="Q22" i="116"/>
  <c r="M22" i="116"/>
  <c r="Q21" i="116"/>
  <c r="M21" i="116"/>
  <c r="Q20" i="116"/>
  <c r="M20" i="116"/>
  <c r="Q19" i="116"/>
  <c r="M19" i="116"/>
  <c r="Q18" i="116"/>
  <c r="M18" i="116"/>
  <c r="Q17" i="116"/>
  <c r="M17" i="116"/>
  <c r="Q16" i="116"/>
  <c r="M16" i="116"/>
  <c r="Q15" i="116"/>
  <c r="M15" i="116"/>
  <c r="Q14" i="116"/>
  <c r="N14" i="116"/>
  <c r="M14" i="116"/>
  <c r="Q13" i="116"/>
  <c r="M13" i="116"/>
  <c r="Q12" i="116"/>
  <c r="M12" i="116"/>
  <c r="Q11" i="116"/>
  <c r="M11" i="116"/>
  <c r="Q10" i="116"/>
  <c r="M10" i="116"/>
  <c r="B9" i="116"/>
  <c r="C9" i="116" s="1"/>
  <c r="D9" i="116" s="1"/>
  <c r="E9" i="116" s="1"/>
  <c r="F9" i="116" s="1"/>
  <c r="G9" i="116" s="1"/>
  <c r="H9" i="116" s="1"/>
  <c r="I9" i="116" s="1"/>
  <c r="J9" i="116" s="1"/>
  <c r="K9" i="116" s="1"/>
  <c r="L9" i="116" s="1"/>
  <c r="M9" i="116" s="1"/>
  <c r="N9" i="116" s="1"/>
  <c r="O9" i="116" s="1"/>
  <c r="P9" i="116" s="1"/>
  <c r="Q9" i="116" s="1"/>
  <c r="J184" i="116" l="1"/>
  <c r="M184" i="116"/>
  <c r="Q184" i="116"/>
  <c r="N184" i="116"/>
  <c r="N44" i="115"/>
  <c r="N33" i="115"/>
  <c r="N50" i="115"/>
  <c r="N128" i="115"/>
  <c r="N164" i="115"/>
  <c r="N124" i="115"/>
  <c r="N108" i="115"/>
  <c r="N92" i="115"/>
  <c r="N65" i="115"/>
  <c r="N35" i="115"/>
  <c r="N29" i="115"/>
  <c r="N24" i="115"/>
  <c r="N133" i="115" l="1"/>
  <c r="N144" i="115"/>
  <c r="N178" i="115"/>
  <c r="N172" i="115"/>
  <c r="N167" i="115"/>
  <c r="N163" i="115"/>
  <c r="N159" i="115"/>
  <c r="N154" i="115"/>
  <c r="N145" i="115"/>
  <c r="N141" i="115"/>
  <c r="N134" i="115"/>
  <c r="N131" i="115"/>
  <c r="N127" i="115"/>
  <c r="N123" i="115"/>
  <c r="N119" i="115"/>
  <c r="N117" i="115"/>
  <c r="N110" i="115"/>
  <c r="N112" i="115"/>
  <c r="N107" i="115"/>
  <c r="N105" i="115"/>
  <c r="N104" i="115"/>
  <c r="N100" i="115"/>
  <c r="N90" i="115"/>
  <c r="N102" i="115"/>
  <c r="N96" i="115"/>
  <c r="N98" i="115"/>
  <c r="N91" i="115"/>
  <c r="N82" i="115"/>
  <c r="N79" i="115"/>
  <c r="N73" i="115"/>
  <c r="N76" i="115"/>
  <c r="N70" i="115"/>
  <c r="N68" i="115"/>
  <c r="N64" i="115"/>
  <c r="N59" i="115"/>
  <c r="N51" i="115"/>
  <c r="N47" i="115"/>
  <c r="N43" i="115"/>
  <c r="N45" i="115"/>
  <c r="N41" i="115"/>
  <c r="N109" i="115"/>
  <c r="N38" i="115"/>
  <c r="N36" i="115"/>
  <c r="N34" i="115"/>
  <c r="N30" i="115"/>
  <c r="N32" i="115"/>
  <c r="N28" i="115"/>
  <c r="N25" i="115"/>
  <c r="N18" i="115"/>
  <c r="N14" i="115"/>
  <c r="N23" i="115"/>
  <c r="P183" i="115"/>
  <c r="O183" i="115"/>
  <c r="L183" i="115"/>
  <c r="K183" i="115"/>
  <c r="J183" i="115"/>
  <c r="I183" i="115"/>
  <c r="H183" i="115"/>
  <c r="Q182" i="115"/>
  <c r="M182" i="115"/>
  <c r="Q181" i="115"/>
  <c r="M181" i="115"/>
  <c r="Q180" i="115"/>
  <c r="M180" i="115"/>
  <c r="Q179" i="115"/>
  <c r="M179" i="115"/>
  <c r="Q178" i="115"/>
  <c r="M178" i="115"/>
  <c r="Q177" i="115"/>
  <c r="M177" i="115"/>
  <c r="Q176" i="115"/>
  <c r="M176" i="115"/>
  <c r="Q175" i="115"/>
  <c r="M175" i="115"/>
  <c r="Q174" i="115"/>
  <c r="M174" i="115"/>
  <c r="Q173" i="115"/>
  <c r="M173" i="115"/>
  <c r="Q172" i="115"/>
  <c r="M172" i="115"/>
  <c r="Q171" i="115"/>
  <c r="M171" i="115"/>
  <c r="Q170" i="115"/>
  <c r="M170" i="115"/>
  <c r="Q169" i="115"/>
  <c r="M169" i="115"/>
  <c r="Q168" i="115"/>
  <c r="M168" i="115"/>
  <c r="Q167" i="115"/>
  <c r="M167" i="115"/>
  <c r="Q166" i="115"/>
  <c r="M166" i="115"/>
  <c r="Q165" i="115"/>
  <c r="M165" i="115"/>
  <c r="Q164" i="115"/>
  <c r="M164" i="115"/>
  <c r="Q163" i="115"/>
  <c r="M163" i="115"/>
  <c r="Q162" i="115"/>
  <c r="M162" i="115"/>
  <c r="Q161" i="115"/>
  <c r="M161" i="115"/>
  <c r="Q160" i="115"/>
  <c r="M160" i="115"/>
  <c r="Q159" i="115"/>
  <c r="M159" i="115"/>
  <c r="Q158" i="115"/>
  <c r="M158" i="115"/>
  <c r="Q157" i="115"/>
  <c r="M157" i="115"/>
  <c r="Q156" i="115"/>
  <c r="M156" i="115"/>
  <c r="Q155" i="115"/>
  <c r="M155" i="115"/>
  <c r="Q154" i="115"/>
  <c r="M154" i="115"/>
  <c r="Q153" i="115"/>
  <c r="M153" i="115"/>
  <c r="Q152" i="115"/>
  <c r="M152" i="115"/>
  <c r="Q151" i="115"/>
  <c r="M151" i="115"/>
  <c r="Q150" i="115"/>
  <c r="M150" i="115"/>
  <c r="Q149" i="115"/>
  <c r="M149" i="115"/>
  <c r="Q148" i="115"/>
  <c r="M148" i="115"/>
  <c r="Q147" i="115"/>
  <c r="M147" i="115"/>
  <c r="Q146" i="115"/>
  <c r="M146" i="115"/>
  <c r="Q145" i="115"/>
  <c r="M145" i="115"/>
  <c r="Q143" i="115"/>
  <c r="M143" i="115"/>
  <c r="Q142" i="115"/>
  <c r="M142" i="115"/>
  <c r="Q141" i="115"/>
  <c r="M141" i="115"/>
  <c r="Q140" i="115"/>
  <c r="M140" i="115"/>
  <c r="Q139" i="115"/>
  <c r="M139" i="115"/>
  <c r="Q137" i="115"/>
  <c r="M137" i="115"/>
  <c r="Q136" i="115"/>
  <c r="M136" i="115"/>
  <c r="Q135" i="115"/>
  <c r="M135" i="115"/>
  <c r="Q134" i="115"/>
  <c r="M134" i="115"/>
  <c r="M133" i="115"/>
  <c r="Q132" i="115"/>
  <c r="M132" i="115"/>
  <c r="Q131" i="115"/>
  <c r="M131" i="115"/>
  <c r="Q130" i="115"/>
  <c r="M130" i="115"/>
  <c r="Q129" i="115"/>
  <c r="M129" i="115"/>
  <c r="Q128" i="115"/>
  <c r="M128" i="115"/>
  <c r="Q127" i="115"/>
  <c r="M127" i="115"/>
  <c r="Q126" i="115"/>
  <c r="M126" i="115"/>
  <c r="Q125" i="115"/>
  <c r="M125" i="115"/>
  <c r="Q124" i="115"/>
  <c r="M124" i="115"/>
  <c r="Q123" i="115"/>
  <c r="M123" i="115"/>
  <c r="Q122" i="115"/>
  <c r="M122" i="115"/>
  <c r="Q121" i="115"/>
  <c r="M121" i="115"/>
  <c r="Q120" i="115"/>
  <c r="M120" i="115"/>
  <c r="Q119" i="115"/>
  <c r="M119" i="115"/>
  <c r="Q118" i="115"/>
  <c r="M118" i="115"/>
  <c r="Q117" i="115"/>
  <c r="M117" i="115"/>
  <c r="Q116" i="115"/>
  <c r="M116" i="115"/>
  <c r="Q115" i="115"/>
  <c r="M115" i="115"/>
  <c r="Q114" i="115"/>
  <c r="M114" i="115"/>
  <c r="Q113" i="115"/>
  <c r="M113" i="115"/>
  <c r="Q112" i="115"/>
  <c r="M112" i="115"/>
  <c r="Q111" i="115"/>
  <c r="M111" i="115"/>
  <c r="Q110" i="115"/>
  <c r="M110" i="115"/>
  <c r="Q108" i="115"/>
  <c r="M108" i="115"/>
  <c r="Q107" i="115"/>
  <c r="M107" i="115"/>
  <c r="Q106" i="115"/>
  <c r="M106" i="115"/>
  <c r="Q105" i="115"/>
  <c r="M105" i="115"/>
  <c r="Q104" i="115"/>
  <c r="M104" i="115"/>
  <c r="Q103" i="115"/>
  <c r="M103" i="115"/>
  <c r="Q102" i="115"/>
  <c r="M102" i="115"/>
  <c r="Q101" i="115"/>
  <c r="M101" i="115"/>
  <c r="Q100" i="115"/>
  <c r="M100" i="115"/>
  <c r="Q99" i="115"/>
  <c r="M99" i="115"/>
  <c r="Q98" i="115"/>
  <c r="M98" i="115"/>
  <c r="Q97" i="115"/>
  <c r="M97" i="115"/>
  <c r="Q96" i="115"/>
  <c r="M96" i="115"/>
  <c r="Q95" i="115"/>
  <c r="M95" i="115"/>
  <c r="Q94" i="115"/>
  <c r="M94" i="115"/>
  <c r="Q93" i="115"/>
  <c r="M93" i="115"/>
  <c r="Q92" i="115"/>
  <c r="M92" i="115"/>
  <c r="Q91" i="115"/>
  <c r="M91" i="115"/>
  <c r="Q90" i="115"/>
  <c r="M90" i="115"/>
  <c r="Q89" i="115"/>
  <c r="M89" i="115"/>
  <c r="Q88" i="115"/>
  <c r="M88" i="115"/>
  <c r="Q87" i="115"/>
  <c r="M87" i="115"/>
  <c r="Q86" i="115"/>
  <c r="M86" i="115"/>
  <c r="Q85" i="115"/>
  <c r="M85" i="115"/>
  <c r="Q84" i="115"/>
  <c r="M84" i="115"/>
  <c r="Q83" i="115"/>
  <c r="M83" i="115"/>
  <c r="Q82" i="115"/>
  <c r="M82" i="115"/>
  <c r="Q81" i="115"/>
  <c r="M81" i="115"/>
  <c r="Q80" i="115"/>
  <c r="M80" i="115"/>
  <c r="Q79" i="115"/>
  <c r="M79" i="115"/>
  <c r="Q78" i="115"/>
  <c r="M78" i="115"/>
  <c r="Q77" i="115"/>
  <c r="M77" i="115"/>
  <c r="Q76" i="115"/>
  <c r="M76" i="115"/>
  <c r="Q75" i="115"/>
  <c r="M75" i="115"/>
  <c r="Q74" i="115"/>
  <c r="M74" i="115"/>
  <c r="Q73" i="115"/>
  <c r="M73" i="115"/>
  <c r="Q72" i="115"/>
  <c r="M72" i="115"/>
  <c r="Q71" i="115"/>
  <c r="M71" i="115"/>
  <c r="Q70" i="115"/>
  <c r="M70" i="115"/>
  <c r="Q69" i="115"/>
  <c r="M69" i="115"/>
  <c r="Q68" i="115"/>
  <c r="M68" i="115"/>
  <c r="Q67" i="115"/>
  <c r="M67" i="115"/>
  <c r="Q66" i="115"/>
  <c r="M66" i="115"/>
  <c r="Q65" i="115"/>
  <c r="M65" i="115"/>
  <c r="Q64" i="115"/>
  <c r="M64" i="115"/>
  <c r="Q63" i="115"/>
  <c r="M63" i="115"/>
  <c r="Q62" i="115"/>
  <c r="M62" i="115"/>
  <c r="Q61" i="115"/>
  <c r="M61" i="115"/>
  <c r="Q60" i="115"/>
  <c r="M60" i="115"/>
  <c r="Q59" i="115"/>
  <c r="M59" i="115"/>
  <c r="Q58" i="115"/>
  <c r="M58" i="115"/>
  <c r="Q57" i="115"/>
  <c r="M57" i="115"/>
  <c r="Q56" i="115"/>
  <c r="M56" i="115"/>
  <c r="Q55" i="115"/>
  <c r="M55" i="115"/>
  <c r="Q54" i="115"/>
  <c r="M54" i="115"/>
  <c r="Q53" i="115"/>
  <c r="M53" i="115"/>
  <c r="Q52" i="115"/>
  <c r="M52" i="115"/>
  <c r="Q51" i="115"/>
  <c r="M51" i="115"/>
  <c r="Q50" i="115"/>
  <c r="M50" i="115"/>
  <c r="Q49" i="115"/>
  <c r="M49" i="115"/>
  <c r="Q48" i="115"/>
  <c r="M48" i="115"/>
  <c r="Q47" i="115"/>
  <c r="M47" i="115"/>
  <c r="Q46" i="115"/>
  <c r="M46" i="115"/>
  <c r="Q45" i="115"/>
  <c r="M45" i="115"/>
  <c r="Q44" i="115"/>
  <c r="M44" i="115"/>
  <c r="Q43" i="115"/>
  <c r="M43" i="115"/>
  <c r="Q42" i="115"/>
  <c r="M42" i="115"/>
  <c r="Q41" i="115"/>
  <c r="M41" i="115"/>
  <c r="Q40" i="115"/>
  <c r="M40" i="115"/>
  <c r="Q109" i="115"/>
  <c r="M109" i="115"/>
  <c r="Q39" i="115"/>
  <c r="M39" i="115"/>
  <c r="Q38" i="115"/>
  <c r="M38" i="115"/>
  <c r="Q37" i="115"/>
  <c r="M37" i="115"/>
  <c r="Q36" i="115"/>
  <c r="M36" i="115"/>
  <c r="Q35" i="115"/>
  <c r="M35" i="115"/>
  <c r="Q34" i="115"/>
  <c r="M34" i="115"/>
  <c r="Q33" i="115"/>
  <c r="M33" i="115"/>
  <c r="Q32" i="115"/>
  <c r="M32" i="115"/>
  <c r="Q31" i="115"/>
  <c r="M31" i="115"/>
  <c r="Q30" i="115"/>
  <c r="M30" i="115"/>
  <c r="Q29" i="115"/>
  <c r="M29" i="115"/>
  <c r="Q28" i="115"/>
  <c r="M28" i="115"/>
  <c r="Q27" i="115"/>
  <c r="M27" i="115"/>
  <c r="Q26" i="115"/>
  <c r="M26" i="115"/>
  <c r="Q25" i="115"/>
  <c r="M25" i="115"/>
  <c r="Q24" i="115"/>
  <c r="M24" i="115"/>
  <c r="Q23" i="115"/>
  <c r="M23" i="115"/>
  <c r="Q22" i="115"/>
  <c r="M22" i="115"/>
  <c r="Q21" i="115"/>
  <c r="M21" i="115"/>
  <c r="Q20" i="115"/>
  <c r="M20" i="115"/>
  <c r="Q19" i="115"/>
  <c r="M19" i="115"/>
  <c r="Q18" i="115"/>
  <c r="M18" i="115"/>
  <c r="Q17" i="115"/>
  <c r="M17" i="115"/>
  <c r="Q16" i="115"/>
  <c r="M16" i="115"/>
  <c r="Q15" i="115"/>
  <c r="M15" i="115"/>
  <c r="Q14" i="115"/>
  <c r="M14" i="115"/>
  <c r="Q13" i="115"/>
  <c r="M13" i="115"/>
  <c r="Q12" i="115"/>
  <c r="M12" i="115"/>
  <c r="Q11" i="115"/>
  <c r="M11" i="115"/>
  <c r="Q10" i="115"/>
  <c r="M10" i="115"/>
  <c r="B9" i="115"/>
  <c r="C9" i="115" s="1"/>
  <c r="D9" i="115" s="1"/>
  <c r="E9" i="115" s="1"/>
  <c r="F9" i="115" s="1"/>
  <c r="G9" i="115" s="1"/>
  <c r="H9" i="115" s="1"/>
  <c r="I9" i="115" s="1"/>
  <c r="J9" i="115" s="1"/>
  <c r="K9" i="115" s="1"/>
  <c r="L9" i="115" s="1"/>
  <c r="M9" i="115" s="1"/>
  <c r="N9" i="115" s="1"/>
  <c r="O9" i="115" s="1"/>
  <c r="P9" i="115" s="1"/>
  <c r="Q9" i="115" s="1"/>
  <c r="M183" i="115" l="1"/>
  <c r="Q183" i="115"/>
  <c r="N183" i="115"/>
  <c r="P183" i="114"/>
  <c r="O183" i="114"/>
  <c r="N183" i="114"/>
  <c r="L183" i="114"/>
  <c r="K183" i="114"/>
  <c r="J183" i="114"/>
  <c r="I183" i="114"/>
  <c r="H183" i="114"/>
  <c r="Q182" i="114"/>
  <c r="M182" i="114"/>
  <c r="Q181" i="114"/>
  <c r="M181" i="114"/>
  <c r="Q180" i="114"/>
  <c r="M180" i="114"/>
  <c r="Q179" i="114"/>
  <c r="M179" i="114"/>
  <c r="Q178" i="114"/>
  <c r="M178" i="114"/>
  <c r="Q177" i="114"/>
  <c r="M177" i="114"/>
  <c r="Q176" i="114"/>
  <c r="M176" i="114"/>
  <c r="Q175" i="114"/>
  <c r="M175" i="114"/>
  <c r="Q174" i="114"/>
  <c r="M174" i="114"/>
  <c r="Q173" i="114"/>
  <c r="M173" i="114"/>
  <c r="Q172" i="114"/>
  <c r="M172" i="114"/>
  <c r="Q171" i="114"/>
  <c r="M171" i="114"/>
  <c r="Q170" i="114"/>
  <c r="M170" i="114"/>
  <c r="Q169" i="114"/>
  <c r="M169" i="114"/>
  <c r="Q168" i="114"/>
  <c r="M168" i="114"/>
  <c r="Q167" i="114"/>
  <c r="M167" i="114"/>
  <c r="Q166" i="114"/>
  <c r="M166" i="114"/>
  <c r="Q165" i="114"/>
  <c r="M165" i="114"/>
  <c r="Q164" i="114"/>
  <c r="M164" i="114"/>
  <c r="Q163" i="114"/>
  <c r="M163" i="114"/>
  <c r="Q162" i="114"/>
  <c r="M162" i="114"/>
  <c r="Q161" i="114"/>
  <c r="M161" i="114"/>
  <c r="Q160" i="114"/>
  <c r="M160" i="114"/>
  <c r="Q159" i="114"/>
  <c r="M159" i="114"/>
  <c r="Q158" i="114"/>
  <c r="M158" i="114"/>
  <c r="Q157" i="114"/>
  <c r="M157" i="114"/>
  <c r="Q156" i="114"/>
  <c r="M156" i="114"/>
  <c r="Q155" i="114"/>
  <c r="M155" i="114"/>
  <c r="Q154" i="114"/>
  <c r="M154" i="114"/>
  <c r="Q153" i="114"/>
  <c r="M153" i="114"/>
  <c r="Q152" i="114"/>
  <c r="M152" i="114"/>
  <c r="Q151" i="114"/>
  <c r="M151" i="114"/>
  <c r="Q150" i="114"/>
  <c r="M150" i="114"/>
  <c r="Q149" i="114"/>
  <c r="M149" i="114"/>
  <c r="Q148" i="114"/>
  <c r="M148" i="114"/>
  <c r="Q147" i="114"/>
  <c r="M147" i="114"/>
  <c r="Q146" i="114"/>
  <c r="M146" i="114"/>
  <c r="Q145" i="114"/>
  <c r="M145" i="114"/>
  <c r="Q143" i="114"/>
  <c r="M143" i="114"/>
  <c r="Q142" i="114"/>
  <c r="M142" i="114"/>
  <c r="Q141" i="114"/>
  <c r="M141" i="114"/>
  <c r="Q140" i="114"/>
  <c r="M140" i="114"/>
  <c r="Q139" i="114"/>
  <c r="M139" i="114"/>
  <c r="Q137" i="114"/>
  <c r="M137" i="114"/>
  <c r="Q136" i="114"/>
  <c r="M136" i="114"/>
  <c r="Q135" i="114"/>
  <c r="M135" i="114"/>
  <c r="Q134" i="114"/>
  <c r="M134" i="114"/>
  <c r="M133" i="114"/>
  <c r="Q132" i="114"/>
  <c r="M132" i="114"/>
  <c r="Q131" i="114"/>
  <c r="M131" i="114"/>
  <c r="Q130" i="114"/>
  <c r="M130" i="114"/>
  <c r="Q129" i="114"/>
  <c r="M129" i="114"/>
  <c r="Q128" i="114"/>
  <c r="M128" i="114"/>
  <c r="Q127" i="114"/>
  <c r="M127" i="114"/>
  <c r="Q126" i="114"/>
  <c r="M126" i="114"/>
  <c r="Q125" i="114"/>
  <c r="M125" i="114"/>
  <c r="Q124" i="114"/>
  <c r="M124" i="114"/>
  <c r="Q123" i="114"/>
  <c r="M123" i="114"/>
  <c r="Q122" i="114"/>
  <c r="M122" i="114"/>
  <c r="Q121" i="114"/>
  <c r="M121" i="114"/>
  <c r="Q120" i="114"/>
  <c r="M120" i="114"/>
  <c r="Q119" i="114"/>
  <c r="M119" i="114"/>
  <c r="Q118" i="114"/>
  <c r="M118" i="114"/>
  <c r="Q117" i="114"/>
  <c r="M117" i="114"/>
  <c r="Q116" i="114"/>
  <c r="M116" i="114"/>
  <c r="Q115" i="114"/>
  <c r="M115" i="114"/>
  <c r="Q114" i="114"/>
  <c r="M114" i="114"/>
  <c r="Q113" i="114"/>
  <c r="M113" i="114"/>
  <c r="Q112" i="114"/>
  <c r="M112" i="114"/>
  <c r="Q111" i="114"/>
  <c r="M111" i="114"/>
  <c r="Q110" i="114"/>
  <c r="M110" i="114"/>
  <c r="Q109" i="114"/>
  <c r="M109" i="114"/>
  <c r="Q108" i="114"/>
  <c r="M108" i="114"/>
  <c r="Q107" i="114"/>
  <c r="M107" i="114"/>
  <c r="Q106" i="114"/>
  <c r="M106" i="114"/>
  <c r="Q105" i="114"/>
  <c r="M105" i="114"/>
  <c r="Q104" i="114"/>
  <c r="M104" i="114"/>
  <c r="Q103" i="114"/>
  <c r="M103" i="114"/>
  <c r="Q102" i="114"/>
  <c r="M102" i="114"/>
  <c r="Q101" i="114"/>
  <c r="M101" i="114"/>
  <c r="Q100" i="114"/>
  <c r="M100" i="114"/>
  <c r="Q99" i="114"/>
  <c r="M99" i="114"/>
  <c r="Q98" i="114"/>
  <c r="M98" i="114"/>
  <c r="Q97" i="114"/>
  <c r="M97" i="114"/>
  <c r="Q96" i="114"/>
  <c r="M96" i="114"/>
  <c r="Q95" i="114"/>
  <c r="M95" i="114"/>
  <c r="Q94" i="114"/>
  <c r="M94" i="114"/>
  <c r="Q93" i="114"/>
  <c r="M93" i="114"/>
  <c r="Q92" i="114"/>
  <c r="M92" i="114"/>
  <c r="Q91" i="114"/>
  <c r="M91" i="114"/>
  <c r="Q90" i="114"/>
  <c r="M90" i="114"/>
  <c r="Q89" i="114"/>
  <c r="M89" i="114"/>
  <c r="Q88" i="114"/>
  <c r="M88" i="114"/>
  <c r="Q87" i="114"/>
  <c r="M87" i="114"/>
  <c r="Q86" i="114"/>
  <c r="M86" i="114"/>
  <c r="Q85" i="114"/>
  <c r="M85" i="114"/>
  <c r="Q84" i="114"/>
  <c r="M84" i="114"/>
  <c r="Q83" i="114"/>
  <c r="M83" i="114"/>
  <c r="Q82" i="114"/>
  <c r="M82" i="114"/>
  <c r="Q81" i="114"/>
  <c r="M81" i="114"/>
  <c r="Q80" i="114"/>
  <c r="M80" i="114"/>
  <c r="Q79" i="114"/>
  <c r="M79" i="114"/>
  <c r="Q78" i="114"/>
  <c r="M78" i="114"/>
  <c r="Q77" i="114"/>
  <c r="M77" i="114"/>
  <c r="Q76" i="114"/>
  <c r="M76" i="114"/>
  <c r="Q75" i="114"/>
  <c r="M75" i="114"/>
  <c r="Q74" i="114"/>
  <c r="M74" i="114"/>
  <c r="Q73" i="114"/>
  <c r="M73" i="114"/>
  <c r="Q72" i="114"/>
  <c r="M72" i="114"/>
  <c r="Q71" i="114"/>
  <c r="M71" i="114"/>
  <c r="Q70" i="114"/>
  <c r="M70" i="114"/>
  <c r="Q69" i="114"/>
  <c r="M69" i="114"/>
  <c r="Q68" i="114"/>
  <c r="M68" i="114"/>
  <c r="Q67" i="114"/>
  <c r="M67" i="114"/>
  <c r="Q66" i="114"/>
  <c r="M66" i="114"/>
  <c r="Q65" i="114"/>
  <c r="M65" i="114"/>
  <c r="Q64" i="114"/>
  <c r="M64" i="114"/>
  <c r="Q63" i="114"/>
  <c r="M63" i="114"/>
  <c r="Q62" i="114"/>
  <c r="M62" i="114"/>
  <c r="Q61" i="114"/>
  <c r="M61" i="114"/>
  <c r="Q60" i="114"/>
  <c r="M60" i="114"/>
  <c r="Q59" i="114"/>
  <c r="M59" i="114"/>
  <c r="Q58" i="114"/>
  <c r="M58" i="114"/>
  <c r="Q57" i="114"/>
  <c r="M57" i="114"/>
  <c r="Q56" i="114"/>
  <c r="M56" i="114"/>
  <c r="Q55" i="114"/>
  <c r="M55" i="114"/>
  <c r="Q54" i="114"/>
  <c r="M54" i="114"/>
  <c r="Q53" i="114"/>
  <c r="M53" i="114"/>
  <c r="Q52" i="114"/>
  <c r="M52" i="114"/>
  <c r="Q51" i="114"/>
  <c r="M51" i="114"/>
  <c r="Q50" i="114"/>
  <c r="M50" i="114"/>
  <c r="Q49" i="114"/>
  <c r="M49" i="114"/>
  <c r="Q48" i="114"/>
  <c r="M48" i="114"/>
  <c r="Q47" i="114"/>
  <c r="M47" i="114"/>
  <c r="Q46" i="114"/>
  <c r="M46" i="114"/>
  <c r="Q45" i="114"/>
  <c r="M45" i="114"/>
  <c r="Q44" i="114"/>
  <c r="M44" i="114"/>
  <c r="Q43" i="114"/>
  <c r="M43" i="114"/>
  <c r="Q42" i="114"/>
  <c r="M42" i="114"/>
  <c r="Q41" i="114"/>
  <c r="M41" i="114"/>
  <c r="Q40" i="114"/>
  <c r="M40" i="114"/>
  <c r="Q39" i="114"/>
  <c r="M39" i="114"/>
  <c r="Q38" i="114"/>
  <c r="M38" i="114"/>
  <c r="Q37" i="114"/>
  <c r="M37" i="114"/>
  <c r="Q36" i="114"/>
  <c r="M36" i="114"/>
  <c r="Q35" i="114"/>
  <c r="M35" i="114"/>
  <c r="Q34" i="114"/>
  <c r="M34" i="114"/>
  <c r="Q33" i="114"/>
  <c r="M33" i="114"/>
  <c r="Q32" i="114"/>
  <c r="M32" i="114"/>
  <c r="Q31" i="114"/>
  <c r="M31" i="114"/>
  <c r="Q30" i="114"/>
  <c r="M30" i="114"/>
  <c r="Q29" i="114"/>
  <c r="M29" i="114"/>
  <c r="Q28" i="114"/>
  <c r="M28" i="114"/>
  <c r="Q27" i="114"/>
  <c r="M27" i="114"/>
  <c r="Q26" i="114"/>
  <c r="M26" i="114"/>
  <c r="Q25" i="114"/>
  <c r="M25" i="114"/>
  <c r="Q24" i="114"/>
  <c r="M24" i="114"/>
  <c r="Q23" i="114"/>
  <c r="M23" i="114"/>
  <c r="Q22" i="114"/>
  <c r="M22" i="114"/>
  <c r="Q21" i="114"/>
  <c r="M21" i="114"/>
  <c r="Q20" i="114"/>
  <c r="M20" i="114"/>
  <c r="Q19" i="114"/>
  <c r="M19" i="114"/>
  <c r="Q18" i="114"/>
  <c r="M18" i="114"/>
  <c r="Q17" i="114"/>
  <c r="M17" i="114"/>
  <c r="Q16" i="114"/>
  <c r="M16" i="114"/>
  <c r="Q15" i="114"/>
  <c r="M15" i="114"/>
  <c r="Q14" i="114"/>
  <c r="M14" i="114"/>
  <c r="Q13" i="114"/>
  <c r="M13" i="114"/>
  <c r="Q12" i="114"/>
  <c r="M12" i="114"/>
  <c r="Q11" i="114"/>
  <c r="M11" i="114"/>
  <c r="Q10" i="114"/>
  <c r="M10" i="114"/>
  <c r="B9" i="114"/>
  <c r="C9" i="114" s="1"/>
  <c r="D9" i="114" s="1"/>
  <c r="E9" i="114" s="1"/>
  <c r="F9" i="114" s="1"/>
  <c r="G9" i="114" s="1"/>
  <c r="H9" i="114" s="1"/>
  <c r="I9" i="114" s="1"/>
  <c r="J9" i="114" s="1"/>
  <c r="K9" i="114" s="1"/>
  <c r="L9" i="114" s="1"/>
  <c r="M9" i="114" s="1"/>
  <c r="N9" i="114" s="1"/>
  <c r="O9" i="114" s="1"/>
  <c r="P9" i="114" s="1"/>
  <c r="Q9" i="114" s="1"/>
  <c r="M183" i="114" l="1"/>
  <c r="Q183" i="114"/>
  <c r="I183" i="113"/>
  <c r="H183" i="113"/>
  <c r="Q181" i="113"/>
  <c r="M181" i="113"/>
  <c r="Q179" i="113"/>
  <c r="M179" i="113"/>
  <c r="Q177" i="113"/>
  <c r="M177" i="113"/>
  <c r="Q175" i="113"/>
  <c r="M175" i="113"/>
  <c r="Q173" i="113"/>
  <c r="M173" i="113"/>
  <c r="Q172" i="113"/>
  <c r="M172" i="113"/>
  <c r="M171" i="113"/>
  <c r="Q170" i="113"/>
  <c r="M170" i="113"/>
  <c r="M169" i="113"/>
  <c r="Q168" i="113"/>
  <c r="M168" i="113"/>
  <c r="Q167" i="113"/>
  <c r="M167" i="113"/>
  <c r="Q166" i="113"/>
  <c r="M166" i="113"/>
  <c r="M165" i="113"/>
  <c r="Q164" i="113"/>
  <c r="M164" i="113"/>
  <c r="M163" i="113"/>
  <c r="Q162" i="113"/>
  <c r="M162" i="113"/>
  <c r="M161" i="113"/>
  <c r="Q160" i="113"/>
  <c r="M160" i="113"/>
  <c r="Q159" i="113"/>
  <c r="Q158" i="113"/>
  <c r="M158" i="113"/>
  <c r="Q157" i="113"/>
  <c r="M157" i="113"/>
  <c r="Q156" i="113"/>
  <c r="Q155" i="113"/>
  <c r="M155" i="113"/>
  <c r="Q154" i="113"/>
  <c r="M154" i="113"/>
  <c r="Q153" i="113"/>
  <c r="M153" i="113"/>
  <c r="Q152" i="113"/>
  <c r="M152" i="113"/>
  <c r="Q151" i="113"/>
  <c r="M151" i="113"/>
  <c r="Q150" i="113"/>
  <c r="M150" i="113"/>
  <c r="M149" i="113"/>
  <c r="Q148" i="113"/>
  <c r="M148" i="113"/>
  <c r="M147" i="113"/>
  <c r="Q146" i="113"/>
  <c r="M146" i="113"/>
  <c r="M145" i="113"/>
  <c r="M156" i="113" l="1"/>
  <c r="M159" i="113"/>
  <c r="Q161" i="113"/>
  <c r="Q169" i="113"/>
  <c r="M174" i="113"/>
  <c r="M176" i="113"/>
  <c r="M178" i="113"/>
  <c r="M180" i="113"/>
  <c r="M182" i="113"/>
  <c r="Q147" i="113"/>
  <c r="Q165" i="113"/>
  <c r="Q171" i="113"/>
  <c r="Q176" i="113"/>
  <c r="Q180" i="113"/>
  <c r="Q145" i="113"/>
  <c r="Q149" i="113"/>
  <c r="Q163" i="113"/>
  <c r="Q174" i="113"/>
  <c r="Q178" i="113"/>
  <c r="Q182" i="113"/>
  <c r="M143" i="113"/>
  <c r="Q142" i="113"/>
  <c r="M142" i="113"/>
  <c r="M141" i="113"/>
  <c r="M140" i="113"/>
  <c r="Q139" i="113"/>
  <c r="M139" i="113"/>
  <c r="Q137" i="113"/>
  <c r="M137" i="113"/>
  <c r="Q136" i="113"/>
  <c r="Q135" i="113"/>
  <c r="M135" i="113"/>
  <c r="Q134" i="113"/>
  <c r="M133" i="113"/>
  <c r="Q132" i="113"/>
  <c r="M132" i="113"/>
  <c r="M131" i="113"/>
  <c r="Q130" i="113"/>
  <c r="M130" i="113"/>
  <c r="Q128" i="113"/>
  <c r="M128" i="113"/>
  <c r="Q126" i="113"/>
  <c r="M126" i="113"/>
  <c r="Q124" i="113"/>
  <c r="M124" i="113"/>
  <c r="Q122" i="113"/>
  <c r="M122" i="113"/>
  <c r="Q120" i="113"/>
  <c r="M120" i="113"/>
  <c r="Q119" i="113"/>
  <c r="Q118" i="113"/>
  <c r="M118" i="113"/>
  <c r="Q116" i="113"/>
  <c r="M116" i="113"/>
  <c r="Q115" i="113"/>
  <c r="M115" i="113"/>
  <c r="Q113" i="113"/>
  <c r="M113" i="113"/>
  <c r="M112" i="113" l="1"/>
  <c r="M114" i="113"/>
  <c r="M117" i="113"/>
  <c r="M119" i="113"/>
  <c r="M121" i="113"/>
  <c r="M123" i="113"/>
  <c r="M125" i="113"/>
  <c r="M127" i="113"/>
  <c r="Q127" i="113"/>
  <c r="Q129" i="113"/>
  <c r="Q131" i="113"/>
  <c r="M134" i="113"/>
  <c r="M136" i="113"/>
  <c r="Q117" i="113"/>
  <c r="Q121" i="113"/>
  <c r="Q125" i="113"/>
  <c r="M129" i="113"/>
  <c r="Q140" i="113"/>
  <c r="Q143" i="113"/>
  <c r="Q112" i="113"/>
  <c r="Q114" i="113"/>
  <c r="Q123" i="113"/>
  <c r="Q141" i="113"/>
  <c r="Q111" i="113"/>
  <c r="M111" i="113"/>
  <c r="Q110" i="113"/>
  <c r="Q109" i="113"/>
  <c r="M109" i="113"/>
  <c r="Q107" i="113"/>
  <c r="M107" i="113"/>
  <c r="Q104" i="113"/>
  <c r="M104" i="113"/>
  <c r="Q102" i="113"/>
  <c r="M102" i="113"/>
  <c r="Q100" i="113"/>
  <c r="M100" i="113"/>
  <c r="Q99" i="113"/>
  <c r="M99" i="113" l="1"/>
  <c r="M101" i="113"/>
  <c r="M103" i="113"/>
  <c r="M106" i="113"/>
  <c r="M108" i="113"/>
  <c r="M110" i="113"/>
  <c r="Q103" i="113"/>
  <c r="Q105" i="113"/>
  <c r="Q108" i="113"/>
  <c r="Q101" i="113"/>
  <c r="M105" i="113"/>
  <c r="Q106" i="113"/>
  <c r="Q98" i="113"/>
  <c r="M98" i="113"/>
  <c r="Q96" i="113"/>
  <c r="M96" i="113"/>
  <c r="Q95" i="113"/>
  <c r="Q94" i="113"/>
  <c r="M94" i="113"/>
  <c r="Q93" i="113"/>
  <c r="M93" i="113"/>
  <c r="Q91" i="113"/>
  <c r="M91" i="113" l="1"/>
  <c r="M92" i="113"/>
  <c r="M95" i="113"/>
  <c r="M97" i="113"/>
  <c r="Q92" i="113"/>
  <c r="Q97" i="113"/>
  <c r="Q90" i="113"/>
  <c r="M90" i="113"/>
  <c r="Q89" i="113"/>
  <c r="M89" i="113"/>
  <c r="Q88" i="113"/>
  <c r="M88" i="113"/>
  <c r="M87" i="113"/>
  <c r="Q86" i="113"/>
  <c r="M86" i="113"/>
  <c r="M85" i="113"/>
  <c r="Q84" i="113"/>
  <c r="M84" i="113"/>
  <c r="M83" i="113"/>
  <c r="Q82" i="113"/>
  <c r="M82" i="113"/>
  <c r="M81" i="113"/>
  <c r="Q80" i="113"/>
  <c r="M80" i="113"/>
  <c r="Q79" i="113"/>
  <c r="M79" i="113"/>
  <c r="M78" i="113"/>
  <c r="M77" i="113"/>
  <c r="M76" i="113"/>
  <c r="Q75" i="113"/>
  <c r="M75" i="113"/>
  <c r="M74" i="113"/>
  <c r="Q73" i="113"/>
  <c r="M73" i="113"/>
  <c r="Q72" i="113"/>
  <c r="M72" i="113"/>
  <c r="M71" i="113"/>
  <c r="Q70" i="113"/>
  <c r="M70" i="113"/>
  <c r="M69" i="113"/>
  <c r="Q68" i="113"/>
  <c r="M68" i="113"/>
  <c r="M67" i="113"/>
  <c r="Q66" i="113"/>
  <c r="M66" i="113"/>
  <c r="M65" i="113"/>
  <c r="M64" i="113"/>
  <c r="Q63" i="113"/>
  <c r="M63" i="113"/>
  <c r="M62" i="113"/>
  <c r="Q61" i="113"/>
  <c r="M61" i="113"/>
  <c r="M60" i="113"/>
  <c r="Q59" i="113"/>
  <c r="M59" i="113"/>
  <c r="M58" i="113"/>
  <c r="Q57" i="113"/>
  <c r="M57" i="113"/>
  <c r="M56" i="113"/>
  <c r="Q55" i="113"/>
  <c r="M55" i="113"/>
  <c r="M54" i="113"/>
  <c r="Q53" i="113"/>
  <c r="M53" i="113"/>
  <c r="M52" i="113"/>
  <c r="Q51" i="113"/>
  <c r="M51" i="113"/>
  <c r="Q50" i="113"/>
  <c r="M50" i="113"/>
  <c r="Q49" i="113"/>
  <c r="M49" i="113"/>
  <c r="Q48" i="113"/>
  <c r="M48" i="113"/>
  <c r="Q47" i="113"/>
  <c r="M47" i="113"/>
  <c r="M46" i="113"/>
  <c r="Q45" i="113"/>
  <c r="M45" i="113"/>
  <c r="Q43" i="113"/>
  <c r="M43" i="113"/>
  <c r="Q42" i="113" s="1"/>
  <c r="M42" i="113"/>
  <c r="Q41" i="113"/>
  <c r="M41" i="113"/>
  <c r="M40" i="113"/>
  <c r="Q40" i="113" l="1"/>
  <c r="M44" i="113"/>
  <c r="Q44" i="113"/>
  <c r="Q64" i="113"/>
  <c r="Q65" i="113"/>
  <c r="Q67" i="113"/>
  <c r="Q54" i="113"/>
  <c r="Q58" i="113"/>
  <c r="Q62" i="113"/>
  <c r="Q71" i="113"/>
  <c r="Q74" i="113"/>
  <c r="Q77" i="113"/>
  <c r="Q78" i="113"/>
  <c r="Q81" i="113"/>
  <c r="Q85" i="113"/>
  <c r="Q46" i="113"/>
  <c r="Q52" i="113"/>
  <c r="Q56" i="113"/>
  <c r="Q60" i="113"/>
  <c r="Q69" i="113"/>
  <c r="Q76" i="113"/>
  <c r="Q83" i="113"/>
  <c r="Q87" i="113"/>
  <c r="Q39" i="113"/>
  <c r="M39" i="113"/>
  <c r="Q38" i="113"/>
  <c r="M36" i="113"/>
  <c r="Q35" i="113"/>
  <c r="M35" i="113"/>
  <c r="M34" i="113"/>
  <c r="Q33" i="113"/>
  <c r="M33" i="113"/>
  <c r="Q32" i="113"/>
  <c r="M32" i="113"/>
  <c r="Q31" i="113"/>
  <c r="M31" i="113"/>
  <c r="M30" i="113"/>
  <c r="Q29" i="113"/>
  <c r="M29" i="113"/>
  <c r="M27" i="113"/>
  <c r="Q26" i="113"/>
  <c r="M26" i="113"/>
  <c r="M25" i="113"/>
  <c r="Q24" i="113"/>
  <c r="M24" i="113"/>
  <c r="Q22" i="113"/>
  <c r="M22" i="113"/>
  <c r="M21" i="113"/>
  <c r="Q20" i="113"/>
  <c r="M20" i="113"/>
  <c r="Q18" i="113"/>
  <c r="M18" i="113"/>
  <c r="Q17" i="113"/>
  <c r="M17" i="113"/>
  <c r="Q15" i="113"/>
  <c r="M15" i="113"/>
  <c r="Q14" i="113"/>
  <c r="M14" i="113"/>
  <c r="Q13" i="113"/>
  <c r="M13" i="113"/>
  <c r="Q11" i="113"/>
  <c r="M11" i="113"/>
  <c r="O183" i="113"/>
  <c r="L183" i="113"/>
  <c r="B9" i="113"/>
  <c r="Q12" i="113" l="1"/>
  <c r="K183" i="113"/>
  <c r="N183" i="113"/>
  <c r="M12" i="113"/>
  <c r="Q16" i="113"/>
  <c r="Q19" i="113"/>
  <c r="Q21" i="113"/>
  <c r="Q23" i="113"/>
  <c r="Q25" i="113"/>
  <c r="Q27" i="113"/>
  <c r="Q28" i="113"/>
  <c r="Q30" i="113"/>
  <c r="Q34" i="113"/>
  <c r="Q36" i="113"/>
  <c r="M37" i="113"/>
  <c r="M38" i="113"/>
  <c r="M10" i="113"/>
  <c r="M23" i="113"/>
  <c r="Q37" i="113"/>
  <c r="Q10" i="113"/>
  <c r="J183" i="113"/>
  <c r="M183" i="113"/>
  <c r="M16" i="113"/>
  <c r="M19" i="113"/>
  <c r="M28" i="113"/>
  <c r="C9" i="113" l="1"/>
  <c r="D9" i="113" s="1"/>
  <c r="E9" i="113" s="1"/>
  <c r="F9" i="113" s="1"/>
  <c r="G9" i="113" s="1"/>
  <c r="H9" i="113" s="1"/>
  <c r="I9" i="113" s="1"/>
  <c r="J9" i="113" s="1"/>
  <c r="K9" i="113" s="1"/>
  <c r="L9" i="113" s="1"/>
  <c r="M9" i="113" s="1"/>
  <c r="N9" i="113" s="1"/>
  <c r="O9" i="113" s="1"/>
  <c r="P9" i="113" s="1"/>
  <c r="Q9" i="113" s="1"/>
  <c r="P183" i="113"/>
  <c r="Q183" i="113" s="1"/>
</calcChain>
</file>

<file path=xl/sharedStrings.xml><?xml version="1.0" encoding="utf-8"?>
<sst xmlns="http://schemas.openxmlformats.org/spreadsheetml/2006/main" count="47392" uniqueCount="525">
  <si>
    <t>№</t>
  </si>
  <si>
    <t>Організаційна форма адвокатської діяльності (ІНД, АБ, АО)</t>
  </si>
  <si>
    <t>Населений пункт, де знаходиться робоче місце адвоката (за ЄРАУ)</t>
  </si>
  <si>
    <t>Назва адвокатського бюро чи адвокатського об'єднання</t>
  </si>
  <si>
    <t>ПІБ адвокатів, з якими центрами з надання БВПД (було) укладено контракт / договір</t>
  </si>
  <si>
    <t>Назва центру з надання БВПД, з яким адвокатом (було) укладено контракт / договір (скорочено)</t>
  </si>
  <si>
    <t>Реквізити контракту / договору (дата укладання, №)</t>
  </si>
  <si>
    <t>кількість виданих відповідним центром доручень (без врахування скасованих доручень, БВПД за якими не надавалася)</t>
  </si>
  <si>
    <t>кількість доручень, за якими відповідним центром прийнято хоча б один акт</t>
  </si>
  <si>
    <t>кількість актів, прийнятих відповідним центром</t>
  </si>
  <si>
    <t>І. Інформація про адвоката, який надає БВПД</t>
  </si>
  <si>
    <t>сума фактичних видатків (зареєстрованих та взятих на облік органами ДКСУ) за затвердженими актами, грн</t>
  </si>
  <si>
    <t>сума касових видатків за затвердженими актами, грн</t>
  </si>
  <si>
    <t>сума кредиторської заборгованості за затвердженими актами, грн</t>
  </si>
  <si>
    <t>(назва регіонального центру з надання БВПД, яким підготовано інформацію)</t>
  </si>
  <si>
    <t xml:space="preserve">Додаток 2
до наказу Координаційного центру
з надання правової допомоги
від «31» грудня 2015 року № 308
(в редакції наказу Координаційного центру з надання правової допомоги
від ___ січня 2017 року № ____)
</t>
  </si>
  <si>
    <t>Анацький Олег Валерійович</t>
  </si>
  <si>
    <t>ІНД</t>
  </si>
  <si>
    <t>м. Охтирка</t>
  </si>
  <si>
    <t>Безверха Ганна Олександрівна</t>
  </si>
  <si>
    <t>м. Суми</t>
  </si>
  <si>
    <t>м. Шостка</t>
  </si>
  <si>
    <t>Богданов Віктор Анатолійович</t>
  </si>
  <si>
    <t>м. Глухів</t>
  </si>
  <si>
    <t>Бордюк Юлія Володимирівна</t>
  </si>
  <si>
    <t>Борох Валерій Миколайович</t>
  </si>
  <si>
    <t>Бушта Віта Олександрівна</t>
  </si>
  <si>
    <t>м.Конотоп</t>
  </si>
  <si>
    <t>Валюх Юрій Васильович</t>
  </si>
  <si>
    <t>смт. Недригайлів</t>
  </si>
  <si>
    <t>Вербицький Віктор Михайлович</t>
  </si>
  <si>
    <t>Волкова Ірина Іванівна</t>
  </si>
  <si>
    <t>м. Конотоп</t>
  </si>
  <si>
    <t>Гаврилюк Надія Миколаївна</t>
  </si>
  <si>
    <t>Глущенко Віталій Вікторович</t>
  </si>
  <si>
    <t>м. Ромни</t>
  </si>
  <si>
    <t>Гребеник Світлана Миколаївна</t>
  </si>
  <si>
    <t>Гребенник Микола Григорович</t>
  </si>
  <si>
    <t>Гулаков Андрій Іванович</t>
  </si>
  <si>
    <t>Гусейнова Вафа Гамзатівна</t>
  </si>
  <si>
    <t>Дем’яненко Наталія Петрівна</t>
  </si>
  <si>
    <t>смт. Краснопілля</t>
  </si>
  <si>
    <t>Дехтярьов Олександр Олексійович</t>
  </si>
  <si>
    <t>Єфіменко Лідія Іванівна</t>
  </si>
  <si>
    <t>Іващенко Тамара Андріївна</t>
  </si>
  <si>
    <t>Ільченко Вадим Володимирович</t>
  </si>
  <si>
    <t>Казміренко Лариса Олексіївна</t>
  </si>
  <si>
    <t>Калантаєнко Сергій Вікторович</t>
  </si>
  <si>
    <t>Ковальова Олександра Михайлівна</t>
  </si>
  <si>
    <t>Козін Тетяна Володимирівна</t>
  </si>
  <si>
    <t>смт.Л.Долина</t>
  </si>
  <si>
    <t>Кондратенко Максим Миколайович</t>
  </si>
  <si>
    <t>Кондратенко Світлана Юріївна</t>
  </si>
  <si>
    <t>Косолап Микола Михайлович</t>
  </si>
  <si>
    <t>Кривенко Борис Григорович</t>
  </si>
  <si>
    <t>Кубанова Анна Михайлівна</t>
  </si>
  <si>
    <t>Кудін Олександр Михайлович</t>
  </si>
  <si>
    <t>Лазун Надія Степанівна</t>
  </si>
  <si>
    <t>Лебединець Наталія Іванівна</t>
  </si>
  <si>
    <t>Лисенко  Галина Костянтинівна</t>
  </si>
  <si>
    <t>Литовченко Лідія  Іванівна</t>
  </si>
  <si>
    <t>Малюк Вікторія Валеріївна</t>
  </si>
  <si>
    <t>Марченко Анатолій Іванович</t>
  </si>
  <si>
    <t>Марченко Ігор Васильович</t>
  </si>
  <si>
    <t>АО</t>
  </si>
  <si>
    <t>"АЛЬТЕРА"</t>
  </si>
  <si>
    <t>Матеко Лариса Анатоліївна</t>
  </si>
  <si>
    <t>Мороко Сергій Олегович</t>
  </si>
  <si>
    <t>Мусієнко Оксана Вікторівна</t>
  </si>
  <si>
    <t>Назаренко Олексій Олександрович</t>
  </si>
  <si>
    <t>Нікітченко Евгенія Вікторівна</t>
  </si>
  <si>
    <t>Овчинникова Раїса Олексіївна</t>
  </si>
  <si>
    <t>Островська Ганна Вікторівна</t>
  </si>
  <si>
    <t>Пашков Сергій Іванович</t>
  </si>
  <si>
    <t>м. Білопілля</t>
  </si>
  <si>
    <t>Петрова Лариса Петрівна</t>
  </si>
  <si>
    <t>Прихожай Тетяна Ігорівна</t>
  </si>
  <si>
    <t>Прокоп’єва Марина Аполонівна</t>
  </si>
  <si>
    <t>м. Кролевець</t>
  </si>
  <si>
    <t>Розторгуєва Валентина Борисівна</t>
  </si>
  <si>
    <t>Сапіч Володимир Михайлович</t>
  </si>
  <si>
    <t>Сумський район</t>
  </si>
  <si>
    <t>Семиволос Володимир Владиславович</t>
  </si>
  <si>
    <t>Сергеєва Світлана Анатоліївна</t>
  </si>
  <si>
    <t>Сипленко Олександр Володимирович</t>
  </si>
  <si>
    <t>Сінько Ольга Аркадіївна</t>
  </si>
  <si>
    <t>Смирнова Ольга Леонідівна</t>
  </si>
  <si>
    <t>Сомок Олена Анатоліївна</t>
  </si>
  <si>
    <t>Страшок Олег Володимирович</t>
  </si>
  <si>
    <t>смт. Ямпіль</t>
  </si>
  <si>
    <t>Сукач Ольга Сергіївна</t>
  </si>
  <si>
    <t>Супрун Ігор Федорович</t>
  </si>
  <si>
    <t>Третьяков Сергій Миколайович</t>
  </si>
  <si>
    <t>Фесенко Олексій Дмитрович</t>
  </si>
  <si>
    <t>м. Путивль</t>
  </si>
  <si>
    <t>Фомінов Роман Миколайович</t>
  </si>
  <si>
    <t>Хвостик Яна Сергіївна</t>
  </si>
  <si>
    <t>м.Суми</t>
  </si>
  <si>
    <t>Цимбал Володимир Іванович</t>
  </si>
  <si>
    <t>Черняк Марина Володимирівна</t>
  </si>
  <si>
    <t>Шаповал Олена Олегівна</t>
  </si>
  <si>
    <t>Шевченко Сергій Васильович</t>
  </si>
  <si>
    <t>Шудренко Тетяна Олександрівна</t>
  </si>
  <si>
    <t>Щербак Світлана Володимирівна</t>
  </si>
  <si>
    <t>Юшкевич Євгенія Юріївна</t>
  </si>
  <si>
    <t>Яковець Євгеній Олександрович</t>
  </si>
  <si>
    <t>Ященко Владислав Владиславович</t>
  </si>
  <si>
    <t xml:space="preserve">Крамаренко Ірина Валеріївна </t>
  </si>
  <si>
    <t>Дорожинець Наталія Григорівна</t>
  </si>
  <si>
    <t>№42 від 31.01.2017</t>
  </si>
  <si>
    <t>"ОЛЬГА СІНЬКО І ПАРТНЕРИ"</t>
  </si>
  <si>
    <t>№20 від 31.01.2017</t>
  </si>
  <si>
    <t>Регіональний центр</t>
  </si>
  <si>
    <t>Охтирський Мц</t>
  </si>
  <si>
    <t>Сумський МЦ</t>
  </si>
  <si>
    <t xml:space="preserve">Конотопський МЦ </t>
  </si>
  <si>
    <t>Охтирський МЦ</t>
  </si>
  <si>
    <t>Конотопський МЦ</t>
  </si>
  <si>
    <t>Шосткинський МЦ</t>
  </si>
  <si>
    <t>№36 від 08.02.2017</t>
  </si>
  <si>
    <t>Калантаєнко Сегрій Вікторович</t>
  </si>
  <si>
    <t>№31 від 10.02.2017</t>
  </si>
  <si>
    <t>№33 від 10.02.2017</t>
  </si>
  <si>
    <t>№27 від 10.02.2017</t>
  </si>
  <si>
    <t>№30 від 10.02.2017</t>
  </si>
  <si>
    <t>Адвокатськке бюро</t>
  </si>
  <si>
    <t>"ШАПОВАЛ ОЛЕНА ТА ПАРТНЕРИ</t>
  </si>
  <si>
    <t xml:space="preserve">№32 від 10.02.2017 </t>
  </si>
  <si>
    <t>№23 від 10.02.2017</t>
  </si>
  <si>
    <t>№13 від 10.02.2017</t>
  </si>
  <si>
    <t>№28 від 10.02.2017</t>
  </si>
  <si>
    <t>Всього</t>
  </si>
  <si>
    <t>ІІІ. Інформація за дорученнями, виданими у попередніх бюджетних періодах (включаючи ті, за якими станом на 01.01.2017 р. зареєстровано кредиторську заборгованість)</t>
  </si>
  <si>
    <t xml:space="preserve">№15 від 10.02.2017 </t>
  </si>
  <si>
    <t>Касатська Юлія Анатоліївна</t>
  </si>
  <si>
    <t>Підопригора Оксана Петрівна</t>
  </si>
  <si>
    <t>ІІ. Інформація за дорученнями, виданими у 2018 році</t>
  </si>
  <si>
    <t>Мороз Леся Олексіївна</t>
  </si>
  <si>
    <t>Терещенко Вадим Володимирович</t>
  </si>
  <si>
    <t>№33 від 13.02.2018</t>
  </si>
  <si>
    <t>№49 від 13.02.2018</t>
  </si>
  <si>
    <t>№54 від 13.02.2018</t>
  </si>
  <si>
    <t>№67 від 13.02.2018</t>
  </si>
  <si>
    <t>Дмитренко Віталій Вікторович</t>
  </si>
  <si>
    <t>Чуяшенко Дмитро Олександрович</t>
  </si>
  <si>
    <t>Пономаренко Олександр Вікторович</t>
  </si>
  <si>
    <t>Шпак Дмитро Геннадійович</t>
  </si>
  <si>
    <t>Ганненко Олег Сергійович</t>
  </si>
  <si>
    <t>Дерев'янко Олена Валентинівна</t>
  </si>
  <si>
    <t>Котлубай Вячеслав Анатолійович</t>
  </si>
  <si>
    <t>Осіпов Юрій Валентинович</t>
  </si>
  <si>
    <t>Рудейчук Ярослава Володимирівна</t>
  </si>
  <si>
    <t>Сенча Олег Олександрович</t>
  </si>
  <si>
    <t>Біцан Ольга Миколаївна</t>
  </si>
  <si>
    <t>Бондаренко Євгенія Петрівна</t>
  </si>
  <si>
    <t>Маслова Олена Євгеніївна</t>
  </si>
  <si>
    <t>Курбатов Денис Володимирович</t>
  </si>
  <si>
    <t>Титаренко Павло Валентинович</t>
  </si>
  <si>
    <t>Думал Ольга Сергіївна</t>
  </si>
  <si>
    <t>№1 від 08.02.2018</t>
  </si>
  <si>
    <t>№2 від 20.02.2018</t>
  </si>
  <si>
    <t>№7 від 20.02.2018</t>
  </si>
  <si>
    <t>№8 від 01.03.2018</t>
  </si>
  <si>
    <t>№9 від 20.02.2018</t>
  </si>
  <si>
    <t>№5 від 20.02.2018</t>
  </si>
  <si>
    <t>№10 від 20.02.2018</t>
  </si>
  <si>
    <t>№11 від 20.02.2018</t>
  </si>
  <si>
    <t>№12 від 20.02.2017</t>
  </si>
  <si>
    <t>№13 від 20.02.2018</t>
  </si>
  <si>
    <t>№14 від 13.02.2018</t>
  </si>
  <si>
    <t>№15 від 20.02.2018</t>
  </si>
  <si>
    <t>№16 від20.02.2018</t>
  </si>
  <si>
    <t>№17 від 20.02.2018</t>
  </si>
  <si>
    <t>Докукіна Тетяна Вікторівна</t>
  </si>
  <si>
    <t>№18 від 20.02.2018</t>
  </si>
  <si>
    <t>№21 від 20.02.2018</t>
  </si>
  <si>
    <t>№22 від 20.02.2018</t>
  </si>
  <si>
    <t>№24 від 03.03.2018</t>
  </si>
  <si>
    <t>№89 від 20.02.2018</t>
  </si>
  <si>
    <t>№25 від 20.02.2018</t>
  </si>
  <si>
    <t>№87 від 20.02.2018</t>
  </si>
  <si>
    <t>№26 від 20.02.2018</t>
  </si>
  <si>
    <t>№27 від 20.02.2018</t>
  </si>
  <si>
    <t>№64 від 20.02.2018</t>
  </si>
  <si>
    <t>№29 від 20.02.2018</t>
  </si>
  <si>
    <t>№30 від 20.02.2018</t>
  </si>
  <si>
    <t>№32 від 20.02.2018</t>
  </si>
  <si>
    <t>№34 від 20.02.2018</t>
  </si>
  <si>
    <t>№88 від 20.02.2018</t>
  </si>
  <si>
    <t>№37 від 20.02.2018</t>
  </si>
  <si>
    <t>№35 від 20.02.2018</t>
  </si>
  <si>
    <t>№90 від 01.03.2018</t>
  </si>
  <si>
    <t>№38 від 20.02.2018</t>
  </si>
  <si>
    <t>№39 від 20.02.2018</t>
  </si>
  <si>
    <t>№41 від 20.02.2018</t>
  </si>
  <si>
    <t>№45 від 20.02.2018</t>
  </si>
  <si>
    <t>№44 від 20.02.2018</t>
  </si>
  <si>
    <t>№48 від 20.02.2018</t>
  </si>
  <si>
    <t>№47 від 20.02.2018</t>
  </si>
  <si>
    <t xml:space="preserve">№50 від 20.02.2018 </t>
  </si>
  <si>
    <t>№51 від 20.02.2018</t>
  </si>
  <si>
    <t>№53 від 20.02.2018</t>
  </si>
  <si>
    <t>№4  від 20.02.2018</t>
  </si>
  <si>
    <t>№55 від 01.03.2018</t>
  </si>
  <si>
    <t>№56 від 13.02.2018</t>
  </si>
  <si>
    <t>№57 від 20.02.2018</t>
  </si>
  <si>
    <t>№59 від 20.02.2018</t>
  </si>
  <si>
    <t>№58 від 01.03.2018</t>
  </si>
  <si>
    <t>№60 від 20.02.2018</t>
  </si>
  <si>
    <t>№61 від 20.02.2018</t>
  </si>
  <si>
    <t>№ 65 від 01.03.2018</t>
  </si>
  <si>
    <t>№62 від 20.02.2018</t>
  </si>
  <si>
    <t>№63 від 20.02.2018</t>
  </si>
  <si>
    <t>№66 від 20.02.2018</t>
  </si>
  <si>
    <t>№70 від 20.02.2018</t>
  </si>
  <si>
    <t>№69 від 20.02.2018</t>
  </si>
  <si>
    <t>№71 від 20.02.2018</t>
  </si>
  <si>
    <t>№52 від 01.03.2018</t>
  </si>
  <si>
    <t>№ 91 від 01.03.2018</t>
  </si>
  <si>
    <t>№72 від 01.03.2018</t>
  </si>
  <si>
    <t>№73 від 20.02.2018</t>
  </si>
  <si>
    <t>№74 від 20.02.2018</t>
  </si>
  <si>
    <t>№75 від 20.02.2018</t>
  </si>
  <si>
    <t>№76 від 20.02.2018</t>
  </si>
  <si>
    <t>№77 від 20.02.2018</t>
  </si>
  <si>
    <t>№86 від 01.03.2018</t>
  </si>
  <si>
    <t>№78 від 20.02.2018</t>
  </si>
  <si>
    <t>№80 від 20.02.2018</t>
  </si>
  <si>
    <t>№79 від 01.03.2018</t>
  </si>
  <si>
    <t>№81 від 20.02.2018</t>
  </si>
  <si>
    <t>№82 від 20.02.2018</t>
  </si>
  <si>
    <t>№83 від 20.02.2018</t>
  </si>
  <si>
    <t>№84 від 20.02.2018</t>
  </si>
  <si>
    <t>№85 від 20.02.2018</t>
  </si>
  <si>
    <t>№1 від 25.02.2018</t>
  </si>
  <si>
    <t>№7 від 16.02.2018</t>
  </si>
  <si>
    <t xml:space="preserve">№2 від 25.02.2018 </t>
  </si>
  <si>
    <t>№4 від 25.01.2018</t>
  </si>
  <si>
    <t xml:space="preserve">№5 від 25.01.2018 </t>
  </si>
  <si>
    <t xml:space="preserve">№3 від 25.01.2018 </t>
  </si>
  <si>
    <t>№6 від 08.02.2018</t>
  </si>
  <si>
    <t>№1 від 22.01.2018</t>
  </si>
  <si>
    <t>№2 від 22.01.2018</t>
  </si>
  <si>
    <t>№3 від 22.01.2018</t>
  </si>
  <si>
    <t>№4 від 22.01.2018</t>
  </si>
  <si>
    <t>№5 від 22.01.2018</t>
  </si>
  <si>
    <t>№1 від 29.01.2018</t>
  </si>
  <si>
    <t>№2 від 29.01.2018</t>
  </si>
  <si>
    <t>№3 від 29.01.2018</t>
  </si>
  <si>
    <t>№5 від 29.01.2018</t>
  </si>
  <si>
    <t>№6 від 29.01.2018</t>
  </si>
  <si>
    <t>№ 7 від 29.01.2018</t>
  </si>
  <si>
    <t>№8 від 29.01.2018</t>
  </si>
  <si>
    <t>№9 від 29.01.2018</t>
  </si>
  <si>
    <t>№10 від 29.01.2018</t>
  </si>
  <si>
    <t>№11 від 29.01.2018</t>
  </si>
  <si>
    <t>№12 від 29.01.2018</t>
  </si>
  <si>
    <t>№13 від 29.01.2018</t>
  </si>
  <si>
    <t>№14 від 29.01.2018</t>
  </si>
  <si>
    <t>№16 від 12.02.2018</t>
  </si>
  <si>
    <t>№ 17 від 14.02.2018</t>
  </si>
  <si>
    <t>№ 20 від 19.02.2018</t>
  </si>
  <si>
    <t>№18 від 15.02.2018</t>
  </si>
  <si>
    <t>№ 4 від 29.01.2018</t>
  </si>
  <si>
    <t xml:space="preserve">№2 від 07.02.2018    </t>
  </si>
  <si>
    <t>№25 від 12.02.2018</t>
  </si>
  <si>
    <t xml:space="preserve">№3 від 07.02.2018 </t>
  </si>
  <si>
    <t xml:space="preserve">№4 від 07.02.2018 </t>
  </si>
  <si>
    <t>№ 5 від 07.02.2018</t>
  </si>
  <si>
    <t>№6 від 07.02.2018</t>
  </si>
  <si>
    <t xml:space="preserve">№7 від 07.02.2018 </t>
  </si>
  <si>
    <t xml:space="preserve">№8 від 07.02.2018 </t>
  </si>
  <si>
    <t>№9 від 07.02.2018</t>
  </si>
  <si>
    <t xml:space="preserve">№28 від 19.02.2018 </t>
  </si>
  <si>
    <t>№ 31 від 19.02.2018</t>
  </si>
  <si>
    <t>№26 від 07.02.2018</t>
  </si>
  <si>
    <t xml:space="preserve">№ 12 від 07.02.2018 </t>
  </si>
  <si>
    <t xml:space="preserve">№11 від 07.02.2018 </t>
  </si>
  <si>
    <t xml:space="preserve">№13 від 07.02.2018 </t>
  </si>
  <si>
    <t xml:space="preserve">№14 від 07.02.2018 </t>
  </si>
  <si>
    <t>№15 від 07.02.2018</t>
  </si>
  <si>
    <t>№16 від 07.02.2018</t>
  </si>
  <si>
    <t>№ 17 від 07.02.2018</t>
  </si>
  <si>
    <t>№32 від 21.02.2018</t>
  </si>
  <si>
    <t>№ 18 від 07.02.2018</t>
  </si>
  <si>
    <t>№ 19 від 07.02.2018</t>
  </si>
  <si>
    <t>№20 від 07.02.2018</t>
  </si>
  <si>
    <t>№ 36 від 10.02.2017</t>
  </si>
  <si>
    <t>№21 від 07.02.2018</t>
  </si>
  <si>
    <t>№ 22 від 07.02.2018</t>
  </si>
  <si>
    <t>№ 26 від 12.02.2018</t>
  </si>
  <si>
    <t>№34 від 12.03.2017</t>
  </si>
  <si>
    <t xml:space="preserve">№ 27 від 12.02.2018 </t>
  </si>
  <si>
    <t>№ 29 від 19.02.2018</t>
  </si>
  <si>
    <t xml:space="preserve">№1 від 07.02.2018 </t>
  </si>
  <si>
    <t xml:space="preserve">№23 від 07.02.2018 </t>
  </si>
  <si>
    <t xml:space="preserve">№ 24 від 07.02.2018 </t>
  </si>
  <si>
    <t>№6 від 01.03.2018</t>
  </si>
  <si>
    <t>№31 від 01.03.2018</t>
  </si>
  <si>
    <t>№3 від 01.03.2018</t>
  </si>
  <si>
    <t>№43 від 20.02.2018</t>
  </si>
  <si>
    <t>№46 від 01.03.2018</t>
  </si>
  <si>
    <t>№95 від 01.03.2018</t>
  </si>
  <si>
    <t>№23 від 20.02.2018</t>
  </si>
  <si>
    <t>АБ</t>
  </si>
  <si>
    <t>,</t>
  </si>
  <si>
    <t>Маляр Микола Васильович</t>
  </si>
  <si>
    <t>№100 від 30.07.2018</t>
  </si>
  <si>
    <t>№40 від 19.03.2018</t>
  </si>
  <si>
    <t>Семишкур Станіслав Вікторович</t>
  </si>
  <si>
    <t>Сердюк Оксана Валентинівна</t>
  </si>
  <si>
    <t>№28 від 01.03.2018</t>
  </si>
  <si>
    <t>Спаських Вадим Васильович</t>
  </si>
  <si>
    <t>АБ"Дмитра Чуяшенка"</t>
  </si>
  <si>
    <t>Аб"Кубанова і партнери"</t>
  </si>
  <si>
    <t>АБ"Олега Анацького"</t>
  </si>
  <si>
    <t>Начальник відділу фінансів. Котрактно-договірної роботи та бухгалтерського обіку</t>
  </si>
  <si>
    <t>О.А.Казбан</t>
  </si>
  <si>
    <t xml:space="preserve">Оперативна інформація щодо видання доручень центрами з надання БВПД, оплати послуг та відшкодування витрат адвокатів, які надають БВПД, у 2019  році Регіональним  центром з надання безоплатної вторинної правової допомоги у Сумській області </t>
  </si>
  <si>
    <t>Оксененко Вафа Гамзатівна</t>
  </si>
  <si>
    <t>№103 від 24.01.2019</t>
  </si>
  <si>
    <t>Риков Сергій Володимирович</t>
  </si>
  <si>
    <t>№1 від 24.01.2019</t>
  </si>
  <si>
    <t>№2 від 24.01.2019</t>
  </si>
  <si>
    <t>№6 від 24.01.2019</t>
  </si>
  <si>
    <t>№7 від 24.01.2019</t>
  </si>
  <si>
    <t>№31 від 24.01.2019</t>
  </si>
  <si>
    <t>№8 від 24.01.2019</t>
  </si>
  <si>
    <t>№9 від 24.01.2019</t>
  </si>
  <si>
    <t>№5 від 24.01.2019</t>
  </si>
  <si>
    <t>№10 від 24.01.2019</t>
  </si>
  <si>
    <t>№12 від 24.01.2019</t>
  </si>
  <si>
    <t>№13 від 24.01.2019</t>
  </si>
  <si>
    <t>№11 від 24.01.2019</t>
  </si>
  <si>
    <t>№3 від 24.01.2019</t>
  </si>
  <si>
    <t>№14 від 24.01.2019</t>
  </si>
  <si>
    <t>№15 від 24.01.2019</t>
  </si>
  <si>
    <t>№16 від24.01.2019</t>
  </si>
  <si>
    <t>№17 від 24.01.2019</t>
  </si>
  <si>
    <t>№21 від 24.01.2019</t>
  </si>
  <si>
    <t>№23 від 24.01.2019</t>
  </si>
  <si>
    <r>
      <t xml:space="preserve">№22 від </t>
    </r>
    <r>
      <rPr>
        <sz val="11"/>
        <color indexed="8"/>
        <rFont val="Calibri"/>
        <family val="2"/>
        <charset val="204"/>
        <scheme val="minor"/>
      </rPr>
      <t>24.01.2019</t>
    </r>
  </si>
  <si>
    <t>№24 від 24.01.2019</t>
  </si>
  <si>
    <t>№20 від 31.01.2018</t>
  </si>
  <si>
    <t>№89 від 24.01.2019</t>
  </si>
  <si>
    <t>№25 від 24.01.2019</t>
  </si>
  <si>
    <t>№87 від 24.01.2019</t>
  </si>
  <si>
    <t>№26 від 24.01.2019</t>
  </si>
  <si>
    <t>№27 від 24.01.2019</t>
  </si>
  <si>
    <t>№64 від 24.01.2019</t>
  </si>
  <si>
    <t>№29 від 24.01.2019</t>
  </si>
  <si>
    <t>№30 від 24.01.2019</t>
  </si>
  <si>
    <t>№33 від 24.01.2019</t>
  </si>
  <si>
    <t>№34 від24.01.2019</t>
  </si>
  <si>
    <t>№28 від 24.01.2019</t>
  </si>
  <si>
    <t>№88 від 24.01.2019</t>
  </si>
  <si>
    <t>№37 від 24.01.2019</t>
  </si>
  <si>
    <t>№35 від 24.01.2019</t>
  </si>
  <si>
    <t>№36 від 24.01.2019</t>
  </si>
  <si>
    <t>№90 від 24.01.2019</t>
  </si>
  <si>
    <t>№38 від 24.01.2019</t>
  </si>
  <si>
    <t>№39 від 24.01.2019</t>
  </si>
  <si>
    <t>№40 від 24.01.2019</t>
  </si>
  <si>
    <t>№42 від 24.01.2019</t>
  </si>
  <si>
    <t>№41 від 24.01.2019</t>
  </si>
  <si>
    <t>№100 від24.01.2019</t>
  </si>
  <si>
    <t>№43 від 24.01.2019</t>
  </si>
  <si>
    <t>№46 від 24.01.2019</t>
  </si>
  <si>
    <t>№45 від 24.01.2019</t>
  </si>
  <si>
    <t>№44 від 24.01.2019</t>
  </si>
  <si>
    <t>№48 від 24.01.2019</t>
  </si>
  <si>
    <t>№47 від 24.01.2019</t>
  </si>
  <si>
    <t>№49 від 24.01.2019</t>
  </si>
  <si>
    <t>№50 від 24.01.2019</t>
  </si>
  <si>
    <t>№51 від 24.01.2019</t>
  </si>
  <si>
    <t>№18 від 24.01.2019</t>
  </si>
  <si>
    <t>№95 від 24.01.2019</t>
  </si>
  <si>
    <t>№53 від 24.01.2019</t>
  </si>
  <si>
    <t>№54 від 24.01.2019</t>
  </si>
  <si>
    <t>№4  від 24.01.2019</t>
  </si>
  <si>
    <t>№55 від 24.01.2019</t>
  </si>
  <si>
    <t>№56 від 24.01.2019</t>
  </si>
  <si>
    <t>№104 від</t>
  </si>
  <si>
    <t>м.Кролевець</t>
  </si>
  <si>
    <t>АБ"Калантаєнка СергіяВікторовича"</t>
  </si>
  <si>
    <t>АБ"Валентини Розторгуєвої "</t>
  </si>
  <si>
    <t>АБ"Олександра Кудіна"</t>
  </si>
  <si>
    <t>АБ"Кубанова і партнери"</t>
  </si>
  <si>
    <t>№57 від 24.01.2019</t>
  </si>
  <si>
    <t>№59 від 24.01.2019</t>
  </si>
  <si>
    <t>№58 від 24.01.2019</t>
  </si>
  <si>
    <t>№101від 24.01.2019</t>
  </si>
  <si>
    <t>№ 65 від 24.01.2019</t>
  </si>
  <si>
    <t>№62 від 24.01.2019</t>
  </si>
  <si>
    <t>№61 від 24.01.2019</t>
  </si>
  <si>
    <t>№63 від 24.01.2019</t>
  </si>
  <si>
    <t>№66 від 24.01.2019</t>
  </si>
  <si>
    <t>№70 від 24.01.2019</t>
  </si>
  <si>
    <t>№69 від 24.01.2019</t>
  </si>
  <si>
    <t>№71 від 24.01.2019</t>
  </si>
  <si>
    <t>№52 від 24.01.2019</t>
  </si>
  <si>
    <t>№ 91 від 24.01.2019</t>
  </si>
  <si>
    <t>№72 від24.01.2019</t>
  </si>
  <si>
    <t>№73 від 24.01.2019</t>
  </si>
  <si>
    <t>№74 від 24.01.2019</t>
  </si>
  <si>
    <t>№75 від 24.01.2019</t>
  </si>
  <si>
    <t>№76 від 24.01.2019</t>
  </si>
  <si>
    <t>№86 від 24.01.2019</t>
  </si>
  <si>
    <t>№78 від 24.01.2019</t>
  </si>
  <si>
    <t>№80 від 24.01.2019</t>
  </si>
  <si>
    <t>№79 від 24.01.2019</t>
  </si>
  <si>
    <t>№81 від 24.01.2019</t>
  </si>
  <si>
    <t>№82 від 24.01.2019</t>
  </si>
  <si>
    <t>№83 від 24.01.2019</t>
  </si>
  <si>
    <t>№85 від 24.01.2019</t>
  </si>
  <si>
    <t>АБ"ОЛЬГА СІНЬКО І ПАРТНЕРИ"</t>
  </si>
  <si>
    <t>АБ"ШАПОВАЛ ОЛЕНА ТА ПАРТНЕРИ"</t>
  </si>
  <si>
    <t>№60 від 13.02.2018</t>
  </si>
  <si>
    <t>№77 відс13.02.2018</t>
  </si>
  <si>
    <t>№84 від 13.02.2018</t>
  </si>
  <si>
    <t>№1від 25.01.2019</t>
  </si>
  <si>
    <t>№15 від 25.01.2019</t>
  </si>
  <si>
    <t>№2 від 25.01.2019</t>
  </si>
  <si>
    <t>№13 від 25.01.2019</t>
  </si>
  <si>
    <t>№ 4 від 25.01.2019</t>
  </si>
  <si>
    <t>№ 14від 25.01.2019</t>
  </si>
  <si>
    <t>№ 12 від 25.01.2019</t>
  </si>
  <si>
    <t>№3 від 25.01.2019</t>
  </si>
  <si>
    <t>№4 від 25.01.2019</t>
  </si>
  <si>
    <t>№5 від 25.01.2019</t>
  </si>
  <si>
    <t>№6 від 25.01.2019</t>
  </si>
  <si>
    <t>№7 від 25.01.2019</t>
  </si>
  <si>
    <t>№8 від 25.01.2019</t>
  </si>
  <si>
    <t>№9 від 25.01.2019</t>
  </si>
  <si>
    <t>№11 від 25.01.2019</t>
  </si>
  <si>
    <t>№10 від 25.01.2019</t>
  </si>
  <si>
    <t>№14 від 25.01.2019</t>
  </si>
  <si>
    <t>№1 від 23.01.2019</t>
  </si>
  <si>
    <t>№2 від 14.01.2019</t>
  </si>
  <si>
    <t>№3 від 14.01.2019</t>
  </si>
  <si>
    <t>№4 від 14.01.2019</t>
  </si>
  <si>
    <t>№5 від 14.01.2019</t>
  </si>
  <si>
    <t>№6 від 14.01.2019</t>
  </si>
  <si>
    <t>№7 від 14.01.2019</t>
  </si>
  <si>
    <t>"СВ і ВВ"</t>
  </si>
  <si>
    <t>№ 1 від 17.01.2019</t>
  </si>
  <si>
    <t xml:space="preserve">АБ </t>
  </si>
  <si>
    <t>№ 2 від 19.02.2018</t>
  </si>
  <si>
    <t xml:space="preserve">№ 9 від 07.02.2018 </t>
  </si>
  <si>
    <t>№10 від 07.02.2018</t>
  </si>
  <si>
    <t>№ від 10.02.2017</t>
  </si>
  <si>
    <t>№4 від  17.01.2019</t>
  </si>
  <si>
    <t>№ 5 від  17.01.2019</t>
  </si>
  <si>
    <t>№6 від  17.01.2019</t>
  </si>
  <si>
    <t>№7 від  17.01.2019</t>
  </si>
  <si>
    <t>№8 від  17.01.2019</t>
  </si>
  <si>
    <t>№11 від  17.01.2019</t>
  </si>
  <si>
    <t>№12 від  17.01.2019</t>
  </si>
  <si>
    <t>№13 від  17.01.2019</t>
  </si>
  <si>
    <t>№31 від  17.01.2019</t>
  </si>
  <si>
    <t>№16 від  17.01.2019</t>
  </si>
  <si>
    <t>№17 від 17.01.2019</t>
  </si>
  <si>
    <t>№ 18 від  17.01.2019</t>
  </si>
  <si>
    <t>№19 від  17.01.2019</t>
  </si>
  <si>
    <t>№20 від 17.01.2019</t>
  </si>
  <si>
    <t>№21 від  17.01.2019</t>
  </si>
  <si>
    <t>№ 22 від 17.01.2019</t>
  </si>
  <si>
    <t>№ 23 від  17.01.2019</t>
  </si>
  <si>
    <t>№ 24 від  17.01.2019</t>
  </si>
  <si>
    <t>№25 від  17.01.2019</t>
  </si>
  <si>
    <t>№27 від  17.01.2019</t>
  </si>
  <si>
    <t>№ 26 від  17.01.2019</t>
  </si>
  <si>
    <t>ІІ. Інформація за дорученнями, виданими у 2019 році</t>
  </si>
  <si>
    <t>АБ "Єфіменко Лідії Іванівни"</t>
  </si>
  <si>
    <t>АБ"Калантаєнка Сергія Вікторовича"</t>
  </si>
  <si>
    <t xml:space="preserve">АБ "Валентини Розторгуєвої" </t>
  </si>
  <si>
    <t>№4 від 24.01.2019</t>
  </si>
  <si>
    <t>,,</t>
  </si>
  <si>
    <t xml:space="preserve">№14 від 17.01.2019 </t>
  </si>
  <si>
    <t>№28 від 31.01.2019</t>
  </si>
  <si>
    <t>№ 15 від 17.01.2019</t>
  </si>
  <si>
    <t xml:space="preserve">№ 9 від 17.01.2019 </t>
  </si>
  <si>
    <t xml:space="preserve">№29 від 04.02.2019 </t>
  </si>
  <si>
    <t xml:space="preserve">№8 від 17.01.2019 </t>
  </si>
  <si>
    <t>№10 від 17.01.2019</t>
  </si>
  <si>
    <t>№ 2 від 17.01.2019</t>
  </si>
  <si>
    <t xml:space="preserve">№3 від 77.01.2019 </t>
  </si>
  <si>
    <t>№16 від 01.02.2019</t>
  </si>
  <si>
    <t>Чеботарьов Олексанр Петрович</t>
  </si>
  <si>
    <t>№104 від 04.02.2019</t>
  </si>
  <si>
    <t>Баулін Олексій Іванович</t>
  </si>
  <si>
    <t>Висєканцев Олександр Олександрович</t>
  </si>
  <si>
    <t>Ільєнок Євген Миколайович</t>
  </si>
  <si>
    <t>Максименко Елеонора Павлівна</t>
  </si>
  <si>
    <t>Стадник Семен Валерійович</t>
  </si>
  <si>
    <t>№20 від 01.03.2019</t>
  </si>
  <si>
    <t>№67 від 01.03.2019</t>
  </si>
  <si>
    <t>№60 від 01.03.2019</t>
  </si>
  <si>
    <t>№84 від 01.03.2019</t>
  </si>
  <si>
    <t xml:space="preserve">№92 від 01.03.2019 </t>
  </si>
  <si>
    <t>Вдовіченко Олександр Леонідович</t>
  </si>
  <si>
    <t>№19 від 01.03.2019</t>
  </si>
  <si>
    <t>Наталич Ганна Вікторівна</t>
  </si>
  <si>
    <t>№16 від 03.05.2019</t>
  </si>
  <si>
    <t>№33від20.03.2019</t>
  </si>
  <si>
    <t>смт.Ямпіль</t>
  </si>
  <si>
    <t>№31від28.02.2019</t>
  </si>
  <si>
    <t>№32 від11.03.2019</t>
  </si>
  <si>
    <t>№68 від01.04.2019</t>
  </si>
  <si>
    <t>№30від25.02.2019</t>
  </si>
  <si>
    <t>№19від05.06.2019</t>
  </si>
  <si>
    <t>№18від18.04.2019</t>
  </si>
  <si>
    <t>№7 від 27.02.2019</t>
  </si>
  <si>
    <t>Ткаченко Світлана Анатоліївна</t>
  </si>
  <si>
    <t>Тютюнник В.В.</t>
  </si>
  <si>
    <t>Ткачова Світлана Анатоліївна</t>
  </si>
  <si>
    <t>Бровко Руслан Миколайович</t>
  </si>
  <si>
    <t>№93 від 01.10.2016</t>
  </si>
  <si>
    <t>№105 від 01.10.2019</t>
  </si>
  <si>
    <t>№71 від16.08.2019</t>
  </si>
  <si>
    <t>№77від 01.10.2019</t>
  </si>
  <si>
    <t>Стеценко Віктор Михайлович</t>
  </si>
  <si>
    <t>Начальник відділу фінансів,бухгалтерського обіку та звітності</t>
  </si>
  <si>
    <t>Литовченко Олена Миколаївна</t>
  </si>
  <si>
    <t>№102 від 18.11.2019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</si>
</sst>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0.00_ ;[Red]\-0.00\ "/>
    <numFmt numFmtId="165" formatCode="0.00;[Red]0.00"/>
  </numFmts>
  <fonts count="4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0"/>
      <color theme="1"/>
      <name val="Calibri"/>
      <family val="2"/>
      <scheme val="minor"/>
    </font>
    <font>
      <i/>
      <sz val="10"/>
      <color theme="1"/>
      <name val="Calibri"/>
      <family val="2"/>
      <charset val="204"/>
      <scheme val="minor"/>
    </font>
    <font>
      <sz val="8"/>
      <color theme="1"/>
      <name val="Calibri"/>
      <family val="2"/>
      <scheme val="minor"/>
    </font>
    <font>
      <b/>
      <sz val="10"/>
      <color theme="1"/>
      <name val="Calibri"/>
      <family val="2"/>
      <charset val="204"/>
      <scheme val="minor"/>
    </font>
    <font>
      <b/>
      <u/>
      <sz val="11"/>
      <color theme="1"/>
      <name val="Calibri"/>
      <family val="2"/>
      <charset val="204"/>
      <scheme val="minor"/>
    </font>
    <font>
      <sz val="12"/>
      <color indexed="8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b/>
      <sz val="12"/>
      <color indexed="8"/>
      <name val="Calibri"/>
      <family val="2"/>
      <charset val="204"/>
      <scheme val="minor"/>
    </font>
    <font>
      <sz val="9"/>
      <color indexed="8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Calibri"/>
      <family val="2"/>
      <scheme val="minor"/>
    </font>
    <font>
      <sz val="12"/>
      <name val="Calibri"/>
      <family val="2"/>
      <scheme val="minor"/>
    </font>
    <font>
      <b/>
      <sz val="10"/>
      <name val="Calibri"/>
      <family val="2"/>
      <scheme val="minor"/>
    </font>
    <font>
      <b/>
      <sz val="12"/>
      <name val="Calibri"/>
      <family val="2"/>
      <scheme val="minor"/>
    </font>
    <font>
      <sz val="10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b/>
      <u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u/>
      <sz val="11"/>
      <color theme="1"/>
      <name val="Calibri"/>
      <family val="2"/>
      <scheme val="minor"/>
    </font>
    <font>
      <i/>
      <sz val="11"/>
      <name val="Calibri"/>
      <family val="2"/>
      <scheme val="minor"/>
    </font>
    <font>
      <sz val="11"/>
      <color indexed="8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Arial Cyr"/>
      <charset val="204"/>
    </font>
    <font>
      <sz val="11"/>
      <name val="Calibri"/>
      <family val="2"/>
      <charset val="204"/>
      <scheme val="minor"/>
    </font>
    <font>
      <sz val="11"/>
      <color indexed="8"/>
      <name val="Calibri"/>
      <family val="2"/>
      <charset val="204"/>
      <scheme val="minor"/>
    </font>
    <font>
      <sz val="10"/>
      <color theme="1"/>
      <name val="Times New Roman"/>
      <family val="1"/>
      <charset val="204"/>
    </font>
    <font>
      <sz val="12"/>
      <name val="Times New Roman"/>
      <family val="1"/>
      <charset val="204"/>
    </font>
    <font>
      <sz val="11"/>
      <name val="Times New Roman"/>
      <family val="1"/>
      <charset val="204"/>
    </font>
    <font>
      <b/>
      <sz val="11"/>
      <color indexed="8"/>
      <name val="Calibri"/>
      <family val="2"/>
      <charset val="204"/>
      <scheme val="minor"/>
    </font>
    <font>
      <sz val="10"/>
      <color indexed="8"/>
      <name val="Calibri"/>
      <family val="2"/>
      <charset val="204"/>
    </font>
    <font>
      <i/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u/>
      <sz val="11"/>
      <color theme="1"/>
      <name val="Calibri"/>
      <family val="2"/>
      <charset val="204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2">
    <xf numFmtId="0" fontId="0" fillId="0" borderId="0"/>
    <xf numFmtId="0" fontId="37" fillId="0" borderId="0"/>
  </cellStyleXfs>
  <cellXfs count="383">
    <xf numFmtId="0" fontId="0" fillId="0" borderId="0" xfId="0"/>
    <xf numFmtId="0" fontId="16" fillId="0" borderId="1" xfId="0" applyFont="1" applyFill="1" applyBorder="1" applyAlignment="1">
      <alignment horizontal="center" vertical="center"/>
    </xf>
    <xf numFmtId="0" fontId="16" fillId="0" borderId="1" xfId="0" applyFont="1" applyFill="1" applyBorder="1" applyAlignment="1">
      <alignment horizontal="left" vertical="top"/>
    </xf>
    <xf numFmtId="0" fontId="16" fillId="0" borderId="1" xfId="0" applyFont="1" applyFill="1" applyBorder="1" applyAlignment="1"/>
    <xf numFmtId="0" fontId="17" fillId="0" borderId="0" xfId="0" applyFont="1" applyFill="1" applyBorder="1" applyAlignment="1">
      <alignment horizontal="center" vertical="top" wrapText="1"/>
    </xf>
    <xf numFmtId="0" fontId="11" fillId="0" borderId="1" xfId="0" applyFont="1" applyFill="1" applyBorder="1" applyAlignment="1">
      <alignment vertical="top" wrapText="1"/>
    </xf>
    <xf numFmtId="0" fontId="11" fillId="0" borderId="0" xfId="0" applyFont="1" applyFill="1" applyAlignment="1">
      <alignment horizontal="center" vertical="top" wrapText="1"/>
    </xf>
    <xf numFmtId="0" fontId="11" fillId="0" borderId="1" xfId="0" applyFont="1" applyFill="1" applyBorder="1" applyAlignment="1">
      <alignment horizontal="center" vertical="top" wrapText="1"/>
    </xf>
    <xf numFmtId="0" fontId="20" fillId="0" borderId="1" xfId="0" applyFont="1" applyFill="1" applyBorder="1" applyAlignment="1">
      <alignment horizontal="left" vertical="top" wrapText="1"/>
    </xf>
    <xf numFmtId="0" fontId="12" fillId="0" borderId="1" xfId="0" applyFont="1" applyFill="1" applyBorder="1" applyAlignment="1">
      <alignment horizontal="center" vertical="top" wrapText="1"/>
    </xf>
    <xf numFmtId="0" fontId="16" fillId="0" borderId="1" xfId="0" applyFont="1" applyFill="1" applyBorder="1" applyAlignment="1">
      <alignment horizontal="center" vertical="top"/>
    </xf>
    <xf numFmtId="0" fontId="20" fillId="0" borderId="1" xfId="0" applyFont="1" applyFill="1" applyBorder="1" applyAlignment="1">
      <alignment horizontal="left" vertical="top"/>
    </xf>
    <xf numFmtId="164" fontId="17" fillId="0" borderId="1" xfId="0" applyNumberFormat="1" applyFont="1" applyFill="1" applyBorder="1" applyAlignment="1">
      <alignment horizontal="right" vertical="center"/>
    </xf>
    <xf numFmtId="0" fontId="17" fillId="0" borderId="0" xfId="0" applyFont="1" applyFill="1" applyAlignment="1">
      <alignment horizontal="center" vertical="top"/>
    </xf>
    <xf numFmtId="0" fontId="18" fillId="0" borderId="1" xfId="0" applyFont="1" applyFill="1" applyBorder="1" applyAlignment="1">
      <alignment horizontal="center" vertical="top"/>
    </xf>
    <xf numFmtId="0" fontId="14" fillId="0" borderId="0" xfId="0" applyFont="1" applyFill="1" applyAlignment="1">
      <alignment horizontal="center" vertical="top"/>
    </xf>
    <xf numFmtId="0" fontId="16" fillId="0" borderId="1" xfId="0" applyFont="1" applyFill="1" applyBorder="1" applyAlignment="1">
      <alignment horizontal="left" vertical="center" wrapText="1"/>
    </xf>
    <xf numFmtId="0" fontId="16" fillId="0" borderId="1" xfId="0" applyFont="1" applyFill="1" applyBorder="1" applyAlignment="1">
      <alignment horizontal="left" vertical="center"/>
    </xf>
    <xf numFmtId="0" fontId="19" fillId="0" borderId="1" xfId="0" applyFont="1" applyFill="1" applyBorder="1" applyAlignment="1">
      <alignment horizontal="center" vertical="center" wrapText="1"/>
    </xf>
    <xf numFmtId="0" fontId="17" fillId="0" borderId="0" xfId="0" applyFont="1" applyFill="1" applyAlignment="1">
      <alignment horizontal="center" vertical="top" wrapText="1"/>
    </xf>
    <xf numFmtId="0" fontId="20" fillId="0" borderId="1" xfId="0" applyFont="1" applyFill="1" applyBorder="1" applyAlignment="1">
      <alignment horizontal="left" vertical="center"/>
    </xf>
    <xf numFmtId="0" fontId="17" fillId="0" borderId="0" xfId="0" applyFont="1" applyFill="1" applyAlignment="1">
      <alignment horizontal="center" vertical="center"/>
    </xf>
    <xf numFmtId="0" fontId="21" fillId="0" borderId="1" xfId="0" applyFont="1" applyFill="1" applyBorder="1" applyAlignment="1"/>
    <xf numFmtId="0" fontId="22" fillId="0" borderId="1" xfId="0" applyFont="1" applyFill="1" applyBorder="1" applyAlignment="1"/>
    <xf numFmtId="0" fontId="21" fillId="0" borderId="1" xfId="0" applyFont="1" applyFill="1" applyBorder="1" applyAlignment="1">
      <alignment vertical="center"/>
    </xf>
    <xf numFmtId="0" fontId="21" fillId="0" borderId="1" xfId="0" applyFont="1" applyFill="1" applyBorder="1" applyAlignment="1">
      <alignment horizontal="left" vertical="center"/>
    </xf>
    <xf numFmtId="0" fontId="22" fillId="0" borderId="1" xfId="0" applyFont="1" applyFill="1" applyBorder="1" applyAlignment="1">
      <alignment horizontal="left" vertical="center"/>
    </xf>
    <xf numFmtId="0" fontId="0" fillId="0" borderId="1" xfId="0" applyFont="1" applyFill="1" applyBorder="1" applyAlignment="1">
      <alignment horizontal="left" vertical="center"/>
    </xf>
    <xf numFmtId="0" fontId="23" fillId="0" borderId="1" xfId="0" applyFont="1" applyFill="1" applyBorder="1" applyAlignment="1">
      <alignment horizontal="left" vertical="center"/>
    </xf>
    <xf numFmtId="0" fontId="22" fillId="0" borderId="1" xfId="0" applyFont="1" applyFill="1" applyBorder="1" applyAlignment="1">
      <alignment vertical="center"/>
    </xf>
    <xf numFmtId="0" fontId="0" fillId="0" borderId="1" xfId="0" applyFont="1" applyFill="1" applyBorder="1" applyAlignment="1">
      <alignment vertical="center"/>
    </xf>
    <xf numFmtId="2" fontId="17" fillId="0" borderId="1" xfId="0" applyNumberFormat="1" applyFont="1" applyFill="1" applyBorder="1" applyAlignment="1">
      <alignment horizontal="right" vertical="top"/>
    </xf>
    <xf numFmtId="0" fontId="11" fillId="0" borderId="1" xfId="0" applyFont="1" applyFill="1" applyBorder="1" applyAlignment="1">
      <alignment horizontal="left" vertical="top" wrapText="1"/>
    </xf>
    <xf numFmtId="0" fontId="17" fillId="0" borderId="1" xfId="0" applyFont="1" applyFill="1" applyBorder="1" applyAlignment="1">
      <alignment horizontal="left" vertical="top" wrapText="1"/>
    </xf>
    <xf numFmtId="0" fontId="20" fillId="0" borderId="1" xfId="0" applyFont="1" applyFill="1" applyBorder="1" applyAlignment="1">
      <alignment vertical="center"/>
    </xf>
    <xf numFmtId="164" fontId="17" fillId="0" borderId="0" xfId="0" applyNumberFormat="1" applyFont="1" applyFill="1" applyAlignment="1">
      <alignment horizontal="center" vertical="top"/>
    </xf>
    <xf numFmtId="164" fontId="14" fillId="0" borderId="0" xfId="0" applyNumberFormat="1" applyFont="1" applyFill="1" applyAlignment="1">
      <alignment horizontal="center" vertical="top"/>
    </xf>
    <xf numFmtId="2" fontId="28" fillId="0" borderId="1" xfId="0" applyNumberFormat="1" applyFont="1" applyFill="1" applyBorder="1" applyAlignment="1">
      <alignment horizontal="right" vertical="top"/>
    </xf>
    <xf numFmtId="164" fontId="28" fillId="0" borderId="1" xfId="0" applyNumberFormat="1" applyFont="1" applyFill="1" applyBorder="1" applyAlignment="1">
      <alignment horizontal="right" vertical="center"/>
    </xf>
    <xf numFmtId="0" fontId="29" fillId="0" borderId="1" xfId="0" applyNumberFormat="1" applyFont="1" applyFill="1" applyBorder="1" applyAlignment="1">
      <alignment horizontal="center" vertical="center"/>
    </xf>
    <xf numFmtId="2" fontId="24" fillId="0" borderId="1" xfId="0" applyNumberFormat="1" applyFont="1" applyFill="1" applyBorder="1" applyAlignment="1">
      <alignment horizontal="right" vertical="top"/>
    </xf>
    <xf numFmtId="0" fontId="25" fillId="0" borderId="1" xfId="0" applyNumberFormat="1" applyFont="1" applyFill="1" applyBorder="1" applyAlignment="1">
      <alignment horizontal="center" vertical="center"/>
    </xf>
    <xf numFmtId="0" fontId="27" fillId="0" borderId="1" xfId="0" applyNumberFormat="1" applyFont="1" applyFill="1" applyBorder="1" applyAlignment="1">
      <alignment horizontal="center" vertical="center"/>
    </xf>
    <xf numFmtId="0" fontId="24" fillId="0" borderId="1" xfId="0" applyFont="1" applyFill="1" applyBorder="1" applyAlignment="1">
      <alignment horizontal="center" vertical="center" wrapText="1"/>
    </xf>
    <xf numFmtId="164" fontId="24" fillId="0" borderId="1" xfId="0" applyNumberFormat="1" applyFont="1" applyFill="1" applyBorder="1" applyAlignment="1">
      <alignment horizontal="right" vertical="center" wrapText="1"/>
    </xf>
    <xf numFmtId="0" fontId="26" fillId="0" borderId="1" xfId="0" applyFont="1" applyFill="1" applyBorder="1" applyAlignment="1">
      <alignment horizontal="center" vertical="top"/>
    </xf>
    <xf numFmtId="0" fontId="24" fillId="0" borderId="1" xfId="0" applyFont="1" applyFill="1" applyBorder="1" applyAlignment="1">
      <alignment horizontal="center" vertical="top"/>
    </xf>
    <xf numFmtId="0" fontId="20" fillId="0" borderId="1" xfId="0" applyFont="1" applyFill="1" applyBorder="1" applyAlignment="1">
      <alignment horizontal="center" vertical="center"/>
    </xf>
    <xf numFmtId="0" fontId="14" fillId="0" borderId="1" xfId="0" applyFont="1" applyFill="1" applyBorder="1" applyAlignment="1">
      <alignment horizontal="center" vertical="top"/>
    </xf>
    <xf numFmtId="0" fontId="17" fillId="0" borderId="1" xfId="0" applyFont="1" applyFill="1" applyBorder="1" applyAlignment="1">
      <alignment horizontal="center" vertical="top"/>
    </xf>
    <xf numFmtId="0" fontId="20" fillId="0" borderId="1" xfId="0" applyFont="1" applyFill="1" applyBorder="1" applyAlignment="1"/>
    <xf numFmtId="0" fontId="28" fillId="0" borderId="1" xfId="0" applyFont="1" applyFill="1" applyBorder="1" applyAlignment="1">
      <alignment horizontal="center" vertical="top"/>
    </xf>
    <xf numFmtId="0" fontId="28" fillId="0" borderId="1" xfId="0" applyFont="1" applyFill="1" applyBorder="1" applyAlignment="1">
      <alignment horizontal="center" vertical="center"/>
    </xf>
    <xf numFmtId="0" fontId="17" fillId="0" borderId="1" xfId="0" applyFont="1" applyFill="1" applyBorder="1" applyAlignment="1">
      <alignment horizontal="center" vertical="center"/>
    </xf>
    <xf numFmtId="2" fontId="17" fillId="0" borderId="1" xfId="0" applyNumberFormat="1" applyFont="1" applyFill="1" applyBorder="1" applyAlignment="1">
      <alignment horizontal="right" vertical="center"/>
    </xf>
    <xf numFmtId="2" fontId="24" fillId="0" borderId="1" xfId="0" applyNumberFormat="1" applyFont="1" applyFill="1" applyBorder="1" applyAlignment="1">
      <alignment horizontal="right" vertical="center"/>
    </xf>
    <xf numFmtId="2" fontId="24" fillId="0" borderId="1" xfId="0" applyNumberFormat="1" applyFont="1" applyFill="1" applyBorder="1" applyAlignment="1">
      <alignment horizontal="right" vertical="center" wrapText="1"/>
    </xf>
    <xf numFmtId="2" fontId="17" fillId="0" borderId="1" xfId="0" applyNumberFormat="1" applyFont="1" applyFill="1" applyBorder="1" applyAlignment="1">
      <alignment horizontal="right" vertical="center" wrapText="1"/>
    </xf>
    <xf numFmtId="0" fontId="20" fillId="0" borderId="1" xfId="0" applyFont="1" applyFill="1" applyBorder="1" applyAlignment="1">
      <alignment horizontal="center" vertical="top"/>
    </xf>
    <xf numFmtId="0" fontId="21" fillId="0" borderId="1" xfId="0" applyFont="1" applyFill="1" applyBorder="1" applyAlignment="1">
      <alignment horizontal="center" vertical="center" wrapText="1"/>
    </xf>
    <xf numFmtId="0" fontId="0" fillId="0" borderId="0" xfId="0" applyFont="1" applyFill="1" applyBorder="1" applyAlignment="1">
      <alignment horizontal="center" vertical="top" wrapText="1"/>
    </xf>
    <xf numFmtId="0" fontId="31" fillId="0" borderId="1" xfId="0" applyFont="1" applyFill="1" applyBorder="1" applyAlignment="1">
      <alignment horizontal="center" vertical="top" wrapText="1"/>
    </xf>
    <xf numFmtId="0" fontId="0" fillId="0" borderId="1" xfId="0" applyFont="1" applyFill="1" applyBorder="1" applyAlignment="1"/>
    <xf numFmtId="0" fontId="0" fillId="0" borderId="0" xfId="0" applyFont="1" applyFill="1" applyBorder="1" applyAlignment="1">
      <alignment horizontal="left" vertical="top" wrapText="1"/>
    </xf>
    <xf numFmtId="0" fontId="0" fillId="0" borderId="0" xfId="0" applyFont="1" applyFill="1" applyBorder="1" applyAlignment="1">
      <alignment horizontal="center" vertical="center" wrapText="1"/>
    </xf>
    <xf numFmtId="0" fontId="32" fillId="0" borderId="0" xfId="0" applyFont="1" applyFill="1" applyBorder="1" applyAlignment="1">
      <alignment horizontal="right" vertical="top" wrapText="1"/>
    </xf>
    <xf numFmtId="0" fontId="0" fillId="0" borderId="1" xfId="0" applyFont="1" applyFill="1" applyBorder="1" applyAlignment="1">
      <alignment horizontal="left" vertical="top" wrapText="1"/>
    </xf>
    <xf numFmtId="0" fontId="32" fillId="0" borderId="1" xfId="0" applyFont="1" applyFill="1" applyBorder="1" applyAlignment="1">
      <alignment horizontal="right" vertical="top" wrapText="1"/>
    </xf>
    <xf numFmtId="0" fontId="0" fillId="0" borderId="1" xfId="0" applyFont="1" applyFill="1" applyBorder="1" applyAlignment="1">
      <alignment horizontal="right" vertical="top" wrapText="1"/>
    </xf>
    <xf numFmtId="0" fontId="31" fillId="0" borderId="1" xfId="0" applyFont="1" applyFill="1" applyBorder="1" applyAlignment="1">
      <alignment horizontal="left" vertical="top" wrapText="1"/>
    </xf>
    <xf numFmtId="0" fontId="31" fillId="0" borderId="1" xfId="0" applyFont="1" applyFill="1" applyBorder="1" applyAlignment="1">
      <alignment horizontal="center" vertical="center" wrapText="1"/>
    </xf>
    <xf numFmtId="0" fontId="34" fillId="0" borderId="1" xfId="0" applyFont="1" applyFill="1" applyBorder="1" applyAlignment="1">
      <alignment horizontal="right" vertical="top" wrapText="1"/>
    </xf>
    <xf numFmtId="0" fontId="31" fillId="0" borderId="1" xfId="0" applyFont="1" applyFill="1" applyBorder="1" applyAlignment="1">
      <alignment horizontal="right" vertical="top" wrapText="1"/>
    </xf>
    <xf numFmtId="0" fontId="35" fillId="0" borderId="1" xfId="0" applyFont="1" applyFill="1" applyBorder="1" applyAlignment="1">
      <alignment horizontal="left" vertical="top"/>
    </xf>
    <xf numFmtId="0" fontId="0" fillId="0" borderId="1" xfId="0" applyFont="1" applyFill="1" applyBorder="1" applyAlignment="1">
      <alignment horizontal="left" vertical="top"/>
    </xf>
    <xf numFmtId="0" fontId="35" fillId="0" borderId="1" xfId="0" applyFont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/>
    </xf>
    <xf numFmtId="2" fontId="32" fillId="0" borderId="1" xfId="0" applyNumberFormat="1" applyFont="1" applyFill="1" applyBorder="1" applyAlignment="1">
      <alignment horizontal="right" vertical="top"/>
    </xf>
    <xf numFmtId="164" fontId="32" fillId="0" borderId="1" xfId="0" applyNumberFormat="1" applyFont="1" applyFill="1" applyBorder="1" applyAlignment="1">
      <alignment horizontal="right" vertical="center"/>
    </xf>
    <xf numFmtId="164" fontId="0" fillId="0" borderId="1" xfId="0" applyNumberFormat="1" applyFont="1" applyFill="1" applyBorder="1" applyAlignment="1">
      <alignment horizontal="right" vertical="center"/>
    </xf>
    <xf numFmtId="0" fontId="23" fillId="0" borderId="1" xfId="0" applyFont="1" applyFill="1" applyBorder="1" applyAlignment="1"/>
    <xf numFmtId="2" fontId="0" fillId="0" borderId="1" xfId="0" applyNumberFormat="1" applyFont="1" applyFill="1" applyBorder="1" applyAlignment="1">
      <alignment horizontal="right" vertical="top"/>
    </xf>
    <xf numFmtId="0" fontId="0" fillId="0" borderId="1" xfId="0" applyFont="1" applyFill="1" applyBorder="1" applyAlignment="1">
      <alignment horizontal="center" vertical="top"/>
    </xf>
    <xf numFmtId="0" fontId="35" fillId="0" borderId="1" xfId="0" applyFont="1" applyFill="1" applyBorder="1" applyAlignment="1">
      <alignment horizontal="left" vertical="center" wrapText="1"/>
    </xf>
    <xf numFmtId="0" fontId="23" fillId="0" borderId="1" xfId="0" applyFont="1" applyFill="1" applyBorder="1" applyAlignment="1">
      <alignment vertical="center"/>
    </xf>
    <xf numFmtId="0" fontId="35" fillId="0" borderId="1" xfId="0" applyFont="1" applyFill="1" applyBorder="1" applyAlignment="1">
      <alignment horizontal="left" vertical="center"/>
    </xf>
    <xf numFmtId="2" fontId="32" fillId="0" borderId="1" xfId="0" applyNumberFormat="1" applyFont="1" applyFill="1" applyBorder="1" applyAlignment="1">
      <alignment horizontal="right" vertical="center"/>
    </xf>
    <xf numFmtId="2" fontId="0" fillId="0" borderId="1" xfId="0" applyNumberFormat="1" applyFont="1" applyFill="1" applyBorder="1" applyAlignment="1">
      <alignment horizontal="right" vertical="center"/>
    </xf>
    <xf numFmtId="0" fontId="0" fillId="0" borderId="0" xfId="0" applyFont="1" applyFill="1" applyAlignment="1">
      <alignment horizontal="center" vertical="top" wrapText="1"/>
    </xf>
    <xf numFmtId="0" fontId="0" fillId="0" borderId="0" xfId="0" applyFont="1" applyFill="1" applyAlignment="1">
      <alignment horizontal="left" vertical="top" wrapText="1"/>
    </xf>
    <xf numFmtId="0" fontId="0" fillId="0" borderId="0" xfId="0" applyFont="1" applyFill="1" applyAlignment="1">
      <alignment horizontal="center" vertical="center" wrapText="1"/>
    </xf>
    <xf numFmtId="0" fontId="32" fillId="0" borderId="0" xfId="0" applyFont="1" applyFill="1" applyAlignment="1">
      <alignment horizontal="right" vertical="top" wrapText="1"/>
    </xf>
    <xf numFmtId="0" fontId="0" fillId="0" borderId="0" xfId="0" applyFont="1" applyFill="1" applyAlignment="1">
      <alignment horizontal="right" vertical="top" wrapText="1"/>
    </xf>
    <xf numFmtId="0" fontId="32" fillId="0" borderId="0" xfId="0" applyFont="1" applyFill="1" applyBorder="1" applyAlignment="1">
      <alignment horizontal="center" vertical="top" wrapText="1"/>
    </xf>
    <xf numFmtId="0" fontId="32" fillId="0" borderId="1" xfId="0" applyFont="1" applyFill="1" applyBorder="1" applyAlignment="1">
      <alignment horizontal="center" vertical="top" wrapText="1"/>
    </xf>
    <xf numFmtId="0" fontId="34" fillId="0" borderId="1" xfId="0" applyFont="1" applyFill="1" applyBorder="1" applyAlignment="1">
      <alignment horizontal="center" vertical="top" wrapText="1"/>
    </xf>
    <xf numFmtId="0" fontId="32" fillId="0" borderId="1" xfId="0" applyFont="1" applyFill="1" applyBorder="1" applyAlignment="1">
      <alignment horizontal="center" vertical="top"/>
    </xf>
    <xf numFmtId="0" fontId="36" fillId="0" borderId="1" xfId="0" applyFont="1" applyFill="1" applyBorder="1" applyAlignment="1">
      <alignment horizontal="center" vertical="top"/>
    </xf>
    <xf numFmtId="0" fontId="32" fillId="0" borderId="1" xfId="0" applyFont="1" applyFill="1" applyBorder="1" applyAlignment="1">
      <alignment horizontal="center" vertical="center"/>
    </xf>
    <xf numFmtId="0" fontId="32" fillId="0" borderId="0" xfId="0" applyFont="1" applyFill="1" applyAlignment="1">
      <alignment horizontal="center" vertical="top" wrapText="1"/>
    </xf>
    <xf numFmtId="0" fontId="32" fillId="0" borderId="1" xfId="0" applyNumberFormat="1" applyFont="1" applyFill="1" applyBorder="1" applyAlignment="1">
      <alignment horizontal="center" vertical="center"/>
    </xf>
    <xf numFmtId="0" fontId="36" fillId="0" borderId="1" xfId="0" applyNumberFormat="1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0" fontId="0" fillId="0" borderId="1" xfId="0" applyNumberFormat="1" applyFont="1" applyFill="1" applyBorder="1" applyAlignment="1">
      <alignment horizontal="center" vertical="center"/>
    </xf>
    <xf numFmtId="0" fontId="0" fillId="0" borderId="0" xfId="0" applyFont="1" applyFill="1" applyAlignment="1">
      <alignment horizontal="left" wrapText="1"/>
    </xf>
    <xf numFmtId="0" fontId="11" fillId="0" borderId="0" xfId="0" applyFont="1" applyFill="1" applyBorder="1" applyAlignment="1">
      <alignment horizontal="center" vertical="top" wrapText="1"/>
    </xf>
    <xf numFmtId="0" fontId="20" fillId="0" borderId="1" xfId="0" applyFont="1" applyFill="1" applyBorder="1" applyAlignment="1">
      <alignment horizontal="center" vertical="center" wrapText="1"/>
    </xf>
    <xf numFmtId="0" fontId="17" fillId="0" borderId="1" xfId="0" applyFont="1" applyFill="1" applyBorder="1" applyAlignment="1">
      <alignment horizontal="center" vertical="top" wrapText="1"/>
    </xf>
    <xf numFmtId="0" fontId="0" fillId="0" borderId="1" xfId="0" applyFont="1" applyFill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top" wrapText="1"/>
    </xf>
    <xf numFmtId="0" fontId="0" fillId="0" borderId="1" xfId="0" applyFont="1" applyFill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top" wrapText="1"/>
    </xf>
    <xf numFmtId="0" fontId="0" fillId="0" borderId="1" xfId="0" applyFont="1" applyFill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top" wrapText="1"/>
    </xf>
    <xf numFmtId="0" fontId="38" fillId="0" borderId="1" xfId="0" applyNumberFormat="1" applyFont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top" wrapText="1"/>
    </xf>
    <xf numFmtId="0" fontId="0" fillId="0" borderId="1" xfId="0" applyFont="1" applyFill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top" wrapText="1"/>
    </xf>
    <xf numFmtId="14" fontId="40" fillId="0" borderId="1" xfId="0" applyNumberFormat="1" applyFont="1" applyBorder="1" applyAlignment="1">
      <alignment horizontal="left" vertical="top" wrapText="1"/>
    </xf>
    <xf numFmtId="0" fontId="41" fillId="2" borderId="1" xfId="0" applyFont="1" applyFill="1" applyBorder="1" applyAlignment="1">
      <alignment horizontal="left" vertical="top" wrapText="1"/>
    </xf>
    <xf numFmtId="14" fontId="40" fillId="0" borderId="2" xfId="0" applyNumberFormat="1" applyFont="1" applyBorder="1" applyAlignment="1">
      <alignment horizontal="left" vertical="top" wrapText="1"/>
    </xf>
    <xf numFmtId="0" fontId="0" fillId="0" borderId="1" xfId="0" applyFill="1" applyBorder="1" applyAlignment="1">
      <alignment horizontal="center" vertical="top" wrapText="1"/>
    </xf>
    <xf numFmtId="0" fontId="0" fillId="0" borderId="1" xfId="0" applyFont="1" applyFill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top" wrapText="1"/>
    </xf>
    <xf numFmtId="0" fontId="26" fillId="0" borderId="1" xfId="0" applyFont="1" applyFill="1" applyBorder="1" applyAlignment="1">
      <alignment horizontal="center" vertical="center"/>
    </xf>
    <xf numFmtId="0" fontId="14" fillId="0" borderId="1" xfId="0" applyFont="1" applyFill="1" applyBorder="1" applyAlignment="1">
      <alignment horizontal="center" vertical="center"/>
    </xf>
    <xf numFmtId="0" fontId="24" fillId="0" borderId="1" xfId="0" applyFont="1" applyFill="1" applyBorder="1" applyAlignment="1">
      <alignment horizontal="center" vertical="center"/>
    </xf>
    <xf numFmtId="2" fontId="0" fillId="0" borderId="1" xfId="0" applyNumberFormat="1" applyFill="1" applyBorder="1" applyAlignment="1">
      <alignment horizontal="right" vertical="top"/>
    </xf>
    <xf numFmtId="164" fontId="11" fillId="0" borderId="0" xfId="0" applyNumberFormat="1" applyFont="1" applyFill="1" applyAlignment="1">
      <alignment horizontal="center" vertical="top" wrapText="1"/>
    </xf>
    <xf numFmtId="0" fontId="0" fillId="0" borderId="1" xfId="0" applyFont="1" applyFill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top" wrapText="1"/>
    </xf>
    <xf numFmtId="0" fontId="21" fillId="0" borderId="1" xfId="0" applyFont="1" applyFill="1" applyBorder="1" applyAlignment="1">
      <alignment horizontal="left" vertical="top"/>
    </xf>
    <xf numFmtId="164" fontId="0" fillId="0" borderId="0" xfId="0" applyNumberFormat="1" applyFont="1" applyFill="1" applyAlignment="1">
      <alignment horizontal="right" vertical="top" wrapText="1"/>
    </xf>
    <xf numFmtId="0" fontId="0" fillId="0" borderId="1" xfId="0" applyFont="1" applyFill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top" wrapText="1"/>
    </xf>
    <xf numFmtId="0" fontId="0" fillId="0" borderId="1" xfId="0" applyFont="1" applyFill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top" wrapText="1"/>
    </xf>
    <xf numFmtId="0" fontId="0" fillId="0" borderId="1" xfId="0" applyFont="1" applyFill="1" applyBorder="1" applyAlignment="1">
      <alignment horizontal="center" vertical="top" wrapText="1"/>
    </xf>
    <xf numFmtId="0" fontId="0" fillId="0" borderId="1" xfId="0" applyFont="1" applyFill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top" wrapText="1"/>
    </xf>
    <xf numFmtId="2" fontId="17" fillId="0" borderId="0" xfId="0" applyNumberFormat="1" applyFont="1" applyFill="1" applyAlignment="1">
      <alignment horizontal="center" vertical="top"/>
    </xf>
    <xf numFmtId="164" fontId="32" fillId="0" borderId="0" xfId="0" applyNumberFormat="1" applyFont="1" applyFill="1" applyAlignment="1">
      <alignment horizontal="right" vertical="top" wrapText="1"/>
    </xf>
    <xf numFmtId="0" fontId="0" fillId="0" borderId="1" xfId="0" applyFont="1" applyFill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top" wrapText="1"/>
    </xf>
    <xf numFmtId="0" fontId="18" fillId="0" borderId="1" xfId="0" applyFont="1" applyFill="1" applyBorder="1" applyAlignment="1"/>
    <xf numFmtId="0" fontId="0" fillId="0" borderId="1" xfId="0" applyFont="1" applyFill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top" wrapText="1"/>
    </xf>
    <xf numFmtId="0" fontId="0" fillId="0" borderId="1" xfId="0" applyFont="1" applyFill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top" wrapText="1"/>
    </xf>
    <xf numFmtId="0" fontId="0" fillId="0" borderId="1" xfId="0" applyFont="1" applyFill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top" wrapText="1"/>
    </xf>
    <xf numFmtId="0" fontId="0" fillId="0" borderId="1" xfId="0" applyFont="1" applyFill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top" wrapText="1"/>
    </xf>
    <xf numFmtId="2" fontId="32" fillId="0" borderId="1" xfId="0" applyNumberFormat="1" applyFont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top" wrapText="1"/>
    </xf>
    <xf numFmtId="0" fontId="0" fillId="0" borderId="1" xfId="0" applyFont="1" applyFill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top" wrapText="1"/>
    </xf>
    <xf numFmtId="0" fontId="0" fillId="0" borderId="1" xfId="0" applyFont="1" applyFill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top" wrapText="1"/>
    </xf>
    <xf numFmtId="0" fontId="0" fillId="0" borderId="1" xfId="0" applyFont="1" applyFill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top" wrapText="1"/>
    </xf>
    <xf numFmtId="0" fontId="0" fillId="0" borderId="1" xfId="0" applyFont="1" applyFill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top" wrapText="1"/>
    </xf>
    <xf numFmtId="0" fontId="41" fillId="0" borderId="1" xfId="0" applyFont="1" applyFill="1" applyBorder="1" applyAlignment="1">
      <alignment horizontal="left" vertical="top" wrapText="1"/>
    </xf>
    <xf numFmtId="0" fontId="0" fillId="0" borderId="1" xfId="0" applyFont="1" applyFill="1" applyBorder="1" applyAlignment="1">
      <alignment horizontal="center" vertical="top" wrapText="1"/>
    </xf>
    <xf numFmtId="14" fontId="0" fillId="0" borderId="1" xfId="0" applyNumberFormat="1" applyFill="1" applyBorder="1"/>
    <xf numFmtId="0" fontId="0" fillId="0" borderId="1" xfId="0" applyFont="1" applyFill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top" wrapText="1"/>
    </xf>
    <xf numFmtId="0" fontId="8" fillId="0" borderId="1" xfId="0" applyFont="1" applyFill="1" applyBorder="1" applyAlignment="1">
      <alignment horizontal="left" vertical="center"/>
    </xf>
    <xf numFmtId="0" fontId="0" fillId="0" borderId="1" xfId="0" applyFont="1" applyFill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top" wrapText="1"/>
    </xf>
    <xf numFmtId="2" fontId="32" fillId="0" borderId="1" xfId="0" applyNumberFormat="1" applyFont="1" applyFill="1" applyBorder="1" applyAlignment="1">
      <alignment horizontal="right" vertical="top" wrapText="1"/>
    </xf>
    <xf numFmtId="0" fontId="0" fillId="0" borderId="1" xfId="0" applyFont="1" applyFill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top" wrapText="1"/>
    </xf>
    <xf numFmtId="0" fontId="0" fillId="0" borderId="1" xfId="0" applyFont="1" applyFill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top" wrapText="1"/>
    </xf>
    <xf numFmtId="0" fontId="0" fillId="0" borderId="1" xfId="0" applyFont="1" applyFill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top" wrapText="1"/>
    </xf>
    <xf numFmtId="0" fontId="0" fillId="0" borderId="1" xfId="0" applyFont="1" applyFill="1" applyBorder="1" applyAlignment="1">
      <alignment horizontal="center" vertical="center" wrapText="1"/>
    </xf>
    <xf numFmtId="0" fontId="39" fillId="0" borderId="1" xfId="0" applyFont="1" applyFill="1" applyBorder="1" applyAlignment="1">
      <alignment horizontal="center" vertical="center"/>
    </xf>
    <xf numFmtId="0" fontId="42" fillId="0" borderId="1" xfId="0" applyFont="1" applyFill="1" applyBorder="1" applyAlignment="1">
      <alignment horizontal="left" vertical="top" wrapText="1"/>
    </xf>
    <xf numFmtId="0" fontId="39" fillId="0" borderId="1" xfId="0" applyFont="1" applyFill="1" applyBorder="1" applyAlignment="1"/>
    <xf numFmtId="0" fontId="7" fillId="0" borderId="1" xfId="0" applyFont="1" applyFill="1" applyBorder="1" applyAlignment="1">
      <alignment horizontal="left" vertical="top"/>
    </xf>
    <xf numFmtId="0" fontId="7" fillId="0" borderId="1" xfId="0" applyFont="1" applyFill="1" applyBorder="1" applyAlignment="1">
      <alignment horizontal="center" vertical="top"/>
    </xf>
    <xf numFmtId="2" fontId="7" fillId="0" borderId="1" xfId="0" applyNumberFormat="1" applyFont="1" applyFill="1" applyBorder="1" applyAlignment="1">
      <alignment horizontal="right" vertical="top"/>
    </xf>
    <xf numFmtId="164" fontId="38" fillId="0" borderId="1" xfId="0" applyNumberFormat="1" applyFont="1" applyFill="1" applyBorder="1" applyAlignment="1">
      <alignment horizontal="right" vertical="center"/>
    </xf>
    <xf numFmtId="164" fontId="7" fillId="0" borderId="1" xfId="0" applyNumberFormat="1" applyFont="1" applyFill="1" applyBorder="1" applyAlignment="1">
      <alignment horizontal="right" vertical="center"/>
    </xf>
    <xf numFmtId="14" fontId="0" fillId="0" borderId="1" xfId="0" applyNumberFormat="1" applyFont="1" applyFill="1" applyBorder="1"/>
    <xf numFmtId="0" fontId="38" fillId="0" borderId="1" xfId="0" applyFont="1" applyFill="1" applyBorder="1" applyAlignment="1">
      <alignment horizontal="center" vertical="top"/>
    </xf>
    <xf numFmtId="0" fontId="7" fillId="0" borderId="1" xfId="0" applyFont="1" applyFill="1" applyBorder="1" applyAlignment="1"/>
    <xf numFmtId="0" fontId="7" fillId="0" borderId="1" xfId="0" applyFont="1" applyFill="1" applyBorder="1" applyAlignment="1">
      <alignment horizontal="center" vertical="center"/>
    </xf>
    <xf numFmtId="2" fontId="38" fillId="0" borderId="1" xfId="0" applyNumberFormat="1" applyFont="1" applyFill="1" applyBorder="1" applyAlignment="1">
      <alignment horizontal="right" vertical="top"/>
    </xf>
    <xf numFmtId="0" fontId="39" fillId="0" borderId="1" xfId="0" applyFont="1" applyFill="1" applyBorder="1" applyAlignment="1">
      <alignment horizontal="left" vertical="center"/>
    </xf>
    <xf numFmtId="0" fontId="7" fillId="0" borderId="1" xfId="0" applyFont="1" applyFill="1" applyBorder="1" applyAlignment="1">
      <alignment horizontal="left" vertical="top" wrapText="1"/>
    </xf>
    <xf numFmtId="0" fontId="10" fillId="0" borderId="1" xfId="0" applyFont="1" applyFill="1" applyBorder="1" applyAlignment="1">
      <alignment horizontal="center" vertical="top"/>
    </xf>
    <xf numFmtId="0" fontId="43" fillId="0" borderId="1" xfId="0" applyFont="1" applyFill="1" applyBorder="1" applyAlignment="1"/>
    <xf numFmtId="0" fontId="10" fillId="0" borderId="1" xfId="0" applyFont="1" applyFill="1" applyBorder="1" applyAlignment="1">
      <alignment horizontal="center" vertical="center"/>
    </xf>
    <xf numFmtId="0" fontId="36" fillId="0" borderId="1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left" vertical="center"/>
    </xf>
    <xf numFmtId="0" fontId="7" fillId="0" borderId="1" xfId="0" applyFont="1" applyFill="1" applyBorder="1" applyAlignment="1">
      <alignment vertical="center"/>
    </xf>
    <xf numFmtId="0" fontId="38" fillId="0" borderId="1" xfId="0" applyFont="1" applyFill="1" applyBorder="1" applyAlignment="1">
      <alignment horizontal="center" vertical="center"/>
    </xf>
    <xf numFmtId="0" fontId="39" fillId="0" borderId="1" xfId="0" applyFont="1" applyFill="1" applyBorder="1" applyAlignment="1">
      <alignment horizontal="center" vertical="center" wrapText="1"/>
    </xf>
    <xf numFmtId="2" fontId="7" fillId="0" borderId="1" xfId="0" applyNumberFormat="1" applyFont="1" applyFill="1" applyBorder="1" applyAlignment="1">
      <alignment horizontal="right" vertical="center"/>
    </xf>
    <xf numFmtId="0" fontId="39" fillId="0" borderId="1" xfId="0" applyFont="1" applyFill="1" applyBorder="1" applyAlignment="1">
      <alignment horizontal="left" vertical="top"/>
    </xf>
    <xf numFmtId="0" fontId="7" fillId="0" borderId="1" xfId="0" applyFont="1" applyFill="1" applyBorder="1" applyAlignment="1">
      <alignment horizontal="center" vertical="top" wrapText="1"/>
    </xf>
    <xf numFmtId="0" fontId="7" fillId="0" borderId="1" xfId="0" applyFont="1" applyFill="1" applyBorder="1" applyAlignment="1">
      <alignment horizontal="center" vertical="center" wrapText="1"/>
    </xf>
    <xf numFmtId="0" fontId="32" fillId="0" borderId="1" xfId="0" applyFont="1" applyFill="1" applyBorder="1" applyAlignment="1">
      <alignment horizontal="center" vertical="center" wrapText="1"/>
    </xf>
    <xf numFmtId="2" fontId="32" fillId="0" borderId="1" xfId="0" applyNumberFormat="1" applyFont="1" applyFill="1" applyBorder="1" applyAlignment="1">
      <alignment horizontal="right" vertical="center" wrapText="1"/>
    </xf>
    <xf numFmtId="164" fontId="32" fillId="0" borderId="1" xfId="0" applyNumberFormat="1" applyFont="1" applyFill="1" applyBorder="1" applyAlignment="1">
      <alignment horizontal="right" vertical="center" wrapText="1"/>
    </xf>
    <xf numFmtId="2" fontId="7" fillId="0" borderId="1" xfId="0" applyNumberFormat="1" applyFont="1" applyFill="1" applyBorder="1" applyAlignment="1">
      <alignment horizontal="right" vertical="center" wrapText="1"/>
    </xf>
    <xf numFmtId="0" fontId="0" fillId="0" borderId="1" xfId="0" applyFont="1" applyFill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top" wrapText="1"/>
    </xf>
    <xf numFmtId="0" fontId="0" fillId="0" borderId="1" xfId="0" applyFont="1" applyFill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top" wrapText="1"/>
    </xf>
    <xf numFmtId="2" fontId="32" fillId="0" borderId="0" xfId="0" applyNumberFormat="1" applyFont="1" applyFill="1" applyAlignment="1">
      <alignment horizontal="right" vertical="top" wrapText="1"/>
    </xf>
    <xf numFmtId="165" fontId="44" fillId="0" borderId="1" xfId="0" applyNumberFormat="1" applyFont="1" applyFill="1" applyBorder="1" applyAlignment="1">
      <alignment horizontal="right" vertical="top"/>
    </xf>
    <xf numFmtId="0" fontId="0" fillId="0" borderId="1" xfId="0" applyFont="1" applyFill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top" wrapText="1"/>
    </xf>
    <xf numFmtId="0" fontId="0" fillId="0" borderId="1" xfId="0" applyFont="1" applyFill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top" wrapText="1"/>
    </xf>
    <xf numFmtId="0" fontId="0" fillId="0" borderId="1" xfId="0" applyFont="1" applyFill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top" wrapText="1"/>
    </xf>
    <xf numFmtId="2" fontId="6" fillId="0" borderId="1" xfId="0" applyNumberFormat="1" applyFont="1" applyFill="1" applyBorder="1" applyAlignment="1">
      <alignment horizontal="right" vertical="top"/>
    </xf>
    <xf numFmtId="0" fontId="6" fillId="0" borderId="0" xfId="0" applyFont="1" applyFill="1" applyBorder="1" applyAlignment="1">
      <alignment horizontal="center" vertical="top" wrapText="1"/>
    </xf>
    <xf numFmtId="0" fontId="6" fillId="0" borderId="1" xfId="0" applyFont="1" applyFill="1" applyBorder="1" applyAlignment="1">
      <alignment horizontal="center" vertical="top" wrapText="1"/>
    </xf>
    <xf numFmtId="0" fontId="0" fillId="0" borderId="1" xfId="0" applyFont="1" applyFill="1" applyBorder="1" applyAlignment="1">
      <alignment vertical="top" wrapText="1"/>
    </xf>
    <xf numFmtId="0" fontId="45" fillId="0" borderId="1" xfId="0" applyFont="1" applyFill="1" applyBorder="1" applyAlignment="1">
      <alignment horizontal="center" vertical="top" wrapText="1"/>
    </xf>
    <xf numFmtId="0" fontId="39" fillId="0" borderId="1" xfId="0" applyFont="1" applyFill="1" applyBorder="1" applyAlignment="1">
      <alignment horizontal="center" vertical="top"/>
    </xf>
    <xf numFmtId="0" fontId="6" fillId="0" borderId="1" xfId="0" applyFont="1" applyFill="1" applyBorder="1" applyAlignment="1">
      <alignment horizontal="left" vertical="top"/>
    </xf>
    <xf numFmtId="0" fontId="6" fillId="0" borderId="1" xfId="0" applyFont="1" applyFill="1" applyBorder="1" applyAlignment="1">
      <alignment horizontal="center" vertical="top"/>
    </xf>
    <xf numFmtId="164" fontId="6" fillId="0" borderId="1" xfId="0" applyNumberFormat="1" applyFont="1" applyFill="1" applyBorder="1" applyAlignment="1">
      <alignment horizontal="right" vertical="center"/>
    </xf>
    <xf numFmtId="0" fontId="6" fillId="0" borderId="1" xfId="0" applyFont="1" applyFill="1" applyBorder="1" applyAlignment="1"/>
    <xf numFmtId="0" fontId="6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left" vertical="top" wrapText="1"/>
    </xf>
    <xf numFmtId="0" fontId="6" fillId="0" borderId="1" xfId="0" applyFont="1" applyFill="1" applyBorder="1" applyAlignment="1">
      <alignment horizontal="left" vertical="center"/>
    </xf>
    <xf numFmtId="165" fontId="46" fillId="0" borderId="1" xfId="0" applyNumberFormat="1" applyFont="1" applyFill="1" applyBorder="1" applyAlignment="1">
      <alignment horizontal="right" vertical="top"/>
    </xf>
    <xf numFmtId="0" fontId="6" fillId="0" borderId="1" xfId="0" applyFont="1" applyFill="1" applyBorder="1" applyAlignment="1">
      <alignment vertical="center"/>
    </xf>
    <xf numFmtId="2" fontId="6" fillId="0" borderId="1" xfId="0" applyNumberFormat="1" applyFont="1" applyFill="1" applyBorder="1" applyAlignment="1">
      <alignment horizontal="right" vertical="center"/>
    </xf>
    <xf numFmtId="0" fontId="6" fillId="0" borderId="1" xfId="0" applyFont="1" applyFill="1" applyBorder="1" applyAlignment="1">
      <alignment horizontal="center" vertical="center" wrapText="1"/>
    </xf>
    <xf numFmtId="2" fontId="6" fillId="0" borderId="1" xfId="0" applyNumberFormat="1" applyFont="1" applyFill="1" applyBorder="1" applyAlignment="1">
      <alignment horizontal="right" vertical="center" wrapText="1"/>
    </xf>
    <xf numFmtId="0" fontId="0" fillId="0" borderId="1" xfId="0" applyFont="1" applyFill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top" wrapText="1"/>
    </xf>
    <xf numFmtId="0" fontId="6" fillId="0" borderId="1" xfId="0" applyFont="1" applyFill="1" applyBorder="1" applyAlignment="1">
      <alignment horizontal="center" vertical="top" wrapText="1"/>
    </xf>
    <xf numFmtId="0" fontId="0" fillId="0" borderId="1" xfId="0" applyFont="1" applyFill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top" wrapText="1"/>
    </xf>
    <xf numFmtId="0" fontId="6" fillId="0" borderId="1" xfId="0" applyFont="1" applyFill="1" applyBorder="1" applyAlignment="1">
      <alignment horizontal="center" vertical="top" wrapText="1"/>
    </xf>
    <xf numFmtId="0" fontId="0" fillId="0" borderId="1" xfId="0" applyFont="1" applyFill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top" wrapText="1"/>
    </xf>
    <xf numFmtId="0" fontId="6" fillId="0" borderId="1" xfId="0" applyFont="1" applyFill="1" applyBorder="1" applyAlignment="1">
      <alignment horizontal="center" vertical="top" wrapText="1"/>
    </xf>
    <xf numFmtId="0" fontId="0" fillId="0" borderId="1" xfId="0" applyFont="1" applyFill="1" applyBorder="1" applyAlignment="1">
      <alignment horizontal="center" vertical="top" wrapText="1"/>
    </xf>
    <xf numFmtId="0" fontId="6" fillId="0" borderId="1" xfId="0" applyFont="1" applyFill="1" applyBorder="1" applyAlignment="1">
      <alignment horizontal="center" vertical="top" wrapText="1"/>
    </xf>
    <xf numFmtId="0" fontId="0" fillId="0" borderId="1" xfId="0" applyFont="1" applyFill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top" wrapText="1"/>
    </xf>
    <xf numFmtId="0" fontId="0" fillId="0" borderId="1" xfId="0" applyFont="1" applyFill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top" wrapText="1"/>
    </xf>
    <xf numFmtId="0" fontId="6" fillId="0" borderId="1" xfId="0" applyFont="1" applyFill="1" applyBorder="1" applyAlignment="1">
      <alignment horizontal="center" vertical="top" wrapText="1"/>
    </xf>
    <xf numFmtId="0" fontId="0" fillId="0" borderId="1" xfId="0" applyFont="1" applyFill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top" wrapText="1"/>
    </xf>
    <xf numFmtId="0" fontId="6" fillId="0" borderId="1" xfId="0" applyFont="1" applyFill="1" applyBorder="1" applyAlignment="1">
      <alignment horizontal="center" vertical="top" wrapText="1"/>
    </xf>
    <xf numFmtId="0" fontId="0" fillId="0" borderId="1" xfId="0" applyFont="1" applyFill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top" wrapText="1"/>
    </xf>
    <xf numFmtId="0" fontId="6" fillId="0" borderId="1" xfId="0" applyFont="1" applyFill="1" applyBorder="1" applyAlignment="1">
      <alignment horizontal="center" vertical="top" wrapText="1"/>
    </xf>
    <xf numFmtId="2" fontId="5" fillId="0" borderId="1" xfId="0" applyNumberFormat="1" applyFont="1" applyFill="1" applyBorder="1" applyAlignment="1">
      <alignment horizontal="right" vertical="top"/>
    </xf>
    <xf numFmtId="0" fontId="0" fillId="0" borderId="1" xfId="0" applyFont="1" applyFill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top" wrapText="1"/>
    </xf>
    <xf numFmtId="0" fontId="6" fillId="0" borderId="1" xfId="0" applyFont="1" applyFill="1" applyBorder="1" applyAlignment="1">
      <alignment horizontal="center" vertical="top" wrapText="1"/>
    </xf>
    <xf numFmtId="0" fontId="0" fillId="0" borderId="1" xfId="0" applyFont="1" applyFill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top" wrapText="1"/>
    </xf>
    <xf numFmtId="0" fontId="6" fillId="0" borderId="1" xfId="0" applyFont="1" applyFill="1" applyBorder="1" applyAlignment="1">
      <alignment horizontal="center" vertical="top" wrapText="1"/>
    </xf>
    <xf numFmtId="0" fontId="4" fillId="0" borderId="1" xfId="0" applyFont="1" applyFill="1" applyBorder="1" applyAlignment="1">
      <alignment horizontal="left" vertical="top"/>
    </xf>
    <xf numFmtId="0" fontId="0" fillId="0" borderId="1" xfId="0" applyFont="1" applyFill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top" wrapText="1"/>
    </xf>
    <xf numFmtId="0" fontId="6" fillId="0" borderId="1" xfId="0" applyFont="1" applyFill="1" applyBorder="1" applyAlignment="1">
      <alignment horizontal="center" vertical="top" wrapText="1"/>
    </xf>
    <xf numFmtId="0" fontId="0" fillId="0" borderId="1" xfId="0" applyFont="1" applyFill="1" applyBorder="1" applyAlignment="1">
      <alignment horizontal="center" vertical="top" wrapText="1"/>
    </xf>
    <xf numFmtId="0" fontId="6" fillId="0" borderId="1" xfId="0" applyFont="1" applyFill="1" applyBorder="1" applyAlignment="1">
      <alignment horizontal="center" vertical="top" wrapText="1"/>
    </xf>
    <xf numFmtId="2" fontId="32" fillId="0" borderId="0" xfId="0" applyNumberFormat="1" applyFont="1" applyFill="1" applyAlignment="1">
      <alignment horizontal="center" vertical="top" wrapText="1"/>
    </xf>
    <xf numFmtId="2" fontId="0" fillId="0" borderId="0" xfId="0" applyNumberFormat="1" applyFill="1" applyAlignment="1">
      <alignment horizontal="right" vertical="top" wrapText="1"/>
    </xf>
    <xf numFmtId="2" fontId="0" fillId="0" borderId="0" xfId="0" applyNumberFormat="1" applyFont="1" applyFill="1" applyAlignment="1">
      <alignment horizontal="right" vertical="top" wrapText="1"/>
    </xf>
    <xf numFmtId="0" fontId="0" fillId="0" borderId="1" xfId="0" applyFont="1" applyFill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top" wrapText="1"/>
    </xf>
    <xf numFmtId="0" fontId="6" fillId="0" borderId="1" xfId="0" applyFont="1" applyFill="1" applyBorder="1" applyAlignment="1">
      <alignment horizontal="center" vertical="top" wrapText="1"/>
    </xf>
    <xf numFmtId="0" fontId="0" fillId="0" borderId="1" xfId="0" applyFont="1" applyFill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top" wrapText="1"/>
    </xf>
    <xf numFmtId="0" fontId="6" fillId="0" borderId="1" xfId="0" applyFont="1" applyFill="1" applyBorder="1" applyAlignment="1">
      <alignment horizontal="center" vertical="top" wrapText="1"/>
    </xf>
    <xf numFmtId="0" fontId="3" fillId="0" borderId="1" xfId="0" applyFont="1" applyFill="1" applyBorder="1" applyAlignment="1">
      <alignment horizontal="left" vertical="top"/>
    </xf>
    <xf numFmtId="0" fontId="0" fillId="0" borderId="1" xfId="0" applyFont="1" applyFill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top" wrapText="1"/>
    </xf>
    <xf numFmtId="0" fontId="6" fillId="0" borderId="1" xfId="0" applyFont="1" applyFill="1" applyBorder="1" applyAlignment="1">
      <alignment horizontal="center" vertical="top" wrapText="1"/>
    </xf>
    <xf numFmtId="0" fontId="0" fillId="0" borderId="1" xfId="0" applyFont="1" applyFill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top" wrapText="1"/>
    </xf>
    <xf numFmtId="0" fontId="6" fillId="0" borderId="1" xfId="0" applyFont="1" applyFill="1" applyBorder="1" applyAlignment="1">
      <alignment horizontal="center" vertical="top" wrapText="1"/>
    </xf>
    <xf numFmtId="0" fontId="2" fillId="0" borderId="1" xfId="0" applyFont="1" applyFill="1" applyBorder="1" applyAlignment="1">
      <alignment horizontal="left" vertical="top"/>
    </xf>
    <xf numFmtId="0" fontId="0" fillId="0" borderId="1" xfId="0" applyFont="1" applyFill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top" wrapText="1"/>
    </xf>
    <xf numFmtId="0" fontId="6" fillId="0" borderId="1" xfId="0" applyFont="1" applyFill="1" applyBorder="1" applyAlignment="1">
      <alignment horizontal="center" vertical="top" wrapText="1"/>
    </xf>
    <xf numFmtId="0" fontId="0" fillId="0" borderId="1" xfId="0" applyFont="1" applyFill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top" wrapText="1"/>
    </xf>
    <xf numFmtId="0" fontId="6" fillId="0" borderId="1" xfId="0" applyFont="1" applyFill="1" applyBorder="1" applyAlignment="1">
      <alignment horizontal="center" vertical="top" wrapText="1"/>
    </xf>
    <xf numFmtId="0" fontId="0" fillId="0" borderId="1" xfId="0" applyFont="1" applyFill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top" wrapText="1"/>
    </xf>
    <xf numFmtId="0" fontId="6" fillId="0" borderId="1" xfId="0" applyFont="1" applyFill="1" applyBorder="1" applyAlignment="1">
      <alignment horizontal="center" vertical="top" wrapText="1"/>
    </xf>
    <xf numFmtId="0" fontId="0" fillId="0" borderId="1" xfId="0" applyFont="1" applyFill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top" wrapText="1"/>
    </xf>
    <xf numFmtId="0" fontId="0" fillId="0" borderId="1" xfId="0" applyFont="1" applyFill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top" wrapText="1"/>
    </xf>
    <xf numFmtId="0" fontId="6" fillId="0" borderId="1" xfId="0" applyFont="1" applyFill="1" applyBorder="1" applyAlignment="1">
      <alignment horizontal="center" vertical="top" wrapText="1"/>
    </xf>
    <xf numFmtId="0" fontId="0" fillId="0" borderId="1" xfId="0" applyFont="1" applyFill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top" wrapText="1"/>
    </xf>
    <xf numFmtId="0" fontId="0" fillId="0" borderId="1" xfId="0" applyFont="1" applyFill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top" wrapText="1"/>
    </xf>
    <xf numFmtId="0" fontId="6" fillId="0" borderId="1" xfId="0" applyFont="1" applyFill="1" applyBorder="1" applyAlignment="1">
      <alignment horizontal="center" vertical="top" wrapText="1"/>
    </xf>
    <xf numFmtId="0" fontId="0" fillId="0" borderId="1" xfId="0" applyFont="1" applyFill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top" wrapText="1"/>
    </xf>
    <xf numFmtId="0" fontId="6" fillId="0" borderId="1" xfId="0" applyFont="1" applyFill="1" applyBorder="1" applyAlignment="1">
      <alignment horizontal="center" vertical="top" wrapText="1"/>
    </xf>
    <xf numFmtId="2" fontId="1" fillId="0" borderId="1" xfId="0" applyNumberFormat="1" applyFont="1" applyFill="1" applyBorder="1" applyAlignment="1">
      <alignment horizontal="right" vertical="top"/>
    </xf>
    <xf numFmtId="0" fontId="0" fillId="0" borderId="1" xfId="0" applyFont="1" applyFill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top" wrapText="1"/>
    </xf>
    <xf numFmtId="0" fontId="6" fillId="0" borderId="1" xfId="0" applyFont="1" applyFill="1" applyBorder="1" applyAlignment="1">
      <alignment horizontal="center" vertical="top" wrapText="1"/>
    </xf>
    <xf numFmtId="0" fontId="0" fillId="0" borderId="1" xfId="0" applyFont="1" applyFill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top" wrapText="1"/>
    </xf>
    <xf numFmtId="0" fontId="6" fillId="0" borderId="1" xfId="0" applyFont="1" applyFill="1" applyBorder="1" applyAlignment="1">
      <alignment horizontal="center" vertical="top" wrapText="1"/>
    </xf>
    <xf numFmtId="0" fontId="0" fillId="0" borderId="0" xfId="0" applyFill="1" applyAlignment="1">
      <alignment horizontal="left" vertical="top" wrapText="1"/>
    </xf>
    <xf numFmtId="0" fontId="32" fillId="4" borderId="0" xfId="0" applyFont="1" applyFill="1" applyBorder="1" applyAlignment="1">
      <alignment horizontal="center" vertical="top" wrapText="1"/>
    </xf>
    <xf numFmtId="0" fontId="32" fillId="4" borderId="0" xfId="0" applyFont="1" applyFill="1" applyBorder="1" applyAlignment="1">
      <alignment horizontal="right" vertical="top" wrapText="1"/>
    </xf>
    <xf numFmtId="0" fontId="32" fillId="4" borderId="1" xfId="0" applyFont="1" applyFill="1" applyBorder="1" applyAlignment="1">
      <alignment horizontal="center" vertical="top" wrapText="1"/>
    </xf>
    <xf numFmtId="0" fontId="32" fillId="4" borderId="1" xfId="0" applyFont="1" applyFill="1" applyBorder="1" applyAlignment="1">
      <alignment horizontal="right" vertical="top" wrapText="1"/>
    </xf>
    <xf numFmtId="0" fontId="34" fillId="4" borderId="1" xfId="0" applyFont="1" applyFill="1" applyBorder="1" applyAlignment="1">
      <alignment horizontal="center" vertical="top" wrapText="1"/>
    </xf>
    <xf numFmtId="0" fontId="34" fillId="4" borderId="1" xfId="0" applyFont="1" applyFill="1" applyBorder="1" applyAlignment="1">
      <alignment horizontal="right" vertical="top" wrapText="1"/>
    </xf>
    <xf numFmtId="0" fontId="32" fillId="4" borderId="1" xfId="0" applyFont="1" applyFill="1" applyBorder="1" applyAlignment="1">
      <alignment horizontal="center" vertical="center"/>
    </xf>
    <xf numFmtId="2" fontId="32" fillId="4" borderId="1" xfId="0" applyNumberFormat="1" applyFont="1" applyFill="1" applyBorder="1" applyAlignment="1">
      <alignment horizontal="right" vertical="top"/>
    </xf>
    <xf numFmtId="164" fontId="32" fillId="4" borderId="1" xfId="0" applyNumberFormat="1" applyFont="1" applyFill="1" applyBorder="1" applyAlignment="1">
      <alignment horizontal="right" vertical="center"/>
    </xf>
    <xf numFmtId="0" fontId="32" fillId="4" borderId="1" xfId="0" applyNumberFormat="1" applyFont="1" applyFill="1" applyBorder="1" applyAlignment="1">
      <alignment horizontal="center" vertical="center"/>
    </xf>
    <xf numFmtId="0" fontId="32" fillId="4" borderId="1" xfId="0" applyFont="1" applyFill="1" applyBorder="1" applyAlignment="1">
      <alignment horizontal="center" vertical="top"/>
    </xf>
    <xf numFmtId="2" fontId="6" fillId="4" borderId="1" xfId="0" applyNumberFormat="1" applyFont="1" applyFill="1" applyBorder="1" applyAlignment="1">
      <alignment horizontal="right" vertical="top"/>
    </xf>
    <xf numFmtId="0" fontId="38" fillId="4" borderId="1" xfId="0" applyFont="1" applyFill="1" applyBorder="1" applyAlignment="1">
      <alignment horizontal="center" vertical="top"/>
    </xf>
    <xf numFmtId="0" fontId="38" fillId="4" borderId="1" xfId="0" applyNumberFormat="1" applyFont="1" applyFill="1" applyBorder="1" applyAlignment="1">
      <alignment horizontal="center" vertical="center"/>
    </xf>
    <xf numFmtId="2" fontId="38" fillId="4" borderId="1" xfId="0" applyNumberFormat="1" applyFont="1" applyFill="1" applyBorder="1" applyAlignment="1">
      <alignment horizontal="right" vertical="top"/>
    </xf>
    <xf numFmtId="2" fontId="32" fillId="4" borderId="1" xfId="0" applyNumberFormat="1" applyFont="1" applyFill="1" applyBorder="1" applyAlignment="1">
      <alignment horizontal="right" vertical="top" wrapText="1"/>
    </xf>
    <xf numFmtId="165" fontId="46" fillId="4" borderId="1" xfId="0" applyNumberFormat="1" applyFont="1" applyFill="1" applyBorder="1" applyAlignment="1">
      <alignment horizontal="right" vertical="top"/>
    </xf>
    <xf numFmtId="2" fontId="0" fillId="4" borderId="1" xfId="0" applyNumberFormat="1" applyFont="1" applyFill="1" applyBorder="1" applyAlignment="1">
      <alignment horizontal="right" vertical="top"/>
    </xf>
    <xf numFmtId="0" fontId="0" fillId="4" borderId="1" xfId="0" applyNumberFormat="1" applyFont="1" applyFill="1" applyBorder="1" applyAlignment="1">
      <alignment horizontal="center" vertical="center"/>
    </xf>
    <xf numFmtId="0" fontId="38" fillId="4" borderId="1" xfId="0" applyFont="1" applyFill="1" applyBorder="1" applyAlignment="1">
      <alignment horizontal="center" vertical="center"/>
    </xf>
    <xf numFmtId="2" fontId="32" fillId="4" borderId="1" xfId="0" applyNumberFormat="1" applyFont="1" applyFill="1" applyBorder="1" applyAlignment="1">
      <alignment horizontal="right" vertical="center"/>
    </xf>
    <xf numFmtId="0" fontId="32" fillId="4" borderId="1" xfId="0" applyFont="1" applyFill="1" applyBorder="1" applyAlignment="1">
      <alignment horizontal="center" vertical="center" wrapText="1"/>
    </xf>
    <xf numFmtId="2" fontId="32" fillId="4" borderId="1" xfId="0" applyNumberFormat="1" applyFont="1" applyFill="1" applyBorder="1" applyAlignment="1">
      <alignment horizontal="right" vertical="center" wrapText="1"/>
    </xf>
    <xf numFmtId="164" fontId="32" fillId="4" borderId="1" xfId="0" applyNumberFormat="1" applyFont="1" applyFill="1" applyBorder="1" applyAlignment="1">
      <alignment horizontal="right" vertical="center" wrapText="1"/>
    </xf>
    <xf numFmtId="0" fontId="32" fillId="4" borderId="0" xfId="0" applyFont="1" applyFill="1" applyAlignment="1">
      <alignment horizontal="center" vertical="top" wrapText="1"/>
    </xf>
    <xf numFmtId="0" fontId="32" fillId="4" borderId="0" xfId="0" applyFont="1" applyFill="1" applyAlignment="1">
      <alignment horizontal="right" vertical="top" wrapText="1"/>
    </xf>
    <xf numFmtId="164" fontId="32" fillId="4" borderId="0" xfId="0" applyNumberFormat="1" applyFont="1" applyFill="1" applyAlignment="1">
      <alignment horizontal="right" vertical="top" wrapText="1"/>
    </xf>
    <xf numFmtId="2" fontId="32" fillId="4" borderId="0" xfId="0" applyNumberFormat="1" applyFont="1" applyFill="1" applyAlignment="1">
      <alignment horizontal="center" vertical="top" wrapText="1"/>
    </xf>
    <xf numFmtId="0" fontId="11" fillId="4" borderId="0" xfId="0" applyFont="1" applyFill="1" applyAlignment="1">
      <alignment horizontal="center" vertical="top" wrapText="1"/>
    </xf>
    <xf numFmtId="2" fontId="32" fillId="4" borderId="0" xfId="0" applyNumberFormat="1" applyFont="1" applyFill="1" applyAlignment="1">
      <alignment horizontal="right" vertical="top" wrapText="1"/>
    </xf>
    <xf numFmtId="0" fontId="0" fillId="0" borderId="1" xfId="0" applyFont="1" applyFill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top" wrapText="1"/>
    </xf>
    <xf numFmtId="0" fontId="6" fillId="0" borderId="1" xfId="0" applyFont="1" applyFill="1" applyBorder="1" applyAlignment="1">
      <alignment horizontal="center" vertical="top" wrapText="1"/>
    </xf>
    <xf numFmtId="2" fontId="11" fillId="0" borderId="0" xfId="0" applyNumberFormat="1" applyFont="1" applyFill="1" applyAlignment="1">
      <alignment horizontal="center" vertical="top" wrapText="1"/>
    </xf>
    <xf numFmtId="0" fontId="0" fillId="0" borderId="1" xfId="0" applyFont="1" applyFill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top" wrapText="1"/>
    </xf>
    <xf numFmtId="0" fontId="6" fillId="0" borderId="1" xfId="0" applyFont="1" applyFill="1" applyBorder="1" applyAlignment="1">
      <alignment horizontal="center" vertical="top" wrapText="1"/>
    </xf>
    <xf numFmtId="0" fontId="0" fillId="0" borderId="0" xfId="0" applyFont="1" applyFill="1" applyBorder="1" applyAlignment="1">
      <alignment horizontal="right" vertical="top" wrapText="1"/>
    </xf>
    <xf numFmtId="0" fontId="10" fillId="0" borderId="1" xfId="0" applyFont="1" applyFill="1" applyBorder="1" applyAlignment="1">
      <alignment horizontal="center" vertical="top" wrapText="1"/>
    </xf>
    <xf numFmtId="0" fontId="23" fillId="0" borderId="1" xfId="0" applyFont="1" applyFill="1" applyBorder="1" applyAlignment="1">
      <alignment horizontal="center" vertical="top" wrapText="1"/>
    </xf>
    <xf numFmtId="0" fontId="23" fillId="0" borderId="1" xfId="0" applyFont="1" applyFill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top" wrapText="1"/>
    </xf>
    <xf numFmtId="14" fontId="15" fillId="0" borderId="1" xfId="0" applyNumberFormat="1" applyFont="1" applyFill="1" applyBorder="1" applyAlignment="1">
      <alignment horizontal="center" vertical="top"/>
    </xf>
    <xf numFmtId="0" fontId="30" fillId="0" borderId="1" xfId="0" applyFont="1" applyFill="1" applyBorder="1" applyAlignment="1">
      <alignment horizontal="center" vertical="top"/>
    </xf>
    <xf numFmtId="0" fontId="15" fillId="0" borderId="1" xfId="0" applyFont="1" applyFill="1" applyBorder="1" applyAlignment="1">
      <alignment horizontal="center" vertical="top"/>
    </xf>
    <xf numFmtId="0" fontId="30" fillId="0" borderId="1" xfId="0" applyFont="1" applyFill="1" applyBorder="1" applyAlignment="1">
      <alignment horizontal="center" vertical="center"/>
    </xf>
    <xf numFmtId="0" fontId="33" fillId="0" borderId="1" xfId="0" applyFont="1" applyFill="1" applyBorder="1" applyAlignment="1">
      <alignment horizontal="center" vertical="center"/>
    </xf>
    <xf numFmtId="0" fontId="33" fillId="0" borderId="1" xfId="0" applyFont="1" applyFill="1" applyBorder="1" applyAlignment="1">
      <alignment horizontal="center" vertical="top"/>
    </xf>
    <xf numFmtId="0" fontId="13" fillId="0" borderId="1" xfId="0" applyFont="1" applyFill="1" applyBorder="1" applyAlignment="1">
      <alignment horizontal="center" vertical="top" wrapText="1"/>
    </xf>
    <xf numFmtId="0" fontId="14" fillId="0" borderId="1" xfId="0" applyFont="1" applyFill="1" applyBorder="1" applyAlignment="1">
      <alignment horizontal="center" vertical="top" wrapText="1"/>
    </xf>
    <xf numFmtId="0" fontId="0" fillId="3" borderId="1" xfId="0" applyFont="1" applyFill="1" applyBorder="1" applyAlignment="1">
      <alignment horizontal="center" vertical="top" wrapText="1"/>
    </xf>
    <xf numFmtId="0" fontId="23" fillId="3" borderId="1" xfId="0" applyFont="1" applyFill="1" applyBorder="1" applyAlignment="1">
      <alignment horizontal="center" vertical="top" wrapText="1"/>
    </xf>
    <xf numFmtId="0" fontId="33" fillId="3" borderId="1" xfId="0" applyFont="1" applyFill="1" applyBorder="1" applyAlignment="1">
      <alignment horizontal="center" vertical="top"/>
    </xf>
    <xf numFmtId="0" fontId="30" fillId="3" borderId="1" xfId="0" applyFont="1" applyFill="1" applyBorder="1" applyAlignment="1">
      <alignment horizontal="center" vertical="top"/>
    </xf>
    <xf numFmtId="0" fontId="6" fillId="0" borderId="1" xfId="0" applyFont="1" applyFill="1" applyBorder="1" applyAlignment="1">
      <alignment horizontal="center" vertical="top" wrapText="1"/>
    </xf>
    <xf numFmtId="14" fontId="47" fillId="0" borderId="1" xfId="0" applyNumberFormat="1" applyFont="1" applyFill="1" applyBorder="1" applyAlignment="1">
      <alignment horizontal="center" vertical="top"/>
    </xf>
    <xf numFmtId="0" fontId="47" fillId="0" borderId="1" xfId="0" applyFont="1" applyFill="1" applyBorder="1" applyAlignment="1">
      <alignment horizontal="center" vertical="top"/>
    </xf>
  </cellXfs>
  <cellStyles count="2">
    <cellStyle name="Звичайний 2" xfId="1"/>
    <cellStyle name="Обычный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85"/>
  <sheetViews>
    <sheetView topLeftCell="A61" workbookViewId="0">
      <selection activeCell="A61" sqref="A1:XFD1048576"/>
    </sheetView>
  </sheetViews>
  <sheetFormatPr defaultRowHeight="15" x14ac:dyDescent="0.25"/>
  <cols>
    <col min="1" max="1" width="4" style="6" customWidth="1"/>
    <col min="2" max="2" width="37.5703125" style="88" customWidth="1"/>
    <col min="3" max="3" width="6.5703125" style="19" customWidth="1"/>
    <col min="4" max="4" width="10.140625" style="19" customWidth="1"/>
    <col min="5" max="5" width="19" style="19" customWidth="1"/>
    <col min="6" max="6" width="21.7109375" style="89" customWidth="1"/>
    <col min="7" max="7" width="22.7109375" style="89" customWidth="1"/>
    <col min="8" max="9" width="10.7109375" style="90" customWidth="1"/>
    <col min="10" max="10" width="8.42578125" style="99" customWidth="1"/>
    <col min="11" max="13" width="15.7109375" style="91" customWidth="1"/>
    <col min="14" max="14" width="10.7109375" style="99" customWidth="1"/>
    <col min="15" max="16" width="15.7109375" style="92" customWidth="1"/>
    <col min="17" max="17" width="18.28515625" style="92" customWidth="1"/>
    <col min="18" max="19" width="9.42578125" style="6" customWidth="1"/>
    <col min="20" max="21" width="9.140625" style="6" customWidth="1"/>
    <col min="22" max="16384" width="9.140625" style="6"/>
  </cols>
  <sheetData>
    <row r="1" spans="1:17" s="105" customFormat="1" x14ac:dyDescent="0.25">
      <c r="B1" s="60"/>
      <c r="C1" s="4"/>
      <c r="D1" s="4"/>
      <c r="E1" s="4"/>
      <c r="F1" s="63"/>
      <c r="G1" s="63"/>
      <c r="H1" s="64"/>
      <c r="I1" s="64"/>
      <c r="J1" s="93"/>
      <c r="K1" s="65"/>
      <c r="L1" s="65"/>
      <c r="M1" s="65"/>
      <c r="N1" s="93"/>
      <c r="O1" s="362" t="s">
        <v>15</v>
      </c>
      <c r="P1" s="362"/>
      <c r="Q1" s="362"/>
    </row>
    <row r="2" spans="1:17" s="105" customFormat="1" x14ac:dyDescent="0.25">
      <c r="A2" s="7"/>
      <c r="B2" s="109"/>
      <c r="C2" s="107"/>
      <c r="D2" s="107"/>
      <c r="E2" s="107"/>
      <c r="F2" s="66"/>
      <c r="G2" s="66"/>
      <c r="H2" s="108"/>
      <c r="I2" s="108"/>
      <c r="J2" s="94"/>
      <c r="K2" s="67"/>
      <c r="L2" s="67"/>
      <c r="M2" s="67"/>
      <c r="N2" s="94"/>
      <c r="O2" s="68"/>
      <c r="P2" s="68"/>
      <c r="Q2" s="68"/>
    </row>
    <row r="3" spans="1:17" s="105" customFormat="1" x14ac:dyDescent="0.25">
      <c r="A3" s="363" t="s">
        <v>318</v>
      </c>
      <c r="B3" s="364"/>
      <c r="C3" s="363"/>
      <c r="D3" s="363"/>
      <c r="E3" s="363"/>
      <c r="F3" s="364"/>
      <c r="G3" s="364"/>
      <c r="H3" s="365"/>
      <c r="I3" s="366"/>
      <c r="J3" s="367"/>
      <c r="K3" s="364"/>
      <c r="L3" s="364"/>
      <c r="M3" s="364"/>
      <c r="N3" s="364"/>
      <c r="O3" s="364"/>
      <c r="P3" s="364"/>
      <c r="Q3" s="364"/>
    </row>
    <row r="4" spans="1:17" s="105" customFormat="1" x14ac:dyDescent="0.25">
      <c r="A4" s="368">
        <v>43466</v>
      </c>
      <c r="B4" s="369"/>
      <c r="C4" s="370"/>
      <c r="D4" s="370"/>
      <c r="E4" s="370"/>
      <c r="F4" s="369"/>
      <c r="G4" s="369"/>
      <c r="H4" s="371"/>
      <c r="I4" s="372"/>
      <c r="J4" s="373"/>
      <c r="K4" s="369"/>
      <c r="L4" s="369"/>
      <c r="M4" s="369"/>
      <c r="N4" s="369"/>
      <c r="O4" s="369"/>
      <c r="P4" s="369"/>
      <c r="Q4" s="369"/>
    </row>
    <row r="5" spans="1:17" s="105" customFormat="1" x14ac:dyDescent="0.25">
      <c r="A5" s="374" t="s">
        <v>14</v>
      </c>
      <c r="B5" s="367"/>
      <c r="C5" s="374"/>
      <c r="D5" s="374"/>
      <c r="E5" s="374"/>
      <c r="F5" s="367"/>
      <c r="G5" s="367"/>
      <c r="H5" s="366"/>
      <c r="I5" s="366"/>
      <c r="J5" s="367"/>
      <c r="K5" s="367"/>
      <c r="L5" s="367"/>
      <c r="M5" s="367"/>
      <c r="N5" s="367"/>
      <c r="O5" s="367"/>
      <c r="P5" s="367"/>
      <c r="Q5" s="367"/>
    </row>
    <row r="6" spans="1:17" s="105" customFormat="1" x14ac:dyDescent="0.25">
      <c r="A6" s="7"/>
      <c r="B6" s="109"/>
      <c r="C6" s="107"/>
      <c r="D6" s="107"/>
      <c r="E6" s="107"/>
      <c r="F6" s="66"/>
      <c r="G6" s="66"/>
      <c r="H6" s="108"/>
      <c r="I6" s="108"/>
      <c r="J6" s="94"/>
      <c r="K6" s="67"/>
      <c r="L6" s="67"/>
      <c r="M6" s="67"/>
      <c r="N6" s="94"/>
      <c r="O6" s="68"/>
      <c r="P6" s="68"/>
      <c r="Q6" s="68"/>
    </row>
    <row r="7" spans="1:17" x14ac:dyDescent="0.25">
      <c r="A7" s="5" t="s">
        <v>0</v>
      </c>
      <c r="B7" s="364" t="s">
        <v>10</v>
      </c>
      <c r="C7" s="375"/>
      <c r="D7" s="375"/>
      <c r="E7" s="375"/>
      <c r="F7" s="364"/>
      <c r="G7" s="364"/>
      <c r="H7" s="365" t="s">
        <v>136</v>
      </c>
      <c r="I7" s="366"/>
      <c r="J7" s="367"/>
      <c r="K7" s="364"/>
      <c r="L7" s="364"/>
      <c r="M7" s="364"/>
      <c r="N7" s="364" t="s">
        <v>132</v>
      </c>
      <c r="O7" s="364"/>
      <c r="P7" s="364"/>
      <c r="Q7" s="364"/>
    </row>
    <row r="8" spans="1:17" ht="240" x14ac:dyDescent="0.25">
      <c r="A8" s="5"/>
      <c r="B8" s="109" t="s">
        <v>4</v>
      </c>
      <c r="C8" s="107" t="s">
        <v>1</v>
      </c>
      <c r="D8" s="107" t="s">
        <v>3</v>
      </c>
      <c r="E8" s="107" t="s">
        <v>2</v>
      </c>
      <c r="F8" s="109" t="s">
        <v>6</v>
      </c>
      <c r="G8" s="66" t="s">
        <v>5</v>
      </c>
      <c r="H8" s="109" t="s">
        <v>7</v>
      </c>
      <c r="I8" s="109" t="s">
        <v>8</v>
      </c>
      <c r="J8" s="94" t="s">
        <v>9</v>
      </c>
      <c r="K8" s="67" t="s">
        <v>11</v>
      </c>
      <c r="L8" s="67" t="s">
        <v>12</v>
      </c>
      <c r="M8" s="67" t="s">
        <v>13</v>
      </c>
      <c r="N8" s="94" t="s">
        <v>9</v>
      </c>
      <c r="O8" s="68" t="s">
        <v>11</v>
      </c>
      <c r="P8" s="68" t="s">
        <v>12</v>
      </c>
      <c r="Q8" s="68" t="s">
        <v>13</v>
      </c>
    </row>
    <row r="9" spans="1:17" x14ac:dyDescent="0.25">
      <c r="A9" s="9">
        <v>1</v>
      </c>
      <c r="B9" s="61">
        <f>A9+1</f>
        <v>2</v>
      </c>
      <c r="C9" s="9">
        <f t="shared" ref="C9:Q9" si="0">B9+1</f>
        <v>3</v>
      </c>
      <c r="D9" s="9">
        <f t="shared" si="0"/>
        <v>4</v>
      </c>
      <c r="E9" s="9">
        <f t="shared" si="0"/>
        <v>5</v>
      </c>
      <c r="F9" s="69">
        <f t="shared" si="0"/>
        <v>6</v>
      </c>
      <c r="G9" s="69">
        <f t="shared" si="0"/>
        <v>7</v>
      </c>
      <c r="H9" s="70">
        <f t="shared" si="0"/>
        <v>8</v>
      </c>
      <c r="I9" s="70">
        <f t="shared" si="0"/>
        <v>9</v>
      </c>
      <c r="J9" s="95">
        <f t="shared" si="0"/>
        <v>10</v>
      </c>
      <c r="K9" s="71">
        <f t="shared" si="0"/>
        <v>11</v>
      </c>
      <c r="L9" s="71">
        <f t="shared" si="0"/>
        <v>12</v>
      </c>
      <c r="M9" s="71">
        <f t="shared" si="0"/>
        <v>13</v>
      </c>
      <c r="N9" s="95">
        <f t="shared" si="0"/>
        <v>14</v>
      </c>
      <c r="O9" s="72">
        <f t="shared" si="0"/>
        <v>15</v>
      </c>
      <c r="P9" s="72">
        <f t="shared" si="0"/>
        <v>16</v>
      </c>
      <c r="Q9" s="72">
        <f t="shared" si="0"/>
        <v>17</v>
      </c>
    </row>
    <row r="10" spans="1:17" s="13" customFormat="1" ht="24" x14ac:dyDescent="0.25">
      <c r="A10" s="10">
        <v>1</v>
      </c>
      <c r="B10" s="62" t="s">
        <v>16</v>
      </c>
      <c r="C10" s="1" t="s">
        <v>304</v>
      </c>
      <c r="D10" s="18" t="s">
        <v>315</v>
      </c>
      <c r="E10" s="3" t="s">
        <v>18</v>
      </c>
      <c r="F10" s="73" t="s">
        <v>159</v>
      </c>
      <c r="G10" s="74" t="s">
        <v>112</v>
      </c>
      <c r="H10" s="75"/>
      <c r="I10" s="76"/>
      <c r="J10" s="96"/>
      <c r="K10" s="77"/>
      <c r="L10" s="77"/>
      <c r="M10" s="78">
        <f>K10-L10</f>
        <v>0</v>
      </c>
      <c r="N10" s="100"/>
      <c r="O10" s="77"/>
      <c r="P10" s="77"/>
      <c r="Q10" s="79">
        <f>O10-P10</f>
        <v>0</v>
      </c>
    </row>
    <row r="11" spans="1:17" s="13" customFormat="1" ht="15.75" x14ac:dyDescent="0.25">
      <c r="A11" s="10">
        <v>2</v>
      </c>
      <c r="B11" s="22" t="s">
        <v>16</v>
      </c>
      <c r="C11" s="1" t="s">
        <v>17</v>
      </c>
      <c r="D11" s="2"/>
      <c r="E11" s="3" t="s">
        <v>18</v>
      </c>
      <c r="F11" s="2" t="s">
        <v>241</v>
      </c>
      <c r="G11" s="11" t="s">
        <v>116</v>
      </c>
      <c r="H11" s="1">
        <v>2</v>
      </c>
      <c r="I11" s="49"/>
      <c r="J11" s="46"/>
      <c r="K11" s="31"/>
      <c r="L11" s="31"/>
      <c r="M11" s="38">
        <f t="shared" ref="M11:M83" si="1">K11-L11</f>
        <v>0</v>
      </c>
      <c r="N11" s="41"/>
      <c r="O11" s="31"/>
      <c r="P11" s="31"/>
      <c r="Q11" s="12">
        <f t="shared" ref="Q11:Q76" si="2">O11-P11</f>
        <v>0</v>
      </c>
    </row>
    <row r="12" spans="1:17" s="15" customFormat="1" ht="15.75" x14ac:dyDescent="0.25">
      <c r="A12" s="14">
        <v>2</v>
      </c>
      <c r="B12" s="80" t="s">
        <v>19</v>
      </c>
      <c r="C12" s="1" t="s">
        <v>17</v>
      </c>
      <c r="D12" s="2"/>
      <c r="E12" s="3" t="s">
        <v>20</v>
      </c>
      <c r="F12" s="73" t="s">
        <v>160</v>
      </c>
      <c r="G12" s="74" t="s">
        <v>112</v>
      </c>
      <c r="H12" s="75">
        <v>4</v>
      </c>
      <c r="I12" s="76"/>
      <c r="J12" s="96"/>
      <c r="K12" s="77"/>
      <c r="L12" s="77"/>
      <c r="M12" s="78">
        <f t="shared" si="1"/>
        <v>0</v>
      </c>
      <c r="N12" s="100"/>
      <c r="O12" s="81"/>
      <c r="P12" s="81"/>
      <c r="Q12" s="79">
        <f t="shared" si="2"/>
        <v>0</v>
      </c>
    </row>
    <row r="13" spans="1:17" s="15" customFormat="1" ht="15.75" x14ac:dyDescent="0.25">
      <c r="A13" s="14">
        <v>2</v>
      </c>
      <c r="B13" s="23" t="s">
        <v>19</v>
      </c>
      <c r="C13" s="1" t="s">
        <v>17</v>
      </c>
      <c r="D13" s="2"/>
      <c r="E13" s="3" t="s">
        <v>20</v>
      </c>
      <c r="F13" s="2" t="s">
        <v>264</v>
      </c>
      <c r="G13" s="11" t="s">
        <v>114</v>
      </c>
      <c r="H13" s="1"/>
      <c r="I13" s="49"/>
      <c r="J13" s="51"/>
      <c r="K13" s="40"/>
      <c r="L13" s="40"/>
      <c r="M13" s="38">
        <f t="shared" si="1"/>
        <v>0</v>
      </c>
      <c r="N13" s="42"/>
      <c r="O13" s="31"/>
      <c r="P13" s="31"/>
      <c r="Q13" s="12">
        <f t="shared" si="2"/>
        <v>0</v>
      </c>
    </row>
    <row r="14" spans="1:17" s="15" customFormat="1" ht="15.75" x14ac:dyDescent="0.25">
      <c r="A14" s="14"/>
      <c r="B14" s="62" t="s">
        <v>153</v>
      </c>
      <c r="C14" s="1" t="s">
        <v>17</v>
      </c>
      <c r="D14" s="2"/>
      <c r="E14" s="3" t="s">
        <v>20</v>
      </c>
      <c r="F14" s="73" t="s">
        <v>297</v>
      </c>
      <c r="G14" s="74" t="s">
        <v>112</v>
      </c>
      <c r="H14" s="75"/>
      <c r="I14" s="82"/>
      <c r="J14" s="96"/>
      <c r="K14" s="77"/>
      <c r="L14" s="77"/>
      <c r="M14" s="78">
        <f t="shared" si="1"/>
        <v>0</v>
      </c>
      <c r="N14" s="101"/>
      <c r="O14" s="81"/>
      <c r="P14" s="81"/>
      <c r="Q14" s="79">
        <f t="shared" si="2"/>
        <v>0</v>
      </c>
    </row>
    <row r="15" spans="1:17" s="15" customFormat="1" ht="15.75" x14ac:dyDescent="0.25">
      <c r="A15" s="14"/>
      <c r="B15" s="50" t="s">
        <v>153</v>
      </c>
      <c r="C15" s="1"/>
      <c r="D15" s="2"/>
      <c r="E15" s="3" t="s">
        <v>20</v>
      </c>
      <c r="F15" s="2"/>
      <c r="G15" s="11" t="s">
        <v>114</v>
      </c>
      <c r="H15" s="1"/>
      <c r="I15" s="49"/>
      <c r="J15" s="51"/>
      <c r="K15" s="40"/>
      <c r="L15" s="40"/>
      <c r="M15" s="38">
        <f t="shared" si="1"/>
        <v>0</v>
      </c>
      <c r="N15" s="42"/>
      <c r="O15" s="31"/>
      <c r="P15" s="31"/>
      <c r="Q15" s="12">
        <f t="shared" si="2"/>
        <v>0</v>
      </c>
    </row>
    <row r="16" spans="1:17" s="13" customFormat="1" ht="15.75" x14ac:dyDescent="0.25">
      <c r="A16" s="10">
        <v>3</v>
      </c>
      <c r="B16" s="30" t="s">
        <v>22</v>
      </c>
      <c r="C16" s="1" t="s">
        <v>17</v>
      </c>
      <c r="D16" s="2"/>
      <c r="E16" s="3" t="s">
        <v>23</v>
      </c>
      <c r="F16" s="73" t="s">
        <v>161</v>
      </c>
      <c r="G16" s="74" t="s">
        <v>112</v>
      </c>
      <c r="H16" s="75"/>
      <c r="I16" s="76"/>
      <c r="J16" s="96"/>
      <c r="K16" s="77"/>
      <c r="L16" s="77"/>
      <c r="M16" s="78">
        <f t="shared" si="1"/>
        <v>0</v>
      </c>
      <c r="N16" s="100"/>
      <c r="O16" s="81"/>
      <c r="P16" s="81"/>
      <c r="Q16" s="79">
        <f t="shared" si="2"/>
        <v>0</v>
      </c>
    </row>
    <row r="17" spans="1:17" s="13" customFormat="1" ht="15.75" x14ac:dyDescent="0.25">
      <c r="A17" s="10"/>
      <c r="B17" s="24" t="s">
        <v>154</v>
      </c>
      <c r="C17" s="1" t="s">
        <v>17</v>
      </c>
      <c r="D17" s="2"/>
      <c r="E17" s="3" t="s">
        <v>20</v>
      </c>
      <c r="F17" s="2"/>
      <c r="G17" s="11" t="s">
        <v>114</v>
      </c>
      <c r="H17" s="1">
        <v>1</v>
      </c>
      <c r="I17" s="47"/>
      <c r="J17" s="51"/>
      <c r="K17" s="37"/>
      <c r="L17" s="37"/>
      <c r="M17" s="38">
        <f t="shared" si="1"/>
        <v>0</v>
      </c>
      <c r="N17" s="39"/>
      <c r="O17" s="31"/>
      <c r="P17" s="31"/>
      <c r="Q17" s="12">
        <f t="shared" si="2"/>
        <v>0</v>
      </c>
    </row>
    <row r="18" spans="1:17" s="13" customFormat="1" ht="15.75" x14ac:dyDescent="0.25">
      <c r="A18" s="10"/>
      <c r="B18" s="30" t="s">
        <v>154</v>
      </c>
      <c r="C18" s="1" t="s">
        <v>17</v>
      </c>
      <c r="D18" s="2"/>
      <c r="E18" s="3" t="s">
        <v>20</v>
      </c>
      <c r="F18" s="73" t="s">
        <v>298</v>
      </c>
      <c r="G18" s="74" t="s">
        <v>112</v>
      </c>
      <c r="H18" s="75">
        <v>1</v>
      </c>
      <c r="I18" s="76"/>
      <c r="J18" s="96"/>
      <c r="K18" s="77"/>
      <c r="L18" s="77"/>
      <c r="M18" s="78">
        <f t="shared" si="1"/>
        <v>0</v>
      </c>
      <c r="N18" s="100"/>
      <c r="O18" s="81"/>
      <c r="P18" s="81"/>
      <c r="Q18" s="79">
        <f t="shared" si="2"/>
        <v>0</v>
      </c>
    </row>
    <row r="19" spans="1:17" s="13" customFormat="1" ht="15.75" x14ac:dyDescent="0.25">
      <c r="A19" s="10">
        <v>4</v>
      </c>
      <c r="B19" s="62" t="s">
        <v>24</v>
      </c>
      <c r="C19" s="1" t="s">
        <v>17</v>
      </c>
      <c r="D19" s="2"/>
      <c r="E19" s="3" t="s">
        <v>20</v>
      </c>
      <c r="F19" s="73" t="s">
        <v>162</v>
      </c>
      <c r="G19" s="74" t="s">
        <v>112</v>
      </c>
      <c r="H19" s="75"/>
      <c r="I19" s="76"/>
      <c r="J19" s="96"/>
      <c r="K19" s="77"/>
      <c r="L19" s="77"/>
      <c r="M19" s="38">
        <f t="shared" si="1"/>
        <v>0</v>
      </c>
      <c r="N19" s="100"/>
      <c r="O19" s="81"/>
      <c r="P19" s="81"/>
      <c r="Q19" s="12">
        <f t="shared" si="2"/>
        <v>0</v>
      </c>
    </row>
    <row r="20" spans="1:17" s="13" customFormat="1" ht="15.75" x14ac:dyDescent="0.25">
      <c r="A20" s="10">
        <v>1</v>
      </c>
      <c r="B20" s="22" t="s">
        <v>24</v>
      </c>
      <c r="C20" s="1" t="s">
        <v>17</v>
      </c>
      <c r="D20" s="2"/>
      <c r="E20" s="3" t="s">
        <v>20</v>
      </c>
      <c r="F20" s="2" t="s">
        <v>265</v>
      </c>
      <c r="G20" s="11" t="s">
        <v>114</v>
      </c>
      <c r="H20" s="1">
        <v>1</v>
      </c>
      <c r="I20" s="49"/>
      <c r="J20" s="51"/>
      <c r="K20" s="40"/>
      <c r="L20" s="40"/>
      <c r="M20" s="78">
        <f t="shared" si="1"/>
        <v>0</v>
      </c>
      <c r="N20" s="41"/>
      <c r="O20" s="31"/>
      <c r="P20" s="31"/>
      <c r="Q20" s="79">
        <f t="shared" si="2"/>
        <v>0</v>
      </c>
    </row>
    <row r="21" spans="1:17" s="13" customFormat="1" ht="15.75" x14ac:dyDescent="0.25">
      <c r="A21" s="10">
        <v>5</v>
      </c>
      <c r="B21" s="62" t="s">
        <v>25</v>
      </c>
      <c r="C21" s="1" t="s">
        <v>17</v>
      </c>
      <c r="D21" s="2"/>
      <c r="E21" s="3" t="s">
        <v>20</v>
      </c>
      <c r="F21" s="73" t="s">
        <v>163</v>
      </c>
      <c r="G21" s="74" t="s">
        <v>112</v>
      </c>
      <c r="H21" s="75"/>
      <c r="I21" s="76"/>
      <c r="J21" s="96"/>
      <c r="K21" s="77"/>
      <c r="L21" s="77"/>
      <c r="M21" s="38">
        <f t="shared" si="1"/>
        <v>0</v>
      </c>
      <c r="N21" s="100"/>
      <c r="O21" s="81"/>
      <c r="P21" s="81"/>
      <c r="Q21" s="12">
        <f t="shared" si="2"/>
        <v>0</v>
      </c>
    </row>
    <row r="22" spans="1:17" s="13" customFormat="1" ht="15.75" x14ac:dyDescent="0.25">
      <c r="A22" s="10"/>
      <c r="B22" s="22" t="s">
        <v>25</v>
      </c>
      <c r="C22" s="1" t="s">
        <v>17</v>
      </c>
      <c r="D22" s="2"/>
      <c r="E22" s="3" t="s">
        <v>20</v>
      </c>
      <c r="F22" s="2" t="s">
        <v>266</v>
      </c>
      <c r="G22" s="11" t="s">
        <v>114</v>
      </c>
      <c r="H22" s="1"/>
      <c r="I22" s="49"/>
      <c r="J22" s="51"/>
      <c r="K22" s="40"/>
      <c r="L22" s="40"/>
      <c r="M22" s="78">
        <f t="shared" si="1"/>
        <v>0</v>
      </c>
      <c r="N22" s="41"/>
      <c r="O22" s="31"/>
      <c r="P22" s="31"/>
      <c r="Q22" s="79">
        <f t="shared" si="2"/>
        <v>0</v>
      </c>
    </row>
    <row r="23" spans="1:17" s="13" customFormat="1" ht="15.75" x14ac:dyDescent="0.25">
      <c r="A23" s="10">
        <v>6</v>
      </c>
      <c r="B23" s="62" t="s">
        <v>26</v>
      </c>
      <c r="C23" s="1" t="s">
        <v>17</v>
      </c>
      <c r="D23" s="2"/>
      <c r="E23" s="3" t="s">
        <v>27</v>
      </c>
      <c r="F23" s="73" t="s">
        <v>164</v>
      </c>
      <c r="G23" s="74" t="s">
        <v>112</v>
      </c>
      <c r="H23" s="75"/>
      <c r="I23" s="76"/>
      <c r="J23" s="96"/>
      <c r="K23" s="77"/>
      <c r="L23" s="77"/>
      <c r="M23" s="38">
        <f t="shared" si="1"/>
        <v>0</v>
      </c>
      <c r="N23" s="100"/>
      <c r="O23" s="81"/>
      <c r="P23" s="81"/>
      <c r="Q23" s="12">
        <f t="shared" si="2"/>
        <v>0</v>
      </c>
    </row>
    <row r="24" spans="1:17" s="13" customFormat="1" ht="15.75" x14ac:dyDescent="0.25">
      <c r="A24" s="10"/>
      <c r="B24" s="22" t="s">
        <v>26</v>
      </c>
      <c r="C24" s="1" t="s">
        <v>17</v>
      </c>
      <c r="D24" s="2"/>
      <c r="E24" s="3" t="s">
        <v>27</v>
      </c>
      <c r="F24" s="16" t="s">
        <v>246</v>
      </c>
      <c r="G24" s="11" t="s">
        <v>117</v>
      </c>
      <c r="H24" s="1"/>
      <c r="I24" s="49"/>
      <c r="J24" s="46"/>
      <c r="K24" s="40"/>
      <c r="L24" s="40"/>
      <c r="M24" s="78">
        <f t="shared" si="1"/>
        <v>0</v>
      </c>
      <c r="N24" s="41"/>
      <c r="O24" s="40"/>
      <c r="P24" s="40"/>
      <c r="Q24" s="79">
        <f>O24-P24</f>
        <v>0</v>
      </c>
    </row>
    <row r="25" spans="1:17" s="15" customFormat="1" ht="15.75" x14ac:dyDescent="0.25">
      <c r="A25" s="14">
        <v>7</v>
      </c>
      <c r="B25" s="80" t="s">
        <v>28</v>
      </c>
      <c r="C25" s="1" t="s">
        <v>17</v>
      </c>
      <c r="D25" s="2"/>
      <c r="E25" s="17" t="s">
        <v>29</v>
      </c>
      <c r="F25" s="73" t="s">
        <v>165</v>
      </c>
      <c r="G25" s="74" t="s">
        <v>112</v>
      </c>
      <c r="H25" s="75"/>
      <c r="I25" s="76"/>
      <c r="J25" s="96"/>
      <c r="K25" s="77"/>
      <c r="L25" s="77"/>
      <c r="M25" s="38">
        <f t="shared" si="1"/>
        <v>0</v>
      </c>
      <c r="N25" s="100"/>
      <c r="O25" s="81"/>
      <c r="P25" s="81"/>
      <c r="Q25" s="12">
        <f t="shared" si="2"/>
        <v>0</v>
      </c>
    </row>
    <row r="26" spans="1:17" s="15" customFormat="1" ht="15.75" x14ac:dyDescent="0.25">
      <c r="A26" s="14"/>
      <c r="B26" s="23" t="s">
        <v>28</v>
      </c>
      <c r="C26" s="1" t="s">
        <v>17</v>
      </c>
      <c r="D26" s="2"/>
      <c r="E26" s="17" t="s">
        <v>29</v>
      </c>
      <c r="F26" s="16" t="s">
        <v>247</v>
      </c>
      <c r="G26" s="8" t="s">
        <v>117</v>
      </c>
      <c r="H26" s="1"/>
      <c r="I26" s="48"/>
      <c r="J26" s="45"/>
      <c r="K26" s="40"/>
      <c r="L26" s="40"/>
      <c r="M26" s="78">
        <f t="shared" si="1"/>
        <v>0</v>
      </c>
      <c r="N26" s="42"/>
      <c r="O26" s="31"/>
      <c r="P26" s="31"/>
      <c r="Q26" s="79">
        <f t="shared" si="2"/>
        <v>0</v>
      </c>
    </row>
    <row r="27" spans="1:17" s="13" customFormat="1" ht="15.75" x14ac:dyDescent="0.25">
      <c r="A27" s="10">
        <v>8</v>
      </c>
      <c r="B27" s="27" t="s">
        <v>30</v>
      </c>
      <c r="C27" s="1" t="s">
        <v>17</v>
      </c>
      <c r="D27" s="2"/>
      <c r="E27" s="17" t="s">
        <v>21</v>
      </c>
      <c r="F27" s="73" t="s">
        <v>166</v>
      </c>
      <c r="G27" s="74" t="s">
        <v>112</v>
      </c>
      <c r="H27" s="75">
        <v>2</v>
      </c>
      <c r="I27" s="76"/>
      <c r="J27" s="96"/>
      <c r="K27" s="77"/>
      <c r="L27" s="77"/>
      <c r="M27" s="38">
        <f t="shared" si="1"/>
        <v>0</v>
      </c>
      <c r="N27" s="100"/>
      <c r="O27" s="81"/>
      <c r="P27" s="81"/>
      <c r="Q27" s="12">
        <f t="shared" si="2"/>
        <v>0</v>
      </c>
    </row>
    <row r="28" spans="1:17" s="13" customFormat="1" ht="15.75" x14ac:dyDescent="0.25">
      <c r="A28" s="10">
        <v>9</v>
      </c>
      <c r="B28" s="30" t="s">
        <v>31</v>
      </c>
      <c r="C28" s="1" t="s">
        <v>17</v>
      </c>
      <c r="D28" s="2"/>
      <c r="E28" s="3" t="s">
        <v>32</v>
      </c>
      <c r="F28" s="73" t="s">
        <v>167</v>
      </c>
      <c r="G28" s="74" t="s">
        <v>112</v>
      </c>
      <c r="H28" s="75"/>
      <c r="I28" s="76"/>
      <c r="J28" s="96"/>
      <c r="K28" s="77"/>
      <c r="L28" s="77"/>
      <c r="M28" s="78">
        <f t="shared" si="1"/>
        <v>0</v>
      </c>
      <c r="N28" s="100"/>
      <c r="O28" s="81"/>
      <c r="P28" s="81"/>
      <c r="Q28" s="79">
        <f t="shared" si="2"/>
        <v>0</v>
      </c>
    </row>
    <row r="29" spans="1:17" s="13" customFormat="1" ht="15.75" x14ac:dyDescent="0.25">
      <c r="A29" s="10"/>
      <c r="B29" s="24" t="s">
        <v>31</v>
      </c>
      <c r="C29" s="1" t="s">
        <v>17</v>
      </c>
      <c r="D29" s="2"/>
      <c r="E29" s="3" t="s">
        <v>32</v>
      </c>
      <c r="F29" s="16" t="s">
        <v>248</v>
      </c>
      <c r="G29" s="8" t="s">
        <v>117</v>
      </c>
      <c r="H29" s="1">
        <v>1</v>
      </c>
      <c r="I29" s="49"/>
      <c r="J29" s="46"/>
      <c r="K29" s="40"/>
      <c r="L29" s="40"/>
      <c r="M29" s="38">
        <f t="shared" si="1"/>
        <v>0</v>
      </c>
      <c r="N29" s="41"/>
      <c r="O29" s="40"/>
      <c r="P29" s="40"/>
      <c r="Q29" s="12">
        <f t="shared" si="2"/>
        <v>0</v>
      </c>
    </row>
    <row r="30" spans="1:17" s="15" customFormat="1" ht="15.75" x14ac:dyDescent="0.25">
      <c r="A30" s="14">
        <v>10</v>
      </c>
      <c r="B30" s="80" t="s">
        <v>33</v>
      </c>
      <c r="C30" s="1" t="s">
        <v>17</v>
      </c>
      <c r="D30" s="2"/>
      <c r="E30" s="3" t="s">
        <v>20</v>
      </c>
      <c r="F30" s="73" t="s">
        <v>168</v>
      </c>
      <c r="G30" s="74" t="s">
        <v>112</v>
      </c>
      <c r="H30" s="75"/>
      <c r="I30" s="76"/>
      <c r="J30" s="96"/>
      <c r="K30" s="77"/>
      <c r="L30" s="77"/>
      <c r="M30" s="78">
        <f t="shared" si="1"/>
        <v>0</v>
      </c>
      <c r="N30" s="100"/>
      <c r="O30" s="81"/>
      <c r="P30" s="81"/>
      <c r="Q30" s="79">
        <f t="shared" si="2"/>
        <v>0</v>
      </c>
    </row>
    <row r="31" spans="1:17" s="15" customFormat="1" ht="15.75" x14ac:dyDescent="0.25">
      <c r="A31" s="14"/>
      <c r="B31" s="23" t="s">
        <v>33</v>
      </c>
      <c r="C31" s="1" t="s">
        <v>17</v>
      </c>
      <c r="D31" s="2"/>
      <c r="E31" s="3" t="s">
        <v>20</v>
      </c>
      <c r="F31" s="2" t="s">
        <v>267</v>
      </c>
      <c r="G31" s="11" t="s">
        <v>114</v>
      </c>
      <c r="H31" s="1"/>
      <c r="I31" s="49"/>
      <c r="J31" s="51"/>
      <c r="K31" s="40"/>
      <c r="L31" s="40"/>
      <c r="M31" s="38">
        <f t="shared" si="1"/>
        <v>0</v>
      </c>
      <c r="N31" s="42"/>
      <c r="O31" s="31"/>
      <c r="P31" s="31"/>
      <c r="Q31" s="12">
        <f t="shared" si="2"/>
        <v>0</v>
      </c>
    </row>
    <row r="32" spans="1:17" s="15" customFormat="1" ht="15.75" x14ac:dyDescent="0.25">
      <c r="A32" s="14"/>
      <c r="B32" s="62" t="s">
        <v>147</v>
      </c>
      <c r="C32" s="1" t="s">
        <v>17</v>
      </c>
      <c r="D32" s="2"/>
      <c r="E32" s="3" t="s">
        <v>29</v>
      </c>
      <c r="F32" s="73" t="s">
        <v>299</v>
      </c>
      <c r="G32" s="74" t="s">
        <v>112</v>
      </c>
      <c r="H32" s="75"/>
      <c r="I32" s="102"/>
      <c r="J32" s="97"/>
      <c r="K32" s="77"/>
      <c r="L32" s="77"/>
      <c r="M32" s="78">
        <f t="shared" si="1"/>
        <v>0</v>
      </c>
      <c r="N32" s="101"/>
      <c r="O32" s="81"/>
      <c r="P32" s="81"/>
      <c r="Q32" s="79">
        <f t="shared" si="2"/>
        <v>0</v>
      </c>
    </row>
    <row r="33" spans="1:17" s="15" customFormat="1" ht="15.75" x14ac:dyDescent="0.25">
      <c r="A33" s="14"/>
      <c r="B33" s="50" t="s">
        <v>147</v>
      </c>
      <c r="C33" s="1" t="s">
        <v>17</v>
      </c>
      <c r="D33" s="2"/>
      <c r="E33" s="3" t="s">
        <v>29</v>
      </c>
      <c r="F33" s="2" t="s">
        <v>262</v>
      </c>
      <c r="G33" s="11" t="s">
        <v>117</v>
      </c>
      <c r="H33" s="1"/>
      <c r="I33" s="48"/>
      <c r="J33" s="45"/>
      <c r="K33" s="40"/>
      <c r="L33" s="40"/>
      <c r="M33" s="38">
        <f t="shared" si="1"/>
        <v>0</v>
      </c>
      <c r="N33" s="42"/>
      <c r="O33" s="31"/>
      <c r="P33" s="31"/>
      <c r="Q33" s="12">
        <f t="shared" si="2"/>
        <v>0</v>
      </c>
    </row>
    <row r="34" spans="1:17" s="13" customFormat="1" ht="15.75" x14ac:dyDescent="0.25">
      <c r="A34" s="10">
        <v>11</v>
      </c>
      <c r="B34" s="62" t="s">
        <v>34</v>
      </c>
      <c r="C34" s="1" t="s">
        <v>17</v>
      </c>
      <c r="D34" s="2"/>
      <c r="E34" s="17" t="s">
        <v>35</v>
      </c>
      <c r="F34" s="73" t="s">
        <v>169</v>
      </c>
      <c r="G34" s="74" t="s">
        <v>112</v>
      </c>
      <c r="H34" s="75"/>
      <c r="I34" s="76"/>
      <c r="J34" s="96"/>
      <c r="K34" s="77"/>
      <c r="L34" s="77"/>
      <c r="M34" s="78">
        <f t="shared" si="1"/>
        <v>0</v>
      </c>
      <c r="N34" s="100"/>
      <c r="O34" s="81"/>
      <c r="P34" s="81"/>
      <c r="Q34" s="79">
        <f t="shared" si="2"/>
        <v>0</v>
      </c>
    </row>
    <row r="35" spans="1:17" s="13" customFormat="1" ht="15.75" x14ac:dyDescent="0.25">
      <c r="A35" s="10"/>
      <c r="B35" s="22" t="s">
        <v>34</v>
      </c>
      <c r="C35" s="1" t="s">
        <v>17</v>
      </c>
      <c r="D35" s="2"/>
      <c r="E35" s="17" t="s">
        <v>35</v>
      </c>
      <c r="F35" s="16" t="s">
        <v>263</v>
      </c>
      <c r="G35" s="8" t="s">
        <v>117</v>
      </c>
      <c r="H35" s="1"/>
      <c r="I35" s="49"/>
      <c r="J35" s="46"/>
      <c r="K35" s="40"/>
      <c r="L35" s="40"/>
      <c r="M35" s="38">
        <f t="shared" si="1"/>
        <v>0</v>
      </c>
      <c r="N35" s="41"/>
      <c r="O35" s="31"/>
      <c r="P35" s="31"/>
      <c r="Q35" s="12">
        <f t="shared" si="2"/>
        <v>0</v>
      </c>
    </row>
    <row r="36" spans="1:17" s="13" customFormat="1" ht="15.75" x14ac:dyDescent="0.25">
      <c r="A36" s="10">
        <v>12</v>
      </c>
      <c r="B36" s="27" t="s">
        <v>36</v>
      </c>
      <c r="C36" s="1" t="s">
        <v>17</v>
      </c>
      <c r="D36" s="2"/>
      <c r="E36" s="17" t="s">
        <v>32</v>
      </c>
      <c r="F36" s="73" t="s">
        <v>170</v>
      </c>
      <c r="G36" s="74" t="s">
        <v>112</v>
      </c>
      <c r="H36" s="75"/>
      <c r="I36" s="76"/>
      <c r="J36" s="96"/>
      <c r="K36" s="77"/>
      <c r="L36" s="77"/>
      <c r="M36" s="78">
        <f t="shared" si="1"/>
        <v>0</v>
      </c>
      <c r="N36" s="100"/>
      <c r="O36" s="81"/>
      <c r="P36" s="81"/>
      <c r="Q36" s="79">
        <f t="shared" si="2"/>
        <v>0</v>
      </c>
    </row>
    <row r="37" spans="1:17" s="13" customFormat="1" ht="15.75" x14ac:dyDescent="0.25">
      <c r="A37" s="10">
        <v>13</v>
      </c>
      <c r="B37" s="62" t="s">
        <v>37</v>
      </c>
      <c r="C37" s="1" t="s">
        <v>17</v>
      </c>
      <c r="D37" s="2"/>
      <c r="E37" s="3" t="s">
        <v>21</v>
      </c>
      <c r="F37" s="73" t="s">
        <v>171</v>
      </c>
      <c r="G37" s="74" t="s">
        <v>112</v>
      </c>
      <c r="H37" s="75"/>
      <c r="I37" s="76"/>
      <c r="J37" s="96"/>
      <c r="K37" s="77"/>
      <c r="L37" s="77"/>
      <c r="M37" s="38">
        <f t="shared" si="1"/>
        <v>0</v>
      </c>
      <c r="N37" s="100"/>
      <c r="O37" s="81"/>
      <c r="P37" s="81"/>
      <c r="Q37" s="12">
        <f t="shared" si="2"/>
        <v>0</v>
      </c>
    </row>
    <row r="38" spans="1:17" s="13" customFormat="1" ht="15.75" x14ac:dyDescent="0.25">
      <c r="A38" s="10">
        <v>14</v>
      </c>
      <c r="B38" s="27" t="s">
        <v>38</v>
      </c>
      <c r="C38" s="1" t="s">
        <v>17</v>
      </c>
      <c r="D38" s="2"/>
      <c r="E38" s="3" t="s">
        <v>20</v>
      </c>
      <c r="F38" s="73" t="s">
        <v>172</v>
      </c>
      <c r="G38" s="74" t="s">
        <v>112</v>
      </c>
      <c r="H38" s="75">
        <v>1</v>
      </c>
      <c r="I38" s="76"/>
      <c r="J38" s="96"/>
      <c r="K38" s="77"/>
      <c r="L38" s="77"/>
      <c r="M38" s="78">
        <f t="shared" si="1"/>
        <v>0</v>
      </c>
      <c r="N38" s="100"/>
      <c r="O38" s="81"/>
      <c r="P38" s="81"/>
      <c r="Q38" s="79">
        <f t="shared" si="2"/>
        <v>0</v>
      </c>
    </row>
    <row r="39" spans="1:17" s="13" customFormat="1" ht="15.75" x14ac:dyDescent="0.25">
      <c r="A39" s="10"/>
      <c r="B39" s="25" t="s">
        <v>38</v>
      </c>
      <c r="C39" s="1" t="s">
        <v>17</v>
      </c>
      <c r="D39" s="2"/>
      <c r="E39" s="3" t="s">
        <v>20</v>
      </c>
      <c r="F39" s="2" t="s">
        <v>268</v>
      </c>
      <c r="G39" s="11" t="s">
        <v>114</v>
      </c>
      <c r="H39" s="1"/>
      <c r="I39" s="49"/>
      <c r="J39" s="51"/>
      <c r="K39" s="40"/>
      <c r="L39" s="40"/>
      <c r="M39" s="38">
        <f t="shared" si="1"/>
        <v>0</v>
      </c>
      <c r="N39" s="41"/>
      <c r="O39" s="31"/>
      <c r="P39" s="31"/>
      <c r="Q39" s="12">
        <f t="shared" si="2"/>
        <v>0</v>
      </c>
    </row>
    <row r="40" spans="1:17" s="13" customFormat="1" ht="15.75" x14ac:dyDescent="0.25">
      <c r="A40" s="10">
        <v>15</v>
      </c>
      <c r="B40" s="62" t="s">
        <v>39</v>
      </c>
      <c r="C40" s="1" t="s">
        <v>17</v>
      </c>
      <c r="D40" s="2"/>
      <c r="E40" s="3" t="s">
        <v>20</v>
      </c>
      <c r="F40" s="73" t="s">
        <v>174</v>
      </c>
      <c r="G40" s="74" t="s">
        <v>112</v>
      </c>
      <c r="H40" s="75"/>
      <c r="I40" s="76"/>
      <c r="J40" s="96"/>
      <c r="K40" s="77"/>
      <c r="L40" s="77"/>
      <c r="M40" s="78">
        <f t="shared" si="1"/>
        <v>0</v>
      </c>
      <c r="N40" s="100"/>
      <c r="O40" s="81"/>
      <c r="P40" s="81"/>
      <c r="Q40" s="79">
        <f t="shared" si="2"/>
        <v>0</v>
      </c>
    </row>
    <row r="41" spans="1:17" s="13" customFormat="1" ht="15.75" x14ac:dyDescent="0.25">
      <c r="A41" s="10"/>
      <c r="B41" s="22" t="s">
        <v>39</v>
      </c>
      <c r="C41" s="1" t="s">
        <v>17</v>
      </c>
      <c r="D41" s="2"/>
      <c r="E41" s="3" t="s">
        <v>20</v>
      </c>
      <c r="F41" s="2" t="s">
        <v>269</v>
      </c>
      <c r="G41" s="11" t="s">
        <v>114</v>
      </c>
      <c r="H41" s="1"/>
      <c r="I41" s="49"/>
      <c r="J41" s="51"/>
      <c r="K41" s="40"/>
      <c r="L41" s="40"/>
      <c r="M41" s="38">
        <f t="shared" si="1"/>
        <v>0</v>
      </c>
      <c r="N41" s="41"/>
      <c r="O41" s="31"/>
      <c r="P41" s="31"/>
      <c r="Q41" s="12">
        <f t="shared" si="2"/>
        <v>0</v>
      </c>
    </row>
    <row r="42" spans="1:17" s="13" customFormat="1" ht="15.75" x14ac:dyDescent="0.25">
      <c r="A42" s="10">
        <v>16</v>
      </c>
      <c r="B42" s="27" t="s">
        <v>40</v>
      </c>
      <c r="C42" s="1" t="s">
        <v>17</v>
      </c>
      <c r="D42" s="2"/>
      <c r="E42" s="17" t="s">
        <v>41</v>
      </c>
      <c r="F42" s="73" t="s">
        <v>175</v>
      </c>
      <c r="G42" s="74" t="s">
        <v>112</v>
      </c>
      <c r="H42" s="75">
        <v>1</v>
      </c>
      <c r="I42" s="76"/>
      <c r="J42" s="96"/>
      <c r="K42" s="77"/>
      <c r="L42" s="77"/>
      <c r="M42" s="78">
        <f t="shared" si="1"/>
        <v>0</v>
      </c>
      <c r="N42" s="100"/>
      <c r="O42" s="81"/>
      <c r="P42" s="81"/>
      <c r="Q42" s="79">
        <f t="shared" si="2"/>
        <v>0</v>
      </c>
    </row>
    <row r="43" spans="1:17" s="13" customFormat="1" ht="15.75" x14ac:dyDescent="0.25">
      <c r="A43" s="10"/>
      <c r="B43" s="25" t="s">
        <v>40</v>
      </c>
      <c r="C43" s="1" t="s">
        <v>17</v>
      </c>
      <c r="D43" s="2"/>
      <c r="E43" s="17" t="s">
        <v>41</v>
      </c>
      <c r="F43" s="2" t="s">
        <v>270</v>
      </c>
      <c r="G43" s="11" t="s">
        <v>114</v>
      </c>
      <c r="H43" s="1"/>
      <c r="I43" s="49"/>
      <c r="J43" s="51"/>
      <c r="K43" s="40"/>
      <c r="L43" s="40"/>
      <c r="M43" s="38">
        <f t="shared" si="1"/>
        <v>0</v>
      </c>
      <c r="N43" s="41"/>
      <c r="O43" s="31"/>
      <c r="P43" s="31"/>
      <c r="Q43" s="12">
        <f t="shared" si="2"/>
        <v>0</v>
      </c>
    </row>
    <row r="44" spans="1:17" s="13" customFormat="1" ht="15.75" x14ac:dyDescent="0.25">
      <c r="A44" s="10"/>
      <c r="B44" s="27" t="s">
        <v>148</v>
      </c>
      <c r="C44" s="1" t="s">
        <v>17</v>
      </c>
      <c r="D44" s="2"/>
      <c r="E44" s="3" t="s">
        <v>20</v>
      </c>
      <c r="F44" s="73" t="s">
        <v>303</v>
      </c>
      <c r="G44" s="74" t="s">
        <v>112</v>
      </c>
      <c r="H44" s="75"/>
      <c r="I44" s="82"/>
      <c r="J44" s="96"/>
      <c r="K44" s="77"/>
      <c r="L44" s="77"/>
      <c r="M44" s="78">
        <f t="shared" si="1"/>
        <v>0</v>
      </c>
      <c r="N44" s="100"/>
      <c r="O44" s="81"/>
      <c r="P44" s="81"/>
      <c r="Q44" s="79">
        <f t="shared" si="2"/>
        <v>0</v>
      </c>
    </row>
    <row r="45" spans="1:17" s="13" customFormat="1" ht="15.75" x14ac:dyDescent="0.25">
      <c r="A45" s="10"/>
      <c r="B45" s="25" t="s">
        <v>148</v>
      </c>
      <c r="C45" s="1" t="s">
        <v>17</v>
      </c>
      <c r="D45" s="2"/>
      <c r="E45" s="17" t="s">
        <v>32</v>
      </c>
      <c r="F45" s="2" t="s">
        <v>261</v>
      </c>
      <c r="G45" s="11" t="s">
        <v>117</v>
      </c>
      <c r="H45" s="1"/>
      <c r="I45" s="49"/>
      <c r="J45" s="46"/>
      <c r="K45" s="40"/>
      <c r="L45" s="40"/>
      <c r="M45" s="38">
        <f t="shared" si="1"/>
        <v>0</v>
      </c>
      <c r="N45" s="41"/>
      <c r="O45" s="31"/>
      <c r="P45" s="31"/>
      <c r="Q45" s="12">
        <f t="shared" si="2"/>
        <v>0</v>
      </c>
    </row>
    <row r="46" spans="1:17" s="13" customFormat="1" ht="15.75" x14ac:dyDescent="0.25">
      <c r="A46" s="10">
        <v>17</v>
      </c>
      <c r="B46" s="30" t="s">
        <v>42</v>
      </c>
      <c r="C46" s="1" t="s">
        <v>17</v>
      </c>
      <c r="D46" s="2"/>
      <c r="E46" s="3" t="s">
        <v>23</v>
      </c>
      <c r="F46" s="73" t="s">
        <v>176</v>
      </c>
      <c r="G46" s="74" t="s">
        <v>112</v>
      </c>
      <c r="H46" s="75"/>
      <c r="I46" s="76"/>
      <c r="J46" s="96"/>
      <c r="K46" s="77"/>
      <c r="L46" s="77"/>
      <c r="M46" s="78">
        <f t="shared" si="1"/>
        <v>0</v>
      </c>
      <c r="N46" s="100"/>
      <c r="O46" s="81"/>
      <c r="P46" s="81"/>
      <c r="Q46" s="79">
        <f t="shared" si="2"/>
        <v>0</v>
      </c>
    </row>
    <row r="47" spans="1:17" s="13" customFormat="1" ht="15.75" x14ac:dyDescent="0.25">
      <c r="A47" s="10"/>
      <c r="B47" s="24" t="s">
        <v>42</v>
      </c>
      <c r="C47" s="1" t="s">
        <v>17</v>
      </c>
      <c r="D47" s="2"/>
      <c r="E47" s="3" t="s">
        <v>23</v>
      </c>
      <c r="F47" s="2" t="s">
        <v>234</v>
      </c>
      <c r="G47" s="11" t="s">
        <v>118</v>
      </c>
      <c r="H47" s="1"/>
      <c r="I47" s="49"/>
      <c r="J47" s="46"/>
      <c r="K47" s="40"/>
      <c r="L47" s="40"/>
      <c r="M47" s="38">
        <f t="shared" si="1"/>
        <v>0</v>
      </c>
      <c r="N47" s="41"/>
      <c r="O47" s="31"/>
      <c r="P47" s="31"/>
      <c r="Q47" s="12">
        <f t="shared" si="2"/>
        <v>0</v>
      </c>
    </row>
    <row r="48" spans="1:17" s="13" customFormat="1" ht="15.75" x14ac:dyDescent="0.25">
      <c r="A48" s="10"/>
      <c r="B48" s="30" t="s">
        <v>173</v>
      </c>
      <c r="C48" s="1" t="s">
        <v>17</v>
      </c>
      <c r="D48" s="2"/>
      <c r="E48" s="11" t="s">
        <v>118</v>
      </c>
      <c r="F48" s="73" t="s">
        <v>177</v>
      </c>
      <c r="G48" s="74" t="s">
        <v>112</v>
      </c>
      <c r="H48" s="75"/>
      <c r="I48" s="76"/>
      <c r="J48" s="96"/>
      <c r="K48" s="77"/>
      <c r="L48" s="77"/>
      <c r="M48" s="78">
        <f t="shared" si="1"/>
        <v>0</v>
      </c>
      <c r="N48" s="100"/>
      <c r="O48" s="81"/>
      <c r="P48" s="81"/>
      <c r="Q48" s="79">
        <f t="shared" si="2"/>
        <v>0</v>
      </c>
    </row>
    <row r="49" spans="1:17" s="13" customFormat="1" ht="15.75" x14ac:dyDescent="0.25">
      <c r="A49" s="10">
        <v>91</v>
      </c>
      <c r="B49" s="62" t="s">
        <v>108</v>
      </c>
      <c r="C49" s="1" t="s">
        <v>17</v>
      </c>
      <c r="D49" s="2"/>
      <c r="E49" s="17" t="s">
        <v>74</v>
      </c>
      <c r="F49" s="73" t="s">
        <v>111</v>
      </c>
      <c r="G49" s="74" t="s">
        <v>112</v>
      </c>
      <c r="H49" s="75"/>
      <c r="I49" s="76"/>
      <c r="J49" s="96"/>
      <c r="K49" s="77"/>
      <c r="L49" s="77"/>
      <c r="M49" s="38">
        <f t="shared" si="1"/>
        <v>0</v>
      </c>
      <c r="N49" s="100"/>
      <c r="O49" s="81"/>
      <c r="P49" s="81"/>
      <c r="Q49" s="12">
        <f t="shared" si="2"/>
        <v>0</v>
      </c>
    </row>
    <row r="50" spans="1:17" s="13" customFormat="1" ht="15.75" x14ac:dyDescent="0.25">
      <c r="A50" s="10"/>
      <c r="B50" s="22" t="s">
        <v>143</v>
      </c>
      <c r="C50" s="1" t="s">
        <v>17</v>
      </c>
      <c r="D50" s="2"/>
      <c r="E50" s="3" t="s">
        <v>20</v>
      </c>
      <c r="F50" s="2" t="s">
        <v>274</v>
      </c>
      <c r="G50" s="11" t="s">
        <v>114</v>
      </c>
      <c r="H50" s="1"/>
      <c r="I50" s="47"/>
      <c r="J50" s="51"/>
      <c r="K50" s="37"/>
      <c r="L50" s="37"/>
      <c r="M50" s="78">
        <f t="shared" si="1"/>
        <v>0</v>
      </c>
      <c r="N50" s="39"/>
      <c r="O50" s="31"/>
      <c r="P50" s="31"/>
      <c r="Q50" s="79">
        <f t="shared" si="2"/>
        <v>0</v>
      </c>
    </row>
    <row r="51" spans="1:17" s="13" customFormat="1" ht="15.75" x14ac:dyDescent="0.25">
      <c r="A51" s="10"/>
      <c r="B51" s="24" t="s">
        <v>158</v>
      </c>
      <c r="C51" s="1" t="s">
        <v>17</v>
      </c>
      <c r="D51" s="2"/>
      <c r="E51" s="17" t="s">
        <v>32</v>
      </c>
      <c r="F51" s="2" t="s">
        <v>260</v>
      </c>
      <c r="G51" s="11" t="s">
        <v>117</v>
      </c>
      <c r="H51" s="1">
        <v>2</v>
      </c>
      <c r="I51" s="47"/>
      <c r="J51" s="51"/>
      <c r="K51" s="37"/>
      <c r="L51" s="37"/>
      <c r="M51" s="38">
        <f t="shared" si="1"/>
        <v>0</v>
      </c>
      <c r="N51" s="39"/>
      <c r="O51" s="31"/>
      <c r="P51" s="31"/>
      <c r="Q51" s="12">
        <f t="shared" si="2"/>
        <v>0</v>
      </c>
    </row>
    <row r="52" spans="1:17" s="15" customFormat="1" ht="15.75" x14ac:dyDescent="0.25">
      <c r="A52" s="14">
        <v>19</v>
      </c>
      <c r="B52" s="80" t="s">
        <v>43</v>
      </c>
      <c r="C52" s="1" t="s">
        <v>17</v>
      </c>
      <c r="D52" s="2"/>
      <c r="E52" s="3" t="s">
        <v>18</v>
      </c>
      <c r="F52" s="73" t="s">
        <v>178</v>
      </c>
      <c r="G52" s="74" t="s">
        <v>112</v>
      </c>
      <c r="H52" s="75">
        <v>1</v>
      </c>
      <c r="I52" s="76"/>
      <c r="J52" s="96"/>
      <c r="K52" s="77"/>
      <c r="L52" s="77"/>
      <c r="M52" s="78">
        <f t="shared" si="1"/>
        <v>0</v>
      </c>
      <c r="N52" s="100"/>
      <c r="O52" s="81"/>
      <c r="P52" s="81"/>
      <c r="Q52" s="79">
        <f t="shared" si="2"/>
        <v>0</v>
      </c>
    </row>
    <row r="53" spans="1:17" s="15" customFormat="1" ht="15.75" x14ac:dyDescent="0.25">
      <c r="A53" s="14"/>
      <c r="B53" s="22" t="s">
        <v>43</v>
      </c>
      <c r="C53" s="1" t="s">
        <v>17</v>
      </c>
      <c r="D53" s="2"/>
      <c r="E53" s="3" t="s">
        <v>18</v>
      </c>
      <c r="F53" s="2" t="s">
        <v>242</v>
      </c>
      <c r="G53" s="11" t="s">
        <v>113</v>
      </c>
      <c r="H53" s="1"/>
      <c r="I53" s="48"/>
      <c r="J53" s="45"/>
      <c r="K53" s="40"/>
      <c r="L53" s="40"/>
      <c r="M53" s="38">
        <f t="shared" si="1"/>
        <v>0</v>
      </c>
      <c r="N53" s="39"/>
      <c r="O53" s="31"/>
      <c r="P53" s="31"/>
      <c r="Q53" s="12">
        <f t="shared" si="2"/>
        <v>0</v>
      </c>
    </row>
    <row r="54" spans="1:17" s="13" customFormat="1" ht="15.75" x14ac:dyDescent="0.25">
      <c r="A54" s="10">
        <v>20</v>
      </c>
      <c r="B54" s="30" t="s">
        <v>44</v>
      </c>
      <c r="C54" s="1" t="s">
        <v>17</v>
      </c>
      <c r="D54" s="2"/>
      <c r="E54" s="3" t="s">
        <v>20</v>
      </c>
      <c r="F54" s="73" t="s">
        <v>179</v>
      </c>
      <c r="G54" s="74" t="s">
        <v>112</v>
      </c>
      <c r="H54" s="75"/>
      <c r="I54" s="76"/>
      <c r="J54" s="96"/>
      <c r="K54" s="77"/>
      <c r="L54" s="77"/>
      <c r="M54" s="78">
        <f t="shared" si="1"/>
        <v>0</v>
      </c>
      <c r="N54" s="100"/>
      <c r="O54" s="81"/>
      <c r="P54" s="81"/>
      <c r="Q54" s="79">
        <f t="shared" si="2"/>
        <v>0</v>
      </c>
    </row>
    <row r="55" spans="1:17" s="13" customFormat="1" ht="15.75" x14ac:dyDescent="0.25">
      <c r="A55" s="10"/>
      <c r="B55" s="24" t="s">
        <v>44</v>
      </c>
      <c r="C55" s="1" t="s">
        <v>17</v>
      </c>
      <c r="D55" s="2"/>
      <c r="E55" s="3" t="s">
        <v>20</v>
      </c>
      <c r="F55" s="2" t="s">
        <v>271</v>
      </c>
      <c r="G55" s="11" t="s">
        <v>114</v>
      </c>
      <c r="H55" s="1"/>
      <c r="I55" s="49"/>
      <c r="J55" s="51"/>
      <c r="K55" s="40"/>
      <c r="L55" s="40"/>
      <c r="M55" s="78">
        <f t="shared" si="1"/>
        <v>0</v>
      </c>
      <c r="N55" s="41"/>
      <c r="O55" s="31"/>
      <c r="P55" s="31"/>
      <c r="Q55" s="12">
        <f t="shared" si="2"/>
        <v>0</v>
      </c>
    </row>
    <row r="56" spans="1:17" s="13" customFormat="1" ht="15.75" x14ac:dyDescent="0.25">
      <c r="A56" s="10">
        <v>21</v>
      </c>
      <c r="B56" s="27" t="s">
        <v>45</v>
      </c>
      <c r="C56" s="1" t="s">
        <v>17</v>
      </c>
      <c r="D56" s="2"/>
      <c r="E56" s="3" t="s">
        <v>20</v>
      </c>
      <c r="F56" s="73" t="s">
        <v>180</v>
      </c>
      <c r="G56" s="74" t="s">
        <v>112</v>
      </c>
      <c r="H56" s="75"/>
      <c r="I56" s="76"/>
      <c r="J56" s="96"/>
      <c r="K56" s="77"/>
      <c r="L56" s="77"/>
      <c r="M56" s="38">
        <f t="shared" si="1"/>
        <v>0</v>
      </c>
      <c r="N56" s="100"/>
      <c r="O56" s="81"/>
      <c r="P56" s="81"/>
      <c r="Q56" s="79">
        <f t="shared" si="2"/>
        <v>0</v>
      </c>
    </row>
    <row r="57" spans="1:17" s="13" customFormat="1" ht="15.75" x14ac:dyDescent="0.25">
      <c r="A57" s="10"/>
      <c r="B57" s="25" t="s">
        <v>45</v>
      </c>
      <c r="C57" s="1" t="s">
        <v>17</v>
      </c>
      <c r="D57" s="2"/>
      <c r="E57" s="3" t="s">
        <v>20</v>
      </c>
      <c r="F57" s="2" t="s">
        <v>272</v>
      </c>
      <c r="G57" s="11" t="s">
        <v>114</v>
      </c>
      <c r="H57" s="1"/>
      <c r="I57" s="49"/>
      <c r="J57" s="51"/>
      <c r="K57" s="40"/>
      <c r="L57" s="40"/>
      <c r="M57" s="78">
        <f t="shared" si="1"/>
        <v>0</v>
      </c>
      <c r="N57" s="41"/>
      <c r="O57" s="31"/>
      <c r="P57" s="31"/>
      <c r="Q57" s="12">
        <f t="shared" si="2"/>
        <v>0</v>
      </c>
    </row>
    <row r="58" spans="1:17" s="15" customFormat="1" ht="15.75" x14ac:dyDescent="0.25">
      <c r="A58" s="14">
        <v>22</v>
      </c>
      <c r="B58" s="28" t="s">
        <v>46</v>
      </c>
      <c r="C58" s="1" t="s">
        <v>17</v>
      </c>
      <c r="D58" s="2"/>
      <c r="E58" s="3" t="s">
        <v>20</v>
      </c>
      <c r="F58" s="73" t="s">
        <v>181</v>
      </c>
      <c r="G58" s="74" t="s">
        <v>112</v>
      </c>
      <c r="H58" s="75"/>
      <c r="I58" s="76"/>
      <c r="J58" s="96"/>
      <c r="K58" s="77"/>
      <c r="L58" s="77"/>
      <c r="M58" s="38">
        <f t="shared" si="1"/>
        <v>0</v>
      </c>
      <c r="N58" s="100"/>
      <c r="O58" s="81"/>
      <c r="P58" s="81"/>
      <c r="Q58" s="79">
        <f t="shared" si="2"/>
        <v>0</v>
      </c>
    </row>
    <row r="59" spans="1:17" s="15" customFormat="1" ht="15.75" x14ac:dyDescent="0.25">
      <c r="A59" s="14"/>
      <c r="B59" s="26" t="s">
        <v>46</v>
      </c>
      <c r="C59" s="1" t="s">
        <v>17</v>
      </c>
      <c r="D59" s="2"/>
      <c r="E59" s="3" t="s">
        <v>20</v>
      </c>
      <c r="F59" s="2" t="s">
        <v>273</v>
      </c>
      <c r="G59" s="11" t="s">
        <v>114</v>
      </c>
      <c r="H59" s="1"/>
      <c r="I59" s="49"/>
      <c r="J59" s="51"/>
      <c r="K59" s="40"/>
      <c r="L59" s="40"/>
      <c r="M59" s="78">
        <f t="shared" si="1"/>
        <v>0</v>
      </c>
      <c r="N59" s="42"/>
      <c r="O59" s="31"/>
      <c r="P59" s="31"/>
      <c r="Q59" s="12">
        <f t="shared" si="2"/>
        <v>0</v>
      </c>
    </row>
    <row r="60" spans="1:17" s="13" customFormat="1" ht="15.75" x14ac:dyDescent="0.25">
      <c r="A60" s="10">
        <v>23</v>
      </c>
      <c r="B60" s="30" t="s">
        <v>47</v>
      </c>
      <c r="C60" s="1" t="s">
        <v>17</v>
      </c>
      <c r="D60" s="2"/>
      <c r="E60" s="3" t="s">
        <v>18</v>
      </c>
      <c r="F60" s="73" t="s">
        <v>182</v>
      </c>
      <c r="G60" s="74" t="s">
        <v>112</v>
      </c>
      <c r="H60" s="75"/>
      <c r="I60" s="76"/>
      <c r="J60" s="96"/>
      <c r="K60" s="77"/>
      <c r="L60" s="77"/>
      <c r="M60" s="38">
        <f t="shared" si="1"/>
        <v>0</v>
      </c>
      <c r="N60" s="100"/>
      <c r="O60" s="81"/>
      <c r="P60" s="81"/>
      <c r="Q60" s="79">
        <f t="shared" si="2"/>
        <v>0</v>
      </c>
    </row>
    <row r="61" spans="1:17" s="13" customFormat="1" ht="15.75" x14ac:dyDescent="0.25">
      <c r="A61" s="10"/>
      <c r="B61" s="22" t="s">
        <v>120</v>
      </c>
      <c r="C61" s="1" t="s">
        <v>17</v>
      </c>
      <c r="D61" s="2"/>
      <c r="E61" s="3" t="s">
        <v>18</v>
      </c>
      <c r="F61" s="2" t="s">
        <v>243</v>
      </c>
      <c r="G61" s="11" t="s">
        <v>116</v>
      </c>
      <c r="H61" s="1">
        <v>4</v>
      </c>
      <c r="I61" s="49"/>
      <c r="J61" s="46"/>
      <c r="K61" s="40"/>
      <c r="L61" s="40"/>
      <c r="M61" s="78">
        <f t="shared" si="1"/>
        <v>0</v>
      </c>
      <c r="N61" s="41"/>
      <c r="O61" s="31"/>
      <c r="P61" s="31"/>
      <c r="Q61" s="12">
        <f t="shared" si="2"/>
        <v>0</v>
      </c>
    </row>
    <row r="62" spans="1:17" s="13" customFormat="1" ht="15.75" x14ac:dyDescent="0.25">
      <c r="A62" s="10">
        <v>68</v>
      </c>
      <c r="B62" s="30" t="s">
        <v>134</v>
      </c>
      <c r="C62" s="1" t="s">
        <v>17</v>
      </c>
      <c r="D62" s="2"/>
      <c r="E62" s="3" t="s">
        <v>20</v>
      </c>
      <c r="F62" s="73" t="s">
        <v>183</v>
      </c>
      <c r="G62" s="74" t="s">
        <v>112</v>
      </c>
      <c r="H62" s="75">
        <v>1</v>
      </c>
      <c r="I62" s="76"/>
      <c r="J62" s="96"/>
      <c r="K62" s="77"/>
      <c r="L62" s="77"/>
      <c r="M62" s="38">
        <f t="shared" si="1"/>
        <v>0</v>
      </c>
      <c r="N62" s="100"/>
      <c r="O62" s="81"/>
      <c r="P62" s="81"/>
      <c r="Q62" s="79">
        <f t="shared" si="2"/>
        <v>0</v>
      </c>
    </row>
    <row r="63" spans="1:17" s="13" customFormat="1" ht="15.75" x14ac:dyDescent="0.25">
      <c r="A63" s="10"/>
      <c r="B63" s="24" t="s">
        <v>134</v>
      </c>
      <c r="C63" s="1" t="s">
        <v>17</v>
      </c>
      <c r="D63" s="2"/>
      <c r="E63" s="3" t="s">
        <v>20</v>
      </c>
      <c r="F63" s="2" t="s">
        <v>275</v>
      </c>
      <c r="G63" s="11" t="s">
        <v>114</v>
      </c>
      <c r="H63" s="1"/>
      <c r="I63" s="49"/>
      <c r="J63" s="51"/>
      <c r="K63" s="40"/>
      <c r="L63" s="40"/>
      <c r="M63" s="78">
        <f t="shared" si="1"/>
        <v>0</v>
      </c>
      <c r="N63" s="41"/>
      <c r="O63" s="31"/>
      <c r="P63" s="31"/>
      <c r="Q63" s="12">
        <f t="shared" si="2"/>
        <v>0</v>
      </c>
    </row>
    <row r="64" spans="1:17" s="13" customFormat="1" ht="15.75" x14ac:dyDescent="0.25">
      <c r="A64" s="10">
        <v>24</v>
      </c>
      <c r="B64" s="62" t="s">
        <v>48</v>
      </c>
      <c r="C64" s="1" t="s">
        <v>17</v>
      </c>
      <c r="D64" s="2"/>
      <c r="E64" s="3" t="s">
        <v>20</v>
      </c>
      <c r="F64" s="73" t="s">
        <v>184</v>
      </c>
      <c r="G64" s="74" t="s">
        <v>112</v>
      </c>
      <c r="H64" s="75"/>
      <c r="I64" s="76"/>
      <c r="J64" s="96"/>
      <c r="K64" s="77"/>
      <c r="L64" s="77"/>
      <c r="M64" s="38">
        <f t="shared" si="1"/>
        <v>0</v>
      </c>
      <c r="N64" s="100"/>
      <c r="O64" s="81"/>
      <c r="P64" s="81"/>
      <c r="Q64" s="79">
        <f t="shared" si="2"/>
        <v>0</v>
      </c>
    </row>
    <row r="65" spans="1:17" s="13" customFormat="1" ht="15.75" x14ac:dyDescent="0.25">
      <c r="A65" s="10">
        <v>25</v>
      </c>
      <c r="B65" s="62" t="s">
        <v>49</v>
      </c>
      <c r="C65" s="1" t="s">
        <v>17</v>
      </c>
      <c r="D65" s="2"/>
      <c r="E65" s="3" t="s">
        <v>50</v>
      </c>
      <c r="F65" s="73" t="s">
        <v>185</v>
      </c>
      <c r="G65" s="74" t="s">
        <v>112</v>
      </c>
      <c r="H65" s="75"/>
      <c r="I65" s="76"/>
      <c r="J65" s="96"/>
      <c r="K65" s="77"/>
      <c r="L65" s="77"/>
      <c r="M65" s="78">
        <f t="shared" si="1"/>
        <v>0</v>
      </c>
      <c r="N65" s="100"/>
      <c r="O65" s="81"/>
      <c r="P65" s="81"/>
      <c r="Q65" s="12">
        <f t="shared" si="2"/>
        <v>0</v>
      </c>
    </row>
    <row r="66" spans="1:17" s="13" customFormat="1" ht="15.75" x14ac:dyDescent="0.25">
      <c r="A66" s="10"/>
      <c r="B66" s="22" t="s">
        <v>49</v>
      </c>
      <c r="C66" s="1" t="s">
        <v>17</v>
      </c>
      <c r="D66" s="2"/>
      <c r="E66" s="3" t="s">
        <v>50</v>
      </c>
      <c r="F66" s="16" t="s">
        <v>249</v>
      </c>
      <c r="G66" s="11" t="s">
        <v>115</v>
      </c>
      <c r="H66" s="1"/>
      <c r="I66" s="49"/>
      <c r="J66" s="46"/>
      <c r="K66" s="40"/>
      <c r="L66" s="40"/>
      <c r="M66" s="38">
        <f t="shared" si="1"/>
        <v>0</v>
      </c>
      <c r="N66" s="41"/>
      <c r="O66" s="31"/>
      <c r="P66" s="31"/>
      <c r="Q66" s="79">
        <f t="shared" si="2"/>
        <v>0</v>
      </c>
    </row>
    <row r="67" spans="1:17" s="13" customFormat="1" ht="15.75" x14ac:dyDescent="0.25">
      <c r="A67" s="10">
        <v>26</v>
      </c>
      <c r="B67" s="27" t="s">
        <v>51</v>
      </c>
      <c r="C67" s="1" t="s">
        <v>17</v>
      </c>
      <c r="D67" s="2"/>
      <c r="E67" s="3" t="s">
        <v>20</v>
      </c>
      <c r="F67" s="73" t="s">
        <v>186</v>
      </c>
      <c r="G67" s="74" t="s">
        <v>112</v>
      </c>
      <c r="H67" s="75"/>
      <c r="I67" s="76"/>
      <c r="J67" s="96"/>
      <c r="K67" s="77"/>
      <c r="L67" s="77"/>
      <c r="M67" s="78">
        <f t="shared" si="1"/>
        <v>0</v>
      </c>
      <c r="N67" s="100"/>
      <c r="O67" s="81"/>
      <c r="P67" s="81"/>
      <c r="Q67" s="12">
        <f t="shared" si="2"/>
        <v>0</v>
      </c>
    </row>
    <row r="68" spans="1:17" s="13" customFormat="1" ht="15.75" x14ac:dyDescent="0.25">
      <c r="A68" s="10"/>
      <c r="B68" s="27" t="s">
        <v>51</v>
      </c>
      <c r="C68" s="1" t="s">
        <v>17</v>
      </c>
      <c r="D68" s="2"/>
      <c r="E68" s="3" t="s">
        <v>20</v>
      </c>
      <c r="F68" s="2" t="s">
        <v>276</v>
      </c>
      <c r="G68" s="11" t="s">
        <v>114</v>
      </c>
      <c r="H68" s="1"/>
      <c r="I68" s="49"/>
      <c r="J68" s="51"/>
      <c r="K68" s="40"/>
      <c r="L68" s="40"/>
      <c r="M68" s="38">
        <f t="shared" si="1"/>
        <v>0</v>
      </c>
      <c r="N68" s="41"/>
      <c r="O68" s="31"/>
      <c r="P68" s="31"/>
      <c r="Q68" s="79">
        <f t="shared" si="2"/>
        <v>0</v>
      </c>
    </row>
    <row r="69" spans="1:17" s="13" customFormat="1" ht="15.75" x14ac:dyDescent="0.25">
      <c r="A69" s="10">
        <v>27</v>
      </c>
      <c r="B69" s="62" t="s">
        <v>52</v>
      </c>
      <c r="C69" s="1" t="s">
        <v>17</v>
      </c>
      <c r="D69" s="2"/>
      <c r="E69" s="3" t="s">
        <v>20</v>
      </c>
      <c r="F69" s="73" t="s">
        <v>139</v>
      </c>
      <c r="G69" s="74" t="s">
        <v>112</v>
      </c>
      <c r="H69" s="75"/>
      <c r="I69" s="76"/>
      <c r="J69" s="96"/>
      <c r="K69" s="77"/>
      <c r="L69" s="77"/>
      <c r="M69" s="78">
        <f t="shared" si="1"/>
        <v>0</v>
      </c>
      <c r="N69" s="100"/>
      <c r="O69" s="81"/>
      <c r="P69" s="81"/>
      <c r="Q69" s="12">
        <f t="shared" si="2"/>
        <v>0</v>
      </c>
    </row>
    <row r="70" spans="1:17" s="13" customFormat="1" ht="15.75" x14ac:dyDescent="0.25">
      <c r="A70" s="10"/>
      <c r="B70" s="22" t="s">
        <v>52</v>
      </c>
      <c r="C70" s="1" t="s">
        <v>17</v>
      </c>
      <c r="D70" s="2"/>
      <c r="E70" s="3" t="s">
        <v>20</v>
      </c>
      <c r="F70" s="2" t="s">
        <v>277</v>
      </c>
      <c r="G70" s="11" t="s">
        <v>114</v>
      </c>
      <c r="H70" s="1">
        <v>1</v>
      </c>
      <c r="I70" s="49"/>
      <c r="J70" s="51"/>
      <c r="K70" s="40"/>
      <c r="L70" s="40"/>
      <c r="M70" s="38">
        <f t="shared" si="1"/>
        <v>0</v>
      </c>
      <c r="N70" s="41"/>
      <c r="O70" s="31"/>
      <c r="P70" s="31"/>
      <c r="Q70" s="79">
        <f t="shared" si="2"/>
        <v>0</v>
      </c>
    </row>
    <row r="71" spans="1:17" s="13" customFormat="1" ht="15.75" x14ac:dyDescent="0.25">
      <c r="A71" s="10">
        <v>28</v>
      </c>
      <c r="B71" s="27" t="s">
        <v>53</v>
      </c>
      <c r="C71" s="1" t="s">
        <v>17</v>
      </c>
      <c r="D71" s="2"/>
      <c r="E71" s="3" t="s">
        <v>20</v>
      </c>
      <c r="F71" s="73" t="s">
        <v>187</v>
      </c>
      <c r="G71" s="74" t="s">
        <v>112</v>
      </c>
      <c r="H71" s="75"/>
      <c r="I71" s="76"/>
      <c r="J71" s="96"/>
      <c r="K71" s="77"/>
      <c r="L71" s="77"/>
      <c r="M71" s="78">
        <f>K71-L71</f>
        <v>0</v>
      </c>
      <c r="N71" s="100"/>
      <c r="O71" s="81"/>
      <c r="P71" s="81"/>
      <c r="Q71" s="12">
        <f t="shared" si="2"/>
        <v>0</v>
      </c>
    </row>
    <row r="72" spans="1:17" s="13" customFormat="1" ht="15.75" x14ac:dyDescent="0.25">
      <c r="A72" s="10"/>
      <c r="B72" s="27" t="s">
        <v>149</v>
      </c>
      <c r="C72" s="1"/>
      <c r="D72" s="2"/>
      <c r="E72" s="3"/>
      <c r="F72" s="73" t="s">
        <v>311</v>
      </c>
      <c r="G72" s="74" t="s">
        <v>112</v>
      </c>
      <c r="H72" s="75">
        <v>1</v>
      </c>
      <c r="I72" s="76"/>
      <c r="J72" s="96"/>
      <c r="K72" s="77"/>
      <c r="L72" s="77"/>
      <c r="M72" s="38">
        <f t="shared" si="1"/>
        <v>0</v>
      </c>
      <c r="N72" s="100"/>
      <c r="O72" s="81"/>
      <c r="P72" s="81"/>
      <c r="Q72" s="79">
        <f t="shared" si="2"/>
        <v>0</v>
      </c>
    </row>
    <row r="73" spans="1:17" s="13" customFormat="1" ht="15.75" x14ac:dyDescent="0.25">
      <c r="A73" s="10"/>
      <c r="B73" s="25" t="s">
        <v>149</v>
      </c>
      <c r="C73" s="1" t="s">
        <v>17</v>
      </c>
      <c r="D73" s="2"/>
      <c r="E73" s="3"/>
      <c r="F73" s="2" t="s">
        <v>235</v>
      </c>
      <c r="G73" s="11" t="s">
        <v>118</v>
      </c>
      <c r="H73" s="1"/>
      <c r="I73" s="47"/>
      <c r="J73" s="51"/>
      <c r="K73" s="37"/>
      <c r="L73" s="37"/>
      <c r="M73" s="78">
        <f t="shared" si="1"/>
        <v>0</v>
      </c>
      <c r="N73" s="39"/>
      <c r="O73" s="31"/>
      <c r="P73" s="31"/>
      <c r="Q73" s="12">
        <f t="shared" si="2"/>
        <v>0</v>
      </c>
    </row>
    <row r="74" spans="1:17" s="13" customFormat="1" ht="15.75" x14ac:dyDescent="0.25">
      <c r="A74" s="10">
        <v>90</v>
      </c>
      <c r="B74" s="62" t="s">
        <v>107</v>
      </c>
      <c r="C74" s="1" t="s">
        <v>17</v>
      </c>
      <c r="D74" s="2"/>
      <c r="E74" s="17" t="s">
        <v>20</v>
      </c>
      <c r="F74" s="73" t="s">
        <v>188</v>
      </c>
      <c r="G74" s="74" t="s">
        <v>112</v>
      </c>
      <c r="H74" s="75"/>
      <c r="I74" s="76"/>
      <c r="J74" s="96"/>
      <c r="K74" s="77"/>
      <c r="L74" s="77"/>
      <c r="M74" s="38">
        <f t="shared" si="1"/>
        <v>0</v>
      </c>
      <c r="N74" s="100"/>
      <c r="O74" s="81"/>
      <c r="P74" s="81"/>
      <c r="Q74" s="79">
        <f t="shared" si="2"/>
        <v>0</v>
      </c>
    </row>
    <row r="75" spans="1:17" s="13" customFormat="1" ht="15.75" x14ac:dyDescent="0.25">
      <c r="A75" s="10"/>
      <c r="B75" s="22" t="s">
        <v>107</v>
      </c>
      <c r="C75" s="1" t="s">
        <v>17</v>
      </c>
      <c r="D75" s="2"/>
      <c r="E75" s="17" t="s">
        <v>20</v>
      </c>
      <c r="F75" s="2" t="s">
        <v>133</v>
      </c>
      <c r="G75" s="11" t="s">
        <v>114</v>
      </c>
      <c r="H75" s="1"/>
      <c r="I75" s="49"/>
      <c r="J75" s="51"/>
      <c r="K75" s="40"/>
      <c r="L75" s="40"/>
      <c r="M75" s="78">
        <f t="shared" si="1"/>
        <v>0</v>
      </c>
      <c r="N75" s="41"/>
      <c r="O75" s="31"/>
      <c r="P75" s="31"/>
      <c r="Q75" s="12">
        <f t="shared" si="2"/>
        <v>0</v>
      </c>
    </row>
    <row r="76" spans="1:17" s="13" customFormat="1" ht="15.75" x14ac:dyDescent="0.25">
      <c r="A76" s="10">
        <v>30</v>
      </c>
      <c r="B76" s="30" t="s">
        <v>54</v>
      </c>
      <c r="C76" s="1" t="s">
        <v>17</v>
      </c>
      <c r="D76" s="2"/>
      <c r="E76" s="17" t="s">
        <v>20</v>
      </c>
      <c r="F76" s="73" t="s">
        <v>189</v>
      </c>
      <c r="G76" s="74" t="s">
        <v>112</v>
      </c>
      <c r="H76" s="75"/>
      <c r="I76" s="76"/>
      <c r="J76" s="96"/>
      <c r="K76" s="77"/>
      <c r="L76" s="77"/>
      <c r="M76" s="38">
        <f t="shared" si="1"/>
        <v>0</v>
      </c>
      <c r="N76" s="100"/>
      <c r="O76" s="81"/>
      <c r="P76" s="81"/>
      <c r="Q76" s="79">
        <f t="shared" si="2"/>
        <v>0</v>
      </c>
    </row>
    <row r="77" spans="1:17" s="13" customFormat="1" ht="36" x14ac:dyDescent="0.25">
      <c r="A77" s="10">
        <v>31</v>
      </c>
      <c r="B77" s="27" t="s">
        <v>55</v>
      </c>
      <c r="C77" s="1" t="s">
        <v>304</v>
      </c>
      <c r="D77" s="18" t="s">
        <v>314</v>
      </c>
      <c r="E77" s="3" t="s">
        <v>20</v>
      </c>
      <c r="F77" s="73" t="s">
        <v>190</v>
      </c>
      <c r="G77" s="74" t="s">
        <v>112</v>
      </c>
      <c r="H77" s="75"/>
      <c r="I77" s="76"/>
      <c r="J77" s="96"/>
      <c r="K77" s="77"/>
      <c r="L77" s="77"/>
      <c r="M77" s="78">
        <f t="shared" si="1"/>
        <v>0</v>
      </c>
      <c r="N77" s="100"/>
      <c r="O77" s="81"/>
      <c r="P77" s="81"/>
      <c r="Q77" s="12">
        <f t="shared" ref="Q77:Q142" si="3">O77-P77</f>
        <v>0</v>
      </c>
    </row>
    <row r="78" spans="1:17" s="13" customFormat="1" ht="15.75" x14ac:dyDescent="0.25">
      <c r="A78" s="10"/>
      <c r="B78" s="62" t="s">
        <v>56</v>
      </c>
      <c r="C78" s="1" t="s">
        <v>17</v>
      </c>
      <c r="D78" s="2"/>
      <c r="E78" s="3"/>
      <c r="F78" s="73" t="s">
        <v>119</v>
      </c>
      <c r="G78" s="74" t="s">
        <v>112</v>
      </c>
      <c r="H78" s="75"/>
      <c r="I78" s="76"/>
      <c r="J78" s="96"/>
      <c r="K78" s="77"/>
      <c r="L78" s="77"/>
      <c r="M78" s="38">
        <f t="shared" si="1"/>
        <v>0</v>
      </c>
      <c r="N78" s="100"/>
      <c r="O78" s="81"/>
      <c r="P78" s="81"/>
      <c r="Q78" s="79">
        <f t="shared" si="3"/>
        <v>0</v>
      </c>
    </row>
    <row r="79" spans="1:17" s="13" customFormat="1" ht="15.75" x14ac:dyDescent="0.25">
      <c r="A79" s="10"/>
      <c r="B79" s="22" t="s">
        <v>56</v>
      </c>
      <c r="C79" s="1" t="s">
        <v>17</v>
      </c>
      <c r="D79" s="2"/>
      <c r="E79" s="3" t="s">
        <v>18</v>
      </c>
      <c r="F79" s="2" t="s">
        <v>244</v>
      </c>
      <c r="G79" s="11" t="s">
        <v>113</v>
      </c>
      <c r="H79" s="1"/>
      <c r="I79" s="49"/>
      <c r="J79" s="46"/>
      <c r="K79" s="40"/>
      <c r="L79" s="40"/>
      <c r="M79" s="78">
        <f t="shared" si="1"/>
        <v>0</v>
      </c>
      <c r="N79" s="41"/>
      <c r="O79" s="31"/>
      <c r="P79" s="31"/>
      <c r="Q79" s="12">
        <f t="shared" si="3"/>
        <v>0</v>
      </c>
    </row>
    <row r="80" spans="1:17" s="13" customFormat="1" ht="15.75" x14ac:dyDescent="0.25">
      <c r="A80" s="10"/>
      <c r="B80" s="62" t="s">
        <v>156</v>
      </c>
      <c r="C80" s="1" t="s">
        <v>304</v>
      </c>
      <c r="D80" s="2"/>
      <c r="E80" s="3" t="s">
        <v>20</v>
      </c>
      <c r="F80" s="73" t="s">
        <v>191</v>
      </c>
      <c r="G80" s="74" t="s">
        <v>112</v>
      </c>
      <c r="H80" s="75"/>
      <c r="I80" s="76"/>
      <c r="J80" s="96"/>
      <c r="K80" s="77"/>
      <c r="L80" s="77"/>
      <c r="M80" s="38">
        <f t="shared" si="1"/>
        <v>0</v>
      </c>
      <c r="N80" s="100"/>
      <c r="O80" s="81"/>
      <c r="P80" s="81"/>
      <c r="Q80" s="79">
        <f t="shared" si="3"/>
        <v>0</v>
      </c>
    </row>
    <row r="81" spans="1:17" s="15" customFormat="1" ht="15.75" x14ac:dyDescent="0.25">
      <c r="A81" s="14">
        <v>32</v>
      </c>
      <c r="B81" s="80" t="s">
        <v>57</v>
      </c>
      <c r="C81" s="1" t="s">
        <v>17</v>
      </c>
      <c r="D81" s="2"/>
      <c r="E81" s="3" t="s">
        <v>20</v>
      </c>
      <c r="F81" s="73" t="s">
        <v>192</v>
      </c>
      <c r="G81" s="74" t="s">
        <v>112</v>
      </c>
      <c r="H81" s="75"/>
      <c r="I81" s="76"/>
      <c r="J81" s="96"/>
      <c r="K81" s="77"/>
      <c r="L81" s="77"/>
      <c r="M81" s="78">
        <f t="shared" si="1"/>
        <v>0</v>
      </c>
      <c r="N81" s="100"/>
      <c r="O81" s="81"/>
      <c r="P81" s="81"/>
      <c r="Q81" s="12">
        <f t="shared" si="3"/>
        <v>0</v>
      </c>
    </row>
    <row r="82" spans="1:17" s="15" customFormat="1" ht="15.75" x14ac:dyDescent="0.25">
      <c r="A82" s="14"/>
      <c r="B82" s="23" t="s">
        <v>57</v>
      </c>
      <c r="C82" s="1" t="s">
        <v>17</v>
      </c>
      <c r="D82" s="2"/>
      <c r="E82" s="3" t="s">
        <v>20</v>
      </c>
      <c r="F82" s="2" t="s">
        <v>278</v>
      </c>
      <c r="G82" s="11" t="s">
        <v>114</v>
      </c>
      <c r="H82" s="1"/>
      <c r="I82" s="49"/>
      <c r="J82" s="51"/>
      <c r="K82" s="40"/>
      <c r="L82" s="40"/>
      <c r="M82" s="38">
        <f t="shared" si="1"/>
        <v>0</v>
      </c>
      <c r="N82" s="42"/>
      <c r="O82" s="31"/>
      <c r="P82" s="31"/>
      <c r="Q82" s="79">
        <f t="shared" si="3"/>
        <v>0</v>
      </c>
    </row>
    <row r="83" spans="1:17" s="13" customFormat="1" ht="15.75" x14ac:dyDescent="0.25">
      <c r="A83" s="10">
        <v>33</v>
      </c>
      <c r="B83" s="62" t="s">
        <v>58</v>
      </c>
      <c r="C83" s="1" t="s">
        <v>17</v>
      </c>
      <c r="D83" s="2"/>
      <c r="E83" s="3" t="s">
        <v>20</v>
      </c>
      <c r="F83" s="73" t="s">
        <v>193</v>
      </c>
      <c r="G83" s="74" t="s">
        <v>112</v>
      </c>
      <c r="H83" s="75"/>
      <c r="I83" s="76"/>
      <c r="J83" s="96"/>
      <c r="K83" s="77"/>
      <c r="L83" s="77"/>
      <c r="M83" s="78">
        <f t="shared" si="1"/>
        <v>0</v>
      </c>
      <c r="N83" s="100"/>
      <c r="O83" s="81"/>
      <c r="P83" s="81"/>
      <c r="Q83" s="12">
        <f t="shared" si="3"/>
        <v>0</v>
      </c>
    </row>
    <row r="84" spans="1:17" s="13" customFormat="1" ht="15.75" x14ac:dyDescent="0.25">
      <c r="A84" s="10"/>
      <c r="B84" s="22" t="s">
        <v>58</v>
      </c>
      <c r="C84" s="1" t="s">
        <v>17</v>
      </c>
      <c r="D84" s="2"/>
      <c r="E84" s="3" t="s">
        <v>20</v>
      </c>
      <c r="F84" s="2" t="s">
        <v>279</v>
      </c>
      <c r="G84" s="11" t="s">
        <v>114</v>
      </c>
      <c r="H84" s="1"/>
      <c r="I84" s="49"/>
      <c r="J84" s="51"/>
      <c r="K84" s="40"/>
      <c r="L84" s="40"/>
      <c r="M84" s="38">
        <f t="shared" ref="M84:M151" si="4">K84-L84</f>
        <v>0</v>
      </c>
      <c r="N84" s="41"/>
      <c r="O84" s="31"/>
      <c r="P84" s="31"/>
      <c r="Q84" s="79">
        <f t="shared" si="3"/>
        <v>0</v>
      </c>
    </row>
    <row r="85" spans="1:17" s="13" customFormat="1" ht="15.75" x14ac:dyDescent="0.25">
      <c r="A85" s="10">
        <v>34</v>
      </c>
      <c r="B85" s="62" t="s">
        <v>59</v>
      </c>
      <c r="C85" s="1" t="s">
        <v>17</v>
      </c>
      <c r="D85" s="2"/>
      <c r="E85" s="3" t="s">
        <v>20</v>
      </c>
      <c r="F85" s="73" t="s">
        <v>308</v>
      </c>
      <c r="G85" s="74" t="s">
        <v>112</v>
      </c>
      <c r="H85" s="75">
        <v>1</v>
      </c>
      <c r="I85" s="76"/>
      <c r="J85" s="96"/>
      <c r="K85" s="77"/>
      <c r="L85" s="77"/>
      <c r="M85" s="78">
        <f t="shared" si="4"/>
        <v>0</v>
      </c>
      <c r="N85" s="100"/>
      <c r="O85" s="81"/>
      <c r="P85" s="81"/>
      <c r="Q85" s="12">
        <f t="shared" si="3"/>
        <v>0</v>
      </c>
    </row>
    <row r="86" spans="1:17" s="13" customFormat="1" ht="15.75" x14ac:dyDescent="0.25">
      <c r="A86" s="10"/>
      <c r="B86" s="22" t="s">
        <v>59</v>
      </c>
      <c r="C86" s="1" t="s">
        <v>17</v>
      </c>
      <c r="D86" s="2"/>
      <c r="E86" s="3" t="s">
        <v>20</v>
      </c>
      <c r="F86" s="2" t="s">
        <v>128</v>
      </c>
      <c r="G86" s="11" t="s">
        <v>114</v>
      </c>
      <c r="H86" s="1"/>
      <c r="I86" s="49"/>
      <c r="J86" s="51"/>
      <c r="K86" s="40"/>
      <c r="L86" s="40"/>
      <c r="M86" s="38">
        <f t="shared" si="4"/>
        <v>0</v>
      </c>
      <c r="N86" s="41"/>
      <c r="O86" s="31"/>
      <c r="P86" s="31"/>
      <c r="Q86" s="79">
        <f t="shared" si="3"/>
        <v>0</v>
      </c>
    </row>
    <row r="87" spans="1:17" s="13" customFormat="1" ht="15.75" x14ac:dyDescent="0.25">
      <c r="A87" s="10">
        <v>35</v>
      </c>
      <c r="B87" s="27" t="s">
        <v>60</v>
      </c>
      <c r="C87" s="1" t="s">
        <v>17</v>
      </c>
      <c r="D87" s="2"/>
      <c r="E87" s="3" t="s">
        <v>20</v>
      </c>
      <c r="F87" s="73" t="s">
        <v>194</v>
      </c>
      <c r="G87" s="74" t="s">
        <v>112</v>
      </c>
      <c r="H87" s="75"/>
      <c r="I87" s="76"/>
      <c r="J87" s="96"/>
      <c r="K87" s="77"/>
      <c r="L87" s="77"/>
      <c r="M87" s="78">
        <f t="shared" si="4"/>
        <v>0</v>
      </c>
      <c r="N87" s="100"/>
      <c r="O87" s="81"/>
      <c r="P87" s="81"/>
      <c r="Q87" s="12">
        <f t="shared" si="3"/>
        <v>0</v>
      </c>
    </row>
    <row r="88" spans="1:17" s="13" customFormat="1" ht="15.75" x14ac:dyDescent="0.25">
      <c r="A88" s="10"/>
      <c r="B88" s="25" t="s">
        <v>60</v>
      </c>
      <c r="C88" s="1" t="s">
        <v>17</v>
      </c>
      <c r="D88" s="2"/>
      <c r="E88" s="3" t="s">
        <v>20</v>
      </c>
      <c r="F88" s="2" t="s">
        <v>280</v>
      </c>
      <c r="G88" s="11" t="s">
        <v>114</v>
      </c>
      <c r="H88" s="1"/>
      <c r="I88" s="49"/>
      <c r="J88" s="51"/>
      <c r="K88" s="40"/>
      <c r="L88" s="40"/>
      <c r="M88" s="38">
        <f t="shared" si="4"/>
        <v>0</v>
      </c>
      <c r="N88" s="41"/>
      <c r="O88" s="31"/>
      <c r="P88" s="31"/>
      <c r="Q88" s="79">
        <f t="shared" si="3"/>
        <v>0</v>
      </c>
    </row>
    <row r="89" spans="1:17" s="15" customFormat="1" ht="15.75" x14ac:dyDescent="0.25">
      <c r="A89" s="14">
        <v>36</v>
      </c>
      <c r="B89" s="28" t="s">
        <v>61</v>
      </c>
      <c r="C89" s="1" t="s">
        <v>17</v>
      </c>
      <c r="D89" s="2"/>
      <c r="E89" s="3" t="s">
        <v>20</v>
      </c>
      <c r="F89" s="73" t="s">
        <v>109</v>
      </c>
      <c r="G89" s="74" t="s">
        <v>112</v>
      </c>
      <c r="H89" s="75"/>
      <c r="I89" s="76"/>
      <c r="J89" s="96"/>
      <c r="K89" s="77"/>
      <c r="L89" s="77"/>
      <c r="M89" s="78">
        <f t="shared" si="4"/>
        <v>0</v>
      </c>
      <c r="N89" s="100"/>
      <c r="O89" s="81"/>
      <c r="P89" s="81"/>
      <c r="Q89" s="12">
        <f t="shared" si="3"/>
        <v>0</v>
      </c>
    </row>
    <row r="90" spans="1:17" s="15" customFormat="1" ht="15.75" x14ac:dyDescent="0.25">
      <c r="A90" s="14"/>
      <c r="B90" s="26" t="s">
        <v>61</v>
      </c>
      <c r="C90" s="1" t="s">
        <v>17</v>
      </c>
      <c r="D90" s="2"/>
      <c r="E90" s="3" t="s">
        <v>20</v>
      </c>
      <c r="F90" s="2" t="s">
        <v>121</v>
      </c>
      <c r="G90" s="11" t="s">
        <v>114</v>
      </c>
      <c r="H90" s="1"/>
      <c r="I90" s="49"/>
      <c r="J90" s="51"/>
      <c r="K90" s="40"/>
      <c r="L90" s="40"/>
      <c r="M90" s="38">
        <f t="shared" si="4"/>
        <v>0</v>
      </c>
      <c r="N90" s="42"/>
      <c r="O90" s="31"/>
      <c r="P90" s="31"/>
      <c r="Q90" s="79">
        <f t="shared" si="3"/>
        <v>0</v>
      </c>
    </row>
    <row r="91" spans="1:17" s="15" customFormat="1" ht="15.75" x14ac:dyDescent="0.25">
      <c r="A91" s="14"/>
      <c r="B91" s="20" t="s">
        <v>306</v>
      </c>
      <c r="C91" s="1"/>
      <c r="D91" s="2"/>
      <c r="E91" s="3" t="s">
        <v>35</v>
      </c>
      <c r="F91" s="73" t="s">
        <v>307</v>
      </c>
      <c r="G91" s="11" t="s">
        <v>112</v>
      </c>
      <c r="H91" s="1">
        <v>1</v>
      </c>
      <c r="I91" s="58"/>
      <c r="J91" s="51"/>
      <c r="K91" s="40"/>
      <c r="L91" s="40"/>
      <c r="M91" s="78">
        <f t="shared" si="4"/>
        <v>0</v>
      </c>
      <c r="N91" s="42"/>
      <c r="O91" s="31"/>
      <c r="P91" s="31"/>
      <c r="Q91" s="12">
        <f t="shared" si="3"/>
        <v>0</v>
      </c>
    </row>
    <row r="92" spans="1:17" s="13" customFormat="1" ht="15.75" x14ac:dyDescent="0.25">
      <c r="A92" s="10">
        <v>37</v>
      </c>
      <c r="B92" s="27" t="s">
        <v>62</v>
      </c>
      <c r="C92" s="1" t="s">
        <v>17</v>
      </c>
      <c r="D92" s="2"/>
      <c r="E92" s="3" t="s">
        <v>35</v>
      </c>
      <c r="F92" s="73" t="s">
        <v>300</v>
      </c>
      <c r="G92" s="74" t="s">
        <v>112</v>
      </c>
      <c r="H92" s="75">
        <v>1</v>
      </c>
      <c r="I92" s="76"/>
      <c r="J92" s="96"/>
      <c r="K92" s="77"/>
      <c r="L92" s="77"/>
      <c r="M92" s="38">
        <f t="shared" si="4"/>
        <v>0</v>
      </c>
      <c r="N92" s="100"/>
      <c r="O92" s="81"/>
      <c r="P92" s="81"/>
      <c r="Q92" s="79">
        <f t="shared" si="3"/>
        <v>0</v>
      </c>
    </row>
    <row r="93" spans="1:17" s="13" customFormat="1" ht="15.75" x14ac:dyDescent="0.25">
      <c r="A93" s="10"/>
      <c r="B93" s="25" t="s">
        <v>62</v>
      </c>
      <c r="C93" s="1" t="s">
        <v>17</v>
      </c>
      <c r="D93" s="2"/>
      <c r="E93" s="3" t="s">
        <v>35</v>
      </c>
      <c r="F93" s="16" t="s">
        <v>250</v>
      </c>
      <c r="G93" s="11" t="s">
        <v>117</v>
      </c>
      <c r="H93" s="1"/>
      <c r="I93" s="49"/>
      <c r="J93" s="46"/>
      <c r="K93" s="40"/>
      <c r="L93" s="40"/>
      <c r="M93" s="78">
        <f t="shared" si="4"/>
        <v>0</v>
      </c>
      <c r="N93" s="41"/>
      <c r="O93" s="31"/>
      <c r="P93" s="31"/>
      <c r="Q93" s="12">
        <f t="shared" si="3"/>
        <v>0</v>
      </c>
    </row>
    <row r="94" spans="1:17" s="13" customFormat="1" ht="15.75" x14ac:dyDescent="0.25">
      <c r="A94" s="10"/>
      <c r="B94" s="25" t="s">
        <v>63</v>
      </c>
      <c r="C94" s="1" t="s">
        <v>64</v>
      </c>
      <c r="D94" s="10" t="s">
        <v>65</v>
      </c>
      <c r="E94" s="3" t="s">
        <v>20</v>
      </c>
      <c r="F94" s="2" t="s">
        <v>122</v>
      </c>
      <c r="G94" s="11" t="s">
        <v>114</v>
      </c>
      <c r="H94" s="1"/>
      <c r="I94" s="49"/>
      <c r="J94" s="51"/>
      <c r="K94" s="40"/>
      <c r="L94" s="40"/>
      <c r="M94" s="38">
        <f t="shared" si="4"/>
        <v>0</v>
      </c>
      <c r="N94" s="41"/>
      <c r="O94" s="31"/>
      <c r="P94" s="31"/>
      <c r="Q94" s="79">
        <f t="shared" si="3"/>
        <v>0</v>
      </c>
    </row>
    <row r="95" spans="1:17" s="13" customFormat="1" ht="15.75" x14ac:dyDescent="0.25">
      <c r="A95" s="10"/>
      <c r="B95" s="27" t="s">
        <v>155</v>
      </c>
      <c r="C95" s="1" t="s">
        <v>17</v>
      </c>
      <c r="D95" s="10"/>
      <c r="E95" s="3" t="s">
        <v>20</v>
      </c>
      <c r="F95" s="73" t="s">
        <v>301</v>
      </c>
      <c r="G95" s="74" t="s">
        <v>112</v>
      </c>
      <c r="H95" s="75">
        <v>1</v>
      </c>
      <c r="I95" s="82"/>
      <c r="J95" s="96"/>
      <c r="K95" s="77"/>
      <c r="L95" s="77"/>
      <c r="M95" s="78">
        <f t="shared" si="4"/>
        <v>0</v>
      </c>
      <c r="N95" s="100"/>
      <c r="O95" s="81"/>
      <c r="P95" s="81"/>
      <c r="Q95" s="12">
        <f t="shared" si="3"/>
        <v>0</v>
      </c>
    </row>
    <row r="96" spans="1:17" s="13" customFormat="1" ht="15.75" x14ac:dyDescent="0.25">
      <c r="A96" s="10"/>
      <c r="B96" s="25" t="s">
        <v>155</v>
      </c>
      <c r="C96" s="1" t="s">
        <v>17</v>
      </c>
      <c r="D96" s="10"/>
      <c r="E96" s="3" t="s">
        <v>20</v>
      </c>
      <c r="F96" s="2"/>
      <c r="G96" s="11" t="s">
        <v>114</v>
      </c>
      <c r="H96" s="1"/>
      <c r="I96" s="49"/>
      <c r="J96" s="51"/>
      <c r="K96" s="40"/>
      <c r="L96" s="40"/>
      <c r="M96" s="38">
        <f t="shared" si="4"/>
        <v>0</v>
      </c>
      <c r="N96" s="41"/>
      <c r="O96" s="31"/>
      <c r="P96" s="31"/>
      <c r="Q96" s="79">
        <f t="shared" si="3"/>
        <v>0</v>
      </c>
    </row>
    <row r="97" spans="1:19" s="13" customFormat="1" ht="15.75" x14ac:dyDescent="0.25">
      <c r="A97" s="10">
        <v>39</v>
      </c>
      <c r="B97" s="30" t="s">
        <v>66</v>
      </c>
      <c r="C97" s="1" t="s">
        <v>17</v>
      </c>
      <c r="D97" s="2"/>
      <c r="E97" s="3" t="s">
        <v>21</v>
      </c>
      <c r="F97" s="73" t="s">
        <v>195</v>
      </c>
      <c r="G97" s="74" t="s">
        <v>112</v>
      </c>
      <c r="H97" s="75"/>
      <c r="I97" s="76"/>
      <c r="J97" s="96"/>
      <c r="K97" s="77"/>
      <c r="L97" s="77"/>
      <c r="M97" s="78">
        <f t="shared" si="4"/>
        <v>0</v>
      </c>
      <c r="N97" s="100"/>
      <c r="O97" s="81"/>
      <c r="P97" s="81"/>
      <c r="Q97" s="12">
        <f t="shared" si="3"/>
        <v>0</v>
      </c>
    </row>
    <row r="98" spans="1:19" s="13" customFormat="1" ht="15.75" x14ac:dyDescent="0.25">
      <c r="A98" s="10"/>
      <c r="B98" s="24" t="s">
        <v>66</v>
      </c>
      <c r="C98" s="1" t="s">
        <v>17</v>
      </c>
      <c r="D98" s="2"/>
      <c r="E98" s="3" t="s">
        <v>21</v>
      </c>
      <c r="F98" s="2" t="s">
        <v>236</v>
      </c>
      <c r="G98" s="11" t="s">
        <v>118</v>
      </c>
      <c r="H98" s="1"/>
      <c r="I98" s="49"/>
      <c r="J98" s="46"/>
      <c r="K98" s="40"/>
      <c r="L98" s="40"/>
      <c r="M98" s="38">
        <f t="shared" si="4"/>
        <v>0</v>
      </c>
      <c r="N98" s="41"/>
      <c r="O98" s="31"/>
      <c r="P98" s="31"/>
      <c r="Q98" s="79">
        <f t="shared" si="3"/>
        <v>0</v>
      </c>
    </row>
    <row r="99" spans="1:19" s="13" customFormat="1" ht="15.75" x14ac:dyDescent="0.25">
      <c r="A99" s="10">
        <v>92</v>
      </c>
      <c r="B99" s="62" t="s">
        <v>137</v>
      </c>
      <c r="C99" s="1" t="s">
        <v>17</v>
      </c>
      <c r="D99" s="2"/>
      <c r="E99" s="17" t="s">
        <v>35</v>
      </c>
      <c r="F99" s="73" t="s">
        <v>196</v>
      </c>
      <c r="G99" s="74" t="s">
        <v>112</v>
      </c>
      <c r="H99" s="75">
        <v>1</v>
      </c>
      <c r="I99" s="76"/>
      <c r="J99" s="96"/>
      <c r="K99" s="77"/>
      <c r="L99" s="77"/>
      <c r="M99" s="78">
        <f t="shared" si="4"/>
        <v>0</v>
      </c>
      <c r="N99" s="100"/>
      <c r="O99" s="81"/>
      <c r="P99" s="81"/>
      <c r="Q99" s="12">
        <f t="shared" si="3"/>
        <v>0</v>
      </c>
    </row>
    <row r="100" spans="1:19" s="13" customFormat="1" ht="15.75" x14ac:dyDescent="0.25">
      <c r="A100" s="10"/>
      <c r="B100" s="22" t="s">
        <v>137</v>
      </c>
      <c r="C100" s="1" t="s">
        <v>17</v>
      </c>
      <c r="D100" s="2"/>
      <c r="E100" s="17" t="s">
        <v>35</v>
      </c>
      <c r="F100" s="2" t="s">
        <v>251</v>
      </c>
      <c r="G100" s="11" t="s">
        <v>117</v>
      </c>
      <c r="H100" s="1"/>
      <c r="I100" s="49"/>
      <c r="J100" s="51"/>
      <c r="K100" s="37"/>
      <c r="L100" s="37"/>
      <c r="M100" s="78">
        <f t="shared" si="4"/>
        <v>0</v>
      </c>
      <c r="N100" s="39"/>
      <c r="O100" s="31"/>
      <c r="P100" s="31"/>
      <c r="Q100" s="79">
        <f t="shared" si="3"/>
        <v>0</v>
      </c>
    </row>
    <row r="101" spans="1:19" s="13" customFormat="1" ht="15.75" x14ac:dyDescent="0.25">
      <c r="A101" s="10">
        <v>41</v>
      </c>
      <c r="B101" s="30" t="s">
        <v>67</v>
      </c>
      <c r="C101" s="1" t="s">
        <v>17</v>
      </c>
      <c r="D101" s="2"/>
      <c r="E101" s="17" t="s">
        <v>21</v>
      </c>
      <c r="F101" s="73" t="s">
        <v>197</v>
      </c>
      <c r="G101" s="74" t="s">
        <v>112</v>
      </c>
      <c r="H101" s="75"/>
      <c r="I101" s="76"/>
      <c r="J101" s="96"/>
      <c r="K101" s="77"/>
      <c r="L101" s="77"/>
      <c r="M101" s="38">
        <f t="shared" si="4"/>
        <v>0</v>
      </c>
      <c r="N101" s="100"/>
      <c r="O101" s="81"/>
      <c r="P101" s="81"/>
      <c r="Q101" s="12">
        <f t="shared" si="3"/>
        <v>0</v>
      </c>
    </row>
    <row r="102" spans="1:19" s="13" customFormat="1" ht="15.75" x14ac:dyDescent="0.25">
      <c r="A102" s="10"/>
      <c r="B102" s="24" t="s">
        <v>67</v>
      </c>
      <c r="C102" s="1" t="s">
        <v>17</v>
      </c>
      <c r="D102" s="2"/>
      <c r="E102" s="17" t="s">
        <v>21</v>
      </c>
      <c r="F102" s="2" t="s">
        <v>239</v>
      </c>
      <c r="G102" s="11" t="s">
        <v>118</v>
      </c>
      <c r="H102" s="1"/>
      <c r="I102" s="49"/>
      <c r="J102" s="46"/>
      <c r="K102" s="40"/>
      <c r="L102" s="40"/>
      <c r="M102" s="78">
        <f t="shared" si="4"/>
        <v>0</v>
      </c>
      <c r="N102" s="41"/>
      <c r="O102" s="31"/>
      <c r="P102" s="31"/>
      <c r="Q102" s="79">
        <f t="shared" si="3"/>
        <v>0</v>
      </c>
    </row>
    <row r="103" spans="1:19" s="13" customFormat="1" ht="15.75" x14ac:dyDescent="0.25">
      <c r="A103" s="10">
        <v>42</v>
      </c>
      <c r="B103" s="30" t="s">
        <v>68</v>
      </c>
      <c r="C103" s="1" t="s">
        <v>17</v>
      </c>
      <c r="D103" s="2"/>
      <c r="E103" s="17" t="s">
        <v>32</v>
      </c>
      <c r="F103" s="73" t="s">
        <v>198</v>
      </c>
      <c r="G103" s="74" t="s">
        <v>112</v>
      </c>
      <c r="H103" s="75"/>
      <c r="I103" s="76"/>
      <c r="J103" s="96"/>
      <c r="K103" s="77"/>
      <c r="L103" s="77"/>
      <c r="M103" s="38">
        <f t="shared" si="4"/>
        <v>0</v>
      </c>
      <c r="N103" s="100"/>
      <c r="O103" s="81"/>
      <c r="P103" s="81"/>
      <c r="Q103" s="12">
        <f t="shared" si="3"/>
        <v>0</v>
      </c>
    </row>
    <row r="104" spans="1:19" s="13" customFormat="1" ht="15.75" x14ac:dyDescent="0.25">
      <c r="A104" s="10"/>
      <c r="B104" s="24" t="s">
        <v>68</v>
      </c>
      <c r="C104" s="1" t="s">
        <v>17</v>
      </c>
      <c r="D104" s="2"/>
      <c r="E104" s="17" t="s">
        <v>32</v>
      </c>
      <c r="F104" s="16" t="s">
        <v>252</v>
      </c>
      <c r="G104" s="8" t="s">
        <v>117</v>
      </c>
      <c r="H104" s="1"/>
      <c r="I104" s="49"/>
      <c r="J104" s="46"/>
      <c r="K104" s="40"/>
      <c r="L104" s="40"/>
      <c r="M104" s="78">
        <f t="shared" si="4"/>
        <v>0</v>
      </c>
      <c r="N104" s="41"/>
      <c r="O104" s="40"/>
      <c r="P104" s="40"/>
      <c r="Q104" s="79">
        <f t="shared" si="3"/>
        <v>0</v>
      </c>
    </row>
    <row r="105" spans="1:19" s="15" customFormat="1" ht="15.75" x14ac:dyDescent="0.25">
      <c r="A105" s="14">
        <v>43</v>
      </c>
      <c r="B105" s="28" t="s">
        <v>69</v>
      </c>
      <c r="C105" s="1" t="s">
        <v>17</v>
      </c>
      <c r="D105" s="2"/>
      <c r="E105" s="3" t="s">
        <v>20</v>
      </c>
      <c r="F105" s="73" t="s">
        <v>140</v>
      </c>
      <c r="G105" s="74" t="s">
        <v>112</v>
      </c>
      <c r="H105" s="75"/>
      <c r="I105" s="76"/>
      <c r="J105" s="96"/>
      <c r="K105" s="77"/>
      <c r="L105" s="77"/>
      <c r="M105" s="38">
        <f t="shared" si="4"/>
        <v>0</v>
      </c>
      <c r="N105" s="100"/>
      <c r="O105" s="77"/>
      <c r="P105" s="77"/>
      <c r="Q105" s="12">
        <f t="shared" si="3"/>
        <v>0</v>
      </c>
    </row>
    <row r="106" spans="1:19" s="13" customFormat="1" ht="15.75" x14ac:dyDescent="0.25">
      <c r="A106" s="10">
        <v>45</v>
      </c>
      <c r="B106" s="62" t="s">
        <v>70</v>
      </c>
      <c r="C106" s="1" t="s">
        <v>17</v>
      </c>
      <c r="D106" s="2"/>
      <c r="E106" s="3" t="s">
        <v>20</v>
      </c>
      <c r="F106" s="73" t="s">
        <v>199</v>
      </c>
      <c r="G106" s="74" t="s">
        <v>112</v>
      </c>
      <c r="H106" s="75">
        <v>1</v>
      </c>
      <c r="I106" s="76"/>
      <c r="J106" s="96"/>
      <c r="K106" s="77"/>
      <c r="L106" s="77"/>
      <c r="M106" s="78">
        <f t="shared" si="4"/>
        <v>0</v>
      </c>
      <c r="N106" s="100"/>
      <c r="O106" s="81"/>
      <c r="P106" s="81"/>
      <c r="Q106" s="79">
        <f t="shared" si="3"/>
        <v>0</v>
      </c>
      <c r="R106" s="35"/>
    </row>
    <row r="107" spans="1:19" s="13" customFormat="1" ht="15.75" x14ac:dyDescent="0.25">
      <c r="A107" s="10"/>
      <c r="B107" s="22" t="s">
        <v>70</v>
      </c>
      <c r="C107" s="1" t="s">
        <v>17</v>
      </c>
      <c r="D107" s="2"/>
      <c r="E107" s="3" t="s">
        <v>20</v>
      </c>
      <c r="F107" s="2" t="s">
        <v>281</v>
      </c>
      <c r="G107" s="11" t="s">
        <v>114</v>
      </c>
      <c r="H107" s="1">
        <v>3</v>
      </c>
      <c r="I107" s="49"/>
      <c r="J107" s="51"/>
      <c r="K107" s="40"/>
      <c r="L107" s="40"/>
      <c r="M107" s="38">
        <f t="shared" si="4"/>
        <v>0</v>
      </c>
      <c r="N107" s="41"/>
      <c r="O107" s="31"/>
      <c r="P107" s="31"/>
      <c r="Q107" s="12">
        <f t="shared" si="3"/>
        <v>0</v>
      </c>
    </row>
    <row r="108" spans="1:19" s="15" customFormat="1" ht="15.75" x14ac:dyDescent="0.25">
      <c r="A108" s="14">
        <v>46</v>
      </c>
      <c r="B108" s="80" t="s">
        <v>71</v>
      </c>
      <c r="C108" s="1" t="s">
        <v>17</v>
      </c>
      <c r="D108" s="2"/>
      <c r="E108" s="3" t="s">
        <v>32</v>
      </c>
      <c r="F108" s="73" t="s">
        <v>200</v>
      </c>
      <c r="G108" s="74" t="s">
        <v>112</v>
      </c>
      <c r="H108" s="75"/>
      <c r="I108" s="76"/>
      <c r="J108" s="96"/>
      <c r="K108" s="77"/>
      <c r="L108" s="77"/>
      <c r="M108" s="78">
        <f t="shared" si="4"/>
        <v>0</v>
      </c>
      <c r="N108" s="100"/>
      <c r="O108" s="81"/>
      <c r="P108" s="81"/>
      <c r="Q108" s="79">
        <f t="shared" si="3"/>
        <v>0</v>
      </c>
      <c r="R108" s="36"/>
      <c r="S108" s="36"/>
    </row>
    <row r="109" spans="1:19" s="15" customFormat="1" ht="15.75" x14ac:dyDescent="0.25">
      <c r="A109" s="14"/>
      <c r="B109" s="23" t="s">
        <v>71</v>
      </c>
      <c r="C109" s="1" t="s">
        <v>17</v>
      </c>
      <c r="D109" s="2"/>
      <c r="E109" s="3" t="s">
        <v>32</v>
      </c>
      <c r="F109" s="16" t="s">
        <v>253</v>
      </c>
      <c r="G109" s="11" t="s">
        <v>115</v>
      </c>
      <c r="H109" s="1"/>
      <c r="I109" s="48"/>
      <c r="J109" s="45"/>
      <c r="K109" s="40"/>
      <c r="L109" s="40"/>
      <c r="M109" s="38">
        <f t="shared" si="4"/>
        <v>0</v>
      </c>
      <c r="N109" s="39"/>
      <c r="O109" s="40"/>
      <c r="P109" s="40"/>
      <c r="Q109" s="12">
        <f t="shared" si="3"/>
        <v>0</v>
      </c>
    </row>
    <row r="110" spans="1:19" s="15" customFormat="1" ht="15.75" x14ac:dyDescent="0.25">
      <c r="A110" s="14"/>
      <c r="B110" s="62" t="s">
        <v>150</v>
      </c>
      <c r="C110" s="1" t="s">
        <v>17</v>
      </c>
      <c r="D110" s="2"/>
      <c r="E110" s="3" t="s">
        <v>35</v>
      </c>
      <c r="F110" s="83" t="s">
        <v>302</v>
      </c>
      <c r="G110" s="74" t="s">
        <v>112</v>
      </c>
      <c r="H110" s="75"/>
      <c r="I110" s="76"/>
      <c r="J110" s="97"/>
      <c r="K110" s="77"/>
      <c r="L110" s="77"/>
      <c r="M110" s="78">
        <f t="shared" si="4"/>
        <v>0</v>
      </c>
      <c r="N110" s="101"/>
      <c r="O110" s="77"/>
      <c r="P110" s="81"/>
      <c r="Q110" s="79">
        <f t="shared" si="3"/>
        <v>0</v>
      </c>
    </row>
    <row r="111" spans="1:19" s="15" customFormat="1" ht="15.75" x14ac:dyDescent="0.25">
      <c r="A111" s="14"/>
      <c r="B111" s="50" t="s">
        <v>150</v>
      </c>
      <c r="C111" s="1"/>
      <c r="D111" s="2"/>
      <c r="E111" s="3"/>
      <c r="F111" s="16"/>
      <c r="G111" s="11" t="s">
        <v>117</v>
      </c>
      <c r="H111" s="1"/>
      <c r="I111" s="48"/>
      <c r="J111" s="45"/>
      <c r="K111" s="40"/>
      <c r="L111" s="37"/>
      <c r="M111" s="38">
        <f t="shared" si="4"/>
        <v>0</v>
      </c>
      <c r="N111" s="42"/>
      <c r="O111" s="40"/>
      <c r="P111" s="40"/>
      <c r="Q111" s="12">
        <f t="shared" si="3"/>
        <v>0</v>
      </c>
    </row>
    <row r="112" spans="1:19" s="13" customFormat="1" ht="15.75" x14ac:dyDescent="0.25">
      <c r="A112" s="10">
        <v>47</v>
      </c>
      <c r="B112" s="30" t="s">
        <v>72</v>
      </c>
      <c r="C112" s="1" t="s">
        <v>17</v>
      </c>
      <c r="D112" s="2"/>
      <c r="E112" s="3" t="s">
        <v>21</v>
      </c>
      <c r="F112" s="73" t="s">
        <v>201</v>
      </c>
      <c r="G112" s="74" t="s">
        <v>112</v>
      </c>
      <c r="H112" s="75"/>
      <c r="I112" s="76"/>
      <c r="J112" s="96"/>
      <c r="K112" s="77"/>
      <c r="L112" s="77"/>
      <c r="M112" s="78">
        <f t="shared" si="4"/>
        <v>0</v>
      </c>
      <c r="N112" s="100"/>
      <c r="O112" s="81"/>
      <c r="P112" s="81"/>
      <c r="Q112" s="79">
        <f t="shared" si="3"/>
        <v>0</v>
      </c>
    </row>
    <row r="113" spans="1:17" s="13" customFormat="1" ht="15.75" x14ac:dyDescent="0.25">
      <c r="A113" s="10"/>
      <c r="B113" s="24" t="s">
        <v>72</v>
      </c>
      <c r="C113" s="1" t="s">
        <v>17</v>
      </c>
      <c r="D113" s="2"/>
      <c r="E113" s="3" t="s">
        <v>21</v>
      </c>
      <c r="F113" s="2" t="s">
        <v>237</v>
      </c>
      <c r="G113" s="11" t="s">
        <v>118</v>
      </c>
      <c r="H113" s="1"/>
      <c r="I113" s="49"/>
      <c r="J113" s="46"/>
      <c r="K113" s="40"/>
      <c r="L113" s="40"/>
      <c r="M113" s="38">
        <f t="shared" si="4"/>
        <v>0</v>
      </c>
      <c r="N113" s="41"/>
      <c r="O113" s="31"/>
      <c r="P113" s="31"/>
      <c r="Q113" s="12">
        <f t="shared" si="3"/>
        <v>0</v>
      </c>
    </row>
    <row r="114" spans="1:17" s="15" customFormat="1" ht="15.75" x14ac:dyDescent="0.25">
      <c r="A114" s="14">
        <v>48</v>
      </c>
      <c r="B114" s="84" t="s">
        <v>73</v>
      </c>
      <c r="C114" s="1" t="s">
        <v>17</v>
      </c>
      <c r="D114" s="2"/>
      <c r="E114" s="3" t="s">
        <v>74</v>
      </c>
      <c r="F114" s="73" t="s">
        <v>141</v>
      </c>
      <c r="G114" s="74" t="s">
        <v>112</v>
      </c>
      <c r="H114" s="75"/>
      <c r="I114" s="76"/>
      <c r="J114" s="96"/>
      <c r="K114" s="77"/>
      <c r="L114" s="77"/>
      <c r="M114" s="78">
        <f t="shared" si="4"/>
        <v>0</v>
      </c>
      <c r="N114" s="100"/>
      <c r="O114" s="81"/>
      <c r="P114" s="81"/>
      <c r="Q114" s="79">
        <f t="shared" si="3"/>
        <v>0</v>
      </c>
    </row>
    <row r="115" spans="1:17" s="15" customFormat="1" ht="15.75" x14ac:dyDescent="0.25">
      <c r="A115" s="14"/>
      <c r="B115" s="29" t="s">
        <v>73</v>
      </c>
      <c r="C115" s="1" t="s">
        <v>17</v>
      </c>
      <c r="D115" s="2"/>
      <c r="E115" s="3" t="s">
        <v>74</v>
      </c>
      <c r="F115" s="2" t="s">
        <v>282</v>
      </c>
      <c r="G115" s="11" t="s">
        <v>114</v>
      </c>
      <c r="H115" s="1"/>
      <c r="I115" s="49"/>
      <c r="J115" s="51"/>
      <c r="K115" s="40"/>
      <c r="L115" s="40"/>
      <c r="M115" s="38">
        <f t="shared" si="4"/>
        <v>0</v>
      </c>
      <c r="N115" s="42"/>
      <c r="O115" s="31"/>
      <c r="P115" s="31"/>
      <c r="Q115" s="12">
        <f t="shared" si="3"/>
        <v>0</v>
      </c>
    </row>
    <row r="116" spans="1:17" s="13" customFormat="1" ht="15.75" x14ac:dyDescent="0.25">
      <c r="A116" s="10"/>
      <c r="B116" s="24" t="s">
        <v>75</v>
      </c>
      <c r="C116" s="1" t="s">
        <v>17</v>
      </c>
      <c r="D116" s="10"/>
      <c r="E116" s="3" t="s">
        <v>20</v>
      </c>
      <c r="F116" s="2" t="s">
        <v>123</v>
      </c>
      <c r="G116" s="11" t="s">
        <v>114</v>
      </c>
      <c r="H116" s="1"/>
      <c r="I116" s="49"/>
      <c r="J116" s="51"/>
      <c r="K116" s="40"/>
      <c r="L116" s="40"/>
      <c r="M116" s="78">
        <f t="shared" si="4"/>
        <v>0</v>
      </c>
      <c r="N116" s="41"/>
      <c r="O116" s="31"/>
      <c r="P116" s="31"/>
      <c r="Q116" s="79">
        <f t="shared" si="3"/>
        <v>0</v>
      </c>
    </row>
    <row r="117" spans="1:17" s="13" customFormat="1" ht="15.75" x14ac:dyDescent="0.25">
      <c r="A117" s="10">
        <v>29</v>
      </c>
      <c r="B117" s="30" t="s">
        <v>135</v>
      </c>
      <c r="C117" s="1" t="s">
        <v>17</v>
      </c>
      <c r="D117" s="2"/>
      <c r="E117" s="17" t="s">
        <v>35</v>
      </c>
      <c r="F117" s="73" t="s">
        <v>202</v>
      </c>
      <c r="G117" s="74" t="s">
        <v>112</v>
      </c>
      <c r="H117" s="75">
        <v>1</v>
      </c>
      <c r="I117" s="76"/>
      <c r="J117" s="96"/>
      <c r="K117" s="77"/>
      <c r="L117" s="77"/>
      <c r="M117" s="38">
        <f t="shared" si="4"/>
        <v>0</v>
      </c>
      <c r="N117" s="100"/>
      <c r="O117" s="81"/>
      <c r="P117" s="81"/>
      <c r="Q117" s="12">
        <f t="shared" si="3"/>
        <v>0</v>
      </c>
    </row>
    <row r="118" spans="1:17" s="13" customFormat="1" ht="15.75" x14ac:dyDescent="0.25">
      <c r="A118" s="10"/>
      <c r="B118" s="24" t="s">
        <v>135</v>
      </c>
      <c r="C118" s="1" t="s">
        <v>17</v>
      </c>
      <c r="D118" s="2"/>
      <c r="E118" s="17" t="s">
        <v>35</v>
      </c>
      <c r="F118" s="2" t="s">
        <v>254</v>
      </c>
      <c r="G118" s="11" t="s">
        <v>115</v>
      </c>
      <c r="H118" s="1"/>
      <c r="I118" s="49"/>
      <c r="J118" s="46"/>
      <c r="K118" s="40"/>
      <c r="L118" s="40"/>
      <c r="M118" s="78">
        <f t="shared" si="4"/>
        <v>0</v>
      </c>
      <c r="N118" s="41"/>
      <c r="O118" s="31"/>
      <c r="P118" s="31"/>
      <c r="Q118" s="79">
        <f t="shared" si="3"/>
        <v>0</v>
      </c>
    </row>
    <row r="119" spans="1:17" s="13" customFormat="1" ht="15.75" x14ac:dyDescent="0.25">
      <c r="A119" s="10"/>
      <c r="B119" s="30" t="s">
        <v>145</v>
      </c>
      <c r="C119" s="1" t="s">
        <v>17</v>
      </c>
      <c r="D119" s="2"/>
      <c r="E119" s="17" t="s">
        <v>20</v>
      </c>
      <c r="F119" s="73" t="s">
        <v>203</v>
      </c>
      <c r="G119" s="74" t="s">
        <v>112</v>
      </c>
      <c r="H119" s="75">
        <v>1</v>
      </c>
      <c r="I119" s="82"/>
      <c r="J119" s="96"/>
      <c r="K119" s="77"/>
      <c r="L119" s="77"/>
      <c r="M119" s="38">
        <f t="shared" si="4"/>
        <v>0</v>
      </c>
      <c r="N119" s="100"/>
      <c r="O119" s="81"/>
      <c r="P119" s="81"/>
      <c r="Q119" s="12">
        <f t="shared" si="3"/>
        <v>0</v>
      </c>
    </row>
    <row r="120" spans="1:17" s="13" customFormat="1" ht="15.75" x14ac:dyDescent="0.25">
      <c r="A120" s="10"/>
      <c r="B120" s="24" t="s">
        <v>145</v>
      </c>
      <c r="C120" s="1" t="s">
        <v>17</v>
      </c>
      <c r="D120" s="2"/>
      <c r="E120" s="17" t="s">
        <v>20</v>
      </c>
      <c r="F120" s="2" t="s">
        <v>283</v>
      </c>
      <c r="G120" s="11" t="s">
        <v>114</v>
      </c>
      <c r="H120" s="1"/>
      <c r="I120" s="49"/>
      <c r="J120" s="51"/>
      <c r="K120" s="40"/>
      <c r="L120" s="40"/>
      <c r="M120" s="78">
        <f t="shared" si="4"/>
        <v>0</v>
      </c>
      <c r="N120" s="41"/>
      <c r="O120" s="31"/>
      <c r="P120" s="31"/>
      <c r="Q120" s="79">
        <f t="shared" si="3"/>
        <v>0</v>
      </c>
    </row>
    <row r="121" spans="1:17" s="13" customFormat="1" ht="15.75" x14ac:dyDescent="0.25">
      <c r="A121" s="10">
        <v>50</v>
      </c>
      <c r="B121" s="62" t="s">
        <v>76</v>
      </c>
      <c r="C121" s="1" t="s">
        <v>17</v>
      </c>
      <c r="D121" s="2"/>
      <c r="E121" s="3" t="s">
        <v>20</v>
      </c>
      <c r="F121" s="73" t="s">
        <v>204</v>
      </c>
      <c r="G121" s="74" t="s">
        <v>112</v>
      </c>
      <c r="H121" s="75"/>
      <c r="I121" s="76"/>
      <c r="J121" s="96"/>
      <c r="K121" s="77"/>
      <c r="L121" s="77"/>
      <c r="M121" s="38">
        <f t="shared" si="4"/>
        <v>0</v>
      </c>
      <c r="N121" s="100"/>
      <c r="O121" s="81"/>
      <c r="P121" s="81"/>
      <c r="Q121" s="12">
        <f t="shared" si="3"/>
        <v>0</v>
      </c>
    </row>
    <row r="122" spans="1:17" s="13" customFormat="1" ht="15.75" x14ac:dyDescent="0.25">
      <c r="A122" s="10"/>
      <c r="B122" s="22" t="s">
        <v>76</v>
      </c>
      <c r="C122" s="1" t="s">
        <v>17</v>
      </c>
      <c r="D122" s="2"/>
      <c r="E122" s="3" t="s">
        <v>20</v>
      </c>
      <c r="F122" s="2" t="s">
        <v>284</v>
      </c>
      <c r="G122" s="11" t="s">
        <v>114</v>
      </c>
      <c r="H122" s="1"/>
      <c r="I122" s="49"/>
      <c r="J122" s="51"/>
      <c r="K122" s="40"/>
      <c r="L122" s="40"/>
      <c r="M122" s="78">
        <f t="shared" si="4"/>
        <v>0</v>
      </c>
      <c r="N122" s="41"/>
      <c r="O122" s="31"/>
      <c r="P122" s="31"/>
      <c r="Q122" s="79">
        <f t="shared" si="3"/>
        <v>0</v>
      </c>
    </row>
    <row r="123" spans="1:17" s="13" customFormat="1" ht="15.75" x14ac:dyDescent="0.25">
      <c r="A123" s="10">
        <v>51</v>
      </c>
      <c r="B123" s="30" t="s">
        <v>77</v>
      </c>
      <c r="C123" s="1" t="s">
        <v>17</v>
      </c>
      <c r="D123" s="2"/>
      <c r="E123" s="3" t="s">
        <v>32</v>
      </c>
      <c r="F123" s="73" t="s">
        <v>205</v>
      </c>
      <c r="G123" s="74" t="s">
        <v>112</v>
      </c>
      <c r="H123" s="75"/>
      <c r="I123" s="76"/>
      <c r="J123" s="96"/>
      <c r="K123" s="77"/>
      <c r="L123" s="77"/>
      <c r="M123" s="38">
        <f t="shared" si="4"/>
        <v>0</v>
      </c>
      <c r="N123" s="100"/>
      <c r="O123" s="81"/>
      <c r="P123" s="81"/>
      <c r="Q123" s="12">
        <f t="shared" si="3"/>
        <v>0</v>
      </c>
    </row>
    <row r="124" spans="1:17" s="13" customFormat="1" ht="15.75" x14ac:dyDescent="0.25">
      <c r="A124" s="10"/>
      <c r="B124" s="24" t="s">
        <v>77</v>
      </c>
      <c r="C124" s="1" t="s">
        <v>17</v>
      </c>
      <c r="D124" s="2"/>
      <c r="E124" s="3" t="s">
        <v>32</v>
      </c>
      <c r="F124" s="16" t="s">
        <v>255</v>
      </c>
      <c r="G124" s="11" t="s">
        <v>117</v>
      </c>
      <c r="H124" s="1"/>
      <c r="I124" s="49"/>
      <c r="J124" s="46"/>
      <c r="K124" s="40"/>
      <c r="L124" s="40"/>
      <c r="M124" s="78">
        <f t="shared" si="4"/>
        <v>0</v>
      </c>
      <c r="N124" s="41"/>
      <c r="O124" s="31"/>
      <c r="P124" s="31"/>
      <c r="Q124" s="79">
        <f t="shared" si="3"/>
        <v>0</v>
      </c>
    </row>
    <row r="125" spans="1:17" s="13" customFormat="1" ht="15.75" x14ac:dyDescent="0.25">
      <c r="A125" s="10">
        <v>52</v>
      </c>
      <c r="B125" s="62" t="s">
        <v>79</v>
      </c>
      <c r="C125" s="1" t="s">
        <v>17</v>
      </c>
      <c r="D125" s="2"/>
      <c r="E125" s="3" t="s">
        <v>18</v>
      </c>
      <c r="F125" s="73" t="s">
        <v>206</v>
      </c>
      <c r="G125" s="74" t="s">
        <v>112</v>
      </c>
      <c r="H125" s="75"/>
      <c r="I125" s="76"/>
      <c r="J125" s="96"/>
      <c r="K125" s="77"/>
      <c r="L125" s="77"/>
      <c r="M125" s="38">
        <f t="shared" si="4"/>
        <v>0</v>
      </c>
      <c r="N125" s="100"/>
      <c r="O125" s="81"/>
      <c r="P125" s="81"/>
      <c r="Q125" s="12">
        <f t="shared" si="3"/>
        <v>0</v>
      </c>
    </row>
    <row r="126" spans="1:17" s="13" customFormat="1" ht="15.75" x14ac:dyDescent="0.25">
      <c r="A126" s="10"/>
      <c r="B126" s="22" t="s">
        <v>79</v>
      </c>
      <c r="C126" s="1" t="s">
        <v>17</v>
      </c>
      <c r="D126" s="2"/>
      <c r="E126" s="3" t="s">
        <v>18</v>
      </c>
      <c r="F126" s="2" t="s">
        <v>245</v>
      </c>
      <c r="G126" s="11" t="s">
        <v>113</v>
      </c>
      <c r="H126" s="1"/>
      <c r="I126" s="49"/>
      <c r="J126" s="46"/>
      <c r="K126" s="31"/>
      <c r="L126" s="31"/>
      <c r="M126" s="78">
        <f t="shared" si="4"/>
        <v>0</v>
      </c>
      <c r="N126" s="41"/>
      <c r="O126" s="31"/>
      <c r="P126" s="31"/>
      <c r="Q126" s="79">
        <f t="shared" si="3"/>
        <v>0</v>
      </c>
    </row>
    <row r="127" spans="1:17" s="13" customFormat="1" ht="15.75" x14ac:dyDescent="0.25">
      <c r="A127" s="10"/>
      <c r="B127" s="62" t="s">
        <v>151</v>
      </c>
      <c r="C127" s="1" t="s">
        <v>17</v>
      </c>
      <c r="D127" s="2"/>
      <c r="E127" s="3" t="s">
        <v>32</v>
      </c>
      <c r="F127" s="73" t="s">
        <v>207</v>
      </c>
      <c r="G127" s="74" t="s">
        <v>112</v>
      </c>
      <c r="H127" s="75"/>
      <c r="I127" s="82"/>
      <c r="J127" s="96"/>
      <c r="K127" s="81"/>
      <c r="L127" s="81"/>
      <c r="M127" s="38">
        <f t="shared" si="4"/>
        <v>0</v>
      </c>
      <c r="N127" s="100"/>
      <c r="O127" s="81"/>
      <c r="P127" s="81"/>
      <c r="Q127" s="12">
        <f t="shared" si="3"/>
        <v>0</v>
      </c>
    </row>
    <row r="128" spans="1:17" s="13" customFormat="1" ht="15.75" x14ac:dyDescent="0.25">
      <c r="A128" s="10"/>
      <c r="B128" s="22" t="s">
        <v>151</v>
      </c>
      <c r="C128" s="1" t="s">
        <v>17</v>
      </c>
      <c r="D128" s="2"/>
      <c r="E128" s="3" t="s">
        <v>32</v>
      </c>
      <c r="F128" s="2" t="s">
        <v>259</v>
      </c>
      <c r="G128" s="11" t="s">
        <v>117</v>
      </c>
      <c r="H128" s="1"/>
      <c r="I128" s="49"/>
      <c r="J128" s="46"/>
      <c r="K128" s="40"/>
      <c r="L128" s="40"/>
      <c r="M128" s="78">
        <f t="shared" si="4"/>
        <v>0</v>
      </c>
      <c r="N128" s="41"/>
      <c r="O128" s="31"/>
      <c r="P128" s="31"/>
      <c r="Q128" s="79">
        <f t="shared" si="3"/>
        <v>0</v>
      </c>
    </row>
    <row r="129" spans="1:17" s="13" customFormat="1" ht="15.75" x14ac:dyDescent="0.25">
      <c r="A129" s="10">
        <v>53</v>
      </c>
      <c r="B129" s="62" t="s">
        <v>80</v>
      </c>
      <c r="C129" s="1" t="s">
        <v>17</v>
      </c>
      <c r="D129" s="2"/>
      <c r="E129" s="3" t="s">
        <v>81</v>
      </c>
      <c r="F129" s="73" t="s">
        <v>208</v>
      </c>
      <c r="G129" s="74" t="s">
        <v>112</v>
      </c>
      <c r="H129" s="75"/>
      <c r="I129" s="76"/>
      <c r="J129" s="96"/>
      <c r="K129" s="77"/>
      <c r="L129" s="77"/>
      <c r="M129" s="38">
        <f t="shared" si="4"/>
        <v>0</v>
      </c>
      <c r="N129" s="100"/>
      <c r="O129" s="81"/>
      <c r="P129" s="81"/>
      <c r="Q129" s="12">
        <f t="shared" si="3"/>
        <v>0</v>
      </c>
    </row>
    <row r="130" spans="1:17" s="13" customFormat="1" ht="15.75" x14ac:dyDescent="0.25">
      <c r="A130" s="10"/>
      <c r="B130" s="22" t="s">
        <v>80</v>
      </c>
      <c r="C130" s="1" t="s">
        <v>17</v>
      </c>
      <c r="D130" s="2"/>
      <c r="E130" s="3" t="s">
        <v>81</v>
      </c>
      <c r="F130" s="2" t="s">
        <v>285</v>
      </c>
      <c r="G130" s="11" t="s">
        <v>114</v>
      </c>
      <c r="H130" s="1"/>
      <c r="I130" s="49"/>
      <c r="J130" s="51"/>
      <c r="K130" s="40"/>
      <c r="L130" s="40"/>
      <c r="M130" s="78">
        <f t="shared" si="4"/>
        <v>0</v>
      </c>
      <c r="N130" s="41"/>
      <c r="O130" s="31"/>
      <c r="P130" s="31"/>
      <c r="Q130" s="79">
        <f t="shared" si="3"/>
        <v>0</v>
      </c>
    </row>
    <row r="131" spans="1:17" s="13" customFormat="1" ht="15.75" x14ac:dyDescent="0.25">
      <c r="A131" s="10">
        <v>54</v>
      </c>
      <c r="B131" s="30" t="s">
        <v>82</v>
      </c>
      <c r="C131" s="1" t="s">
        <v>17</v>
      </c>
      <c r="D131" s="2"/>
      <c r="E131" s="3" t="s">
        <v>20</v>
      </c>
      <c r="F131" s="73" t="s">
        <v>209</v>
      </c>
      <c r="G131" s="74" t="s">
        <v>112</v>
      </c>
      <c r="H131" s="75"/>
      <c r="I131" s="76"/>
      <c r="J131" s="96"/>
      <c r="K131" s="77"/>
      <c r="L131" s="77"/>
      <c r="M131" s="38">
        <f t="shared" si="4"/>
        <v>0</v>
      </c>
      <c r="N131" s="100"/>
      <c r="O131" s="81"/>
      <c r="P131" s="81"/>
      <c r="Q131" s="12">
        <f t="shared" si="3"/>
        <v>0</v>
      </c>
    </row>
    <row r="132" spans="1:17" s="13" customFormat="1" ht="15.75" x14ac:dyDescent="0.25">
      <c r="A132" s="10"/>
      <c r="B132" s="24" t="s">
        <v>82</v>
      </c>
      <c r="C132" s="1" t="s">
        <v>17</v>
      </c>
      <c r="D132" s="2"/>
      <c r="E132" s="3" t="s">
        <v>20</v>
      </c>
      <c r="F132" s="2" t="s">
        <v>124</v>
      </c>
      <c r="G132" s="11" t="s">
        <v>114</v>
      </c>
      <c r="H132" s="1"/>
      <c r="I132" s="49"/>
      <c r="J132" s="51"/>
      <c r="K132" s="40"/>
      <c r="L132" s="40"/>
      <c r="M132" s="78">
        <f t="shared" si="4"/>
        <v>0</v>
      </c>
      <c r="N132" s="41"/>
      <c r="O132" s="31"/>
      <c r="P132" s="31"/>
      <c r="Q132" s="79">
        <f t="shared" si="3"/>
        <v>0</v>
      </c>
    </row>
    <row r="133" spans="1:17" s="13" customFormat="1" ht="15.75" x14ac:dyDescent="0.25">
      <c r="A133" s="10"/>
      <c r="B133" s="24" t="s">
        <v>309</v>
      </c>
      <c r="C133" s="1"/>
      <c r="D133" s="2"/>
      <c r="E133" s="3" t="s">
        <v>20</v>
      </c>
      <c r="F133" s="2"/>
      <c r="G133" s="11" t="s">
        <v>112</v>
      </c>
      <c r="H133" s="1"/>
      <c r="I133" s="58"/>
      <c r="J133" s="51"/>
      <c r="K133" s="40"/>
      <c r="L133" s="40"/>
      <c r="M133" s="38">
        <f t="shared" si="4"/>
        <v>0</v>
      </c>
      <c r="N133" s="41"/>
      <c r="O133" s="31"/>
      <c r="P133" s="31"/>
      <c r="Q133" s="79"/>
    </row>
    <row r="134" spans="1:17" s="13" customFormat="1" ht="15.75" x14ac:dyDescent="0.25">
      <c r="A134" s="10"/>
      <c r="B134" s="30" t="s">
        <v>152</v>
      </c>
      <c r="C134" s="1" t="s">
        <v>17</v>
      </c>
      <c r="D134" s="2"/>
      <c r="E134" s="3" t="s">
        <v>35</v>
      </c>
      <c r="F134" s="73" t="s">
        <v>210</v>
      </c>
      <c r="G134" s="74" t="s">
        <v>112</v>
      </c>
      <c r="H134" s="75"/>
      <c r="I134" s="76"/>
      <c r="J134" s="96"/>
      <c r="K134" s="77"/>
      <c r="L134" s="77"/>
      <c r="M134" s="38">
        <f t="shared" si="4"/>
        <v>0</v>
      </c>
      <c r="N134" s="100"/>
      <c r="O134" s="81"/>
      <c r="P134" s="81"/>
      <c r="Q134" s="12">
        <f t="shared" si="3"/>
        <v>0</v>
      </c>
    </row>
    <row r="135" spans="1:17" s="13" customFormat="1" ht="15.75" x14ac:dyDescent="0.25">
      <c r="A135" s="10"/>
      <c r="B135" s="24" t="s">
        <v>152</v>
      </c>
      <c r="C135" s="1" t="s">
        <v>17</v>
      </c>
      <c r="D135" s="2"/>
      <c r="E135" s="3" t="s">
        <v>32</v>
      </c>
      <c r="F135" s="2"/>
      <c r="G135" s="11" t="s">
        <v>117</v>
      </c>
      <c r="H135" s="1"/>
      <c r="I135" s="49"/>
      <c r="J135" s="46"/>
      <c r="K135" s="40"/>
      <c r="L135" s="40"/>
      <c r="M135" s="78">
        <f t="shared" si="4"/>
        <v>0</v>
      </c>
      <c r="N135" s="41"/>
      <c r="O135" s="31"/>
      <c r="P135" s="31"/>
      <c r="Q135" s="79">
        <f t="shared" si="3"/>
        <v>0</v>
      </c>
    </row>
    <row r="136" spans="1:17" s="13" customFormat="1" ht="15.75" x14ac:dyDescent="0.25">
      <c r="A136" s="10">
        <v>55</v>
      </c>
      <c r="B136" s="30" t="s">
        <v>83</v>
      </c>
      <c r="C136" s="1" t="s">
        <v>17</v>
      </c>
      <c r="D136" s="2"/>
      <c r="E136" s="3" t="s">
        <v>20</v>
      </c>
      <c r="F136" s="73" t="s">
        <v>211</v>
      </c>
      <c r="G136" s="74" t="s">
        <v>112</v>
      </c>
      <c r="H136" s="75"/>
      <c r="I136" s="76"/>
      <c r="J136" s="96"/>
      <c r="K136" s="77"/>
      <c r="L136" s="77"/>
      <c r="M136" s="38">
        <f t="shared" si="4"/>
        <v>0</v>
      </c>
      <c r="N136" s="100"/>
      <c r="O136" s="81"/>
      <c r="P136" s="81"/>
      <c r="Q136" s="12">
        <f t="shared" si="3"/>
        <v>0</v>
      </c>
    </row>
    <row r="137" spans="1:17" s="13" customFormat="1" ht="15.75" x14ac:dyDescent="0.25">
      <c r="A137" s="10"/>
      <c r="B137" s="24" t="s">
        <v>83</v>
      </c>
      <c r="C137" s="1" t="s">
        <v>17</v>
      </c>
      <c r="D137" s="2"/>
      <c r="E137" s="3" t="s">
        <v>20</v>
      </c>
      <c r="F137" s="2" t="s">
        <v>286</v>
      </c>
      <c r="G137" s="11" t="s">
        <v>114</v>
      </c>
      <c r="H137" s="1"/>
      <c r="I137" s="49"/>
      <c r="J137" s="51"/>
      <c r="K137" s="40"/>
      <c r="L137" s="40"/>
      <c r="M137" s="78">
        <f t="shared" si="4"/>
        <v>0</v>
      </c>
      <c r="N137" s="41"/>
      <c r="O137" s="31"/>
      <c r="P137" s="31"/>
      <c r="Q137" s="79">
        <f t="shared" si="3"/>
        <v>0</v>
      </c>
    </row>
    <row r="138" spans="1:17" s="13" customFormat="1" ht="15.75" x14ac:dyDescent="0.25">
      <c r="A138" s="10"/>
      <c r="B138" s="24" t="s">
        <v>310</v>
      </c>
      <c r="C138" s="1"/>
      <c r="D138" s="2"/>
      <c r="E138" s="3" t="s">
        <v>20</v>
      </c>
      <c r="F138" s="2"/>
      <c r="G138" s="11" t="s">
        <v>114</v>
      </c>
      <c r="H138" s="1"/>
      <c r="I138" s="49"/>
      <c r="J138" s="51"/>
      <c r="K138" s="40"/>
      <c r="L138" s="40"/>
      <c r="M138" s="78"/>
      <c r="N138" s="41"/>
      <c r="O138" s="31"/>
      <c r="P138" s="31"/>
      <c r="Q138" s="79"/>
    </row>
    <row r="139" spans="1:17" s="13" customFormat="1" ht="15.75" x14ac:dyDescent="0.25">
      <c r="A139" s="10"/>
      <c r="B139" s="30" t="s">
        <v>84</v>
      </c>
      <c r="C139" s="1"/>
      <c r="D139" s="2"/>
      <c r="E139" s="3" t="s">
        <v>20</v>
      </c>
      <c r="F139" s="2" t="s">
        <v>287</v>
      </c>
      <c r="G139" s="11" t="s">
        <v>114</v>
      </c>
      <c r="H139" s="1"/>
      <c r="I139" s="49"/>
      <c r="J139" s="51"/>
      <c r="K139" s="40"/>
      <c r="L139" s="40"/>
      <c r="M139" s="38">
        <f t="shared" si="4"/>
        <v>0</v>
      </c>
      <c r="N139" s="41"/>
      <c r="O139" s="31"/>
      <c r="P139" s="31"/>
      <c r="Q139" s="12">
        <f t="shared" si="3"/>
        <v>0</v>
      </c>
    </row>
    <row r="140" spans="1:17" s="13" customFormat="1" ht="36" x14ac:dyDescent="0.25">
      <c r="A140" s="10">
        <v>57</v>
      </c>
      <c r="B140" s="30" t="s">
        <v>85</v>
      </c>
      <c r="C140" s="1" t="s">
        <v>304</v>
      </c>
      <c r="D140" s="18" t="s">
        <v>110</v>
      </c>
      <c r="E140" s="3" t="s">
        <v>20</v>
      </c>
      <c r="F140" s="73" t="s">
        <v>212</v>
      </c>
      <c r="G140" s="74" t="s">
        <v>112</v>
      </c>
      <c r="H140" s="75"/>
      <c r="I140" s="76"/>
      <c r="J140" s="96"/>
      <c r="K140" s="77"/>
      <c r="L140" s="77"/>
      <c r="M140" s="38">
        <f t="shared" si="4"/>
        <v>0</v>
      </c>
      <c r="N140" s="100"/>
      <c r="O140" s="81"/>
      <c r="P140" s="81"/>
      <c r="Q140" s="79">
        <f t="shared" si="3"/>
        <v>0</v>
      </c>
    </row>
    <row r="141" spans="1:17" s="13" customFormat="1" ht="15.75" x14ac:dyDescent="0.25">
      <c r="A141" s="10">
        <v>69</v>
      </c>
      <c r="B141" s="27" t="s">
        <v>86</v>
      </c>
      <c r="C141" s="1" t="s">
        <v>17</v>
      </c>
      <c r="D141" s="2"/>
      <c r="E141" s="17" t="s">
        <v>20</v>
      </c>
      <c r="F141" s="73" t="s">
        <v>213</v>
      </c>
      <c r="G141" s="74" t="s">
        <v>112</v>
      </c>
      <c r="H141" s="75"/>
      <c r="I141" s="76"/>
      <c r="J141" s="96"/>
      <c r="K141" s="77"/>
      <c r="L141" s="77"/>
      <c r="M141" s="38">
        <f t="shared" si="4"/>
        <v>0</v>
      </c>
      <c r="N141" s="100"/>
      <c r="O141" s="81"/>
      <c r="P141" s="81"/>
      <c r="Q141" s="12">
        <f t="shared" si="3"/>
        <v>0</v>
      </c>
    </row>
    <row r="142" spans="1:17" s="13" customFormat="1" ht="15.75" x14ac:dyDescent="0.25">
      <c r="A142" s="10"/>
      <c r="B142" s="25" t="s">
        <v>86</v>
      </c>
      <c r="C142" s="1" t="s">
        <v>17</v>
      </c>
      <c r="D142" s="2"/>
      <c r="E142" s="17" t="s">
        <v>20</v>
      </c>
      <c r="F142" s="2" t="s">
        <v>288</v>
      </c>
      <c r="G142" s="11" t="s">
        <v>114</v>
      </c>
      <c r="H142" s="1"/>
      <c r="I142" s="49"/>
      <c r="J142" s="51"/>
      <c r="K142" s="40"/>
      <c r="L142" s="40"/>
      <c r="M142" s="78">
        <f t="shared" si="4"/>
        <v>0</v>
      </c>
      <c r="N142" s="41"/>
      <c r="O142" s="31"/>
      <c r="P142" s="31"/>
      <c r="Q142" s="79">
        <f t="shared" si="3"/>
        <v>0</v>
      </c>
    </row>
    <row r="143" spans="1:17" s="13" customFormat="1" ht="15.75" x14ac:dyDescent="0.25">
      <c r="A143" s="10">
        <v>70</v>
      </c>
      <c r="B143" s="62" t="s">
        <v>87</v>
      </c>
      <c r="C143" s="1" t="s">
        <v>17</v>
      </c>
      <c r="D143" s="2"/>
      <c r="E143" s="17" t="s">
        <v>78</v>
      </c>
      <c r="F143" s="73" t="s">
        <v>142</v>
      </c>
      <c r="G143" s="74" t="s">
        <v>112</v>
      </c>
      <c r="H143" s="75"/>
      <c r="I143" s="76"/>
      <c r="J143" s="96"/>
      <c r="K143" s="77"/>
      <c r="L143" s="77"/>
      <c r="M143" s="38">
        <f t="shared" si="4"/>
        <v>0</v>
      </c>
      <c r="N143" s="100"/>
      <c r="O143" s="81"/>
      <c r="P143" s="81"/>
      <c r="Q143" s="12">
        <f t="shared" ref="Q143:Q183" si="5">O143-P143</f>
        <v>0</v>
      </c>
    </row>
    <row r="144" spans="1:17" s="13" customFormat="1" ht="15.75" x14ac:dyDescent="0.25">
      <c r="A144" s="10"/>
      <c r="B144" s="62" t="s">
        <v>312</v>
      </c>
      <c r="C144" s="1"/>
      <c r="D144" s="2"/>
      <c r="E144" s="17"/>
      <c r="F144" s="73"/>
      <c r="G144" s="74" t="s">
        <v>112</v>
      </c>
      <c r="H144" s="75">
        <v>2</v>
      </c>
      <c r="I144" s="76"/>
      <c r="J144" s="96"/>
      <c r="K144" s="77"/>
      <c r="L144" s="77"/>
      <c r="M144" s="38"/>
      <c r="N144" s="100"/>
      <c r="O144" s="81"/>
      <c r="P144" s="81"/>
      <c r="Q144" s="12"/>
    </row>
    <row r="145" spans="1:17" s="13" customFormat="1" ht="15.75" x14ac:dyDescent="0.25">
      <c r="A145" s="10">
        <v>71</v>
      </c>
      <c r="B145" s="30" t="s">
        <v>88</v>
      </c>
      <c r="C145" s="1" t="s">
        <v>17</v>
      </c>
      <c r="D145" s="2"/>
      <c r="E145" s="3" t="s">
        <v>89</v>
      </c>
      <c r="F145" s="73" t="s">
        <v>214</v>
      </c>
      <c r="G145" s="74" t="s">
        <v>112</v>
      </c>
      <c r="H145" s="75"/>
      <c r="I145" s="76"/>
      <c r="J145" s="96"/>
      <c r="K145" s="77"/>
      <c r="L145" s="77"/>
      <c r="M145" s="38">
        <f t="shared" si="4"/>
        <v>0</v>
      </c>
      <c r="N145" s="100"/>
      <c r="O145" s="81"/>
      <c r="P145" s="81"/>
      <c r="Q145" s="79">
        <f t="shared" si="5"/>
        <v>0</v>
      </c>
    </row>
    <row r="146" spans="1:17" s="13" customFormat="1" ht="15.75" x14ac:dyDescent="0.25">
      <c r="A146" s="10">
        <v>4907</v>
      </c>
      <c r="B146" s="24" t="s">
        <v>88</v>
      </c>
      <c r="C146" s="1" t="s">
        <v>17</v>
      </c>
      <c r="D146" s="2"/>
      <c r="E146" s="3" t="s">
        <v>89</v>
      </c>
      <c r="F146" s="2" t="s">
        <v>238</v>
      </c>
      <c r="G146" s="11" t="s">
        <v>118</v>
      </c>
      <c r="H146" s="1"/>
      <c r="I146" s="49"/>
      <c r="J146" s="46"/>
      <c r="K146" s="40"/>
      <c r="L146" s="40"/>
      <c r="M146" s="38">
        <f t="shared" si="4"/>
        <v>0</v>
      </c>
      <c r="N146" s="41"/>
      <c r="O146" s="31"/>
      <c r="P146" s="31"/>
      <c r="Q146" s="12">
        <f t="shared" si="5"/>
        <v>0</v>
      </c>
    </row>
    <row r="147" spans="1:17" s="13" customFormat="1" ht="15.75" x14ac:dyDescent="0.25">
      <c r="A147" s="10">
        <v>72</v>
      </c>
      <c r="B147" s="30" t="s">
        <v>90</v>
      </c>
      <c r="C147" s="1" t="s">
        <v>17</v>
      </c>
      <c r="D147" s="2"/>
      <c r="E147" s="17" t="s">
        <v>20</v>
      </c>
      <c r="F147" s="73" t="s">
        <v>215</v>
      </c>
      <c r="G147" s="74" t="s">
        <v>112</v>
      </c>
      <c r="H147" s="75"/>
      <c r="I147" s="76"/>
      <c r="J147" s="96"/>
      <c r="K147" s="77"/>
      <c r="L147" s="77"/>
      <c r="M147" s="38">
        <f t="shared" si="4"/>
        <v>0</v>
      </c>
      <c r="N147" s="100"/>
      <c r="O147" s="81"/>
      <c r="P147" s="81"/>
      <c r="Q147" s="79">
        <f t="shared" si="5"/>
        <v>0</v>
      </c>
    </row>
    <row r="148" spans="1:17" s="13" customFormat="1" ht="15.75" x14ac:dyDescent="0.25">
      <c r="A148" s="10"/>
      <c r="B148" s="24" t="s">
        <v>90</v>
      </c>
      <c r="C148" s="1" t="s">
        <v>17</v>
      </c>
      <c r="D148" s="2"/>
      <c r="E148" s="17" t="s">
        <v>20</v>
      </c>
      <c r="F148" s="2" t="s">
        <v>289</v>
      </c>
      <c r="G148" s="11" t="s">
        <v>114</v>
      </c>
      <c r="H148" s="1"/>
      <c r="I148" s="49"/>
      <c r="J148" s="51"/>
      <c r="K148" s="40"/>
      <c r="L148" s="40"/>
      <c r="M148" s="78">
        <f t="shared" si="4"/>
        <v>0</v>
      </c>
      <c r="N148" s="41"/>
      <c r="O148" s="31"/>
      <c r="P148" s="31"/>
      <c r="Q148" s="12">
        <f t="shared" si="5"/>
        <v>0</v>
      </c>
    </row>
    <row r="149" spans="1:17" s="13" customFormat="1" ht="15.75" x14ac:dyDescent="0.25">
      <c r="A149" s="10">
        <v>75</v>
      </c>
      <c r="B149" s="30" t="s">
        <v>91</v>
      </c>
      <c r="C149" s="1" t="s">
        <v>17</v>
      </c>
      <c r="D149" s="2"/>
      <c r="E149" s="17" t="s">
        <v>20</v>
      </c>
      <c r="F149" s="73" t="s">
        <v>216</v>
      </c>
      <c r="G149" s="74" t="s">
        <v>112</v>
      </c>
      <c r="H149" s="75"/>
      <c r="I149" s="76"/>
      <c r="J149" s="96"/>
      <c r="K149" s="77"/>
      <c r="L149" s="77"/>
      <c r="M149" s="38">
        <f t="shared" si="4"/>
        <v>0</v>
      </c>
      <c r="N149" s="100"/>
      <c r="O149" s="81"/>
      <c r="P149" s="81"/>
      <c r="Q149" s="79">
        <f t="shared" si="5"/>
        <v>0</v>
      </c>
    </row>
    <row r="150" spans="1:17" s="13" customFormat="1" ht="15.75" x14ac:dyDescent="0.25">
      <c r="A150" s="10">
        <v>93</v>
      </c>
      <c r="B150" s="22" t="s">
        <v>138</v>
      </c>
      <c r="C150" s="1" t="s">
        <v>17</v>
      </c>
      <c r="D150" s="2"/>
      <c r="E150" s="17" t="s">
        <v>20</v>
      </c>
      <c r="F150" s="2" t="s">
        <v>290</v>
      </c>
      <c r="G150" s="11" t="s">
        <v>114</v>
      </c>
      <c r="H150" s="1"/>
      <c r="I150" s="49"/>
      <c r="J150" s="51"/>
      <c r="K150" s="37"/>
      <c r="L150" s="37"/>
      <c r="M150" s="78">
        <f t="shared" si="4"/>
        <v>0</v>
      </c>
      <c r="N150" s="39"/>
      <c r="O150" s="31"/>
      <c r="P150" s="31"/>
      <c r="Q150" s="12">
        <f t="shared" si="5"/>
        <v>0</v>
      </c>
    </row>
    <row r="151" spans="1:17" s="13" customFormat="1" ht="15.75" x14ac:dyDescent="0.25">
      <c r="A151" s="10"/>
      <c r="B151" s="62" t="s">
        <v>138</v>
      </c>
      <c r="C151" s="1" t="s">
        <v>17</v>
      </c>
      <c r="D151" s="2"/>
      <c r="E151" s="17" t="s">
        <v>20</v>
      </c>
      <c r="F151" s="73" t="s">
        <v>217</v>
      </c>
      <c r="G151" s="74" t="s">
        <v>112</v>
      </c>
      <c r="H151" s="75"/>
      <c r="I151" s="82"/>
      <c r="J151" s="96"/>
      <c r="K151" s="77"/>
      <c r="L151" s="77"/>
      <c r="M151" s="38">
        <f t="shared" si="4"/>
        <v>0</v>
      </c>
      <c r="N151" s="100"/>
      <c r="O151" s="81"/>
      <c r="P151" s="81"/>
      <c r="Q151" s="79">
        <f t="shared" si="5"/>
        <v>0</v>
      </c>
    </row>
    <row r="152" spans="1:17" s="13" customFormat="1" ht="15.75" x14ac:dyDescent="0.25">
      <c r="A152" s="10"/>
      <c r="B152" s="62" t="s">
        <v>157</v>
      </c>
      <c r="C152" s="1" t="s">
        <v>17</v>
      </c>
      <c r="D152" s="2"/>
      <c r="E152" s="17" t="s">
        <v>20</v>
      </c>
      <c r="F152" s="73" t="s">
        <v>218</v>
      </c>
      <c r="G152" s="74" t="s">
        <v>112</v>
      </c>
      <c r="H152" s="75">
        <v>1</v>
      </c>
      <c r="I152" s="82"/>
      <c r="J152" s="96"/>
      <c r="K152" s="77"/>
      <c r="L152" s="77"/>
      <c r="M152" s="38">
        <f t="shared" ref="M152:M182" si="6">K152-L152</f>
        <v>0</v>
      </c>
      <c r="N152" s="100"/>
      <c r="O152" s="81"/>
      <c r="P152" s="81"/>
      <c r="Q152" s="12">
        <f t="shared" si="5"/>
        <v>0</v>
      </c>
    </row>
    <row r="153" spans="1:17" s="13" customFormat="1" ht="15.75" x14ac:dyDescent="0.25">
      <c r="A153" s="10"/>
      <c r="B153" s="22" t="s">
        <v>157</v>
      </c>
      <c r="C153" s="1" t="s">
        <v>17</v>
      </c>
      <c r="D153" s="2"/>
      <c r="E153" s="17" t="s">
        <v>20</v>
      </c>
      <c r="F153" s="2"/>
      <c r="G153" s="11" t="s">
        <v>114</v>
      </c>
      <c r="H153" s="1"/>
      <c r="I153" s="49"/>
      <c r="J153" s="51"/>
      <c r="K153" s="37"/>
      <c r="L153" s="37"/>
      <c r="M153" s="38">
        <f t="shared" si="6"/>
        <v>0</v>
      </c>
      <c r="N153" s="39"/>
      <c r="O153" s="31"/>
      <c r="P153" s="31"/>
      <c r="Q153" s="79">
        <f t="shared" si="5"/>
        <v>0</v>
      </c>
    </row>
    <row r="154" spans="1:17" s="15" customFormat="1" ht="15.75" x14ac:dyDescent="0.25">
      <c r="A154" s="14">
        <v>76</v>
      </c>
      <c r="B154" s="80" t="s">
        <v>92</v>
      </c>
      <c r="C154" s="1" t="s">
        <v>17</v>
      </c>
      <c r="D154" s="2"/>
      <c r="E154" s="17" t="s">
        <v>20</v>
      </c>
      <c r="F154" s="73" t="s">
        <v>219</v>
      </c>
      <c r="G154" s="74" t="s">
        <v>112</v>
      </c>
      <c r="H154" s="75"/>
      <c r="I154" s="76"/>
      <c r="J154" s="96"/>
      <c r="K154" s="77"/>
      <c r="L154" s="77"/>
      <c r="M154" s="38">
        <f t="shared" si="6"/>
        <v>0</v>
      </c>
      <c r="N154" s="100"/>
      <c r="O154" s="81"/>
      <c r="P154" s="81"/>
      <c r="Q154" s="12">
        <f t="shared" si="5"/>
        <v>0</v>
      </c>
    </row>
    <row r="155" spans="1:17" s="15" customFormat="1" ht="15.75" x14ac:dyDescent="0.25">
      <c r="A155" s="14"/>
      <c r="B155" s="23" t="s">
        <v>92</v>
      </c>
      <c r="C155" s="1" t="s">
        <v>17</v>
      </c>
      <c r="D155" s="2"/>
      <c r="E155" s="17" t="s">
        <v>20</v>
      </c>
      <c r="F155" s="2" t="s">
        <v>129</v>
      </c>
      <c r="G155" s="11" t="s">
        <v>114</v>
      </c>
      <c r="H155" s="1"/>
      <c r="I155" s="49"/>
      <c r="J155" s="51"/>
      <c r="K155" s="40"/>
      <c r="L155" s="40"/>
      <c r="M155" s="38">
        <f t="shared" si="6"/>
        <v>0</v>
      </c>
      <c r="N155" s="39"/>
      <c r="O155" s="31"/>
      <c r="P155" s="31"/>
      <c r="Q155" s="79">
        <f t="shared" si="5"/>
        <v>0</v>
      </c>
    </row>
    <row r="156" spans="1:17" s="13" customFormat="1" ht="15.75" x14ac:dyDescent="0.25">
      <c r="A156" s="10">
        <v>77</v>
      </c>
      <c r="B156" s="30" t="s">
        <v>93</v>
      </c>
      <c r="C156" s="1" t="s">
        <v>17</v>
      </c>
      <c r="D156" s="2"/>
      <c r="E156" s="3" t="s">
        <v>94</v>
      </c>
      <c r="F156" s="73" t="s">
        <v>220</v>
      </c>
      <c r="G156" s="74" t="s">
        <v>112</v>
      </c>
      <c r="H156" s="75">
        <v>3</v>
      </c>
      <c r="I156" s="76"/>
      <c r="J156" s="96"/>
      <c r="K156" s="77"/>
      <c r="L156" s="77"/>
      <c r="M156" s="38">
        <f t="shared" si="6"/>
        <v>0</v>
      </c>
      <c r="N156" s="100"/>
      <c r="O156" s="81"/>
      <c r="P156" s="81"/>
      <c r="Q156" s="12">
        <f t="shared" si="5"/>
        <v>0</v>
      </c>
    </row>
    <row r="157" spans="1:17" s="13" customFormat="1" ht="15.75" x14ac:dyDescent="0.25">
      <c r="A157" s="10"/>
      <c r="B157" s="24" t="s">
        <v>93</v>
      </c>
      <c r="C157" s="1" t="s">
        <v>17</v>
      </c>
      <c r="D157" s="2"/>
      <c r="E157" s="3" t="s">
        <v>94</v>
      </c>
      <c r="F157" s="2" t="s">
        <v>130</v>
      </c>
      <c r="G157" s="11" t="s">
        <v>114</v>
      </c>
      <c r="H157" s="1"/>
      <c r="I157" s="49"/>
      <c r="J157" s="51"/>
      <c r="K157" s="40"/>
      <c r="L157" s="77"/>
      <c r="M157" s="38">
        <f t="shared" si="6"/>
        <v>0</v>
      </c>
      <c r="N157" s="41"/>
      <c r="O157" s="31"/>
      <c r="P157" s="31"/>
      <c r="Q157" s="79">
        <f t="shared" si="5"/>
        <v>0</v>
      </c>
    </row>
    <row r="158" spans="1:17" s="13" customFormat="1" ht="15.75" x14ac:dyDescent="0.25">
      <c r="A158" s="10"/>
      <c r="B158" s="24" t="s">
        <v>93</v>
      </c>
      <c r="C158" s="1" t="s">
        <v>17</v>
      </c>
      <c r="D158" s="2"/>
      <c r="E158" s="3" t="s">
        <v>94</v>
      </c>
      <c r="F158" s="2" t="s">
        <v>240</v>
      </c>
      <c r="G158" s="11" t="s">
        <v>118</v>
      </c>
      <c r="H158" s="1"/>
      <c r="I158" s="49"/>
      <c r="J158" s="46"/>
      <c r="K158" s="40"/>
      <c r="L158" s="40"/>
      <c r="M158" s="78">
        <f t="shared" si="6"/>
        <v>0</v>
      </c>
      <c r="N158" s="41"/>
      <c r="O158" s="31"/>
      <c r="P158" s="31"/>
      <c r="Q158" s="12">
        <f t="shared" si="5"/>
        <v>0</v>
      </c>
    </row>
    <row r="159" spans="1:17" s="13" customFormat="1" ht="15.75" x14ac:dyDescent="0.25">
      <c r="A159" s="10">
        <v>78</v>
      </c>
      <c r="B159" s="30" t="s">
        <v>95</v>
      </c>
      <c r="C159" s="1" t="s">
        <v>17</v>
      </c>
      <c r="D159" s="2"/>
      <c r="E159" s="17" t="s">
        <v>20</v>
      </c>
      <c r="F159" s="73" t="s">
        <v>221</v>
      </c>
      <c r="G159" s="74" t="s">
        <v>112</v>
      </c>
      <c r="H159" s="75"/>
      <c r="I159" s="76"/>
      <c r="J159" s="96"/>
      <c r="K159" s="77"/>
      <c r="L159" s="77"/>
      <c r="M159" s="38">
        <f t="shared" si="6"/>
        <v>0</v>
      </c>
      <c r="N159" s="100"/>
      <c r="O159" s="81"/>
      <c r="P159" s="81"/>
      <c r="Q159" s="79">
        <f t="shared" si="5"/>
        <v>0</v>
      </c>
    </row>
    <row r="160" spans="1:17" s="13" customFormat="1" ht="15.75" x14ac:dyDescent="0.25">
      <c r="A160" s="10"/>
      <c r="B160" s="24" t="s">
        <v>95</v>
      </c>
      <c r="C160" s="1" t="s">
        <v>17</v>
      </c>
      <c r="D160" s="2"/>
      <c r="E160" s="17" t="s">
        <v>20</v>
      </c>
      <c r="F160" s="2" t="s">
        <v>291</v>
      </c>
      <c r="G160" s="11" t="s">
        <v>114</v>
      </c>
      <c r="H160" s="1"/>
      <c r="I160" s="49"/>
      <c r="J160" s="51"/>
      <c r="K160" s="40"/>
      <c r="L160" s="40"/>
      <c r="M160" s="78">
        <f t="shared" si="6"/>
        <v>0</v>
      </c>
      <c r="N160" s="41"/>
      <c r="O160" s="31"/>
      <c r="P160" s="31"/>
      <c r="Q160" s="12">
        <f t="shared" si="5"/>
        <v>0</v>
      </c>
    </row>
    <row r="161" spans="1:17" s="13" customFormat="1" ht="15.75" x14ac:dyDescent="0.25">
      <c r="A161" s="10">
        <v>79</v>
      </c>
      <c r="B161" s="30" t="s">
        <v>96</v>
      </c>
      <c r="C161" s="1" t="s">
        <v>17</v>
      </c>
      <c r="D161" s="2"/>
      <c r="E161" s="17" t="s">
        <v>97</v>
      </c>
      <c r="F161" s="73" t="s">
        <v>222</v>
      </c>
      <c r="G161" s="74" t="s">
        <v>112</v>
      </c>
      <c r="H161" s="75"/>
      <c r="I161" s="76"/>
      <c r="J161" s="96"/>
      <c r="K161" s="77"/>
      <c r="L161" s="77"/>
      <c r="M161" s="38">
        <f t="shared" si="6"/>
        <v>0</v>
      </c>
      <c r="N161" s="103"/>
      <c r="O161" s="77"/>
      <c r="P161" s="77"/>
      <c r="Q161" s="79">
        <f t="shared" si="5"/>
        <v>0</v>
      </c>
    </row>
    <row r="162" spans="1:17" s="13" customFormat="1" ht="15.75" x14ac:dyDescent="0.25">
      <c r="A162" s="10"/>
      <c r="B162" s="24" t="s">
        <v>96</v>
      </c>
      <c r="C162" s="1" t="s">
        <v>17</v>
      </c>
      <c r="D162" s="2"/>
      <c r="E162" s="17" t="s">
        <v>97</v>
      </c>
      <c r="F162" s="2" t="s">
        <v>292</v>
      </c>
      <c r="G162" s="11" t="s">
        <v>114</v>
      </c>
      <c r="H162" s="1"/>
      <c r="I162" s="49"/>
      <c r="J162" s="51"/>
      <c r="K162" s="40"/>
      <c r="L162" s="40"/>
      <c r="M162" s="78">
        <f t="shared" si="6"/>
        <v>0</v>
      </c>
      <c r="N162" s="41"/>
      <c r="O162" s="31"/>
      <c r="P162" s="31"/>
      <c r="Q162" s="12">
        <f t="shared" si="5"/>
        <v>0</v>
      </c>
    </row>
    <row r="163" spans="1:17" s="13" customFormat="1" ht="15.75" x14ac:dyDescent="0.25">
      <c r="A163" s="10">
        <v>80</v>
      </c>
      <c r="B163" s="30" t="s">
        <v>98</v>
      </c>
      <c r="C163" s="1" t="s">
        <v>17</v>
      </c>
      <c r="D163" s="2"/>
      <c r="E163" s="17" t="s">
        <v>35</v>
      </c>
      <c r="F163" s="73" t="s">
        <v>223</v>
      </c>
      <c r="G163" s="74" t="s">
        <v>112</v>
      </c>
      <c r="H163" s="75">
        <v>1</v>
      </c>
      <c r="I163" s="76"/>
      <c r="J163" s="96"/>
      <c r="K163" s="77"/>
      <c r="L163" s="77"/>
      <c r="M163" s="38">
        <f t="shared" si="6"/>
        <v>0</v>
      </c>
      <c r="N163" s="100"/>
      <c r="O163" s="81"/>
      <c r="P163" s="81"/>
      <c r="Q163" s="79">
        <f t="shared" si="5"/>
        <v>0</v>
      </c>
    </row>
    <row r="164" spans="1:17" s="13" customFormat="1" ht="15.75" x14ac:dyDescent="0.25">
      <c r="A164" s="10"/>
      <c r="B164" s="24" t="s">
        <v>98</v>
      </c>
      <c r="C164" s="1" t="s">
        <v>17</v>
      </c>
      <c r="D164" s="2"/>
      <c r="E164" s="17" t="s">
        <v>35</v>
      </c>
      <c r="F164" s="16" t="s">
        <v>256</v>
      </c>
      <c r="G164" s="8" t="s">
        <v>117</v>
      </c>
      <c r="H164" s="1"/>
      <c r="I164" s="49"/>
      <c r="J164" s="46"/>
      <c r="K164" s="40"/>
      <c r="L164" s="40"/>
      <c r="M164" s="78">
        <f t="shared" si="6"/>
        <v>0</v>
      </c>
      <c r="N164" s="41"/>
      <c r="O164" s="40"/>
      <c r="P164" s="40"/>
      <c r="Q164" s="12">
        <f t="shared" si="5"/>
        <v>0</v>
      </c>
    </row>
    <row r="165" spans="1:17" s="15" customFormat="1" ht="15.75" x14ac:dyDescent="0.25">
      <c r="A165" s="14">
        <v>81</v>
      </c>
      <c r="B165" s="84" t="s">
        <v>99</v>
      </c>
      <c r="C165" s="1" t="s">
        <v>17</v>
      </c>
      <c r="D165" s="2"/>
      <c r="E165" s="3" t="s">
        <v>32</v>
      </c>
      <c r="F165" s="73" t="s">
        <v>224</v>
      </c>
      <c r="G165" s="74" t="s">
        <v>112</v>
      </c>
      <c r="H165" s="75"/>
      <c r="I165" s="76"/>
      <c r="J165" s="96"/>
      <c r="K165" s="77"/>
      <c r="L165" s="77"/>
      <c r="M165" s="38">
        <f t="shared" si="6"/>
        <v>0</v>
      </c>
      <c r="N165" s="100"/>
      <c r="O165" s="81"/>
      <c r="P165" s="81"/>
      <c r="Q165" s="79">
        <f t="shared" si="5"/>
        <v>0</v>
      </c>
    </row>
    <row r="166" spans="1:17" s="15" customFormat="1" ht="15.75" x14ac:dyDescent="0.25">
      <c r="A166" s="14"/>
      <c r="B166" s="29" t="s">
        <v>99</v>
      </c>
      <c r="C166" s="1" t="s">
        <v>17</v>
      </c>
      <c r="D166" s="2"/>
      <c r="E166" s="3" t="s">
        <v>32</v>
      </c>
      <c r="F166" s="16" t="s">
        <v>257</v>
      </c>
      <c r="G166" s="8" t="s">
        <v>117</v>
      </c>
      <c r="H166" s="1"/>
      <c r="I166" s="49"/>
      <c r="J166" s="51"/>
      <c r="K166" s="40"/>
      <c r="L166" s="40"/>
      <c r="M166" s="78">
        <f t="shared" si="6"/>
        <v>0</v>
      </c>
      <c r="N166" s="39"/>
      <c r="O166" s="40"/>
      <c r="P166" s="40"/>
      <c r="Q166" s="12">
        <f t="shared" si="5"/>
        <v>0</v>
      </c>
    </row>
    <row r="167" spans="1:17" s="15" customFormat="1" ht="24" x14ac:dyDescent="0.25">
      <c r="A167" s="14"/>
      <c r="B167" s="30" t="s">
        <v>144</v>
      </c>
      <c r="C167" s="1" t="s">
        <v>304</v>
      </c>
      <c r="D167" s="18" t="s">
        <v>313</v>
      </c>
      <c r="E167" s="3"/>
      <c r="F167" s="83" t="s">
        <v>225</v>
      </c>
      <c r="G167" s="66" t="s">
        <v>112</v>
      </c>
      <c r="H167" s="75"/>
      <c r="I167" s="76"/>
      <c r="J167" s="96"/>
      <c r="K167" s="77"/>
      <c r="L167" s="77"/>
      <c r="M167" s="38">
        <f t="shared" si="6"/>
        <v>0</v>
      </c>
      <c r="N167" s="100"/>
      <c r="O167" s="77"/>
      <c r="P167" s="77"/>
      <c r="Q167" s="79">
        <f t="shared" si="5"/>
        <v>0</v>
      </c>
    </row>
    <row r="168" spans="1:17" s="15" customFormat="1" ht="15.75" x14ac:dyDescent="0.25">
      <c r="A168" s="14"/>
      <c r="B168" s="34" t="s">
        <v>144</v>
      </c>
      <c r="C168" s="1" t="s">
        <v>17</v>
      </c>
      <c r="D168" s="2"/>
      <c r="E168" s="3" t="s">
        <v>20</v>
      </c>
      <c r="F168" s="16" t="s">
        <v>293</v>
      </c>
      <c r="G168" s="8" t="s">
        <v>114</v>
      </c>
      <c r="H168" s="1">
        <v>1</v>
      </c>
      <c r="I168" s="49"/>
      <c r="J168" s="51"/>
      <c r="K168" s="40"/>
      <c r="L168" s="40"/>
      <c r="M168" s="78">
        <f t="shared" si="6"/>
        <v>0</v>
      </c>
      <c r="N168" s="42"/>
      <c r="O168" s="31"/>
      <c r="P168" s="31"/>
      <c r="Q168" s="12">
        <f t="shared" si="5"/>
        <v>0</v>
      </c>
    </row>
    <row r="169" spans="1:17" s="21" customFormat="1" ht="36" x14ac:dyDescent="0.25">
      <c r="A169" s="1">
        <v>82</v>
      </c>
      <c r="B169" s="30" t="s">
        <v>100</v>
      </c>
      <c r="C169" s="1" t="s">
        <v>304</v>
      </c>
      <c r="D169" s="18" t="s">
        <v>126</v>
      </c>
      <c r="E169" s="17" t="s">
        <v>20</v>
      </c>
      <c r="F169" s="85" t="s">
        <v>226</v>
      </c>
      <c r="G169" s="27" t="s">
        <v>112</v>
      </c>
      <c r="H169" s="75"/>
      <c r="I169" s="76"/>
      <c r="J169" s="98"/>
      <c r="K169" s="86"/>
      <c r="L169" s="86"/>
      <c r="M169" s="38">
        <f t="shared" si="6"/>
        <v>0</v>
      </c>
      <c r="N169" s="100"/>
      <c r="O169" s="87"/>
      <c r="P169" s="87"/>
      <c r="Q169" s="79">
        <f t="shared" si="5"/>
        <v>0</v>
      </c>
    </row>
    <row r="170" spans="1:17" s="21" customFormat="1" ht="36" x14ac:dyDescent="0.25">
      <c r="A170" s="1"/>
      <c r="B170" s="24" t="s">
        <v>100</v>
      </c>
      <c r="C170" s="18" t="s">
        <v>125</v>
      </c>
      <c r="D170" s="18" t="s">
        <v>126</v>
      </c>
      <c r="E170" s="17" t="s">
        <v>20</v>
      </c>
      <c r="F170" s="17" t="s">
        <v>294</v>
      </c>
      <c r="G170" s="20" t="s">
        <v>114</v>
      </c>
      <c r="H170" s="1"/>
      <c r="I170" s="53"/>
      <c r="J170" s="52"/>
      <c r="K170" s="55"/>
      <c r="L170" s="55"/>
      <c r="M170" s="78">
        <f t="shared" si="6"/>
        <v>0</v>
      </c>
      <c r="N170" s="41"/>
      <c r="O170" s="54"/>
      <c r="P170" s="54"/>
      <c r="Q170" s="12">
        <f t="shared" si="5"/>
        <v>0</v>
      </c>
    </row>
    <row r="171" spans="1:17" s="13" customFormat="1" ht="15.75" x14ac:dyDescent="0.25">
      <c r="A171" s="10">
        <v>83</v>
      </c>
      <c r="B171" s="62" t="s">
        <v>101</v>
      </c>
      <c r="C171" s="1" t="s">
        <v>17</v>
      </c>
      <c r="D171" s="2"/>
      <c r="E171" s="17" t="s">
        <v>20</v>
      </c>
      <c r="F171" s="73" t="s">
        <v>227</v>
      </c>
      <c r="G171" s="74" t="s">
        <v>112</v>
      </c>
      <c r="H171" s="75"/>
      <c r="I171" s="76"/>
      <c r="J171" s="96"/>
      <c r="K171" s="77"/>
      <c r="L171" s="77"/>
      <c r="M171" s="38">
        <f t="shared" si="6"/>
        <v>0</v>
      </c>
      <c r="N171" s="100"/>
      <c r="O171" s="81"/>
      <c r="P171" s="81"/>
      <c r="Q171" s="79">
        <f t="shared" si="5"/>
        <v>0</v>
      </c>
    </row>
    <row r="172" spans="1:17" s="13" customFormat="1" ht="15.75" x14ac:dyDescent="0.25">
      <c r="A172" s="10">
        <v>84</v>
      </c>
      <c r="B172" s="62" t="s">
        <v>146</v>
      </c>
      <c r="C172" s="1" t="s">
        <v>17</v>
      </c>
      <c r="D172" s="2"/>
      <c r="E172" s="17" t="s">
        <v>20</v>
      </c>
      <c r="F172" s="73" t="s">
        <v>228</v>
      </c>
      <c r="G172" s="74" t="s">
        <v>112</v>
      </c>
      <c r="H172" s="75"/>
      <c r="I172" s="76"/>
      <c r="J172" s="96"/>
      <c r="K172" s="77"/>
      <c r="L172" s="77"/>
      <c r="M172" s="38">
        <f t="shared" si="6"/>
        <v>0</v>
      </c>
      <c r="N172" s="100"/>
      <c r="O172" s="81"/>
      <c r="P172" s="81"/>
      <c r="Q172" s="12">
        <f t="shared" si="5"/>
        <v>0</v>
      </c>
    </row>
    <row r="173" spans="1:17" s="13" customFormat="1" ht="15.75" x14ac:dyDescent="0.25">
      <c r="A173" s="10"/>
      <c r="B173" s="22" t="s">
        <v>146</v>
      </c>
      <c r="C173" s="1" t="s">
        <v>17</v>
      </c>
      <c r="D173" s="2"/>
      <c r="E173" s="17"/>
      <c r="F173" s="2" t="s">
        <v>235</v>
      </c>
      <c r="G173" s="11" t="s">
        <v>118</v>
      </c>
      <c r="H173" s="1"/>
      <c r="I173" s="47"/>
      <c r="J173" s="51"/>
      <c r="K173" s="37"/>
      <c r="L173" s="37"/>
      <c r="M173" s="38">
        <f t="shared" si="6"/>
        <v>0</v>
      </c>
      <c r="N173" s="39"/>
      <c r="O173" s="31"/>
      <c r="P173" s="31"/>
      <c r="Q173" s="79">
        <f t="shared" si="5"/>
        <v>0</v>
      </c>
    </row>
    <row r="174" spans="1:17" s="13" customFormat="1" ht="15.75" x14ac:dyDescent="0.25">
      <c r="A174" s="10">
        <v>85</v>
      </c>
      <c r="B174" s="27" t="s">
        <v>102</v>
      </c>
      <c r="C174" s="1" t="s">
        <v>17</v>
      </c>
      <c r="D174" s="2"/>
      <c r="E174" s="17" t="s">
        <v>20</v>
      </c>
      <c r="F174" s="73" t="s">
        <v>229</v>
      </c>
      <c r="G174" s="74" t="s">
        <v>112</v>
      </c>
      <c r="H174" s="75"/>
      <c r="I174" s="76"/>
      <c r="J174" s="96"/>
      <c r="K174" s="77"/>
      <c r="L174" s="77"/>
      <c r="M174" s="38">
        <f t="shared" si="6"/>
        <v>0</v>
      </c>
      <c r="N174" s="100"/>
      <c r="O174" s="81"/>
      <c r="P174" s="81"/>
      <c r="Q174" s="12">
        <f t="shared" si="5"/>
        <v>0</v>
      </c>
    </row>
    <row r="175" spans="1:17" s="13" customFormat="1" ht="15.75" x14ac:dyDescent="0.25">
      <c r="A175" s="10"/>
      <c r="B175" s="25" t="s">
        <v>102</v>
      </c>
      <c r="C175" s="1" t="s">
        <v>17</v>
      </c>
      <c r="D175" s="2"/>
      <c r="E175" s="17" t="s">
        <v>20</v>
      </c>
      <c r="F175" s="2" t="s">
        <v>295</v>
      </c>
      <c r="G175" s="11" t="s">
        <v>114</v>
      </c>
      <c r="H175" s="1"/>
      <c r="I175" s="58"/>
      <c r="J175" s="51"/>
      <c r="K175" s="40"/>
      <c r="L175" s="40"/>
      <c r="M175" s="38">
        <f t="shared" si="6"/>
        <v>0</v>
      </c>
      <c r="N175" s="41"/>
      <c r="O175" s="31"/>
      <c r="P175" s="31"/>
      <c r="Q175" s="79">
        <f t="shared" si="5"/>
        <v>0</v>
      </c>
    </row>
    <row r="176" spans="1:17" s="13" customFormat="1" ht="15.75" x14ac:dyDescent="0.25">
      <c r="A176" s="10">
        <v>27</v>
      </c>
      <c r="B176" s="27" t="s">
        <v>103</v>
      </c>
      <c r="C176" s="1" t="s">
        <v>17</v>
      </c>
      <c r="D176" s="2"/>
      <c r="E176" s="3" t="s">
        <v>20</v>
      </c>
      <c r="F176" s="73" t="s">
        <v>230</v>
      </c>
      <c r="G176" s="74" t="s">
        <v>112</v>
      </c>
      <c r="H176" s="75"/>
      <c r="I176" s="76"/>
      <c r="J176" s="96"/>
      <c r="K176" s="77"/>
      <c r="L176" s="77"/>
      <c r="M176" s="38">
        <f t="shared" si="6"/>
        <v>0</v>
      </c>
      <c r="N176" s="100"/>
      <c r="O176" s="81"/>
      <c r="P176" s="81"/>
      <c r="Q176" s="12">
        <f t="shared" si="5"/>
        <v>0</v>
      </c>
    </row>
    <row r="177" spans="1:17" s="13" customFormat="1" ht="15.75" x14ac:dyDescent="0.25">
      <c r="A177" s="10"/>
      <c r="B177" s="25" t="s">
        <v>103</v>
      </c>
      <c r="C177" s="1" t="s">
        <v>17</v>
      </c>
      <c r="D177" s="2"/>
      <c r="E177" s="3" t="s">
        <v>20</v>
      </c>
      <c r="F177" s="2" t="s">
        <v>127</v>
      </c>
      <c r="G177" s="11" t="s">
        <v>114</v>
      </c>
      <c r="H177" s="1"/>
      <c r="I177" s="49"/>
      <c r="J177" s="51"/>
      <c r="K177" s="40"/>
      <c r="L177" s="40"/>
      <c r="M177" s="38">
        <f t="shared" si="6"/>
        <v>0</v>
      </c>
      <c r="N177" s="41"/>
      <c r="O177" s="31"/>
      <c r="P177" s="31"/>
      <c r="Q177" s="79">
        <f t="shared" si="5"/>
        <v>0</v>
      </c>
    </row>
    <row r="178" spans="1:17" s="15" customFormat="1" ht="15.75" x14ac:dyDescent="0.25">
      <c r="A178" s="14">
        <v>87</v>
      </c>
      <c r="B178" s="28" t="s">
        <v>104</v>
      </c>
      <c r="C178" s="1" t="s">
        <v>17</v>
      </c>
      <c r="D178" s="2"/>
      <c r="E178" s="3" t="s">
        <v>20</v>
      </c>
      <c r="F178" s="73" t="s">
        <v>231</v>
      </c>
      <c r="G178" s="74" t="s">
        <v>112</v>
      </c>
      <c r="H178" s="75">
        <v>1</v>
      </c>
      <c r="I178" s="76"/>
      <c r="J178" s="96"/>
      <c r="K178" s="77"/>
      <c r="L178" s="77"/>
      <c r="M178" s="38">
        <f t="shared" si="6"/>
        <v>0</v>
      </c>
      <c r="N178" s="100"/>
      <c r="O178" s="81"/>
      <c r="P178" s="81"/>
      <c r="Q178" s="12">
        <f t="shared" si="5"/>
        <v>0</v>
      </c>
    </row>
    <row r="179" spans="1:17" s="15" customFormat="1" ht="15.75" x14ac:dyDescent="0.25">
      <c r="A179" s="14"/>
      <c r="B179" s="26" t="s">
        <v>104</v>
      </c>
      <c r="C179" s="1" t="s">
        <v>17</v>
      </c>
      <c r="D179" s="2"/>
      <c r="E179" s="3" t="s">
        <v>20</v>
      </c>
      <c r="F179" s="2" t="s">
        <v>296</v>
      </c>
      <c r="G179" s="11" t="s">
        <v>114</v>
      </c>
      <c r="H179" s="1">
        <v>1</v>
      </c>
      <c r="I179" s="49"/>
      <c r="J179" s="51"/>
      <c r="K179" s="40"/>
      <c r="L179" s="40"/>
      <c r="M179" s="38">
        <f t="shared" si="6"/>
        <v>0</v>
      </c>
      <c r="N179" s="39"/>
      <c r="O179" s="31"/>
      <c r="P179" s="31"/>
      <c r="Q179" s="79">
        <f t="shared" si="5"/>
        <v>0</v>
      </c>
    </row>
    <row r="180" spans="1:17" s="13" customFormat="1" ht="15.75" x14ac:dyDescent="0.25">
      <c r="A180" s="10">
        <v>88</v>
      </c>
      <c r="B180" s="30" t="s">
        <v>105</v>
      </c>
      <c r="C180" s="1" t="s">
        <v>17</v>
      </c>
      <c r="D180" s="2"/>
      <c r="E180" s="17" t="s">
        <v>35</v>
      </c>
      <c r="F180" s="73" t="s">
        <v>232</v>
      </c>
      <c r="G180" s="74" t="s">
        <v>112</v>
      </c>
      <c r="H180" s="75"/>
      <c r="I180" s="76"/>
      <c r="J180" s="96"/>
      <c r="K180" s="77"/>
      <c r="L180" s="77"/>
      <c r="M180" s="38">
        <f t="shared" si="6"/>
        <v>0</v>
      </c>
      <c r="N180" s="100"/>
      <c r="O180" s="81"/>
      <c r="P180" s="81"/>
      <c r="Q180" s="12">
        <f t="shared" si="5"/>
        <v>0</v>
      </c>
    </row>
    <row r="181" spans="1:17" s="13" customFormat="1" ht="15.75" x14ac:dyDescent="0.25">
      <c r="A181" s="10"/>
      <c r="B181" s="24" t="s">
        <v>105</v>
      </c>
      <c r="C181" s="1" t="s">
        <v>17</v>
      </c>
      <c r="D181" s="2"/>
      <c r="E181" s="17" t="s">
        <v>35</v>
      </c>
      <c r="F181" s="16" t="s">
        <v>258</v>
      </c>
      <c r="G181" s="11" t="s">
        <v>117</v>
      </c>
      <c r="H181" s="1"/>
      <c r="I181" s="47"/>
      <c r="J181" s="46"/>
      <c r="K181" s="40"/>
      <c r="L181" s="40"/>
      <c r="M181" s="38">
        <f t="shared" si="6"/>
        <v>0</v>
      </c>
      <c r="N181" s="41"/>
      <c r="O181" s="31"/>
      <c r="P181" s="31"/>
      <c r="Q181" s="79">
        <f t="shared" si="5"/>
        <v>0</v>
      </c>
    </row>
    <row r="182" spans="1:17" s="13" customFormat="1" ht="15.75" x14ac:dyDescent="0.25">
      <c r="A182" s="10">
        <v>89</v>
      </c>
      <c r="B182" s="62" t="s">
        <v>106</v>
      </c>
      <c r="C182" s="1" t="s">
        <v>17</v>
      </c>
      <c r="D182" s="2"/>
      <c r="E182" s="17" t="s">
        <v>20</v>
      </c>
      <c r="F182" s="73" t="s">
        <v>233</v>
      </c>
      <c r="G182" s="74" t="s">
        <v>112</v>
      </c>
      <c r="H182" s="75">
        <v>1</v>
      </c>
      <c r="I182" s="76"/>
      <c r="J182" s="96"/>
      <c r="K182" s="77"/>
      <c r="L182" s="77"/>
      <c r="M182" s="38">
        <f t="shared" si="6"/>
        <v>0</v>
      </c>
      <c r="N182" s="100"/>
      <c r="O182" s="81"/>
      <c r="P182" s="81"/>
      <c r="Q182" s="12">
        <f t="shared" si="5"/>
        <v>0</v>
      </c>
    </row>
    <row r="183" spans="1:17" ht="15.75" x14ac:dyDescent="0.25">
      <c r="A183" s="7"/>
      <c r="B183" s="32"/>
      <c r="C183" s="107"/>
      <c r="D183" s="33"/>
      <c r="E183" s="33"/>
      <c r="F183" s="8"/>
      <c r="G183" s="8" t="s">
        <v>131</v>
      </c>
      <c r="H183" s="106">
        <f t="shared" ref="H183:P183" si="7">SUM(H10:H182)</f>
        <v>46</v>
      </c>
      <c r="I183" s="59">
        <f t="shared" si="7"/>
        <v>0</v>
      </c>
      <c r="J183" s="43">
        <f t="shared" si="7"/>
        <v>0</v>
      </c>
      <c r="K183" s="56">
        <f t="shared" si="7"/>
        <v>0</v>
      </c>
      <c r="L183" s="56">
        <f t="shared" si="7"/>
        <v>0</v>
      </c>
      <c r="M183" s="44">
        <f>K183-L183</f>
        <v>0</v>
      </c>
      <c r="N183" s="43">
        <f t="shared" si="7"/>
        <v>0</v>
      </c>
      <c r="O183" s="57">
        <f t="shared" si="7"/>
        <v>0</v>
      </c>
      <c r="P183" s="57">
        <f t="shared" si="7"/>
        <v>0</v>
      </c>
      <c r="Q183" s="79">
        <f t="shared" si="5"/>
        <v>0</v>
      </c>
    </row>
    <row r="184" spans="1:17" x14ac:dyDescent="0.25">
      <c r="K184" s="91" t="s">
        <v>305</v>
      </c>
    </row>
    <row r="185" spans="1:17" ht="45" x14ac:dyDescent="0.25">
      <c r="B185" s="89" t="s">
        <v>316</v>
      </c>
      <c r="F185" s="104" t="s">
        <v>317</v>
      </c>
    </row>
  </sheetData>
  <mergeCells count="7">
    <mergeCell ref="O1:Q1"/>
    <mergeCell ref="A3:Q3"/>
    <mergeCell ref="A4:Q4"/>
    <mergeCell ref="A5:Q5"/>
    <mergeCell ref="B7:G7"/>
    <mergeCell ref="H7:M7"/>
    <mergeCell ref="N7:Q7"/>
  </mergeCells>
  <pageMargins left="0.70866141732283472" right="0.70866141732283472" top="0.74803149606299213" bottom="0.74803149606299213" header="0.31496062992125984" footer="0.31496062992125984"/>
  <pageSetup paperSize="9" scale="6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91"/>
  <sheetViews>
    <sheetView workbookViewId="0">
      <selection activeCell="F11" sqref="F11"/>
    </sheetView>
  </sheetViews>
  <sheetFormatPr defaultRowHeight="15" x14ac:dyDescent="0.25"/>
  <cols>
    <col min="1" max="1" width="1.85546875" style="6" customWidth="1"/>
    <col min="2" max="2" width="36.7109375" style="88" customWidth="1"/>
    <col min="3" max="3" width="6.5703125" style="19" customWidth="1"/>
    <col min="4" max="4" width="17.42578125" style="19" customWidth="1"/>
    <col min="5" max="5" width="19" style="19" customWidth="1"/>
    <col min="6" max="6" width="18.140625" style="89" customWidth="1"/>
    <col min="7" max="7" width="21.42578125" style="89" customWidth="1"/>
    <col min="8" max="8" width="11.85546875" style="90" customWidth="1"/>
    <col min="9" max="9" width="10.7109375" style="90" customWidth="1"/>
    <col min="10" max="10" width="7.85546875" style="99" customWidth="1"/>
    <col min="11" max="11" width="10.42578125" style="91" customWidth="1"/>
    <col min="12" max="13" width="15.7109375" style="91" customWidth="1"/>
    <col min="14" max="14" width="10.7109375" style="99" customWidth="1"/>
    <col min="15" max="15" width="11.85546875" style="92" customWidth="1"/>
    <col min="16" max="16" width="15.7109375" style="92" customWidth="1"/>
    <col min="17" max="17" width="18.28515625" style="92" customWidth="1"/>
    <col min="18" max="18" width="11.7109375" style="6" customWidth="1"/>
    <col min="19" max="19" width="9.42578125" style="6" customWidth="1"/>
    <col min="20" max="21" width="9.140625" style="6" customWidth="1"/>
    <col min="22" max="16384" width="9.140625" style="6"/>
  </cols>
  <sheetData>
    <row r="1" spans="1:18" s="105" customFormat="1" x14ac:dyDescent="0.25">
      <c r="B1" s="60"/>
      <c r="C1" s="4"/>
      <c r="D1" s="4"/>
      <c r="E1" s="4"/>
      <c r="F1" s="63"/>
      <c r="G1" s="63"/>
      <c r="H1" s="64"/>
      <c r="I1" s="64"/>
      <c r="J1" s="93"/>
      <c r="K1" s="65"/>
      <c r="L1" s="65"/>
      <c r="M1" s="65"/>
      <c r="N1" s="93"/>
      <c r="O1" s="362" t="s">
        <v>15</v>
      </c>
      <c r="P1" s="362"/>
      <c r="Q1" s="362"/>
    </row>
    <row r="2" spans="1:18" s="105" customFormat="1" x14ac:dyDescent="0.25">
      <c r="A2" s="7"/>
      <c r="B2" s="138"/>
      <c r="C2" s="107"/>
      <c r="D2" s="107"/>
      <c r="E2" s="107"/>
      <c r="F2" s="66"/>
      <c r="G2" s="66"/>
      <c r="H2" s="139"/>
      <c r="I2" s="139"/>
      <c r="J2" s="94"/>
      <c r="K2" s="67"/>
      <c r="L2" s="67"/>
      <c r="M2" s="67"/>
      <c r="N2" s="94"/>
      <c r="O2" s="68"/>
      <c r="P2" s="68"/>
      <c r="Q2" s="68"/>
    </row>
    <row r="3" spans="1:18" s="105" customFormat="1" x14ac:dyDescent="0.25">
      <c r="A3" s="363" t="s">
        <v>318</v>
      </c>
      <c r="B3" s="364"/>
      <c r="C3" s="363"/>
      <c r="D3" s="363"/>
      <c r="E3" s="363"/>
      <c r="F3" s="364"/>
      <c r="G3" s="364"/>
      <c r="H3" s="365"/>
      <c r="I3" s="366"/>
      <c r="J3" s="367"/>
      <c r="K3" s="364"/>
      <c r="L3" s="364"/>
      <c r="M3" s="364"/>
      <c r="N3" s="364"/>
      <c r="O3" s="364"/>
      <c r="P3" s="364"/>
      <c r="Q3" s="364"/>
    </row>
    <row r="4" spans="1:18" s="105" customFormat="1" x14ac:dyDescent="0.25">
      <c r="A4" s="368">
        <v>43535</v>
      </c>
      <c r="B4" s="369"/>
      <c r="C4" s="370"/>
      <c r="D4" s="370"/>
      <c r="E4" s="370"/>
      <c r="F4" s="369"/>
      <c r="G4" s="369"/>
      <c r="H4" s="371"/>
      <c r="I4" s="372"/>
      <c r="J4" s="373"/>
      <c r="K4" s="369"/>
      <c r="L4" s="369"/>
      <c r="M4" s="369"/>
      <c r="N4" s="369"/>
      <c r="O4" s="369"/>
      <c r="P4" s="369"/>
      <c r="Q4" s="369"/>
    </row>
    <row r="5" spans="1:18" s="105" customFormat="1" x14ac:dyDescent="0.25">
      <c r="A5" s="374" t="s">
        <v>14</v>
      </c>
      <c r="B5" s="367"/>
      <c r="C5" s="374"/>
      <c r="D5" s="374"/>
      <c r="E5" s="374"/>
      <c r="F5" s="367"/>
      <c r="G5" s="367"/>
      <c r="H5" s="366"/>
      <c r="I5" s="366"/>
      <c r="J5" s="367"/>
      <c r="K5" s="367"/>
      <c r="L5" s="367"/>
      <c r="M5" s="367"/>
      <c r="N5" s="367"/>
      <c r="O5" s="367"/>
      <c r="P5" s="367"/>
      <c r="Q5" s="367"/>
    </row>
    <row r="6" spans="1:18" s="105" customFormat="1" x14ac:dyDescent="0.25">
      <c r="A6" s="7"/>
      <c r="B6" s="138"/>
      <c r="C6" s="107"/>
      <c r="D6" s="107"/>
      <c r="E6" s="107"/>
      <c r="F6" s="66"/>
      <c r="G6" s="66"/>
      <c r="H6" s="139"/>
      <c r="I6" s="139"/>
      <c r="J6" s="94"/>
      <c r="K6" s="67"/>
      <c r="L6" s="67"/>
      <c r="M6" s="67"/>
      <c r="N6" s="94"/>
      <c r="O6" s="68"/>
      <c r="P6" s="68"/>
      <c r="Q6" s="68"/>
    </row>
    <row r="7" spans="1:18" x14ac:dyDescent="0.25">
      <c r="A7" s="5" t="s">
        <v>0</v>
      </c>
      <c r="B7" s="364" t="s">
        <v>10</v>
      </c>
      <c r="C7" s="375"/>
      <c r="D7" s="375"/>
      <c r="E7" s="375"/>
      <c r="F7" s="364"/>
      <c r="G7" s="364"/>
      <c r="H7" s="365" t="s">
        <v>472</v>
      </c>
      <c r="I7" s="366"/>
      <c r="J7" s="367"/>
      <c r="K7" s="364"/>
      <c r="L7" s="364"/>
      <c r="M7" s="364"/>
      <c r="N7" s="364" t="s">
        <v>132</v>
      </c>
      <c r="O7" s="364"/>
      <c r="P7" s="364"/>
      <c r="Q7" s="364"/>
    </row>
    <row r="8" spans="1:18" ht="195" x14ac:dyDescent="0.25">
      <c r="A8" s="5"/>
      <c r="B8" s="138" t="s">
        <v>4</v>
      </c>
      <c r="C8" s="107" t="s">
        <v>1</v>
      </c>
      <c r="D8" s="107" t="s">
        <v>3</v>
      </c>
      <c r="E8" s="107" t="s">
        <v>2</v>
      </c>
      <c r="F8" s="122" t="s">
        <v>6</v>
      </c>
      <c r="G8" s="66" t="s">
        <v>5</v>
      </c>
      <c r="H8" s="140" t="s">
        <v>7</v>
      </c>
      <c r="I8" s="140" t="s">
        <v>8</v>
      </c>
      <c r="J8" s="94" t="s">
        <v>9</v>
      </c>
      <c r="K8" s="67" t="s">
        <v>11</v>
      </c>
      <c r="L8" s="67" t="s">
        <v>12</v>
      </c>
      <c r="M8" s="67" t="s">
        <v>13</v>
      </c>
      <c r="N8" s="94" t="s">
        <v>9</v>
      </c>
      <c r="O8" s="68" t="s">
        <v>11</v>
      </c>
      <c r="P8" s="68" t="s">
        <v>12</v>
      </c>
      <c r="Q8" s="68" t="s">
        <v>13</v>
      </c>
    </row>
    <row r="9" spans="1:18" x14ac:dyDescent="0.25">
      <c r="A9" s="9">
        <v>1</v>
      </c>
      <c r="B9" s="61">
        <f>A9+1</f>
        <v>2</v>
      </c>
      <c r="C9" s="9">
        <f t="shared" ref="C9:Q9" si="0">B9+1</f>
        <v>3</v>
      </c>
      <c r="D9" s="9">
        <f t="shared" si="0"/>
        <v>4</v>
      </c>
      <c r="E9" s="9">
        <f t="shared" si="0"/>
        <v>5</v>
      </c>
      <c r="F9" s="69">
        <f t="shared" si="0"/>
        <v>6</v>
      </c>
      <c r="G9" s="69">
        <f t="shared" si="0"/>
        <v>7</v>
      </c>
      <c r="H9" s="70">
        <f t="shared" si="0"/>
        <v>8</v>
      </c>
      <c r="I9" s="70">
        <f t="shared" si="0"/>
        <v>9</v>
      </c>
      <c r="J9" s="95">
        <f t="shared" si="0"/>
        <v>10</v>
      </c>
      <c r="K9" s="71">
        <f t="shared" si="0"/>
        <v>11</v>
      </c>
      <c r="L9" s="71">
        <f t="shared" si="0"/>
        <v>12</v>
      </c>
      <c r="M9" s="71">
        <f t="shared" si="0"/>
        <v>13</v>
      </c>
      <c r="N9" s="95">
        <f t="shared" si="0"/>
        <v>14</v>
      </c>
      <c r="O9" s="72">
        <f t="shared" si="0"/>
        <v>15</v>
      </c>
      <c r="P9" s="72">
        <f t="shared" si="0"/>
        <v>16</v>
      </c>
      <c r="Q9" s="72">
        <f t="shared" si="0"/>
        <v>17</v>
      </c>
    </row>
    <row r="10" spans="1:18" s="13" customFormat="1" ht="31.5" x14ac:dyDescent="0.25">
      <c r="A10" s="10"/>
      <c r="B10" s="62" t="s">
        <v>16</v>
      </c>
      <c r="C10" s="1" t="s">
        <v>304</v>
      </c>
      <c r="D10" s="120" t="s">
        <v>315</v>
      </c>
      <c r="E10" s="3" t="s">
        <v>18</v>
      </c>
      <c r="F10" s="73" t="s">
        <v>322</v>
      </c>
      <c r="G10" s="74" t="s">
        <v>112</v>
      </c>
      <c r="H10" s="75">
        <v>4</v>
      </c>
      <c r="I10" s="76"/>
      <c r="J10" s="96"/>
      <c r="K10" s="77">
        <f>4792.51</f>
        <v>4792.51</v>
      </c>
      <c r="L10" s="77"/>
      <c r="M10" s="78">
        <f>K10-L10</f>
        <v>4792.51</v>
      </c>
      <c r="N10" s="100">
        <f>2+5</f>
        <v>7</v>
      </c>
      <c r="O10" s="77">
        <f>9108.77</f>
        <v>9108.77</v>
      </c>
      <c r="P10" s="77"/>
      <c r="Q10" s="79">
        <f>O10-P10</f>
        <v>9108.77</v>
      </c>
      <c r="R10" s="141"/>
    </row>
    <row r="11" spans="1:18" s="13" customFormat="1" ht="31.5" x14ac:dyDescent="0.25">
      <c r="A11" s="10"/>
      <c r="B11" s="22" t="s">
        <v>16</v>
      </c>
      <c r="C11" s="1" t="s">
        <v>304</v>
      </c>
      <c r="D11" s="120" t="s">
        <v>315</v>
      </c>
      <c r="E11" s="3" t="s">
        <v>18</v>
      </c>
      <c r="F11" s="73" t="s">
        <v>322</v>
      </c>
      <c r="G11" s="11" t="s">
        <v>116</v>
      </c>
      <c r="H11" s="1">
        <v>2</v>
      </c>
      <c r="I11" s="49"/>
      <c r="J11" s="46"/>
      <c r="K11" s="31"/>
      <c r="L11" s="31"/>
      <c r="M11" s="38">
        <f t="shared" ref="M11:M82" si="1">K11-L11</f>
        <v>0</v>
      </c>
      <c r="N11" s="41"/>
      <c r="O11" s="31">
        <v>2945</v>
      </c>
      <c r="P11" s="31"/>
      <c r="Q11" s="12">
        <f t="shared" ref="Q11:Q77" si="2">O11-P11</f>
        <v>2945</v>
      </c>
    </row>
    <row r="12" spans="1:18" s="13" customFormat="1" ht="15.75" x14ac:dyDescent="0.25">
      <c r="A12" s="10"/>
      <c r="B12" s="22" t="s">
        <v>490</v>
      </c>
      <c r="C12" s="1"/>
      <c r="D12" s="120"/>
      <c r="E12" s="3"/>
      <c r="F12" s="73"/>
      <c r="G12" s="11" t="s">
        <v>112</v>
      </c>
      <c r="H12" s="1">
        <v>1</v>
      </c>
      <c r="I12" s="49"/>
      <c r="J12" s="46"/>
      <c r="K12" s="31"/>
      <c r="L12" s="31"/>
      <c r="M12" s="38"/>
      <c r="N12" s="41"/>
      <c r="O12" s="31"/>
      <c r="P12" s="31"/>
      <c r="Q12" s="12"/>
    </row>
    <row r="13" spans="1:18" s="15" customFormat="1" ht="15.75" x14ac:dyDescent="0.25">
      <c r="A13" s="14"/>
      <c r="B13" s="80" t="s">
        <v>19</v>
      </c>
      <c r="C13" s="1" t="s">
        <v>17</v>
      </c>
      <c r="D13" s="120"/>
      <c r="E13" s="3" t="s">
        <v>20</v>
      </c>
      <c r="F13" s="73" t="s">
        <v>323</v>
      </c>
      <c r="G13" s="74" t="s">
        <v>112</v>
      </c>
      <c r="H13" s="75">
        <v>7</v>
      </c>
      <c r="I13" s="76">
        <v>3</v>
      </c>
      <c r="J13" s="96">
        <f>1+2</f>
        <v>3</v>
      </c>
      <c r="K13" s="77">
        <f>422.62+4792.51</f>
        <v>5215.13</v>
      </c>
      <c r="L13" s="77"/>
      <c r="M13" s="78">
        <f t="shared" si="1"/>
        <v>5215.13</v>
      </c>
      <c r="N13" s="100">
        <f>8</f>
        <v>8</v>
      </c>
      <c r="O13" s="81">
        <v>6459.36</v>
      </c>
      <c r="P13" s="81"/>
      <c r="Q13" s="79">
        <f t="shared" si="2"/>
        <v>6459.36</v>
      </c>
      <c r="R13" s="141"/>
    </row>
    <row r="14" spans="1:18" s="15" customFormat="1" ht="15.75" x14ac:dyDescent="0.25">
      <c r="A14" s="14"/>
      <c r="B14" s="23" t="s">
        <v>19</v>
      </c>
      <c r="C14" s="1" t="s">
        <v>17</v>
      </c>
      <c r="D14" s="120"/>
      <c r="E14" s="3" t="s">
        <v>20</v>
      </c>
      <c r="F14" s="73" t="s">
        <v>451</v>
      </c>
      <c r="G14" s="11" t="s">
        <v>114</v>
      </c>
      <c r="H14" s="1">
        <v>2</v>
      </c>
      <c r="I14" s="49">
        <v>1</v>
      </c>
      <c r="J14" s="51">
        <v>1</v>
      </c>
      <c r="K14" s="40"/>
      <c r="L14" s="40"/>
      <c r="M14" s="38">
        <f t="shared" si="1"/>
        <v>0</v>
      </c>
      <c r="N14" s="42">
        <v>7</v>
      </c>
      <c r="O14" s="31">
        <v>3818</v>
      </c>
      <c r="P14" s="31">
        <v>3818</v>
      </c>
      <c r="Q14" s="12">
        <f t="shared" si="2"/>
        <v>0</v>
      </c>
    </row>
    <row r="15" spans="1:18" s="15" customFormat="1" ht="15.75" x14ac:dyDescent="0.25">
      <c r="A15" s="14"/>
      <c r="B15" s="62" t="s">
        <v>153</v>
      </c>
      <c r="C15" s="1" t="s">
        <v>17</v>
      </c>
      <c r="D15" s="120"/>
      <c r="E15" s="3" t="s">
        <v>20</v>
      </c>
      <c r="F15" s="73" t="s">
        <v>324</v>
      </c>
      <c r="G15" s="74" t="s">
        <v>112</v>
      </c>
      <c r="H15" s="75">
        <v>3</v>
      </c>
      <c r="I15" s="82">
        <v>1</v>
      </c>
      <c r="J15" s="96">
        <f>1+1</f>
        <v>2</v>
      </c>
      <c r="K15" s="77">
        <f>950.9</f>
        <v>950.9</v>
      </c>
      <c r="L15" s="77"/>
      <c r="M15" s="78">
        <f t="shared" si="1"/>
        <v>950.9</v>
      </c>
      <c r="N15" s="114">
        <f>1+2+1</f>
        <v>4</v>
      </c>
      <c r="O15" s="81">
        <f>422.62+945.61</f>
        <v>1368.23</v>
      </c>
      <c r="P15" s="81"/>
      <c r="Q15" s="79">
        <f t="shared" si="2"/>
        <v>1368.23</v>
      </c>
      <c r="R15" s="141"/>
    </row>
    <row r="16" spans="1:18" s="15" customFormat="1" ht="15.75" x14ac:dyDescent="0.25">
      <c r="A16" s="14"/>
      <c r="B16" s="50" t="s">
        <v>153</v>
      </c>
      <c r="C16" s="1" t="s">
        <v>17</v>
      </c>
      <c r="D16" s="120"/>
      <c r="E16" s="3" t="s">
        <v>20</v>
      </c>
      <c r="F16" s="73" t="s">
        <v>452</v>
      </c>
      <c r="G16" s="11" t="s">
        <v>114</v>
      </c>
      <c r="H16" s="1">
        <v>1</v>
      </c>
      <c r="I16" s="49"/>
      <c r="J16" s="51"/>
      <c r="K16" s="40"/>
      <c r="L16" s="40"/>
      <c r="M16" s="38">
        <f t="shared" si="1"/>
        <v>0</v>
      </c>
      <c r="N16" s="42">
        <v>5</v>
      </c>
      <c r="O16" s="31">
        <v>13319</v>
      </c>
      <c r="P16" s="31">
        <f>3073.6</f>
        <v>3073.6</v>
      </c>
      <c r="Q16" s="12">
        <f t="shared" si="2"/>
        <v>10245.4</v>
      </c>
    </row>
    <row r="17" spans="1:18" s="13" customFormat="1" ht="15.75" x14ac:dyDescent="0.25">
      <c r="A17" s="10"/>
      <c r="B17" s="30" t="s">
        <v>22</v>
      </c>
      <c r="C17" s="1" t="s">
        <v>17</v>
      </c>
      <c r="D17" s="120"/>
      <c r="E17" s="3" t="s">
        <v>23</v>
      </c>
      <c r="F17" s="73" t="s">
        <v>325</v>
      </c>
      <c r="G17" s="74" t="s">
        <v>112</v>
      </c>
      <c r="H17" s="75">
        <v>5</v>
      </c>
      <c r="I17" s="76">
        <v>1</v>
      </c>
      <c r="J17" s="96">
        <f>1</f>
        <v>1</v>
      </c>
      <c r="K17" s="77">
        <f>2698.64</f>
        <v>2698.64</v>
      </c>
      <c r="L17" s="77"/>
      <c r="M17" s="78">
        <f t="shared" si="1"/>
        <v>2698.64</v>
      </c>
      <c r="N17" s="100">
        <f>14+3</f>
        <v>17</v>
      </c>
      <c r="O17" s="81">
        <f>22716.4+4171.06</f>
        <v>26887.460000000003</v>
      </c>
      <c r="P17" s="81"/>
      <c r="Q17" s="79">
        <f t="shared" si="2"/>
        <v>26887.460000000003</v>
      </c>
      <c r="R17" s="141"/>
    </row>
    <row r="18" spans="1:18" s="13" customFormat="1" ht="15.75" x14ac:dyDescent="0.25">
      <c r="A18" s="10"/>
      <c r="B18" s="24" t="s">
        <v>154</v>
      </c>
      <c r="C18" s="1" t="s">
        <v>17</v>
      </c>
      <c r="D18" s="120"/>
      <c r="E18" s="3" t="s">
        <v>20</v>
      </c>
      <c r="F18" s="73" t="s">
        <v>453</v>
      </c>
      <c r="G18" s="11" t="s">
        <v>114</v>
      </c>
      <c r="H18" s="1">
        <v>6</v>
      </c>
      <c r="I18" s="47"/>
      <c r="J18" s="51"/>
      <c r="K18" s="37"/>
      <c r="L18" s="37"/>
      <c r="M18" s="38">
        <f t="shared" si="1"/>
        <v>0</v>
      </c>
      <c r="N18" s="39">
        <v>5</v>
      </c>
      <c r="O18" s="31">
        <v>5603</v>
      </c>
      <c r="P18" s="31">
        <f>3682</f>
        <v>3682</v>
      </c>
      <c r="Q18" s="12">
        <f t="shared" si="2"/>
        <v>1921</v>
      </c>
    </row>
    <row r="19" spans="1:18" s="13" customFormat="1" ht="15.75" x14ac:dyDescent="0.25">
      <c r="A19" s="10"/>
      <c r="B19" s="30" t="s">
        <v>154</v>
      </c>
      <c r="C19" s="1" t="s">
        <v>17</v>
      </c>
      <c r="D19" s="120"/>
      <c r="E19" s="3" t="s">
        <v>20</v>
      </c>
      <c r="F19" s="73" t="s">
        <v>326</v>
      </c>
      <c r="G19" s="74" t="s">
        <v>112</v>
      </c>
      <c r="H19" s="75">
        <v>9</v>
      </c>
      <c r="I19" s="76">
        <v>3</v>
      </c>
      <c r="J19" s="96">
        <f>1+1+2</f>
        <v>4</v>
      </c>
      <c r="K19" s="77">
        <f>950.9</f>
        <v>950.9</v>
      </c>
      <c r="L19" s="77"/>
      <c r="M19" s="78">
        <f t="shared" si="1"/>
        <v>950.9</v>
      </c>
      <c r="N19" s="100">
        <f>6+3</f>
        <v>9</v>
      </c>
      <c r="O19" s="128">
        <f>6681.33+7017+1523.5</f>
        <v>15221.83</v>
      </c>
      <c r="P19" s="81"/>
      <c r="Q19" s="79">
        <f t="shared" si="2"/>
        <v>15221.83</v>
      </c>
      <c r="R19" s="141"/>
    </row>
    <row r="20" spans="1:18" s="13" customFormat="1" ht="15.75" x14ac:dyDescent="0.25">
      <c r="A20" s="10"/>
      <c r="B20" s="62" t="s">
        <v>24</v>
      </c>
      <c r="C20" s="1" t="s">
        <v>17</v>
      </c>
      <c r="D20" s="120"/>
      <c r="E20" s="3" t="s">
        <v>20</v>
      </c>
      <c r="F20" s="73" t="s">
        <v>327</v>
      </c>
      <c r="G20" s="74" t="s">
        <v>112</v>
      </c>
      <c r="H20" s="75">
        <v>1</v>
      </c>
      <c r="I20" s="76"/>
      <c r="J20" s="96"/>
      <c r="K20" s="77"/>
      <c r="L20" s="77"/>
      <c r="M20" s="38">
        <f t="shared" si="1"/>
        <v>0</v>
      </c>
      <c r="N20" s="100">
        <f>1</f>
        <v>1</v>
      </c>
      <c r="O20" s="81">
        <f>576.3</f>
        <v>576.29999999999995</v>
      </c>
      <c r="P20" s="81"/>
      <c r="Q20" s="12">
        <f t="shared" si="2"/>
        <v>576.29999999999995</v>
      </c>
      <c r="R20" s="141"/>
    </row>
    <row r="21" spans="1:18" s="13" customFormat="1" ht="15.75" x14ac:dyDescent="0.25">
      <c r="A21" s="10"/>
      <c r="B21" s="22" t="s">
        <v>24</v>
      </c>
      <c r="C21" s="1" t="s">
        <v>17</v>
      </c>
      <c r="D21" s="120"/>
      <c r="E21" s="3" t="s">
        <v>20</v>
      </c>
      <c r="F21" s="73" t="s">
        <v>454</v>
      </c>
      <c r="G21" s="11" t="s">
        <v>114</v>
      </c>
      <c r="H21" s="1">
        <v>4</v>
      </c>
      <c r="I21" s="49"/>
      <c r="J21" s="51"/>
      <c r="K21" s="40"/>
      <c r="L21" s="40"/>
      <c r="M21" s="78">
        <f t="shared" si="1"/>
        <v>0</v>
      </c>
      <c r="N21" s="41">
        <v>7</v>
      </c>
      <c r="O21" s="31">
        <v>14635.6</v>
      </c>
      <c r="P21" s="31">
        <f>3649.9</f>
        <v>3649.9</v>
      </c>
      <c r="Q21" s="79">
        <f t="shared" si="2"/>
        <v>10985.7</v>
      </c>
    </row>
    <row r="22" spans="1:18" s="13" customFormat="1" ht="15.75" x14ac:dyDescent="0.25">
      <c r="A22" s="10"/>
      <c r="B22" s="62" t="s">
        <v>25</v>
      </c>
      <c r="C22" s="1" t="s">
        <v>17</v>
      </c>
      <c r="D22" s="120"/>
      <c r="E22" s="3" t="s">
        <v>20</v>
      </c>
      <c r="F22" s="73" t="s">
        <v>328</v>
      </c>
      <c r="G22" s="74" t="s">
        <v>112</v>
      </c>
      <c r="H22" s="75">
        <v>3</v>
      </c>
      <c r="I22" s="76">
        <v>1</v>
      </c>
      <c r="J22" s="96">
        <f>1</f>
        <v>1</v>
      </c>
      <c r="K22" s="77">
        <v>1743.31</v>
      </c>
      <c r="L22" s="77"/>
      <c r="M22" s="38">
        <f t="shared" si="1"/>
        <v>1743.31</v>
      </c>
      <c r="N22" s="100">
        <f>6</f>
        <v>6</v>
      </c>
      <c r="O22" s="81">
        <v>14526.7</v>
      </c>
      <c r="P22" s="81"/>
      <c r="Q22" s="12">
        <f t="shared" si="2"/>
        <v>14526.7</v>
      </c>
      <c r="R22" s="141"/>
    </row>
    <row r="23" spans="1:18" s="13" customFormat="1" ht="15.75" x14ac:dyDescent="0.25">
      <c r="A23" s="10"/>
      <c r="B23" s="22" t="s">
        <v>25</v>
      </c>
      <c r="C23" s="1" t="s">
        <v>17</v>
      </c>
      <c r="D23" s="120"/>
      <c r="E23" s="3" t="s">
        <v>20</v>
      </c>
      <c r="F23" s="73" t="s">
        <v>455</v>
      </c>
      <c r="G23" s="11" t="s">
        <v>114</v>
      </c>
      <c r="H23" s="1"/>
      <c r="I23" s="49"/>
      <c r="J23" s="51"/>
      <c r="K23" s="40"/>
      <c r="L23" s="40"/>
      <c r="M23" s="78">
        <f t="shared" si="1"/>
        <v>0</v>
      </c>
      <c r="N23" s="41">
        <v>2</v>
      </c>
      <c r="O23" s="31">
        <v>4146.2</v>
      </c>
      <c r="P23" s="31">
        <f>4146.2</f>
        <v>4146.2</v>
      </c>
      <c r="Q23" s="79">
        <f t="shared" si="2"/>
        <v>0</v>
      </c>
    </row>
    <row r="24" spans="1:18" s="13" customFormat="1" ht="15.75" x14ac:dyDescent="0.25">
      <c r="A24" s="10"/>
      <c r="B24" s="62" t="s">
        <v>26</v>
      </c>
      <c r="C24" s="1" t="s">
        <v>17</v>
      </c>
      <c r="D24" s="120"/>
      <c r="E24" s="3" t="s">
        <v>27</v>
      </c>
      <c r="F24" s="73" t="s">
        <v>329</v>
      </c>
      <c r="G24" s="74" t="s">
        <v>112</v>
      </c>
      <c r="H24" s="75">
        <v>4</v>
      </c>
      <c r="I24" s="76">
        <v>2</v>
      </c>
      <c r="J24" s="96">
        <f>2</f>
        <v>2</v>
      </c>
      <c r="K24" s="77">
        <f>845.24</f>
        <v>845.24</v>
      </c>
      <c r="L24" s="77"/>
      <c r="M24" s="38">
        <f t="shared" si="1"/>
        <v>845.24</v>
      </c>
      <c r="N24" s="100">
        <f>6+1</f>
        <v>7</v>
      </c>
      <c r="O24" s="81">
        <f>17838.53+2535.75</f>
        <v>20374.28</v>
      </c>
      <c r="P24" s="81">
        <v>14149.86</v>
      </c>
      <c r="Q24" s="12">
        <f t="shared" si="2"/>
        <v>6224.4199999999983</v>
      </c>
      <c r="R24" s="141"/>
    </row>
    <row r="25" spans="1:18" s="15" customFormat="1" ht="15.75" x14ac:dyDescent="0.25">
      <c r="A25" s="14"/>
      <c r="B25" s="80" t="s">
        <v>28</v>
      </c>
      <c r="C25" s="1" t="s">
        <v>17</v>
      </c>
      <c r="D25" s="120"/>
      <c r="E25" s="17" t="s">
        <v>29</v>
      </c>
      <c r="F25" s="73" t="s">
        <v>330</v>
      </c>
      <c r="G25" s="74" t="s">
        <v>112</v>
      </c>
      <c r="H25" s="75">
        <v>1</v>
      </c>
      <c r="I25" s="76"/>
      <c r="J25" s="96"/>
      <c r="K25" s="77"/>
      <c r="L25" s="77"/>
      <c r="M25" s="38">
        <f t="shared" si="1"/>
        <v>0</v>
      </c>
      <c r="N25" s="100">
        <f>3+2</f>
        <v>5</v>
      </c>
      <c r="O25" s="81">
        <f>5310.83+4630.52</f>
        <v>9941.35</v>
      </c>
      <c r="P25" s="81"/>
      <c r="Q25" s="12">
        <f t="shared" si="2"/>
        <v>9941.35</v>
      </c>
      <c r="R25" s="141"/>
    </row>
    <row r="26" spans="1:18" s="15" customFormat="1" ht="15.75" x14ac:dyDescent="0.25">
      <c r="A26" s="14"/>
      <c r="B26" s="23" t="s">
        <v>28</v>
      </c>
      <c r="C26" s="1" t="s">
        <v>17</v>
      </c>
      <c r="D26" s="120"/>
      <c r="E26" s="17" t="s">
        <v>29</v>
      </c>
      <c r="F26" s="73" t="s">
        <v>420</v>
      </c>
      <c r="G26" s="8" t="s">
        <v>117</v>
      </c>
      <c r="H26" s="1">
        <v>2</v>
      </c>
      <c r="I26" s="48"/>
      <c r="J26" s="45"/>
      <c r="K26" s="40"/>
      <c r="L26" s="40"/>
      <c r="M26" s="78">
        <f t="shared" si="1"/>
        <v>0</v>
      </c>
      <c r="N26" s="42">
        <v>3</v>
      </c>
      <c r="O26" s="31"/>
      <c r="P26" s="31"/>
      <c r="Q26" s="79">
        <f t="shared" si="2"/>
        <v>0</v>
      </c>
    </row>
    <row r="27" spans="1:18" s="13" customFormat="1" ht="15.75" x14ac:dyDescent="0.25">
      <c r="A27" s="10"/>
      <c r="B27" s="27" t="s">
        <v>30</v>
      </c>
      <c r="C27" s="1" t="s">
        <v>17</v>
      </c>
      <c r="D27" s="120"/>
      <c r="E27" s="17" t="s">
        <v>21</v>
      </c>
      <c r="F27" s="73" t="s">
        <v>333</v>
      </c>
      <c r="G27" s="74" t="s">
        <v>112</v>
      </c>
      <c r="H27" s="75">
        <v>7</v>
      </c>
      <c r="I27" s="76">
        <v>4</v>
      </c>
      <c r="J27" s="96">
        <f>3+1</f>
        <v>4</v>
      </c>
      <c r="K27" s="77">
        <f>2399.78+806.82</f>
        <v>3206.6000000000004</v>
      </c>
      <c r="L27" s="77"/>
      <c r="M27" s="38">
        <f t="shared" si="1"/>
        <v>3206.6000000000004</v>
      </c>
      <c r="N27" s="100">
        <f>9+1</f>
        <v>10</v>
      </c>
      <c r="O27" s="81">
        <f>39871.99+5530.04</f>
        <v>45402.03</v>
      </c>
      <c r="P27" s="81"/>
      <c r="Q27" s="12">
        <f t="shared" si="2"/>
        <v>45402.03</v>
      </c>
      <c r="R27" s="141"/>
    </row>
    <row r="28" spans="1:18" s="13" customFormat="1" ht="15.75" x14ac:dyDescent="0.25">
      <c r="A28" s="10"/>
      <c r="B28" s="27" t="s">
        <v>491</v>
      </c>
      <c r="C28" s="1" t="s">
        <v>17</v>
      </c>
      <c r="D28" s="120"/>
      <c r="E28" s="3" t="s">
        <v>20</v>
      </c>
      <c r="F28" s="73" t="s">
        <v>495</v>
      </c>
      <c r="G28" s="74" t="s">
        <v>112</v>
      </c>
      <c r="H28" s="75">
        <v>1</v>
      </c>
      <c r="I28" s="76"/>
      <c r="J28" s="96"/>
      <c r="K28" s="77"/>
      <c r="L28" s="77"/>
      <c r="M28" s="38"/>
      <c r="N28" s="100"/>
      <c r="O28" s="81"/>
      <c r="P28" s="81"/>
      <c r="Q28" s="12"/>
      <c r="R28" s="141"/>
    </row>
    <row r="29" spans="1:18" s="13" customFormat="1" ht="15.75" x14ac:dyDescent="0.25">
      <c r="A29" s="10"/>
      <c r="B29" s="30" t="s">
        <v>31</v>
      </c>
      <c r="C29" s="1" t="s">
        <v>17</v>
      </c>
      <c r="D29" s="120"/>
      <c r="E29" s="3" t="s">
        <v>32</v>
      </c>
      <c r="F29" s="73" t="s">
        <v>331</v>
      </c>
      <c r="G29" s="74" t="s">
        <v>112</v>
      </c>
      <c r="H29" s="75">
        <v>4</v>
      </c>
      <c r="I29" s="76">
        <v>1</v>
      </c>
      <c r="J29" s="96">
        <f>1</f>
        <v>1</v>
      </c>
      <c r="K29" s="77">
        <f>633.93</f>
        <v>633.92999999999995</v>
      </c>
      <c r="L29" s="77"/>
      <c r="M29" s="78">
        <f t="shared" si="1"/>
        <v>633.92999999999995</v>
      </c>
      <c r="N29" s="100">
        <f>1+3+3</f>
        <v>7</v>
      </c>
      <c r="O29" s="81">
        <f>2299.8+15239.58+6152.75</f>
        <v>23692.13</v>
      </c>
      <c r="P29" s="81">
        <f>2299.8</f>
        <v>2299.8000000000002</v>
      </c>
      <c r="Q29" s="79">
        <f t="shared" si="2"/>
        <v>21392.33</v>
      </c>
      <c r="R29" s="141"/>
    </row>
    <row r="30" spans="1:18" s="13" customFormat="1" ht="15.75" x14ac:dyDescent="0.25">
      <c r="A30" s="10"/>
      <c r="B30" s="24" t="s">
        <v>31</v>
      </c>
      <c r="C30" s="1" t="s">
        <v>17</v>
      </c>
      <c r="D30" s="120"/>
      <c r="E30" s="3" t="s">
        <v>32</v>
      </c>
      <c r="F30" s="73" t="s">
        <v>422</v>
      </c>
      <c r="G30" s="8" t="s">
        <v>117</v>
      </c>
      <c r="H30" s="1">
        <v>5</v>
      </c>
      <c r="I30" s="49">
        <v>1</v>
      </c>
      <c r="J30" s="46">
        <v>1</v>
      </c>
      <c r="K30" s="40">
        <v>2344.3000000000002</v>
      </c>
      <c r="L30" s="40"/>
      <c r="M30" s="38">
        <f t="shared" si="1"/>
        <v>2344.3000000000002</v>
      </c>
      <c r="N30" s="41">
        <v>6</v>
      </c>
      <c r="O30" s="40">
        <v>12150.4</v>
      </c>
      <c r="P30" s="40"/>
      <c r="Q30" s="12">
        <f t="shared" si="2"/>
        <v>12150.4</v>
      </c>
    </row>
    <row r="31" spans="1:18" s="15" customFormat="1" ht="15.75" x14ac:dyDescent="0.25">
      <c r="A31" s="14"/>
      <c r="B31" s="80" t="s">
        <v>33</v>
      </c>
      <c r="C31" s="1" t="s">
        <v>17</v>
      </c>
      <c r="D31" s="120"/>
      <c r="E31" s="145" t="s">
        <v>20</v>
      </c>
      <c r="F31" s="73" t="s">
        <v>332</v>
      </c>
      <c r="G31" s="74" t="s">
        <v>112</v>
      </c>
      <c r="H31" s="75">
        <v>4</v>
      </c>
      <c r="I31" s="76"/>
      <c r="J31" s="96"/>
      <c r="K31" s="77"/>
      <c r="L31" s="77"/>
      <c r="M31" s="78">
        <f t="shared" si="1"/>
        <v>0</v>
      </c>
      <c r="N31" s="100">
        <f>2+1</f>
        <v>3</v>
      </c>
      <c r="O31" s="81">
        <v>1613.64</v>
      </c>
      <c r="P31" s="81"/>
      <c r="Q31" s="79">
        <f t="shared" si="2"/>
        <v>1613.64</v>
      </c>
      <c r="R31" s="141"/>
    </row>
    <row r="32" spans="1:18" s="15" customFormat="1" ht="15.75" x14ac:dyDescent="0.25">
      <c r="A32" s="14"/>
      <c r="B32" s="23" t="s">
        <v>33</v>
      </c>
      <c r="C32" s="1" t="s">
        <v>17</v>
      </c>
      <c r="D32" s="120"/>
      <c r="E32" s="3" t="s">
        <v>20</v>
      </c>
      <c r="F32" s="73" t="s">
        <v>481</v>
      </c>
      <c r="G32" s="11" t="s">
        <v>114</v>
      </c>
      <c r="H32" s="1">
        <v>1</v>
      </c>
      <c r="I32" s="49"/>
      <c r="J32" s="51"/>
      <c r="K32" s="40"/>
      <c r="L32" s="40"/>
      <c r="M32" s="38">
        <f t="shared" si="1"/>
        <v>0</v>
      </c>
      <c r="N32" s="42">
        <v>12</v>
      </c>
      <c r="O32" s="31">
        <v>13071.87</v>
      </c>
      <c r="P32" s="31">
        <f>3738</f>
        <v>3738</v>
      </c>
      <c r="Q32" s="12">
        <f t="shared" si="2"/>
        <v>9333.8700000000008</v>
      </c>
    </row>
    <row r="33" spans="1:18" s="15" customFormat="1" ht="15.75" x14ac:dyDescent="0.25">
      <c r="A33" s="14"/>
      <c r="B33" s="62" t="s">
        <v>147</v>
      </c>
      <c r="C33" s="1" t="s">
        <v>17</v>
      </c>
      <c r="D33" s="120"/>
      <c r="E33" s="3" t="s">
        <v>29</v>
      </c>
      <c r="F33" s="73" t="s">
        <v>334</v>
      </c>
      <c r="G33" s="74" t="s">
        <v>112</v>
      </c>
      <c r="H33" s="75">
        <v>2</v>
      </c>
      <c r="I33" s="102"/>
      <c r="J33" s="97"/>
      <c r="K33" s="77"/>
      <c r="L33" s="77"/>
      <c r="M33" s="78">
        <f t="shared" si="1"/>
        <v>0</v>
      </c>
      <c r="N33" s="114">
        <f>1</f>
        <v>1</v>
      </c>
      <c r="O33" s="81">
        <f>1394.65</f>
        <v>1394.65</v>
      </c>
      <c r="P33" s="81">
        <f>1394.65</f>
        <v>1394.65</v>
      </c>
      <c r="Q33" s="79">
        <f t="shared" si="2"/>
        <v>0</v>
      </c>
      <c r="R33" s="141"/>
    </row>
    <row r="34" spans="1:18" s="15" customFormat="1" ht="15.75" x14ac:dyDescent="0.25">
      <c r="A34" s="14"/>
      <c r="B34" s="50" t="s">
        <v>147</v>
      </c>
      <c r="C34" s="1" t="s">
        <v>17</v>
      </c>
      <c r="D34" s="120"/>
      <c r="E34" s="3" t="s">
        <v>29</v>
      </c>
      <c r="F34" s="73" t="s">
        <v>423</v>
      </c>
      <c r="G34" s="11" t="s">
        <v>117</v>
      </c>
      <c r="H34" s="1">
        <v>3</v>
      </c>
      <c r="I34" s="48">
        <v>1</v>
      </c>
      <c r="J34" s="45">
        <v>1</v>
      </c>
      <c r="K34" s="40"/>
      <c r="L34" s="40"/>
      <c r="M34" s="38">
        <f t="shared" si="1"/>
        <v>0</v>
      </c>
      <c r="N34" s="42">
        <f>2</f>
        <v>2</v>
      </c>
      <c r="O34" s="31">
        <v>3361.75</v>
      </c>
      <c r="P34" s="31"/>
      <c r="Q34" s="12">
        <f t="shared" si="2"/>
        <v>3361.75</v>
      </c>
    </row>
    <row r="35" spans="1:18" s="13" customFormat="1" ht="15.75" x14ac:dyDescent="0.25">
      <c r="A35" s="10"/>
      <c r="B35" s="62" t="s">
        <v>34</v>
      </c>
      <c r="C35" s="1" t="s">
        <v>17</v>
      </c>
      <c r="D35" s="120"/>
      <c r="E35" s="17" t="s">
        <v>35</v>
      </c>
      <c r="F35" s="73" t="s">
        <v>335</v>
      </c>
      <c r="G35" s="74" t="s">
        <v>112</v>
      </c>
      <c r="H35" s="75">
        <v>7</v>
      </c>
      <c r="I35" s="76"/>
      <c r="J35" s="96"/>
      <c r="K35" s="77"/>
      <c r="L35" s="77"/>
      <c r="M35" s="78">
        <f t="shared" si="1"/>
        <v>0</v>
      </c>
      <c r="N35" s="100">
        <f>4+4+6+1</f>
        <v>15</v>
      </c>
      <c r="O35" s="81">
        <f>23915.04+21171.88</f>
        <v>45086.92</v>
      </c>
      <c r="P35" s="81"/>
      <c r="Q35" s="79">
        <f t="shared" si="2"/>
        <v>45086.92</v>
      </c>
      <c r="R35" s="141"/>
    </row>
    <row r="36" spans="1:18" s="13" customFormat="1" ht="15.75" x14ac:dyDescent="0.25">
      <c r="A36" s="10"/>
      <c r="B36" s="22" t="s">
        <v>34</v>
      </c>
      <c r="C36" s="1" t="s">
        <v>17</v>
      </c>
      <c r="D36" s="120"/>
      <c r="E36" s="17" t="s">
        <v>35</v>
      </c>
      <c r="F36" s="73" t="s">
        <v>424</v>
      </c>
      <c r="G36" s="8" t="s">
        <v>117</v>
      </c>
      <c r="H36" s="1">
        <v>1</v>
      </c>
      <c r="I36" s="49"/>
      <c r="J36" s="46"/>
      <c r="K36" s="40"/>
      <c r="L36" s="40"/>
      <c r="M36" s="38">
        <f t="shared" si="1"/>
        <v>0</v>
      </c>
      <c r="N36" s="41">
        <v>2</v>
      </c>
      <c r="O36" s="31">
        <v>5570.9</v>
      </c>
      <c r="P36" s="31"/>
      <c r="Q36" s="12">
        <f t="shared" si="2"/>
        <v>5570.9</v>
      </c>
    </row>
    <row r="37" spans="1:18" s="13" customFormat="1" ht="15.75" x14ac:dyDescent="0.25">
      <c r="A37" s="10"/>
      <c r="B37" s="27" t="s">
        <v>36</v>
      </c>
      <c r="C37" s="1" t="s">
        <v>17</v>
      </c>
      <c r="D37" s="120"/>
      <c r="E37" s="17" t="s">
        <v>32</v>
      </c>
      <c r="F37" s="73" t="s">
        <v>336</v>
      </c>
      <c r="G37" s="74" t="s">
        <v>112</v>
      </c>
      <c r="H37" s="75">
        <v>4</v>
      </c>
      <c r="I37" s="76">
        <v>1</v>
      </c>
      <c r="J37" s="96">
        <f>1</f>
        <v>1</v>
      </c>
      <c r="K37" s="77">
        <f>2091.97</f>
        <v>2091.9699999999998</v>
      </c>
      <c r="L37" s="77"/>
      <c r="M37" s="78">
        <f t="shared" si="1"/>
        <v>2091.9699999999998</v>
      </c>
      <c r="N37" s="100">
        <f>4+2+5</f>
        <v>11</v>
      </c>
      <c r="O37" s="81">
        <f>26828.22+3116.2+14162</f>
        <v>44106.42</v>
      </c>
      <c r="P37" s="81">
        <f>8144.95</f>
        <v>8144.95</v>
      </c>
      <c r="Q37" s="79">
        <f t="shared" si="2"/>
        <v>35961.47</v>
      </c>
      <c r="R37" s="141"/>
    </row>
    <row r="38" spans="1:18" s="13" customFormat="1" ht="15.75" x14ac:dyDescent="0.25">
      <c r="A38" s="10"/>
      <c r="B38" s="27" t="s">
        <v>38</v>
      </c>
      <c r="C38" s="1" t="s">
        <v>17</v>
      </c>
      <c r="D38" s="120"/>
      <c r="E38" s="3" t="s">
        <v>20</v>
      </c>
      <c r="F38" s="73" t="s">
        <v>338</v>
      </c>
      <c r="G38" s="74" t="s">
        <v>112</v>
      </c>
      <c r="H38" s="75">
        <v>15</v>
      </c>
      <c r="I38" s="76">
        <v>5</v>
      </c>
      <c r="J38" s="96">
        <f>5</f>
        <v>5</v>
      </c>
      <c r="K38" s="77">
        <f>4427.07</f>
        <v>4427.07</v>
      </c>
      <c r="L38" s="77"/>
      <c r="M38" s="78">
        <f t="shared" si="1"/>
        <v>4427.07</v>
      </c>
      <c r="N38" s="100">
        <f>1+14</f>
        <v>15</v>
      </c>
      <c r="O38" s="81">
        <f>34449.99+27363.78</f>
        <v>61813.77</v>
      </c>
      <c r="P38" s="81">
        <f>34449.99</f>
        <v>34449.99</v>
      </c>
      <c r="Q38" s="79">
        <f t="shared" si="2"/>
        <v>27363.78</v>
      </c>
      <c r="R38" s="141"/>
    </row>
    <row r="39" spans="1:18" s="13" customFormat="1" ht="15.75" x14ac:dyDescent="0.25">
      <c r="A39" s="10"/>
      <c r="B39" s="25" t="s">
        <v>38</v>
      </c>
      <c r="C39" s="1" t="s">
        <v>17</v>
      </c>
      <c r="D39" s="120"/>
      <c r="E39" s="3" t="s">
        <v>20</v>
      </c>
      <c r="F39" s="73" t="s">
        <v>268</v>
      </c>
      <c r="G39" s="11" t="s">
        <v>114</v>
      </c>
      <c r="H39" s="1"/>
      <c r="I39" s="49"/>
      <c r="J39" s="51"/>
      <c r="K39" s="40"/>
      <c r="L39" s="40"/>
      <c r="M39" s="38">
        <f t="shared" si="1"/>
        <v>0</v>
      </c>
      <c r="N39" s="41"/>
      <c r="O39" s="31"/>
      <c r="P39" s="31"/>
      <c r="Q39" s="12">
        <f t="shared" si="2"/>
        <v>0</v>
      </c>
    </row>
    <row r="40" spans="1:18" s="13" customFormat="1" ht="15.75" x14ac:dyDescent="0.25">
      <c r="A40" s="10"/>
      <c r="B40" s="25" t="s">
        <v>38</v>
      </c>
      <c r="C40" s="1" t="s">
        <v>17</v>
      </c>
      <c r="D40" s="120"/>
      <c r="E40" s="3" t="s">
        <v>18</v>
      </c>
      <c r="F40" s="73" t="s">
        <v>324</v>
      </c>
      <c r="G40" s="11" t="s">
        <v>116</v>
      </c>
      <c r="H40" s="1">
        <v>3</v>
      </c>
      <c r="I40" s="49"/>
      <c r="J40" s="51"/>
      <c r="K40" s="40"/>
      <c r="L40" s="40"/>
      <c r="M40" s="38">
        <f t="shared" si="1"/>
        <v>0</v>
      </c>
      <c r="N40" s="41"/>
      <c r="O40" s="31"/>
      <c r="P40" s="31"/>
      <c r="Q40" s="12">
        <f t="shared" si="2"/>
        <v>0</v>
      </c>
    </row>
    <row r="41" spans="1:18" s="13" customFormat="1" ht="15.75" x14ac:dyDescent="0.25">
      <c r="A41" s="10"/>
      <c r="B41" s="22" t="s">
        <v>39</v>
      </c>
      <c r="C41" s="1" t="s">
        <v>17</v>
      </c>
      <c r="D41" s="120"/>
      <c r="E41" s="3" t="s">
        <v>20</v>
      </c>
      <c r="F41" s="73" t="s">
        <v>269</v>
      </c>
      <c r="G41" s="11" t="s">
        <v>114</v>
      </c>
      <c r="H41" s="1"/>
      <c r="I41" s="49"/>
      <c r="J41" s="51"/>
      <c r="K41" s="40"/>
      <c r="L41" s="40"/>
      <c r="M41" s="38">
        <f t="shared" si="1"/>
        <v>0</v>
      </c>
      <c r="N41" s="41"/>
      <c r="O41" s="31"/>
      <c r="P41" s="31"/>
      <c r="Q41" s="12">
        <f t="shared" si="2"/>
        <v>0</v>
      </c>
    </row>
    <row r="42" spans="1:18" s="13" customFormat="1" ht="15.75" x14ac:dyDescent="0.25">
      <c r="A42" s="10"/>
      <c r="B42" s="27" t="s">
        <v>40</v>
      </c>
      <c r="C42" s="1" t="s">
        <v>17</v>
      </c>
      <c r="D42" s="120"/>
      <c r="E42" s="17" t="s">
        <v>41</v>
      </c>
      <c r="F42" s="73" t="s">
        <v>339</v>
      </c>
      <c r="G42" s="74" t="s">
        <v>112</v>
      </c>
      <c r="H42" s="75">
        <v>10</v>
      </c>
      <c r="I42" s="76">
        <v>2</v>
      </c>
      <c r="J42" s="96">
        <f>1+1</f>
        <v>2</v>
      </c>
      <c r="K42" s="77">
        <f>1045.98</f>
        <v>1045.98</v>
      </c>
      <c r="L42" s="77"/>
      <c r="M42" s="78">
        <f t="shared" si="1"/>
        <v>1045.98</v>
      </c>
      <c r="N42" s="100">
        <f>3+13+6</f>
        <v>22</v>
      </c>
      <c r="O42" s="81">
        <f>17269.31+39990.78+16582.12</f>
        <v>73842.209999999992</v>
      </c>
      <c r="P42" s="81">
        <f>17269.31</f>
        <v>17269.310000000001</v>
      </c>
      <c r="Q42" s="79">
        <f t="shared" si="2"/>
        <v>56572.899999999994</v>
      </c>
      <c r="R42" s="141"/>
    </row>
    <row r="43" spans="1:18" s="13" customFormat="1" ht="15.75" x14ac:dyDescent="0.25">
      <c r="A43" s="10"/>
      <c r="B43" s="25" t="s">
        <v>40</v>
      </c>
      <c r="C43" s="1" t="s">
        <v>17</v>
      </c>
      <c r="D43" s="120"/>
      <c r="E43" s="17" t="s">
        <v>41</v>
      </c>
      <c r="F43" s="73" t="s">
        <v>482</v>
      </c>
      <c r="G43" s="11" t="s">
        <v>114</v>
      </c>
      <c r="H43" s="1"/>
      <c r="I43" s="49"/>
      <c r="J43" s="51"/>
      <c r="K43" s="40"/>
      <c r="L43" s="40"/>
      <c r="M43" s="38">
        <f t="shared" si="1"/>
        <v>0</v>
      </c>
      <c r="N43" s="41">
        <v>1</v>
      </c>
      <c r="O43" s="31">
        <v>3073.6</v>
      </c>
      <c r="P43" s="31">
        <f>3073.6</f>
        <v>3073.6</v>
      </c>
      <c r="Q43" s="12">
        <f t="shared" si="2"/>
        <v>0</v>
      </c>
    </row>
    <row r="44" spans="1:18" s="13" customFormat="1" ht="15.75" x14ac:dyDescent="0.25">
      <c r="A44" s="10"/>
      <c r="B44" s="27" t="s">
        <v>148</v>
      </c>
      <c r="C44" s="1" t="s">
        <v>17</v>
      </c>
      <c r="D44" s="120"/>
      <c r="E44" s="3" t="s">
        <v>20</v>
      </c>
      <c r="F44" s="73" t="s">
        <v>340</v>
      </c>
      <c r="G44" s="74" t="s">
        <v>112</v>
      </c>
      <c r="H44" s="75">
        <v>5</v>
      </c>
      <c r="I44" s="82">
        <v>1</v>
      </c>
      <c r="J44" s="96">
        <f>1</f>
        <v>1</v>
      </c>
      <c r="K44" s="77">
        <f>537.88</f>
        <v>537.88</v>
      </c>
      <c r="L44" s="77"/>
      <c r="M44" s="78">
        <f t="shared" si="1"/>
        <v>537.88</v>
      </c>
      <c r="N44" s="100">
        <f>6+5+3</f>
        <v>14</v>
      </c>
      <c r="O44" s="81">
        <f>9370.6+9456.38+8868.69</f>
        <v>27695.67</v>
      </c>
      <c r="P44" s="81">
        <f>9370.6</f>
        <v>9370.6</v>
      </c>
      <c r="Q44" s="79">
        <f t="shared" si="2"/>
        <v>18325.07</v>
      </c>
      <c r="R44" s="141"/>
    </row>
    <row r="45" spans="1:18" s="13" customFormat="1" ht="15.75" x14ac:dyDescent="0.25">
      <c r="A45" s="10"/>
      <c r="B45" s="25" t="s">
        <v>148</v>
      </c>
      <c r="C45" s="1" t="s">
        <v>17</v>
      </c>
      <c r="D45" s="120"/>
      <c r="E45" s="17" t="s">
        <v>32</v>
      </c>
      <c r="F45" s="73" t="s">
        <v>425</v>
      </c>
      <c r="G45" s="11" t="s">
        <v>117</v>
      </c>
      <c r="H45" s="1">
        <v>2</v>
      </c>
      <c r="I45" s="49"/>
      <c r="J45" s="46"/>
      <c r="K45" s="40"/>
      <c r="L45" s="40"/>
      <c r="M45" s="38">
        <f t="shared" si="1"/>
        <v>0</v>
      </c>
      <c r="N45" s="41">
        <v>2</v>
      </c>
      <c r="O45" s="31">
        <v>7472.69</v>
      </c>
      <c r="P45" s="31"/>
      <c r="Q45" s="12">
        <f t="shared" si="2"/>
        <v>7472.69</v>
      </c>
    </row>
    <row r="46" spans="1:18" s="13" customFormat="1" ht="15.75" x14ac:dyDescent="0.25">
      <c r="A46" s="10"/>
      <c r="B46" s="30" t="s">
        <v>42</v>
      </c>
      <c r="C46" s="1" t="s">
        <v>17</v>
      </c>
      <c r="D46" s="120"/>
      <c r="E46" s="3" t="s">
        <v>23</v>
      </c>
      <c r="F46" s="73" t="s">
        <v>341</v>
      </c>
      <c r="G46" s="74" t="s">
        <v>112</v>
      </c>
      <c r="H46" s="75">
        <v>9</v>
      </c>
      <c r="I46" s="76">
        <v>4</v>
      </c>
      <c r="J46" s="96">
        <f>5</f>
        <v>5</v>
      </c>
      <c r="K46" s="77">
        <f>7156.22</f>
        <v>7156.22</v>
      </c>
      <c r="L46" s="77"/>
      <c r="M46" s="78">
        <f t="shared" si="1"/>
        <v>7156.22</v>
      </c>
      <c r="N46" s="100">
        <f>4+6+9+2</f>
        <v>21</v>
      </c>
      <c r="O46" s="81">
        <f>5364.2+26170.88+2849.25</f>
        <v>34384.33</v>
      </c>
      <c r="P46" s="81"/>
      <c r="Q46" s="79">
        <f t="shared" si="2"/>
        <v>34384.33</v>
      </c>
      <c r="R46" s="141"/>
    </row>
    <row r="47" spans="1:18" s="13" customFormat="1" ht="15.75" x14ac:dyDescent="0.25">
      <c r="A47" s="10"/>
      <c r="B47" s="24" t="s">
        <v>42</v>
      </c>
      <c r="C47" s="1" t="s">
        <v>17</v>
      </c>
      <c r="D47" s="120"/>
      <c r="E47" s="3" t="s">
        <v>23</v>
      </c>
      <c r="F47" s="73" t="s">
        <v>437</v>
      </c>
      <c r="G47" s="11" t="s">
        <v>118</v>
      </c>
      <c r="H47" s="1">
        <v>2</v>
      </c>
      <c r="I47" s="49"/>
      <c r="J47" s="46"/>
      <c r="K47" s="40"/>
      <c r="L47" s="40"/>
      <c r="M47" s="38">
        <f t="shared" si="1"/>
        <v>0</v>
      </c>
      <c r="N47" s="41"/>
      <c r="O47" s="31">
        <v>4226.2</v>
      </c>
      <c r="P47" s="31"/>
      <c r="Q47" s="12">
        <f t="shared" si="2"/>
        <v>4226.2</v>
      </c>
    </row>
    <row r="48" spans="1:18" s="13" customFormat="1" ht="15.75" x14ac:dyDescent="0.25">
      <c r="A48" s="10"/>
      <c r="B48" s="30" t="s">
        <v>173</v>
      </c>
      <c r="C48" s="1" t="s">
        <v>17</v>
      </c>
      <c r="D48" s="120"/>
      <c r="E48" s="11" t="s">
        <v>118</v>
      </c>
      <c r="F48" s="73" t="s">
        <v>342</v>
      </c>
      <c r="G48" s="74" t="s">
        <v>112</v>
      </c>
      <c r="H48" s="75">
        <v>4</v>
      </c>
      <c r="I48" s="76">
        <v>4</v>
      </c>
      <c r="J48" s="96">
        <f>1+2+1</f>
        <v>4</v>
      </c>
      <c r="K48" s="77">
        <f>6833.76</f>
        <v>6833.76</v>
      </c>
      <c r="L48" s="77"/>
      <c r="M48" s="78">
        <f t="shared" si="1"/>
        <v>6833.76</v>
      </c>
      <c r="N48" s="100">
        <f>4+2</f>
        <v>6</v>
      </c>
      <c r="O48" s="81">
        <f>5931.9+4183.92+3158.95</f>
        <v>13274.77</v>
      </c>
      <c r="P48" s="81">
        <f>5931.9</f>
        <v>5931.9</v>
      </c>
      <c r="Q48" s="79">
        <f t="shared" si="2"/>
        <v>7342.8700000000008</v>
      </c>
      <c r="R48" s="141"/>
    </row>
    <row r="49" spans="1:18" s="13" customFormat="1" ht="15.75" x14ac:dyDescent="0.25">
      <c r="A49" s="10"/>
      <c r="B49" s="22" t="s">
        <v>143</v>
      </c>
      <c r="C49" s="1" t="s">
        <v>64</v>
      </c>
      <c r="D49" s="120" t="s">
        <v>444</v>
      </c>
      <c r="E49" s="3" t="s">
        <v>20</v>
      </c>
      <c r="F49" s="73" t="s">
        <v>445</v>
      </c>
      <c r="G49" s="11" t="s">
        <v>114</v>
      </c>
      <c r="H49" s="1">
        <v>4</v>
      </c>
      <c r="I49" s="47"/>
      <c r="J49" s="51"/>
      <c r="K49" s="37"/>
      <c r="L49" s="37"/>
      <c r="M49" s="78">
        <f t="shared" si="1"/>
        <v>0</v>
      </c>
      <c r="N49" s="39">
        <v>11</v>
      </c>
      <c r="O49" s="31">
        <v>13367.1</v>
      </c>
      <c r="P49" s="31">
        <f>3762</f>
        <v>3762</v>
      </c>
      <c r="Q49" s="79">
        <f t="shared" si="2"/>
        <v>9605.1</v>
      </c>
    </row>
    <row r="50" spans="1:18" s="13" customFormat="1" ht="15.75" x14ac:dyDescent="0.25">
      <c r="A50" s="10"/>
      <c r="B50" s="24" t="s">
        <v>158</v>
      </c>
      <c r="C50" s="1" t="s">
        <v>17</v>
      </c>
      <c r="D50" s="120"/>
      <c r="E50" s="17" t="s">
        <v>32</v>
      </c>
      <c r="F50" s="73" t="s">
        <v>426</v>
      </c>
      <c r="G50" s="11" t="s">
        <v>117</v>
      </c>
      <c r="H50" s="1">
        <v>5</v>
      </c>
      <c r="I50" s="47"/>
      <c r="J50" s="51"/>
      <c r="K50" s="37"/>
      <c r="L50" s="37"/>
      <c r="M50" s="38">
        <f t="shared" si="1"/>
        <v>0</v>
      </c>
      <c r="N50" s="39">
        <v>4</v>
      </c>
      <c r="O50" s="31">
        <v>6907.7</v>
      </c>
      <c r="P50" s="31"/>
      <c r="Q50" s="12">
        <f t="shared" si="2"/>
        <v>6907.7</v>
      </c>
    </row>
    <row r="51" spans="1:18" s="15" customFormat="1" ht="15.75" x14ac:dyDescent="0.25">
      <c r="A51" s="14"/>
      <c r="B51" s="80" t="s">
        <v>43</v>
      </c>
      <c r="C51" s="1" t="s">
        <v>17</v>
      </c>
      <c r="D51" s="120"/>
      <c r="E51" s="3" t="s">
        <v>18</v>
      </c>
      <c r="F51" s="73" t="s">
        <v>344</v>
      </c>
      <c r="G51" s="74" t="s">
        <v>112</v>
      </c>
      <c r="H51" s="75">
        <v>9</v>
      </c>
      <c r="I51" s="76">
        <v>3</v>
      </c>
      <c r="J51" s="96">
        <f>1</f>
        <v>1</v>
      </c>
      <c r="K51" s="77"/>
      <c r="L51" s="77"/>
      <c r="M51" s="78">
        <f t="shared" si="1"/>
        <v>0</v>
      </c>
      <c r="N51" s="100">
        <f>1+5+4</f>
        <v>10</v>
      </c>
      <c r="O51" s="81">
        <f>1223.8+3810.29+4959.02+10043.87</f>
        <v>20036.980000000003</v>
      </c>
      <c r="P51" s="81"/>
      <c r="Q51" s="79">
        <f t="shared" si="2"/>
        <v>20036.980000000003</v>
      </c>
      <c r="R51" s="141"/>
    </row>
    <row r="52" spans="1:18" s="15" customFormat="1" ht="31.5" x14ac:dyDescent="0.25">
      <c r="A52" s="14"/>
      <c r="B52" s="22" t="s">
        <v>43</v>
      </c>
      <c r="C52" s="1" t="s">
        <v>304</v>
      </c>
      <c r="D52" s="120" t="s">
        <v>473</v>
      </c>
      <c r="E52" s="3" t="s">
        <v>18</v>
      </c>
      <c r="F52" s="73" t="s">
        <v>323</v>
      </c>
      <c r="G52" s="11" t="s">
        <v>113</v>
      </c>
      <c r="H52" s="1">
        <v>3</v>
      </c>
      <c r="I52" s="126">
        <v>4</v>
      </c>
      <c r="J52" s="125">
        <v>4</v>
      </c>
      <c r="K52" s="40">
        <v>5071</v>
      </c>
      <c r="L52" s="40"/>
      <c r="M52" s="38">
        <f t="shared" si="1"/>
        <v>5071</v>
      </c>
      <c r="N52" s="39">
        <v>4</v>
      </c>
      <c r="O52" s="31">
        <v>8937</v>
      </c>
      <c r="P52" s="31"/>
      <c r="Q52" s="12">
        <f t="shared" si="2"/>
        <v>8937</v>
      </c>
    </row>
    <row r="53" spans="1:18" s="13" customFormat="1" ht="15.75" x14ac:dyDescent="0.25">
      <c r="A53" s="10"/>
      <c r="B53" s="30" t="s">
        <v>44</v>
      </c>
      <c r="C53" s="1" t="s">
        <v>17</v>
      </c>
      <c r="D53" s="120"/>
      <c r="E53" s="3" t="s">
        <v>20</v>
      </c>
      <c r="F53" s="73" t="s">
        <v>345</v>
      </c>
      <c r="G53" s="74" t="s">
        <v>112</v>
      </c>
      <c r="H53" s="75">
        <v>6</v>
      </c>
      <c r="I53" s="76">
        <v>3</v>
      </c>
      <c r="J53" s="96">
        <f>1+1</f>
        <v>2</v>
      </c>
      <c r="K53" s="77">
        <f>2422.38</f>
        <v>2422.38</v>
      </c>
      <c r="L53" s="77"/>
      <c r="M53" s="78">
        <f t="shared" si="1"/>
        <v>2422.38</v>
      </c>
      <c r="N53" s="100">
        <f>1</f>
        <v>1</v>
      </c>
      <c r="O53" s="81">
        <f>421.62+4603.39+10559.77</f>
        <v>15584.78</v>
      </c>
      <c r="P53" s="81"/>
      <c r="Q53" s="79">
        <f t="shared" si="2"/>
        <v>15584.78</v>
      </c>
      <c r="R53" s="141"/>
    </row>
    <row r="54" spans="1:18" s="13" customFormat="1" ht="15.75" x14ac:dyDescent="0.25">
      <c r="A54" s="10"/>
      <c r="B54" s="24" t="s">
        <v>44</v>
      </c>
      <c r="C54" s="1" t="s">
        <v>17</v>
      </c>
      <c r="D54" s="120"/>
      <c r="E54" s="3" t="s">
        <v>20</v>
      </c>
      <c r="F54" s="73" t="s">
        <v>483</v>
      </c>
      <c r="G54" s="11" t="s">
        <v>114</v>
      </c>
      <c r="H54" s="1"/>
      <c r="I54" s="49"/>
      <c r="J54" s="51"/>
      <c r="K54" s="40"/>
      <c r="L54" s="40"/>
      <c r="M54" s="78">
        <f t="shared" si="1"/>
        <v>0</v>
      </c>
      <c r="N54" s="41">
        <v>2</v>
      </c>
      <c r="O54" s="31"/>
      <c r="P54" s="31"/>
      <c r="Q54" s="12">
        <f t="shared" si="2"/>
        <v>0</v>
      </c>
    </row>
    <row r="55" spans="1:18" s="13" customFormat="1" ht="15.75" x14ac:dyDescent="0.25">
      <c r="A55" s="10"/>
      <c r="B55" s="24" t="s">
        <v>492</v>
      </c>
      <c r="C55" s="1" t="s">
        <v>17</v>
      </c>
      <c r="D55" s="120"/>
      <c r="E55" s="3" t="s">
        <v>20</v>
      </c>
      <c r="F55" s="73" t="s">
        <v>499</v>
      </c>
      <c r="G55" s="11" t="s">
        <v>112</v>
      </c>
      <c r="H55" s="1">
        <v>1</v>
      </c>
      <c r="I55" s="49"/>
      <c r="J55" s="51"/>
      <c r="K55" s="40"/>
      <c r="L55" s="40"/>
      <c r="M55" s="78"/>
      <c r="N55" s="41"/>
      <c r="O55" s="31"/>
      <c r="P55" s="31"/>
      <c r="Q55" s="12"/>
    </row>
    <row r="56" spans="1:18" s="13" customFormat="1" ht="15.75" x14ac:dyDescent="0.25">
      <c r="A56" s="10"/>
      <c r="B56" s="27" t="s">
        <v>45</v>
      </c>
      <c r="C56" s="1" t="s">
        <v>17</v>
      </c>
      <c r="D56" s="120"/>
      <c r="E56" s="3" t="s">
        <v>20</v>
      </c>
      <c r="F56" s="73" t="s">
        <v>346</v>
      </c>
      <c r="G56" s="74" t="s">
        <v>112</v>
      </c>
      <c r="H56" s="75"/>
      <c r="I56" s="76"/>
      <c r="J56" s="96"/>
      <c r="K56" s="77"/>
      <c r="L56" s="77"/>
      <c r="M56" s="38">
        <f t="shared" si="1"/>
        <v>0</v>
      </c>
      <c r="N56" s="100">
        <f>1</f>
        <v>1</v>
      </c>
      <c r="O56" s="81">
        <f>17995.91</f>
        <v>17995.91</v>
      </c>
      <c r="P56" s="81"/>
      <c r="Q56" s="79">
        <f t="shared" si="2"/>
        <v>17995.91</v>
      </c>
      <c r="R56" s="141"/>
    </row>
    <row r="57" spans="1:18" s="13" customFormat="1" ht="15.75" x14ac:dyDescent="0.25">
      <c r="A57" s="10"/>
      <c r="B57" s="25" t="s">
        <v>45</v>
      </c>
      <c r="C57" s="1" t="s">
        <v>17</v>
      </c>
      <c r="D57" s="120"/>
      <c r="E57" s="3" t="s">
        <v>20</v>
      </c>
      <c r="F57" s="73" t="s">
        <v>484</v>
      </c>
      <c r="G57" s="11" t="s">
        <v>114</v>
      </c>
      <c r="H57" s="1"/>
      <c r="I57" s="49"/>
      <c r="J57" s="51"/>
      <c r="K57" s="40"/>
      <c r="L57" s="40"/>
      <c r="M57" s="78">
        <f t="shared" si="1"/>
        <v>0</v>
      </c>
      <c r="N57" s="41"/>
      <c r="O57" s="31"/>
      <c r="P57" s="31"/>
      <c r="Q57" s="12">
        <f t="shared" si="2"/>
        <v>0</v>
      </c>
    </row>
    <row r="58" spans="1:18" s="15" customFormat="1" ht="15.75" x14ac:dyDescent="0.25">
      <c r="A58" s="14"/>
      <c r="B58" s="28" t="s">
        <v>46</v>
      </c>
      <c r="C58" s="1" t="s">
        <v>17</v>
      </c>
      <c r="D58" s="120"/>
      <c r="E58" s="3" t="s">
        <v>20</v>
      </c>
      <c r="F58" s="73" t="s">
        <v>347</v>
      </c>
      <c r="G58" s="74" t="s">
        <v>112</v>
      </c>
      <c r="H58" s="75">
        <v>5</v>
      </c>
      <c r="I58" s="76">
        <v>1</v>
      </c>
      <c r="J58" s="96">
        <f>1</f>
        <v>1</v>
      </c>
      <c r="K58" s="77">
        <f>1045.98</f>
        <v>1045.98</v>
      </c>
      <c r="L58" s="77"/>
      <c r="M58" s="38">
        <f t="shared" si="1"/>
        <v>1045.98</v>
      </c>
      <c r="N58" s="100">
        <f>4</f>
        <v>4</v>
      </c>
      <c r="O58" s="81">
        <f>10759.2</f>
        <v>10759.2</v>
      </c>
      <c r="P58" s="81"/>
      <c r="Q58" s="79">
        <f t="shared" si="2"/>
        <v>10759.2</v>
      </c>
      <c r="R58" s="141"/>
    </row>
    <row r="59" spans="1:18" s="15" customFormat="1" ht="15.75" x14ac:dyDescent="0.25">
      <c r="A59" s="14"/>
      <c r="B59" s="26" t="s">
        <v>46</v>
      </c>
      <c r="C59" s="1" t="s">
        <v>17</v>
      </c>
      <c r="D59" s="120"/>
      <c r="E59" s="3" t="s">
        <v>20</v>
      </c>
      <c r="F59" s="73" t="s">
        <v>273</v>
      </c>
      <c r="G59" s="11" t="s">
        <v>114</v>
      </c>
      <c r="H59" s="1">
        <v>1</v>
      </c>
      <c r="I59" s="49"/>
      <c r="J59" s="51"/>
      <c r="K59" s="40"/>
      <c r="L59" s="40"/>
      <c r="M59" s="78">
        <f t="shared" si="1"/>
        <v>0</v>
      </c>
      <c r="N59" s="42">
        <v>2</v>
      </c>
      <c r="O59" s="31">
        <v>8068.2</v>
      </c>
      <c r="P59" s="31">
        <f>4034.1</f>
        <v>4034.1</v>
      </c>
      <c r="Q59" s="12">
        <f t="shared" si="2"/>
        <v>4034.1</v>
      </c>
    </row>
    <row r="60" spans="1:18" s="13" customFormat="1" ht="47.25" x14ac:dyDescent="0.25">
      <c r="A60" s="10"/>
      <c r="B60" s="30" t="s">
        <v>47</v>
      </c>
      <c r="C60" s="1" t="s">
        <v>304</v>
      </c>
      <c r="D60" s="120" t="s">
        <v>474</v>
      </c>
      <c r="E60" s="3" t="s">
        <v>18</v>
      </c>
      <c r="F60" s="73" t="s">
        <v>348</v>
      </c>
      <c r="G60" s="74" t="s">
        <v>112</v>
      </c>
      <c r="H60" s="75">
        <v>8</v>
      </c>
      <c r="I60" s="76">
        <v>3</v>
      </c>
      <c r="J60" s="96">
        <f>1+1</f>
        <v>2</v>
      </c>
      <c r="K60" s="77">
        <f>1129.78+866.14</f>
        <v>1995.92</v>
      </c>
      <c r="L60" s="77"/>
      <c r="M60" s="38">
        <f t="shared" si="1"/>
        <v>1995.92</v>
      </c>
      <c r="N60" s="100">
        <f>7+3+4+10+6</f>
        <v>30</v>
      </c>
      <c r="O60" s="81">
        <f>8477.51+15159.83+14079.46+15414.2+17995.91</f>
        <v>71126.91</v>
      </c>
      <c r="P60" s="81"/>
      <c r="Q60" s="79">
        <f t="shared" si="2"/>
        <v>71126.91</v>
      </c>
      <c r="R60" s="141"/>
    </row>
    <row r="61" spans="1:18" s="13" customFormat="1" ht="47.25" x14ac:dyDescent="0.25">
      <c r="A61" s="10"/>
      <c r="B61" s="22" t="s">
        <v>120</v>
      </c>
      <c r="C61" s="1" t="s">
        <v>304</v>
      </c>
      <c r="D61" s="120" t="s">
        <v>474</v>
      </c>
      <c r="E61" s="3" t="s">
        <v>18</v>
      </c>
      <c r="F61" s="73" t="s">
        <v>334</v>
      </c>
      <c r="G61" s="11" t="s">
        <v>116</v>
      </c>
      <c r="H61" s="1">
        <v>12</v>
      </c>
      <c r="I61" s="53">
        <v>2</v>
      </c>
      <c r="J61" s="127">
        <v>2</v>
      </c>
      <c r="K61" s="40">
        <v>3170</v>
      </c>
      <c r="L61" s="40"/>
      <c r="M61" s="78">
        <f t="shared" si="1"/>
        <v>3170</v>
      </c>
      <c r="N61" s="41">
        <v>2</v>
      </c>
      <c r="O61" s="31">
        <v>27965</v>
      </c>
      <c r="P61" s="31"/>
      <c r="Q61" s="12">
        <f t="shared" si="2"/>
        <v>27965</v>
      </c>
    </row>
    <row r="62" spans="1:18" s="13" customFormat="1" ht="15.75" x14ac:dyDescent="0.25">
      <c r="A62" s="10"/>
      <c r="B62" s="30" t="s">
        <v>134</v>
      </c>
      <c r="C62" s="1" t="s">
        <v>17</v>
      </c>
      <c r="D62" s="120"/>
      <c r="E62" s="3" t="s">
        <v>20</v>
      </c>
      <c r="F62" s="73" t="s">
        <v>349</v>
      </c>
      <c r="G62" s="74" t="s">
        <v>112</v>
      </c>
      <c r="H62" s="75">
        <v>7</v>
      </c>
      <c r="I62" s="76">
        <v>2</v>
      </c>
      <c r="J62" s="96">
        <f>1</f>
        <v>1</v>
      </c>
      <c r="K62" s="77">
        <f>7301.48+1473.89</f>
        <v>8775.369999999999</v>
      </c>
      <c r="L62" s="77"/>
      <c r="M62" s="38">
        <f t="shared" si="1"/>
        <v>8775.369999999999</v>
      </c>
      <c r="N62" s="100">
        <f>4</f>
        <v>4</v>
      </c>
      <c r="O62" s="81">
        <f>5020.05+3215.31+12312.39</f>
        <v>20547.75</v>
      </c>
      <c r="P62" s="81"/>
      <c r="Q62" s="79">
        <f t="shared" si="2"/>
        <v>20547.75</v>
      </c>
      <c r="R62" s="141"/>
    </row>
    <row r="63" spans="1:18" s="13" customFormat="1" ht="15.75" x14ac:dyDescent="0.25">
      <c r="A63" s="10"/>
      <c r="B63" s="24" t="s">
        <v>134</v>
      </c>
      <c r="C63" s="1" t="s">
        <v>17</v>
      </c>
      <c r="D63" s="120"/>
      <c r="E63" s="3" t="s">
        <v>20</v>
      </c>
      <c r="F63" s="73" t="s">
        <v>456</v>
      </c>
      <c r="G63" s="11" t="s">
        <v>114</v>
      </c>
      <c r="H63" s="1">
        <v>8</v>
      </c>
      <c r="I63" s="49"/>
      <c r="J63" s="51"/>
      <c r="K63" s="40"/>
      <c r="L63" s="40"/>
      <c r="M63" s="78">
        <f t="shared" si="1"/>
        <v>0</v>
      </c>
      <c r="N63" s="41">
        <v>19</v>
      </c>
      <c r="O63" s="31">
        <v>16425.57</v>
      </c>
      <c r="P63" s="31">
        <f>3241.7</f>
        <v>3241.7</v>
      </c>
      <c r="Q63" s="12">
        <f t="shared" si="2"/>
        <v>13183.869999999999</v>
      </c>
    </row>
    <row r="64" spans="1:18" s="13" customFormat="1" ht="15.75" x14ac:dyDescent="0.25">
      <c r="A64" s="10"/>
      <c r="B64" s="62" t="s">
        <v>48</v>
      </c>
      <c r="C64" s="1" t="s">
        <v>17</v>
      </c>
      <c r="D64" s="120"/>
      <c r="E64" s="3" t="s">
        <v>20</v>
      </c>
      <c r="F64" s="73" t="s">
        <v>350</v>
      </c>
      <c r="G64" s="74" t="s">
        <v>112</v>
      </c>
      <c r="H64" s="75">
        <v>3</v>
      </c>
      <c r="I64" s="76">
        <v>2</v>
      </c>
      <c r="J64" s="96">
        <f>1</f>
        <v>1</v>
      </c>
      <c r="K64" s="77">
        <f>4805.96</f>
        <v>4805.96</v>
      </c>
      <c r="L64" s="77"/>
      <c r="M64" s="38">
        <f t="shared" si="1"/>
        <v>4805.96</v>
      </c>
      <c r="N64" s="100">
        <f>2+1</f>
        <v>3</v>
      </c>
      <c r="O64" s="81">
        <f>23174.33+2535.72+11633.02</f>
        <v>37343.070000000007</v>
      </c>
      <c r="P64" s="81"/>
      <c r="Q64" s="79">
        <f t="shared" si="2"/>
        <v>37343.070000000007</v>
      </c>
      <c r="R64" s="141"/>
    </row>
    <row r="65" spans="1:18" s="13" customFormat="1" ht="15.75" x14ac:dyDescent="0.25">
      <c r="A65" s="10"/>
      <c r="B65" s="62" t="s">
        <v>49</v>
      </c>
      <c r="C65" s="1" t="s">
        <v>17</v>
      </c>
      <c r="D65" s="120"/>
      <c r="E65" s="3" t="s">
        <v>50</v>
      </c>
      <c r="F65" s="73" t="s">
        <v>351</v>
      </c>
      <c r="G65" s="74" t="s">
        <v>112</v>
      </c>
      <c r="H65" s="75">
        <v>5</v>
      </c>
      <c r="I65" s="76"/>
      <c r="J65" s="96"/>
      <c r="K65" s="77"/>
      <c r="L65" s="77"/>
      <c r="M65" s="78">
        <f t="shared" si="1"/>
        <v>0</v>
      </c>
      <c r="N65" s="100">
        <f>5+1+3</f>
        <v>9</v>
      </c>
      <c r="O65" s="81">
        <f>7374+1806.93+7275.53+4666.9</f>
        <v>21123.360000000001</v>
      </c>
      <c r="P65" s="81">
        <f>7374</f>
        <v>7374</v>
      </c>
      <c r="Q65" s="12">
        <f t="shared" si="2"/>
        <v>13749.36</v>
      </c>
      <c r="R65" s="141"/>
    </row>
    <row r="66" spans="1:18" s="13" customFormat="1" ht="15.75" x14ac:dyDescent="0.25">
      <c r="A66" s="10"/>
      <c r="B66" s="22" t="s">
        <v>49</v>
      </c>
      <c r="C66" s="1" t="s">
        <v>17</v>
      </c>
      <c r="D66" s="120"/>
      <c r="E66" s="3" t="s">
        <v>50</v>
      </c>
      <c r="F66" s="73" t="s">
        <v>427</v>
      </c>
      <c r="G66" s="11" t="s">
        <v>115</v>
      </c>
      <c r="H66" s="1">
        <v>2</v>
      </c>
      <c r="I66" s="49"/>
      <c r="J66" s="46"/>
      <c r="K66" s="40"/>
      <c r="L66" s="40"/>
      <c r="M66" s="38">
        <f t="shared" si="1"/>
        <v>0</v>
      </c>
      <c r="N66" s="41">
        <v>7</v>
      </c>
      <c r="O66" s="31">
        <v>4898.6000000000004</v>
      </c>
      <c r="P66" s="31"/>
      <c r="Q66" s="79">
        <f t="shared" si="2"/>
        <v>4898.6000000000004</v>
      </c>
    </row>
    <row r="67" spans="1:18" s="13" customFormat="1" ht="15.75" x14ac:dyDescent="0.25">
      <c r="A67" s="10"/>
      <c r="B67" s="27" t="s">
        <v>51</v>
      </c>
      <c r="C67" s="1" t="s">
        <v>17</v>
      </c>
      <c r="D67" s="120"/>
      <c r="E67" s="3" t="s">
        <v>20</v>
      </c>
      <c r="F67" s="73" t="s">
        <v>186</v>
      </c>
      <c r="G67" s="74" t="s">
        <v>112</v>
      </c>
      <c r="H67" s="75"/>
      <c r="I67" s="76"/>
      <c r="J67" s="96"/>
      <c r="K67" s="77"/>
      <c r="L67" s="77"/>
      <c r="M67" s="78">
        <f t="shared" si="1"/>
        <v>0</v>
      </c>
      <c r="N67" s="100">
        <f>1</f>
        <v>1</v>
      </c>
      <c r="O67" s="81">
        <v>2451.87</v>
      </c>
      <c r="P67" s="81"/>
      <c r="Q67" s="12">
        <f t="shared" si="2"/>
        <v>2451.87</v>
      </c>
      <c r="R67" s="141"/>
    </row>
    <row r="68" spans="1:18" s="13" customFormat="1" ht="15.75" x14ac:dyDescent="0.25">
      <c r="A68" s="10"/>
      <c r="B68" s="27" t="s">
        <v>51</v>
      </c>
      <c r="C68" s="1" t="s">
        <v>17</v>
      </c>
      <c r="D68" s="120"/>
      <c r="E68" s="3" t="s">
        <v>20</v>
      </c>
      <c r="F68" s="73" t="s">
        <v>276</v>
      </c>
      <c r="G68" s="11" t="s">
        <v>114</v>
      </c>
      <c r="H68" s="1"/>
      <c r="I68" s="49"/>
      <c r="J68" s="51"/>
      <c r="K68" s="40"/>
      <c r="L68" s="40"/>
      <c r="M68" s="38">
        <f t="shared" si="1"/>
        <v>0</v>
      </c>
      <c r="N68" s="41">
        <v>3</v>
      </c>
      <c r="O68" s="31">
        <v>6763.6</v>
      </c>
      <c r="P68" s="31">
        <f>3465.7</f>
        <v>3465.7</v>
      </c>
      <c r="Q68" s="79">
        <f t="shared" si="2"/>
        <v>3297.9000000000005</v>
      </c>
    </row>
    <row r="69" spans="1:18" s="13" customFormat="1" ht="15.75" x14ac:dyDescent="0.25">
      <c r="A69" s="10"/>
      <c r="B69" s="62" t="s">
        <v>52</v>
      </c>
      <c r="C69" s="1" t="s">
        <v>17</v>
      </c>
      <c r="D69" s="120"/>
      <c r="E69" s="3" t="s">
        <v>20</v>
      </c>
      <c r="F69" s="73" t="s">
        <v>352</v>
      </c>
      <c r="G69" s="74" t="s">
        <v>112</v>
      </c>
      <c r="H69" s="75">
        <v>3</v>
      </c>
      <c r="I69" s="76"/>
      <c r="J69" s="96"/>
      <c r="K69" s="77"/>
      <c r="L69" s="77"/>
      <c r="M69" s="78">
        <f t="shared" si="1"/>
        <v>0</v>
      </c>
      <c r="N69" s="100">
        <f>4+3+1+1</f>
        <v>9</v>
      </c>
      <c r="O69" s="81">
        <f>5977.15+48296.91+7596.86</f>
        <v>61870.920000000006</v>
      </c>
      <c r="P69" s="81"/>
      <c r="Q69" s="12">
        <f t="shared" si="2"/>
        <v>61870.920000000006</v>
      </c>
      <c r="R69" s="141"/>
    </row>
    <row r="70" spans="1:18" s="13" customFormat="1" ht="15.75" x14ac:dyDescent="0.25">
      <c r="A70" s="10"/>
      <c r="B70" s="22" t="s">
        <v>52</v>
      </c>
      <c r="C70" s="1" t="s">
        <v>17</v>
      </c>
      <c r="D70" s="120"/>
      <c r="E70" s="3" t="s">
        <v>20</v>
      </c>
      <c r="F70" s="73" t="s">
        <v>457</v>
      </c>
      <c r="G70" s="11" t="s">
        <v>114</v>
      </c>
      <c r="H70" s="1">
        <v>4</v>
      </c>
      <c r="I70" s="49"/>
      <c r="J70" s="51"/>
      <c r="K70" s="40"/>
      <c r="L70" s="40"/>
      <c r="M70" s="38">
        <f t="shared" si="1"/>
        <v>0</v>
      </c>
      <c r="N70" s="41">
        <v>12</v>
      </c>
      <c r="O70" s="31">
        <v>19664.86</v>
      </c>
      <c r="P70" s="31">
        <f>3328.16</f>
        <v>3328.16</v>
      </c>
      <c r="Q70" s="79">
        <f t="shared" si="2"/>
        <v>16336.7</v>
      </c>
    </row>
    <row r="71" spans="1:18" s="13" customFormat="1" ht="15.75" x14ac:dyDescent="0.25">
      <c r="A71" s="10"/>
      <c r="B71" s="27" t="s">
        <v>53</v>
      </c>
      <c r="C71" s="1" t="s">
        <v>17</v>
      </c>
      <c r="D71" s="120"/>
      <c r="E71" s="3" t="s">
        <v>20</v>
      </c>
      <c r="F71" s="73" t="s">
        <v>353</v>
      </c>
      <c r="G71" s="74" t="s">
        <v>112</v>
      </c>
      <c r="H71" s="75">
        <v>4</v>
      </c>
      <c r="I71" s="76"/>
      <c r="J71" s="96"/>
      <c r="K71" s="77"/>
      <c r="L71" s="77"/>
      <c r="M71" s="78">
        <f>K71-L71</f>
        <v>0</v>
      </c>
      <c r="N71" s="100">
        <f>1+2+2</f>
        <v>5</v>
      </c>
      <c r="O71" s="81">
        <f>1743.3+3921.71+422.62</f>
        <v>6087.63</v>
      </c>
      <c r="P71" s="81">
        <f>422.62</f>
        <v>422.62</v>
      </c>
      <c r="Q71" s="12">
        <f t="shared" si="2"/>
        <v>5665.01</v>
      </c>
      <c r="R71" s="141"/>
    </row>
    <row r="72" spans="1:18" s="13" customFormat="1" ht="15.75" x14ac:dyDescent="0.25">
      <c r="A72" s="10"/>
      <c r="B72" s="27" t="s">
        <v>149</v>
      </c>
      <c r="C72" s="1" t="s">
        <v>17</v>
      </c>
      <c r="D72" s="120"/>
      <c r="E72" s="3" t="s">
        <v>383</v>
      </c>
      <c r="F72" s="73" t="s">
        <v>354</v>
      </c>
      <c r="G72" s="74" t="s">
        <v>112</v>
      </c>
      <c r="H72" s="75">
        <v>9</v>
      </c>
      <c r="I72" s="76"/>
      <c r="J72" s="96"/>
      <c r="K72" s="77"/>
      <c r="L72" s="77"/>
      <c r="M72" s="38">
        <f t="shared" si="1"/>
        <v>0</v>
      </c>
      <c r="N72" s="100">
        <f>2+2</f>
        <v>4</v>
      </c>
      <c r="O72" s="81">
        <f>3676.8+3431.65</f>
        <v>7108.4500000000007</v>
      </c>
      <c r="P72" s="81"/>
      <c r="Q72" s="79">
        <f t="shared" si="2"/>
        <v>7108.4500000000007</v>
      </c>
      <c r="R72" s="141"/>
    </row>
    <row r="73" spans="1:18" s="13" customFormat="1" ht="15.75" x14ac:dyDescent="0.25">
      <c r="A73" s="10"/>
      <c r="B73" s="25" t="s">
        <v>149</v>
      </c>
      <c r="C73" s="1" t="s">
        <v>17</v>
      </c>
      <c r="D73" s="120"/>
      <c r="E73" s="3" t="s">
        <v>383</v>
      </c>
      <c r="F73" s="73" t="s">
        <v>438</v>
      </c>
      <c r="G73" s="11" t="s">
        <v>118</v>
      </c>
      <c r="H73" s="1">
        <v>4</v>
      </c>
      <c r="I73" s="47"/>
      <c r="J73" s="51"/>
      <c r="K73" s="37"/>
      <c r="L73" s="37"/>
      <c r="M73" s="78">
        <f t="shared" si="1"/>
        <v>0</v>
      </c>
      <c r="N73" s="39">
        <v>3</v>
      </c>
      <c r="O73" s="31">
        <v>4994.6000000000004</v>
      </c>
      <c r="P73" s="31"/>
      <c r="Q73" s="12">
        <f t="shared" si="2"/>
        <v>4994.6000000000004</v>
      </c>
    </row>
    <row r="74" spans="1:18" s="13" customFormat="1" ht="15.75" x14ac:dyDescent="0.25">
      <c r="A74" s="10"/>
      <c r="B74" s="62" t="s">
        <v>107</v>
      </c>
      <c r="C74" s="1" t="s">
        <v>17</v>
      </c>
      <c r="D74" s="120"/>
      <c r="E74" s="17" t="s">
        <v>20</v>
      </c>
      <c r="F74" s="73" t="s">
        <v>355</v>
      </c>
      <c r="G74" s="74" t="s">
        <v>112</v>
      </c>
      <c r="H74" s="75">
        <v>4</v>
      </c>
      <c r="I74" s="76"/>
      <c r="J74" s="96">
        <f>1</f>
        <v>1</v>
      </c>
      <c r="K74" s="77">
        <f>666.63</f>
        <v>666.63</v>
      </c>
      <c r="L74" s="77"/>
      <c r="M74" s="38">
        <f t="shared" si="1"/>
        <v>666.63</v>
      </c>
      <c r="N74" s="100">
        <f>2+6</f>
        <v>8</v>
      </c>
      <c r="O74" s="81">
        <f>7612.92+18804.48+9163.33</f>
        <v>35580.730000000003</v>
      </c>
      <c r="P74" s="81"/>
      <c r="Q74" s="79">
        <f t="shared" si="2"/>
        <v>35580.730000000003</v>
      </c>
      <c r="R74" s="141"/>
    </row>
    <row r="75" spans="1:18" s="13" customFormat="1" ht="15.75" x14ac:dyDescent="0.25">
      <c r="A75" s="10"/>
      <c r="B75" s="30" t="s">
        <v>54</v>
      </c>
      <c r="C75" s="1" t="s">
        <v>17</v>
      </c>
      <c r="D75" s="120"/>
      <c r="E75" s="17" t="s">
        <v>20</v>
      </c>
      <c r="F75" s="73" t="s">
        <v>356</v>
      </c>
      <c r="G75" s="74" t="s">
        <v>112</v>
      </c>
      <c r="H75" s="75"/>
      <c r="I75" s="76"/>
      <c r="J75" s="96"/>
      <c r="K75" s="77"/>
      <c r="L75" s="77"/>
      <c r="M75" s="38">
        <f t="shared" si="1"/>
        <v>0</v>
      </c>
      <c r="N75" s="100">
        <f>4</f>
        <v>4</v>
      </c>
      <c r="O75" s="81">
        <f>17895.28</f>
        <v>17895.28</v>
      </c>
      <c r="P75" s="81"/>
      <c r="Q75" s="79">
        <f t="shared" si="2"/>
        <v>17895.28</v>
      </c>
      <c r="R75" s="141"/>
    </row>
    <row r="76" spans="1:18" s="13" customFormat="1" ht="31.5" x14ac:dyDescent="0.25">
      <c r="A76" s="10"/>
      <c r="B76" s="27" t="s">
        <v>55</v>
      </c>
      <c r="C76" s="1" t="s">
        <v>304</v>
      </c>
      <c r="D76" s="120" t="s">
        <v>387</v>
      </c>
      <c r="E76" s="3" t="s">
        <v>20</v>
      </c>
      <c r="F76" s="73" t="s">
        <v>357</v>
      </c>
      <c r="G76" s="74" t="s">
        <v>112</v>
      </c>
      <c r="H76" s="75">
        <v>8</v>
      </c>
      <c r="I76" s="76">
        <v>2</v>
      </c>
      <c r="J76" s="96"/>
      <c r="K76" s="77">
        <f>1267.86</f>
        <v>1267.8599999999999</v>
      </c>
      <c r="L76" s="77"/>
      <c r="M76" s="78">
        <f t="shared" si="1"/>
        <v>1267.8599999999999</v>
      </c>
      <c r="N76" s="100">
        <f>2+1+2</f>
        <v>5</v>
      </c>
      <c r="O76" s="81">
        <f>34854.19+2113.1+6430.67</f>
        <v>43397.96</v>
      </c>
      <c r="P76" s="81">
        <f>34854.19</f>
        <v>34854.19</v>
      </c>
      <c r="Q76" s="12">
        <f t="shared" si="2"/>
        <v>8543.7699999999968</v>
      </c>
      <c r="R76" s="141"/>
    </row>
    <row r="77" spans="1:18" s="13" customFormat="1" ht="31.5" x14ac:dyDescent="0.25">
      <c r="A77" s="10"/>
      <c r="B77" s="62" t="s">
        <v>56</v>
      </c>
      <c r="C77" s="1" t="s">
        <v>17</v>
      </c>
      <c r="D77" s="120" t="s">
        <v>386</v>
      </c>
      <c r="E77" s="3" t="s">
        <v>18</v>
      </c>
      <c r="F77" s="73" t="s">
        <v>358</v>
      </c>
      <c r="G77" s="74" t="s">
        <v>112</v>
      </c>
      <c r="H77" s="75">
        <v>2</v>
      </c>
      <c r="I77" s="76">
        <v>1</v>
      </c>
      <c r="J77" s="96">
        <f>1</f>
        <v>1</v>
      </c>
      <c r="K77" s="77">
        <f>678.11</f>
        <v>678.11</v>
      </c>
      <c r="L77" s="77"/>
      <c r="M77" s="38">
        <f t="shared" si="1"/>
        <v>678.11</v>
      </c>
      <c r="N77" s="100"/>
      <c r="O77" s="81"/>
      <c r="P77" s="81"/>
      <c r="Q77" s="79">
        <f t="shared" si="2"/>
        <v>0</v>
      </c>
      <c r="R77" s="141"/>
    </row>
    <row r="78" spans="1:18" s="13" customFormat="1" ht="31.5" x14ac:dyDescent="0.25">
      <c r="A78" s="10"/>
      <c r="B78" s="22" t="s">
        <v>56</v>
      </c>
      <c r="C78" s="1" t="s">
        <v>304</v>
      </c>
      <c r="D78" s="120" t="s">
        <v>386</v>
      </c>
      <c r="E78" s="3" t="s">
        <v>18</v>
      </c>
      <c r="F78" s="73" t="s">
        <v>476</v>
      </c>
      <c r="G78" s="11" t="s">
        <v>113</v>
      </c>
      <c r="H78" s="1">
        <v>1</v>
      </c>
      <c r="I78" s="49"/>
      <c r="J78" s="46"/>
      <c r="K78" s="40"/>
      <c r="L78" s="40"/>
      <c r="M78" s="78">
        <f t="shared" si="1"/>
        <v>0</v>
      </c>
      <c r="N78" s="41"/>
      <c r="O78" s="31">
        <v>7612</v>
      </c>
      <c r="P78" s="31"/>
      <c r="Q78" s="12">
        <f t="shared" ref="Q78:Q145" si="3">O78-P78</f>
        <v>7612</v>
      </c>
    </row>
    <row r="79" spans="1:18" s="13" customFormat="1" ht="15.75" x14ac:dyDescent="0.25">
      <c r="A79" s="10"/>
      <c r="B79" s="62" t="s">
        <v>156</v>
      </c>
      <c r="C79" s="1" t="s">
        <v>304</v>
      </c>
      <c r="D79" s="120"/>
      <c r="E79" s="3" t="s">
        <v>20</v>
      </c>
      <c r="F79" s="73" t="s">
        <v>359</v>
      </c>
      <c r="G79" s="74" t="s">
        <v>112</v>
      </c>
      <c r="H79" s="75">
        <v>3</v>
      </c>
      <c r="I79" s="76"/>
      <c r="J79" s="96"/>
      <c r="K79" s="77"/>
      <c r="L79" s="77"/>
      <c r="M79" s="38">
        <f t="shared" si="1"/>
        <v>0</v>
      </c>
      <c r="N79" s="100">
        <f>3</f>
        <v>3</v>
      </c>
      <c r="O79" s="81">
        <f>5488.54</f>
        <v>5488.54</v>
      </c>
      <c r="P79" s="81"/>
      <c r="Q79" s="79">
        <f t="shared" si="3"/>
        <v>5488.54</v>
      </c>
      <c r="R79" s="141"/>
    </row>
    <row r="80" spans="1:18" s="15" customFormat="1" ht="15.75" x14ac:dyDescent="0.25">
      <c r="A80" s="14"/>
      <c r="B80" s="80" t="s">
        <v>57</v>
      </c>
      <c r="C80" s="1" t="s">
        <v>17</v>
      </c>
      <c r="D80" s="120"/>
      <c r="E80" s="3" t="s">
        <v>20</v>
      </c>
      <c r="F80" s="73" t="s">
        <v>360</v>
      </c>
      <c r="G80" s="74" t="s">
        <v>112</v>
      </c>
      <c r="H80" s="75">
        <v>3</v>
      </c>
      <c r="I80" s="76"/>
      <c r="J80" s="96"/>
      <c r="K80" s="77"/>
      <c r="L80" s="77"/>
      <c r="M80" s="78">
        <f t="shared" si="1"/>
        <v>0</v>
      </c>
      <c r="N80" s="100">
        <f>2</f>
        <v>2</v>
      </c>
      <c r="O80" s="81">
        <f>2745.3</f>
        <v>2745.3</v>
      </c>
      <c r="P80" s="81"/>
      <c r="Q80" s="12">
        <f t="shared" si="3"/>
        <v>2745.3</v>
      </c>
      <c r="R80" s="141"/>
    </row>
    <row r="81" spans="1:18" s="15" customFormat="1" ht="15.75" x14ac:dyDescent="0.25">
      <c r="A81" s="14"/>
      <c r="B81" s="23" t="s">
        <v>57</v>
      </c>
      <c r="C81" s="1" t="s">
        <v>17</v>
      </c>
      <c r="D81" s="120"/>
      <c r="E81" s="3" t="s">
        <v>20</v>
      </c>
      <c r="F81" s="73" t="s">
        <v>458</v>
      </c>
      <c r="G81" s="11" t="s">
        <v>114</v>
      </c>
      <c r="H81" s="1">
        <v>6</v>
      </c>
      <c r="I81" s="49">
        <v>1</v>
      </c>
      <c r="J81" s="51">
        <v>1</v>
      </c>
      <c r="K81" s="40"/>
      <c r="L81" s="40"/>
      <c r="M81" s="38">
        <f t="shared" si="1"/>
        <v>0</v>
      </c>
      <c r="N81" s="42">
        <v>7</v>
      </c>
      <c r="O81" s="31"/>
      <c r="P81" s="31"/>
      <c r="Q81" s="79">
        <f t="shared" si="3"/>
        <v>0</v>
      </c>
    </row>
    <row r="82" spans="1:18" s="13" customFormat="1" ht="15.75" x14ac:dyDescent="0.25">
      <c r="A82" s="10"/>
      <c r="B82" s="62" t="s">
        <v>58</v>
      </c>
      <c r="C82" s="1" t="s">
        <v>17</v>
      </c>
      <c r="D82" s="120"/>
      <c r="E82" s="3" t="s">
        <v>20</v>
      </c>
      <c r="F82" s="73" t="s">
        <v>361</v>
      </c>
      <c r="G82" s="74" t="s">
        <v>112</v>
      </c>
      <c r="H82" s="75">
        <v>1</v>
      </c>
      <c r="I82" s="76"/>
      <c r="J82" s="96"/>
      <c r="K82" s="77"/>
      <c r="L82" s="77"/>
      <c r="M82" s="78">
        <f t="shared" si="1"/>
        <v>0</v>
      </c>
      <c r="N82" s="100">
        <f>1+1</f>
        <v>2</v>
      </c>
      <c r="O82" s="81">
        <f>9196.24</f>
        <v>9196.24</v>
      </c>
      <c r="P82" s="81"/>
      <c r="Q82" s="12">
        <f t="shared" si="3"/>
        <v>9196.24</v>
      </c>
      <c r="R82" s="141"/>
    </row>
    <row r="83" spans="1:18" s="13" customFormat="1" ht="15.75" x14ac:dyDescent="0.25">
      <c r="A83" s="10"/>
      <c r="B83" s="22" t="s">
        <v>58</v>
      </c>
      <c r="C83" s="1" t="s">
        <v>17</v>
      </c>
      <c r="D83" s="120"/>
      <c r="E83" s="3" t="s">
        <v>20</v>
      </c>
      <c r="F83" s="73" t="s">
        <v>478</v>
      </c>
      <c r="G83" s="11" t="s">
        <v>114</v>
      </c>
      <c r="H83" s="1">
        <v>2</v>
      </c>
      <c r="I83" s="49"/>
      <c r="J83" s="51"/>
      <c r="K83" s="40"/>
      <c r="L83" s="40"/>
      <c r="M83" s="38">
        <f t="shared" ref="M83:M154" si="4">K83-L83</f>
        <v>0</v>
      </c>
      <c r="N83" s="41">
        <v>15</v>
      </c>
      <c r="O83" s="31">
        <v>23095.57</v>
      </c>
      <c r="P83" s="31">
        <f>4035.73</f>
        <v>4035.73</v>
      </c>
      <c r="Q83" s="79">
        <f t="shared" si="3"/>
        <v>19059.84</v>
      </c>
    </row>
    <row r="84" spans="1:18" s="13" customFormat="1" ht="15.75" x14ac:dyDescent="0.25">
      <c r="A84" s="10"/>
      <c r="B84" s="62" t="s">
        <v>59</v>
      </c>
      <c r="C84" s="1" t="s">
        <v>17</v>
      </c>
      <c r="D84" s="120"/>
      <c r="E84" s="3" t="s">
        <v>20</v>
      </c>
      <c r="F84" s="73" t="s">
        <v>362</v>
      </c>
      <c r="G84" s="74" t="s">
        <v>112</v>
      </c>
      <c r="H84" s="75">
        <v>3</v>
      </c>
      <c r="I84" s="76">
        <v>2</v>
      </c>
      <c r="J84" s="96">
        <f>1+1</f>
        <v>2</v>
      </c>
      <c r="K84" s="77"/>
      <c r="L84" s="77"/>
      <c r="M84" s="78">
        <f t="shared" si="4"/>
        <v>0</v>
      </c>
      <c r="N84" s="100">
        <f>1+2+2</f>
        <v>5</v>
      </c>
      <c r="O84" s="81">
        <f>6646.05+1267.86</f>
        <v>7913.91</v>
      </c>
      <c r="P84" s="81"/>
      <c r="Q84" s="12">
        <f t="shared" si="3"/>
        <v>7913.91</v>
      </c>
      <c r="R84" s="141"/>
    </row>
    <row r="85" spans="1:18" s="13" customFormat="1" ht="15.75" x14ac:dyDescent="0.25">
      <c r="A85" s="10"/>
      <c r="B85" s="22" t="s">
        <v>59</v>
      </c>
      <c r="C85" s="1" t="s">
        <v>17</v>
      </c>
      <c r="D85" s="120"/>
      <c r="E85" s="3" t="s">
        <v>20</v>
      </c>
      <c r="F85" s="73" t="s">
        <v>128</v>
      </c>
      <c r="G85" s="11" t="s">
        <v>114</v>
      </c>
      <c r="H85" s="1"/>
      <c r="I85" s="49"/>
      <c r="J85" s="51"/>
      <c r="K85" s="40"/>
      <c r="L85" s="40"/>
      <c r="M85" s="38">
        <f t="shared" si="4"/>
        <v>0</v>
      </c>
      <c r="N85" s="41"/>
      <c r="O85" s="31"/>
      <c r="P85" s="31"/>
      <c r="Q85" s="79">
        <f t="shared" si="3"/>
        <v>0</v>
      </c>
    </row>
    <row r="86" spans="1:18" s="13" customFormat="1" ht="15.75" x14ac:dyDescent="0.25">
      <c r="A86" s="10"/>
      <c r="B86" s="27" t="s">
        <v>60</v>
      </c>
      <c r="C86" s="1" t="s">
        <v>17</v>
      </c>
      <c r="D86" s="120"/>
      <c r="E86" s="3" t="s">
        <v>20</v>
      </c>
      <c r="F86" s="73" t="s">
        <v>364</v>
      </c>
      <c r="G86" s="74" t="s">
        <v>112</v>
      </c>
      <c r="H86" s="75">
        <v>4</v>
      </c>
      <c r="I86" s="76">
        <v>1</v>
      </c>
      <c r="J86" s="96">
        <f>1</f>
        <v>1</v>
      </c>
      <c r="K86" s="77">
        <f>634.93</f>
        <v>634.92999999999995</v>
      </c>
      <c r="L86" s="77"/>
      <c r="M86" s="78">
        <f t="shared" si="4"/>
        <v>634.92999999999995</v>
      </c>
      <c r="N86" s="100">
        <f>4+1</f>
        <v>5</v>
      </c>
      <c r="O86" s="81">
        <f>15124.53+2065.75</f>
        <v>17190.28</v>
      </c>
      <c r="P86" s="81"/>
      <c r="Q86" s="12">
        <f t="shared" si="3"/>
        <v>17190.28</v>
      </c>
      <c r="R86" s="141"/>
    </row>
    <row r="87" spans="1:18" s="13" customFormat="1" ht="15.75" x14ac:dyDescent="0.25">
      <c r="A87" s="10"/>
      <c r="B87" s="25" t="s">
        <v>60</v>
      </c>
      <c r="C87" s="1" t="s">
        <v>17</v>
      </c>
      <c r="D87" s="120"/>
      <c r="E87" s="3" t="s">
        <v>20</v>
      </c>
      <c r="F87" s="73" t="s">
        <v>479</v>
      </c>
      <c r="G87" s="11" t="s">
        <v>114</v>
      </c>
      <c r="H87" s="1">
        <v>3</v>
      </c>
      <c r="I87" s="49"/>
      <c r="J87" s="51"/>
      <c r="K87" s="40"/>
      <c r="L87" s="40"/>
      <c r="M87" s="38">
        <f t="shared" si="4"/>
        <v>0</v>
      </c>
      <c r="N87" s="41">
        <v>7</v>
      </c>
      <c r="O87" s="31">
        <v>6259.4</v>
      </c>
      <c r="P87" s="31">
        <f>2945.6</f>
        <v>2945.6</v>
      </c>
      <c r="Q87" s="79">
        <f t="shared" si="3"/>
        <v>3313.7999999999997</v>
      </c>
    </row>
    <row r="88" spans="1:18" s="13" customFormat="1" ht="15.75" x14ac:dyDescent="0.25">
      <c r="A88" s="10"/>
      <c r="B88" s="25" t="s">
        <v>493</v>
      </c>
      <c r="C88" s="1" t="s">
        <v>17</v>
      </c>
      <c r="D88" s="120"/>
      <c r="E88" s="3" t="s">
        <v>20</v>
      </c>
      <c r="F88" s="73" t="s">
        <v>496</v>
      </c>
      <c r="G88" s="11" t="s">
        <v>112</v>
      </c>
      <c r="H88" s="1">
        <v>1</v>
      </c>
      <c r="I88" s="49"/>
      <c r="J88" s="51"/>
      <c r="K88" s="40"/>
      <c r="L88" s="40"/>
      <c r="M88" s="38"/>
      <c r="N88" s="41"/>
      <c r="O88" s="31"/>
      <c r="P88" s="31"/>
      <c r="Q88" s="79"/>
    </row>
    <row r="89" spans="1:18" s="15" customFormat="1" ht="15.75" x14ac:dyDescent="0.25">
      <c r="A89" s="14"/>
      <c r="B89" s="28" t="s">
        <v>61</v>
      </c>
      <c r="C89" s="1" t="s">
        <v>17</v>
      </c>
      <c r="D89" s="120"/>
      <c r="E89" s="3" t="s">
        <v>20</v>
      </c>
      <c r="F89" s="73" t="s">
        <v>363</v>
      </c>
      <c r="G89" s="74" t="s">
        <v>112</v>
      </c>
      <c r="H89" s="75"/>
      <c r="I89" s="76"/>
      <c r="J89" s="96"/>
      <c r="K89" s="77"/>
      <c r="L89" s="77"/>
      <c r="M89" s="78">
        <f t="shared" si="4"/>
        <v>0</v>
      </c>
      <c r="N89" s="100"/>
      <c r="O89" s="81"/>
      <c r="P89" s="81"/>
      <c r="Q89" s="12">
        <f t="shared" si="3"/>
        <v>0</v>
      </c>
      <c r="R89" s="141"/>
    </row>
    <row r="90" spans="1:18" s="15" customFormat="1" ht="15.75" x14ac:dyDescent="0.25">
      <c r="A90" s="14"/>
      <c r="B90" s="26" t="s">
        <v>61</v>
      </c>
      <c r="C90" s="1" t="s">
        <v>17</v>
      </c>
      <c r="D90" s="120"/>
      <c r="E90" s="3" t="s">
        <v>20</v>
      </c>
      <c r="F90" s="73" t="s">
        <v>121</v>
      </c>
      <c r="G90" s="11" t="s">
        <v>114</v>
      </c>
      <c r="H90" s="1"/>
      <c r="I90" s="49"/>
      <c r="J90" s="51"/>
      <c r="K90" s="40"/>
      <c r="L90" s="40"/>
      <c r="M90" s="38">
        <f t="shared" si="4"/>
        <v>0</v>
      </c>
      <c r="N90" s="42"/>
      <c r="O90" s="31"/>
      <c r="P90" s="31"/>
      <c r="Q90" s="79">
        <f t="shared" si="3"/>
        <v>0</v>
      </c>
    </row>
    <row r="91" spans="1:18" s="15" customFormat="1" ht="15.75" x14ac:dyDescent="0.25">
      <c r="A91" s="14"/>
      <c r="B91" s="20" t="s">
        <v>306</v>
      </c>
      <c r="C91" s="1" t="s">
        <v>17</v>
      </c>
      <c r="D91" s="120"/>
      <c r="E91" s="3" t="s">
        <v>35</v>
      </c>
      <c r="F91" s="73" t="s">
        <v>365</v>
      </c>
      <c r="G91" s="11" t="s">
        <v>112</v>
      </c>
      <c r="H91" s="1">
        <v>9</v>
      </c>
      <c r="I91" s="58">
        <v>3</v>
      </c>
      <c r="J91" s="51">
        <f>1+2</f>
        <v>3</v>
      </c>
      <c r="K91" s="40">
        <f>1045.98+2658.7</f>
        <v>3704.68</v>
      </c>
      <c r="L91" s="40"/>
      <c r="M91" s="78">
        <f t="shared" si="4"/>
        <v>3704.68</v>
      </c>
      <c r="N91" s="39">
        <f>7+2+2</f>
        <v>11</v>
      </c>
      <c r="O91" s="31">
        <f>2313.84+6162.57+2330.32</f>
        <v>10806.73</v>
      </c>
      <c r="P91" s="31">
        <f>2313.84</f>
        <v>2313.84</v>
      </c>
      <c r="Q91" s="12">
        <f t="shared" si="3"/>
        <v>8492.89</v>
      </c>
      <c r="R91" s="141"/>
    </row>
    <row r="92" spans="1:18" s="13" customFormat="1" ht="15.75" x14ac:dyDescent="0.25">
      <c r="A92" s="10"/>
      <c r="B92" s="22" t="s">
        <v>306</v>
      </c>
      <c r="C92" s="1" t="s">
        <v>17</v>
      </c>
      <c r="D92" s="120"/>
      <c r="E92" s="3" t="s">
        <v>27</v>
      </c>
      <c r="F92" s="73" t="s">
        <v>421</v>
      </c>
      <c r="G92" s="11" t="s">
        <v>117</v>
      </c>
      <c r="H92" s="1">
        <v>2</v>
      </c>
      <c r="I92" s="49"/>
      <c r="J92" s="46"/>
      <c r="K92" s="40"/>
      <c r="L92" s="40"/>
      <c r="M92" s="78">
        <f>K92-L92</f>
        <v>0</v>
      </c>
      <c r="N92" s="41">
        <f>3</f>
        <v>3</v>
      </c>
      <c r="O92" s="40"/>
      <c r="P92" s="40"/>
      <c r="Q92" s="79">
        <f>O92-P92</f>
        <v>0</v>
      </c>
    </row>
    <row r="93" spans="1:18" s="13" customFormat="1" ht="15.75" x14ac:dyDescent="0.25">
      <c r="A93" s="10"/>
      <c r="B93" s="27" t="s">
        <v>62</v>
      </c>
      <c r="C93" s="1" t="s">
        <v>17</v>
      </c>
      <c r="D93" s="120"/>
      <c r="E93" s="3" t="s">
        <v>35</v>
      </c>
      <c r="F93" s="73" t="s">
        <v>366</v>
      </c>
      <c r="G93" s="74" t="s">
        <v>112</v>
      </c>
      <c r="H93" s="75">
        <v>7</v>
      </c>
      <c r="I93" s="76">
        <v>3</v>
      </c>
      <c r="J93" s="96">
        <f>1</f>
        <v>1</v>
      </c>
      <c r="K93" s="77">
        <f>3613.4</f>
        <v>3613.4</v>
      </c>
      <c r="L93" s="77"/>
      <c r="M93" s="38">
        <f t="shared" si="4"/>
        <v>3613.4</v>
      </c>
      <c r="N93" s="100">
        <f>6+2+1</f>
        <v>9</v>
      </c>
      <c r="O93" s="81">
        <f>19511.33+1270.93+3979.74</f>
        <v>24762</v>
      </c>
      <c r="P93" s="81"/>
      <c r="Q93" s="79">
        <f t="shared" si="3"/>
        <v>24762</v>
      </c>
      <c r="R93" s="141"/>
    </row>
    <row r="94" spans="1:18" s="13" customFormat="1" ht="15.75" x14ac:dyDescent="0.25">
      <c r="A94" s="10"/>
      <c r="B94" s="25" t="s">
        <v>62</v>
      </c>
      <c r="C94" s="1" t="s">
        <v>17</v>
      </c>
      <c r="D94" s="120"/>
      <c r="E94" s="3" t="s">
        <v>35</v>
      </c>
      <c r="F94" s="73" t="s">
        <v>428</v>
      </c>
      <c r="G94" s="11" t="s">
        <v>117</v>
      </c>
      <c r="H94" s="1">
        <v>2</v>
      </c>
      <c r="I94" s="49"/>
      <c r="J94" s="46"/>
      <c r="K94" s="40"/>
      <c r="L94" s="40"/>
      <c r="M94" s="78">
        <f t="shared" si="4"/>
        <v>0</v>
      </c>
      <c r="N94" s="41">
        <f>7</f>
        <v>7</v>
      </c>
      <c r="O94" s="31">
        <v>17217.2</v>
      </c>
      <c r="P94" s="31"/>
      <c r="Q94" s="12">
        <f t="shared" si="3"/>
        <v>17217.2</v>
      </c>
    </row>
    <row r="95" spans="1:18" s="13" customFormat="1" ht="15.75" x14ac:dyDescent="0.25">
      <c r="A95" s="10"/>
      <c r="B95" s="25" t="s">
        <v>63</v>
      </c>
      <c r="C95" s="1" t="s">
        <v>64</v>
      </c>
      <c r="D95" s="120" t="s">
        <v>65</v>
      </c>
      <c r="E95" s="3" t="s">
        <v>20</v>
      </c>
      <c r="F95" s="73" t="s">
        <v>480</v>
      </c>
      <c r="G95" s="11" t="s">
        <v>114</v>
      </c>
      <c r="H95" s="1"/>
      <c r="I95" s="49"/>
      <c r="J95" s="51"/>
      <c r="K95" s="40"/>
      <c r="L95" s="40"/>
      <c r="M95" s="38">
        <f t="shared" si="4"/>
        <v>0</v>
      </c>
      <c r="N95" s="41"/>
      <c r="O95" s="31"/>
      <c r="P95" s="31"/>
      <c r="Q95" s="79">
        <f t="shared" si="3"/>
        <v>0</v>
      </c>
    </row>
    <row r="96" spans="1:18" s="13" customFormat="1" ht="15.75" x14ac:dyDescent="0.25">
      <c r="A96" s="10"/>
      <c r="B96" s="27" t="s">
        <v>155</v>
      </c>
      <c r="C96" s="1" t="s">
        <v>17</v>
      </c>
      <c r="D96" s="120"/>
      <c r="E96" s="3" t="s">
        <v>20</v>
      </c>
      <c r="F96" s="73" t="s">
        <v>367</v>
      </c>
      <c r="G96" s="74" t="s">
        <v>112</v>
      </c>
      <c r="H96" s="75">
        <v>4</v>
      </c>
      <c r="I96" s="82">
        <v>1</v>
      </c>
      <c r="J96" s="96">
        <f>1</f>
        <v>1</v>
      </c>
      <c r="K96" s="77">
        <f>3117.56</f>
        <v>3117.56</v>
      </c>
      <c r="L96" s="77"/>
      <c r="M96" s="78">
        <f t="shared" si="4"/>
        <v>3117.56</v>
      </c>
      <c r="N96" s="100">
        <f>1+1</f>
        <v>2</v>
      </c>
      <c r="O96" s="81"/>
      <c r="P96" s="81"/>
      <c r="Q96" s="12">
        <f t="shared" si="3"/>
        <v>0</v>
      </c>
      <c r="R96" s="141"/>
    </row>
    <row r="97" spans="1:19" s="13" customFormat="1" ht="15.75" x14ac:dyDescent="0.25">
      <c r="A97" s="10"/>
      <c r="B97" s="25" t="s">
        <v>155</v>
      </c>
      <c r="C97" s="1" t="s">
        <v>17</v>
      </c>
      <c r="D97" s="120"/>
      <c r="E97" s="3" t="s">
        <v>20</v>
      </c>
      <c r="F97" s="73" t="s">
        <v>459</v>
      </c>
      <c r="G97" s="11" t="s">
        <v>114</v>
      </c>
      <c r="H97" s="1">
        <v>4</v>
      </c>
      <c r="I97" s="49"/>
      <c r="J97" s="51"/>
      <c r="K97" s="40"/>
      <c r="L97" s="40"/>
      <c r="M97" s="38">
        <f t="shared" si="4"/>
        <v>0</v>
      </c>
      <c r="N97" s="41">
        <v>13</v>
      </c>
      <c r="O97" s="31">
        <v>17392.43</v>
      </c>
      <c r="P97" s="31">
        <f>3369.8</f>
        <v>3369.8</v>
      </c>
      <c r="Q97" s="79">
        <f t="shared" si="3"/>
        <v>14022.630000000001</v>
      </c>
    </row>
    <row r="98" spans="1:19" s="13" customFormat="1" ht="15.75" x14ac:dyDescent="0.25">
      <c r="A98" s="10"/>
      <c r="B98" s="30" t="s">
        <v>66</v>
      </c>
      <c r="C98" s="1" t="s">
        <v>17</v>
      </c>
      <c r="D98" s="120"/>
      <c r="E98" s="3" t="s">
        <v>21</v>
      </c>
      <c r="F98" s="73" t="s">
        <v>368</v>
      </c>
      <c r="G98" s="74" t="s">
        <v>112</v>
      </c>
      <c r="H98" s="75">
        <v>7</v>
      </c>
      <c r="I98" s="76">
        <v>4</v>
      </c>
      <c r="J98" s="96">
        <f>1+3</f>
        <v>4</v>
      </c>
      <c r="K98" s="77">
        <f>1045.98+4309.04+3820.12</f>
        <v>9175.14</v>
      </c>
      <c r="L98" s="77"/>
      <c r="M98" s="78">
        <f t="shared" si="4"/>
        <v>9175.14</v>
      </c>
      <c r="N98" s="100">
        <f>6+3+8+7+1+1</f>
        <v>26</v>
      </c>
      <c r="O98" s="81">
        <f>11911.17+23136+18060.17</f>
        <v>53107.34</v>
      </c>
      <c r="P98" s="81"/>
      <c r="Q98" s="12">
        <f t="shared" si="3"/>
        <v>53107.34</v>
      </c>
      <c r="R98" s="141"/>
    </row>
    <row r="99" spans="1:19" s="13" customFormat="1" ht="15.75" x14ac:dyDescent="0.25">
      <c r="A99" s="10"/>
      <c r="B99" s="24" t="s">
        <v>66</v>
      </c>
      <c r="C99" s="1" t="s">
        <v>17</v>
      </c>
      <c r="D99" s="120"/>
      <c r="E99" s="3" t="s">
        <v>21</v>
      </c>
      <c r="F99" s="73" t="s">
        <v>439</v>
      </c>
      <c r="G99" s="11" t="s">
        <v>118</v>
      </c>
      <c r="H99" s="1">
        <v>2</v>
      </c>
      <c r="I99" s="49"/>
      <c r="J99" s="46"/>
      <c r="K99" s="40"/>
      <c r="L99" s="40"/>
      <c r="M99" s="38">
        <f t="shared" si="4"/>
        <v>0</v>
      </c>
      <c r="N99" s="41">
        <v>11</v>
      </c>
      <c r="O99" s="31">
        <v>37672.49</v>
      </c>
      <c r="P99" s="31"/>
      <c r="Q99" s="79">
        <f t="shared" si="3"/>
        <v>37672.49</v>
      </c>
    </row>
    <row r="100" spans="1:19" s="13" customFormat="1" ht="15.75" x14ac:dyDescent="0.25">
      <c r="A100" s="10"/>
      <c r="B100" s="62" t="s">
        <v>137</v>
      </c>
      <c r="C100" s="1" t="s">
        <v>17</v>
      </c>
      <c r="D100" s="120"/>
      <c r="E100" s="17" t="s">
        <v>35</v>
      </c>
      <c r="F100" s="73" t="s">
        <v>369</v>
      </c>
      <c r="G100" s="74" t="s">
        <v>112</v>
      </c>
      <c r="H100" s="75">
        <v>9</v>
      </c>
      <c r="I100" s="76">
        <v>1</v>
      </c>
      <c r="J100" s="96"/>
      <c r="K100" s="77">
        <f>504.26</f>
        <v>504.26</v>
      </c>
      <c r="L100" s="77"/>
      <c r="M100" s="78">
        <f t="shared" si="4"/>
        <v>504.26</v>
      </c>
      <c r="N100" s="100">
        <f>5+1</f>
        <v>6</v>
      </c>
      <c r="O100" s="81">
        <f>2617.36+422.62</f>
        <v>3039.98</v>
      </c>
      <c r="P100" s="81"/>
      <c r="Q100" s="12">
        <f t="shared" si="3"/>
        <v>3039.98</v>
      </c>
      <c r="R100" s="141"/>
    </row>
    <row r="101" spans="1:19" s="13" customFormat="1" ht="15.75" x14ac:dyDescent="0.25">
      <c r="A101" s="10"/>
      <c r="B101" s="22" t="s">
        <v>137</v>
      </c>
      <c r="C101" s="1" t="s">
        <v>17</v>
      </c>
      <c r="D101" s="120"/>
      <c r="E101" s="17" t="s">
        <v>35</v>
      </c>
      <c r="F101" s="73" t="s">
        <v>429</v>
      </c>
      <c r="G101" s="11" t="s">
        <v>117</v>
      </c>
      <c r="H101" s="1"/>
      <c r="I101" s="49"/>
      <c r="J101" s="51"/>
      <c r="K101" s="37"/>
      <c r="L101" s="37"/>
      <c r="M101" s="78">
        <f t="shared" si="4"/>
        <v>0</v>
      </c>
      <c r="N101" s="39">
        <v>1</v>
      </c>
      <c r="O101" s="31">
        <v>7299.8</v>
      </c>
      <c r="P101" s="31"/>
      <c r="Q101" s="79">
        <f t="shared" si="3"/>
        <v>7299.8</v>
      </c>
    </row>
    <row r="102" spans="1:19" s="13" customFormat="1" ht="15.75" x14ac:dyDescent="0.25">
      <c r="A102" s="10"/>
      <c r="B102" s="30" t="s">
        <v>67</v>
      </c>
      <c r="C102" s="1" t="s">
        <v>17</v>
      </c>
      <c r="D102" s="120"/>
      <c r="E102" s="17" t="s">
        <v>21</v>
      </c>
      <c r="F102" s="73" t="s">
        <v>370</v>
      </c>
      <c r="G102" s="74" t="s">
        <v>112</v>
      </c>
      <c r="H102" s="75">
        <v>6</v>
      </c>
      <c r="I102" s="76">
        <v>2</v>
      </c>
      <c r="J102" s="96">
        <f>2+1</f>
        <v>3</v>
      </c>
      <c r="K102" s="77">
        <f>3319.85</f>
        <v>3319.85</v>
      </c>
      <c r="L102" s="77"/>
      <c r="M102" s="38">
        <f t="shared" si="4"/>
        <v>3319.85</v>
      </c>
      <c r="N102" s="100">
        <f>4+9+4+4</f>
        <v>21</v>
      </c>
      <c r="O102" s="81">
        <f>29696.65+38129.03+13567.9</f>
        <v>81393.579999999987</v>
      </c>
      <c r="P102" s="81"/>
      <c r="Q102" s="12">
        <f t="shared" si="3"/>
        <v>81393.579999999987</v>
      </c>
      <c r="R102" s="141"/>
    </row>
    <row r="103" spans="1:19" s="13" customFormat="1" ht="15.75" x14ac:dyDescent="0.25">
      <c r="A103" s="10"/>
      <c r="B103" s="24" t="s">
        <v>67</v>
      </c>
      <c r="C103" s="1" t="s">
        <v>17</v>
      </c>
      <c r="D103" s="120"/>
      <c r="E103" s="17" t="s">
        <v>21</v>
      </c>
      <c r="F103" s="73" t="s">
        <v>440</v>
      </c>
      <c r="G103" s="11" t="s">
        <v>118</v>
      </c>
      <c r="H103" s="1">
        <v>3</v>
      </c>
      <c r="I103" s="49"/>
      <c r="J103" s="46"/>
      <c r="K103" s="40"/>
      <c r="L103" s="40"/>
      <c r="M103" s="78">
        <f t="shared" si="4"/>
        <v>0</v>
      </c>
      <c r="N103" s="41">
        <v>6</v>
      </c>
      <c r="O103" s="31">
        <v>25515.51</v>
      </c>
      <c r="P103" s="31"/>
      <c r="Q103" s="79">
        <f t="shared" si="3"/>
        <v>25515.51</v>
      </c>
    </row>
    <row r="104" spans="1:19" s="13" customFormat="1" ht="15.75" x14ac:dyDescent="0.25">
      <c r="A104" s="10"/>
      <c r="B104" s="30" t="s">
        <v>68</v>
      </c>
      <c r="C104" s="1" t="s">
        <v>17</v>
      </c>
      <c r="D104" s="120"/>
      <c r="E104" s="17" t="s">
        <v>32</v>
      </c>
      <c r="F104" s="73" t="s">
        <v>371</v>
      </c>
      <c r="G104" s="74" t="s">
        <v>112</v>
      </c>
      <c r="H104" s="75">
        <v>6</v>
      </c>
      <c r="I104" s="76">
        <v>2</v>
      </c>
      <c r="J104" s="96">
        <f>2</f>
        <v>2</v>
      </c>
      <c r="K104" s="77">
        <f>1128.59</f>
        <v>1128.5899999999999</v>
      </c>
      <c r="L104" s="77"/>
      <c r="M104" s="38">
        <f t="shared" si="4"/>
        <v>1128.5899999999999</v>
      </c>
      <c r="N104" s="100">
        <f>6+5+1</f>
        <v>12</v>
      </c>
      <c r="O104" s="81">
        <f>7813.73+8523.5+1452.28</f>
        <v>17789.509999999998</v>
      </c>
      <c r="P104" s="81">
        <f>7813.73</f>
        <v>7813.73</v>
      </c>
      <c r="Q104" s="12">
        <f t="shared" si="3"/>
        <v>9975.7799999999988</v>
      </c>
      <c r="R104" s="141"/>
    </row>
    <row r="105" spans="1:19" s="13" customFormat="1" ht="15.75" x14ac:dyDescent="0.25">
      <c r="A105" s="10"/>
      <c r="B105" s="24" t="s">
        <v>68</v>
      </c>
      <c r="C105" s="1" t="s">
        <v>17</v>
      </c>
      <c r="D105" s="120"/>
      <c r="E105" s="17" t="s">
        <v>32</v>
      </c>
      <c r="F105" s="73" t="s">
        <v>430</v>
      </c>
      <c r="G105" s="8" t="s">
        <v>117</v>
      </c>
      <c r="H105" s="1"/>
      <c r="I105" s="49"/>
      <c r="J105" s="46"/>
      <c r="K105" s="40"/>
      <c r="L105" s="40"/>
      <c r="M105" s="78">
        <f t="shared" si="4"/>
        <v>0</v>
      </c>
      <c r="N105" s="41"/>
      <c r="O105" s="40"/>
      <c r="P105" s="40"/>
      <c r="Q105" s="79">
        <f t="shared" si="3"/>
        <v>0</v>
      </c>
    </row>
    <row r="106" spans="1:19" s="15" customFormat="1" ht="15.75" x14ac:dyDescent="0.25">
      <c r="A106" s="14"/>
      <c r="B106" s="28" t="s">
        <v>69</v>
      </c>
      <c r="C106" s="1" t="s">
        <v>17</v>
      </c>
      <c r="D106" s="120"/>
      <c r="E106" s="3" t="s">
        <v>20</v>
      </c>
      <c r="F106" s="73" t="s">
        <v>372</v>
      </c>
      <c r="G106" s="74" t="s">
        <v>112</v>
      </c>
      <c r="H106" s="75">
        <v>3</v>
      </c>
      <c r="I106" s="76"/>
      <c r="J106" s="96"/>
      <c r="K106" s="77"/>
      <c r="L106" s="77"/>
      <c r="M106" s="38">
        <f t="shared" si="4"/>
        <v>0</v>
      </c>
      <c r="N106" s="100">
        <f>3+2</f>
        <v>5</v>
      </c>
      <c r="O106" s="77">
        <f>7210.31+3647.96</f>
        <v>10858.27</v>
      </c>
      <c r="P106" s="77"/>
      <c r="Q106" s="12">
        <f t="shared" si="3"/>
        <v>10858.27</v>
      </c>
      <c r="R106" s="141"/>
    </row>
    <row r="107" spans="1:19" s="13" customFormat="1" ht="15.75" x14ac:dyDescent="0.25">
      <c r="A107" s="10"/>
      <c r="B107" s="62" t="s">
        <v>70</v>
      </c>
      <c r="C107" s="1" t="s">
        <v>17</v>
      </c>
      <c r="D107" s="120"/>
      <c r="E107" s="3" t="s">
        <v>20</v>
      </c>
      <c r="F107" s="73" t="s">
        <v>373</v>
      </c>
      <c r="G107" s="74" t="s">
        <v>112</v>
      </c>
      <c r="H107" s="75">
        <v>4</v>
      </c>
      <c r="I107" s="76"/>
      <c r="J107" s="96"/>
      <c r="K107" s="77"/>
      <c r="L107" s="77"/>
      <c r="M107" s="78">
        <f t="shared" si="4"/>
        <v>0</v>
      </c>
      <c r="N107" s="100">
        <f>2+3</f>
        <v>5</v>
      </c>
      <c r="O107" s="81">
        <v>3534.95</v>
      </c>
      <c r="P107" s="81"/>
      <c r="Q107" s="79">
        <f t="shared" si="3"/>
        <v>3534.95</v>
      </c>
      <c r="R107" s="141"/>
    </row>
    <row r="108" spans="1:19" s="13" customFormat="1" ht="15.75" x14ac:dyDescent="0.25">
      <c r="A108" s="10"/>
      <c r="B108" s="22" t="s">
        <v>70</v>
      </c>
      <c r="C108" s="1" t="s">
        <v>17</v>
      </c>
      <c r="D108" s="120"/>
      <c r="E108" s="3" t="s">
        <v>20</v>
      </c>
      <c r="F108" s="73" t="s">
        <v>460</v>
      </c>
      <c r="G108" s="11" t="s">
        <v>114</v>
      </c>
      <c r="H108" s="1">
        <v>6</v>
      </c>
      <c r="I108" s="49"/>
      <c r="J108" s="51"/>
      <c r="K108" s="40"/>
      <c r="L108" s="40"/>
      <c r="M108" s="38">
        <f t="shared" si="4"/>
        <v>0</v>
      </c>
      <c r="N108" s="41">
        <v>23</v>
      </c>
      <c r="O108" s="31">
        <v>36457.769999999997</v>
      </c>
      <c r="P108" s="31">
        <f>2945.6</f>
        <v>2945.6</v>
      </c>
      <c r="Q108" s="12">
        <f t="shared" si="3"/>
        <v>33512.17</v>
      </c>
    </row>
    <row r="109" spans="1:19" s="15" customFormat="1" ht="15.75" x14ac:dyDescent="0.25">
      <c r="A109" s="14"/>
      <c r="B109" s="80" t="s">
        <v>71</v>
      </c>
      <c r="C109" s="1" t="s">
        <v>17</v>
      </c>
      <c r="D109" s="120"/>
      <c r="E109" s="3" t="s">
        <v>32</v>
      </c>
      <c r="F109" s="73" t="s">
        <v>374</v>
      </c>
      <c r="G109" s="74" t="s">
        <v>112</v>
      </c>
      <c r="H109" s="75">
        <v>5</v>
      </c>
      <c r="I109" s="76">
        <v>3</v>
      </c>
      <c r="J109" s="96">
        <f>3</f>
        <v>3</v>
      </c>
      <c r="K109" s="77">
        <f>1536.8</f>
        <v>1536.8</v>
      </c>
      <c r="L109" s="77"/>
      <c r="M109" s="78">
        <f t="shared" si="4"/>
        <v>1536.8</v>
      </c>
      <c r="N109" s="100">
        <f>3+2</f>
        <v>5</v>
      </c>
      <c r="O109" s="81">
        <f>9567.93+3616.67</f>
        <v>13184.6</v>
      </c>
      <c r="P109" s="81">
        <f>9567.93</f>
        <v>9567.93</v>
      </c>
      <c r="Q109" s="79">
        <f t="shared" si="3"/>
        <v>3616.67</v>
      </c>
      <c r="R109" s="141"/>
      <c r="S109" s="36"/>
    </row>
    <row r="110" spans="1:19" s="15" customFormat="1" ht="15.75" x14ac:dyDescent="0.25">
      <c r="A110" s="14"/>
      <c r="B110" s="23" t="s">
        <v>71</v>
      </c>
      <c r="C110" s="1" t="s">
        <v>17</v>
      </c>
      <c r="D110" s="120"/>
      <c r="E110" s="3" t="s">
        <v>32</v>
      </c>
      <c r="F110" s="73" t="s">
        <v>431</v>
      </c>
      <c r="G110" s="11" t="s">
        <v>115</v>
      </c>
      <c r="H110" s="1">
        <v>3</v>
      </c>
      <c r="I110" s="48"/>
      <c r="J110" s="45"/>
      <c r="K110" s="40"/>
      <c r="L110" s="40"/>
      <c r="M110" s="38">
        <f t="shared" si="4"/>
        <v>0</v>
      </c>
      <c r="N110" s="39">
        <f>5</f>
        <v>5</v>
      </c>
      <c r="O110" s="40">
        <v>6595.5</v>
      </c>
      <c r="P110" s="40"/>
      <c r="Q110" s="12">
        <f t="shared" si="3"/>
        <v>6595.5</v>
      </c>
    </row>
    <row r="111" spans="1:19" s="13" customFormat="1" ht="15.75" x14ac:dyDescent="0.25">
      <c r="A111" s="10"/>
      <c r="B111" s="62" t="s">
        <v>319</v>
      </c>
      <c r="C111" s="1" t="s">
        <v>17</v>
      </c>
      <c r="D111" s="120"/>
      <c r="E111" s="3" t="s">
        <v>20</v>
      </c>
      <c r="F111" s="73" t="s">
        <v>375</v>
      </c>
      <c r="G111" s="74" t="s">
        <v>112</v>
      </c>
      <c r="H111" s="75">
        <v>7</v>
      </c>
      <c r="I111" s="76">
        <v>3</v>
      </c>
      <c r="J111" s="96">
        <f>2+1</f>
        <v>3</v>
      </c>
      <c r="K111" s="77">
        <f>710.77+1523.35</f>
        <v>2234.12</v>
      </c>
      <c r="L111" s="77"/>
      <c r="M111" s="78">
        <f>K111-L111</f>
        <v>2234.12</v>
      </c>
      <c r="N111" s="100">
        <f>3+1</f>
        <v>4</v>
      </c>
      <c r="O111" s="77">
        <f>13419.94+726.71</f>
        <v>14146.650000000001</v>
      </c>
      <c r="P111" s="77">
        <f>13419.94</f>
        <v>13419.94</v>
      </c>
      <c r="Q111" s="79">
        <f>O111-P111</f>
        <v>726.71000000000095</v>
      </c>
      <c r="R111" s="141"/>
    </row>
    <row r="112" spans="1:19" s="15" customFormat="1" ht="15.75" x14ac:dyDescent="0.25">
      <c r="A112" s="14"/>
      <c r="B112" s="62" t="s">
        <v>150</v>
      </c>
      <c r="C112" s="1" t="s">
        <v>17</v>
      </c>
      <c r="D112" s="120"/>
      <c r="E112" s="3" t="s">
        <v>35</v>
      </c>
      <c r="F112" s="73" t="s">
        <v>376</v>
      </c>
      <c r="G112" s="74" t="s">
        <v>112</v>
      </c>
      <c r="H112" s="75">
        <v>9</v>
      </c>
      <c r="I112" s="76">
        <v>2</v>
      </c>
      <c r="J112" s="97">
        <f>1+1</f>
        <v>2</v>
      </c>
      <c r="K112" s="77">
        <f>1343.65+384.2</f>
        <v>1727.8500000000001</v>
      </c>
      <c r="L112" s="77"/>
      <c r="M112" s="78">
        <f t="shared" si="4"/>
        <v>1727.8500000000001</v>
      </c>
      <c r="N112" s="114">
        <f>8+1+1+2</f>
        <v>12</v>
      </c>
      <c r="O112" s="77">
        <f>5997.32+3719.39+3054.34</f>
        <v>12771.05</v>
      </c>
      <c r="P112" s="81">
        <f>3885.22</f>
        <v>3885.22</v>
      </c>
      <c r="Q112" s="79">
        <f t="shared" si="3"/>
        <v>8885.83</v>
      </c>
      <c r="R112" s="141"/>
    </row>
    <row r="113" spans="1:18" s="15" customFormat="1" ht="15.75" x14ac:dyDescent="0.25">
      <c r="A113" s="14"/>
      <c r="B113" s="50" t="s">
        <v>150</v>
      </c>
      <c r="C113" s="1" t="s">
        <v>17</v>
      </c>
      <c r="D113" s="120"/>
      <c r="E113" s="3" t="s">
        <v>32</v>
      </c>
      <c r="F113" s="73" t="s">
        <v>487</v>
      </c>
      <c r="G113" s="11" t="s">
        <v>117</v>
      </c>
      <c r="H113" s="1"/>
      <c r="I113" s="48"/>
      <c r="J113" s="45"/>
      <c r="K113" s="40"/>
      <c r="L113" s="37"/>
      <c r="M113" s="38">
        <f t="shared" si="4"/>
        <v>0</v>
      </c>
      <c r="N113" s="42">
        <v>1</v>
      </c>
      <c r="O113" s="40">
        <v>4226.2</v>
      </c>
      <c r="P113" s="40"/>
      <c r="Q113" s="12">
        <f t="shared" si="3"/>
        <v>4226.2</v>
      </c>
    </row>
    <row r="114" spans="1:18" s="13" customFormat="1" ht="15.75" x14ac:dyDescent="0.25">
      <c r="A114" s="10"/>
      <c r="B114" s="30" t="s">
        <v>72</v>
      </c>
      <c r="C114" s="1" t="s">
        <v>17</v>
      </c>
      <c r="D114" s="120"/>
      <c r="E114" s="3" t="s">
        <v>21</v>
      </c>
      <c r="F114" s="73" t="s">
        <v>377</v>
      </c>
      <c r="G114" s="74" t="s">
        <v>112</v>
      </c>
      <c r="H114" s="75">
        <v>8</v>
      </c>
      <c r="I114" s="76">
        <v>1</v>
      </c>
      <c r="J114" s="96">
        <f>1+1</f>
        <v>2</v>
      </c>
      <c r="K114" s="77">
        <f>633.93</f>
        <v>633.92999999999995</v>
      </c>
      <c r="L114" s="77"/>
      <c r="M114" s="78">
        <f t="shared" si="4"/>
        <v>633.92999999999995</v>
      </c>
      <c r="N114" s="100">
        <f>1+3+1</f>
        <v>5</v>
      </c>
      <c r="O114" s="81">
        <f>1950.74+10237.13+6595.95</f>
        <v>18783.82</v>
      </c>
      <c r="P114" s="81"/>
      <c r="Q114" s="79">
        <f t="shared" si="3"/>
        <v>18783.82</v>
      </c>
      <c r="R114" s="141"/>
    </row>
    <row r="115" spans="1:18" s="13" customFormat="1" ht="15.75" x14ac:dyDescent="0.25">
      <c r="A115" s="10"/>
      <c r="B115" s="24" t="s">
        <v>72</v>
      </c>
      <c r="C115" s="1" t="s">
        <v>17</v>
      </c>
      <c r="D115" s="120"/>
      <c r="E115" s="3" t="s">
        <v>21</v>
      </c>
      <c r="F115" s="73" t="s">
        <v>441</v>
      </c>
      <c r="G115" s="11" t="s">
        <v>118</v>
      </c>
      <c r="H115" s="1">
        <v>3</v>
      </c>
      <c r="I115" s="49"/>
      <c r="J115" s="46"/>
      <c r="K115" s="40"/>
      <c r="L115" s="40"/>
      <c r="M115" s="38">
        <f t="shared" si="4"/>
        <v>0</v>
      </c>
      <c r="N115" s="41">
        <v>6</v>
      </c>
      <c r="O115" s="31">
        <v>30209.03</v>
      </c>
      <c r="P115" s="31"/>
      <c r="Q115" s="12">
        <f t="shared" si="3"/>
        <v>30209.03</v>
      </c>
    </row>
    <row r="116" spans="1:18" s="15" customFormat="1" ht="15.75" x14ac:dyDescent="0.25">
      <c r="A116" s="14"/>
      <c r="B116" s="84" t="s">
        <v>73</v>
      </c>
      <c r="C116" s="1" t="s">
        <v>17</v>
      </c>
      <c r="D116" s="120"/>
      <c r="E116" s="3" t="s">
        <v>74</v>
      </c>
      <c r="F116" s="73" t="s">
        <v>378</v>
      </c>
      <c r="G116" s="74" t="s">
        <v>112</v>
      </c>
      <c r="H116" s="75">
        <v>14</v>
      </c>
      <c r="I116" s="76">
        <v>9</v>
      </c>
      <c r="J116" s="96">
        <f>9</f>
        <v>9</v>
      </c>
      <c r="K116" s="77"/>
      <c r="L116" s="77"/>
      <c r="M116" s="78">
        <f t="shared" si="4"/>
        <v>0</v>
      </c>
      <c r="N116" s="100">
        <f>5+3</f>
        <v>8</v>
      </c>
      <c r="O116" s="81">
        <f>5416.39</f>
        <v>5416.39</v>
      </c>
      <c r="P116" s="81"/>
      <c r="Q116" s="79">
        <f t="shared" si="3"/>
        <v>5416.39</v>
      </c>
      <c r="R116" s="141"/>
    </row>
    <row r="117" spans="1:18" s="15" customFormat="1" ht="15.75" x14ac:dyDescent="0.25">
      <c r="A117" s="14"/>
      <c r="B117" s="29" t="s">
        <v>73</v>
      </c>
      <c r="C117" s="1" t="s">
        <v>17</v>
      </c>
      <c r="D117" s="120"/>
      <c r="E117" s="3" t="s">
        <v>74</v>
      </c>
      <c r="F117" s="73" t="s">
        <v>282</v>
      </c>
      <c r="G117" s="11" t="s">
        <v>114</v>
      </c>
      <c r="H117" s="1"/>
      <c r="I117" s="49"/>
      <c r="J117" s="51"/>
      <c r="K117" s="40"/>
      <c r="L117" s="40"/>
      <c r="M117" s="38">
        <f t="shared" si="4"/>
        <v>0</v>
      </c>
      <c r="N117" s="42">
        <v>1</v>
      </c>
      <c r="O117" s="31"/>
      <c r="P117" s="31"/>
      <c r="Q117" s="12">
        <f t="shared" si="3"/>
        <v>0</v>
      </c>
    </row>
    <row r="118" spans="1:18" s="13" customFormat="1" ht="15.75" x14ac:dyDescent="0.25">
      <c r="A118" s="10"/>
      <c r="B118" s="30" t="s">
        <v>135</v>
      </c>
      <c r="C118" s="1" t="s">
        <v>17</v>
      </c>
      <c r="D118" s="120"/>
      <c r="E118" s="17" t="s">
        <v>35</v>
      </c>
      <c r="F118" s="73" t="s">
        <v>379</v>
      </c>
      <c r="G118" s="74" t="s">
        <v>112</v>
      </c>
      <c r="H118" s="75">
        <v>8</v>
      </c>
      <c r="I118" s="76">
        <v>1</v>
      </c>
      <c r="J118" s="96">
        <f>1</f>
        <v>1</v>
      </c>
      <c r="K118" s="77">
        <v>697.32</v>
      </c>
      <c r="L118" s="77"/>
      <c r="M118" s="38">
        <f t="shared" si="4"/>
        <v>697.32</v>
      </c>
      <c r="N118" s="100">
        <f>2+5+1</f>
        <v>8</v>
      </c>
      <c r="O118" s="81">
        <v>6432.89</v>
      </c>
      <c r="P118" s="81"/>
      <c r="Q118" s="12">
        <f t="shared" si="3"/>
        <v>6432.89</v>
      </c>
      <c r="R118" s="141"/>
    </row>
    <row r="119" spans="1:18" s="13" customFormat="1" ht="15.75" x14ac:dyDescent="0.25">
      <c r="A119" s="10"/>
      <c r="B119" s="24" t="s">
        <v>135</v>
      </c>
      <c r="C119" s="1" t="s">
        <v>17</v>
      </c>
      <c r="D119" s="120"/>
      <c r="E119" s="17" t="s">
        <v>35</v>
      </c>
      <c r="F119" s="73" t="s">
        <v>432</v>
      </c>
      <c r="G119" s="11" t="s">
        <v>115</v>
      </c>
      <c r="H119" s="1"/>
      <c r="I119" s="49"/>
      <c r="J119" s="46"/>
      <c r="K119" s="40"/>
      <c r="L119" s="40"/>
      <c r="M119" s="78">
        <f t="shared" si="4"/>
        <v>0</v>
      </c>
      <c r="N119" s="41"/>
      <c r="O119" s="31"/>
      <c r="P119" s="31"/>
      <c r="Q119" s="79">
        <f t="shared" si="3"/>
        <v>0</v>
      </c>
    </row>
    <row r="120" spans="1:18" s="13" customFormat="1" ht="15.75" x14ac:dyDescent="0.25">
      <c r="A120" s="10"/>
      <c r="B120" s="30" t="s">
        <v>145</v>
      </c>
      <c r="C120" s="1" t="s">
        <v>17</v>
      </c>
      <c r="D120" s="120"/>
      <c r="E120" s="17" t="s">
        <v>20</v>
      </c>
      <c r="F120" s="73" t="s">
        <v>380</v>
      </c>
      <c r="G120" s="74" t="s">
        <v>112</v>
      </c>
      <c r="H120" s="75">
        <v>2</v>
      </c>
      <c r="I120" s="82">
        <v>1</v>
      </c>
      <c r="J120" s="96">
        <f>2</f>
        <v>2</v>
      </c>
      <c r="K120" s="77">
        <f>5169.72+1100</f>
        <v>6269.72</v>
      </c>
      <c r="L120" s="77"/>
      <c r="M120" s="38">
        <f t="shared" si="4"/>
        <v>6269.72</v>
      </c>
      <c r="N120" s="100">
        <f>1+1+2</f>
        <v>4</v>
      </c>
      <c r="O120" s="81">
        <f>5120.23+3915.15+1114.12</f>
        <v>10149.5</v>
      </c>
      <c r="P120" s="81"/>
      <c r="Q120" s="12">
        <f t="shared" si="3"/>
        <v>10149.5</v>
      </c>
      <c r="R120" s="141"/>
    </row>
    <row r="121" spans="1:18" s="13" customFormat="1" ht="15.75" x14ac:dyDescent="0.25">
      <c r="A121" s="10"/>
      <c r="B121" s="24" t="s">
        <v>145</v>
      </c>
      <c r="C121" s="1" t="s">
        <v>17</v>
      </c>
      <c r="D121" s="120"/>
      <c r="E121" s="17" t="s">
        <v>20</v>
      </c>
      <c r="F121" s="73" t="s">
        <v>461</v>
      </c>
      <c r="G121" s="11" t="s">
        <v>114</v>
      </c>
      <c r="H121" s="1"/>
      <c r="I121" s="49"/>
      <c r="J121" s="51"/>
      <c r="K121" s="40"/>
      <c r="L121" s="40"/>
      <c r="M121" s="78">
        <f t="shared" si="4"/>
        <v>0</v>
      </c>
      <c r="N121" s="41">
        <v>9</v>
      </c>
      <c r="O121" s="31">
        <v>19379.400000000001</v>
      </c>
      <c r="P121" s="31">
        <f>2633.4</f>
        <v>2633.4</v>
      </c>
      <c r="Q121" s="79">
        <f t="shared" si="3"/>
        <v>16746</v>
      </c>
    </row>
    <row r="122" spans="1:18" s="13" customFormat="1" ht="15.75" x14ac:dyDescent="0.25">
      <c r="A122" s="10"/>
      <c r="B122" s="62" t="s">
        <v>76</v>
      </c>
      <c r="C122" s="1" t="s">
        <v>17</v>
      </c>
      <c r="D122" s="120"/>
      <c r="E122" s="3" t="s">
        <v>20</v>
      </c>
      <c r="F122" s="73" t="s">
        <v>381</v>
      </c>
      <c r="G122" s="74" t="s">
        <v>112</v>
      </c>
      <c r="H122" s="75">
        <v>12</v>
      </c>
      <c r="I122" s="76">
        <v>7</v>
      </c>
      <c r="J122" s="96">
        <f>1+6</f>
        <v>7</v>
      </c>
      <c r="K122" s="77">
        <f>6556.06+2806.39</f>
        <v>9362.4500000000007</v>
      </c>
      <c r="L122" s="77"/>
      <c r="M122" s="38">
        <f t="shared" si="4"/>
        <v>9362.4500000000007</v>
      </c>
      <c r="N122" s="100">
        <f>5+6</f>
        <v>11</v>
      </c>
      <c r="O122" s="81">
        <f>11527.9+19846.52+1011.91+9641</f>
        <v>42027.33</v>
      </c>
      <c r="P122" s="81"/>
      <c r="Q122" s="12">
        <f t="shared" si="3"/>
        <v>42027.33</v>
      </c>
      <c r="R122" s="141"/>
    </row>
    <row r="123" spans="1:18" s="13" customFormat="1" ht="15.75" x14ac:dyDescent="0.25">
      <c r="A123" s="10"/>
      <c r="B123" s="22" t="s">
        <v>76</v>
      </c>
      <c r="C123" s="1" t="s">
        <v>17</v>
      </c>
      <c r="D123" s="120"/>
      <c r="E123" s="3" t="s">
        <v>20</v>
      </c>
      <c r="F123" s="73" t="s">
        <v>462</v>
      </c>
      <c r="G123" s="11" t="s">
        <v>114</v>
      </c>
      <c r="H123" s="1">
        <v>3</v>
      </c>
      <c r="I123" s="49"/>
      <c r="J123" s="51"/>
      <c r="K123" s="40"/>
      <c r="L123" s="40"/>
      <c r="M123" s="78">
        <f t="shared" si="4"/>
        <v>0</v>
      </c>
      <c r="N123" s="41">
        <v>7</v>
      </c>
      <c r="O123" s="31">
        <v>17927.759999999998</v>
      </c>
      <c r="P123" s="31">
        <f>3649.9</f>
        <v>3649.9</v>
      </c>
      <c r="Q123" s="79">
        <f t="shared" si="3"/>
        <v>14277.859999999999</v>
      </c>
    </row>
    <row r="124" spans="1:18" s="13" customFormat="1" ht="15.75" x14ac:dyDescent="0.25">
      <c r="A124" s="10"/>
      <c r="B124" s="30" t="s">
        <v>77</v>
      </c>
      <c r="C124" s="1" t="s">
        <v>17</v>
      </c>
      <c r="D124" s="120"/>
      <c r="E124" s="3" t="s">
        <v>32</v>
      </c>
      <c r="F124" s="73" t="s">
        <v>388</v>
      </c>
      <c r="G124" s="74" t="s">
        <v>112</v>
      </c>
      <c r="H124" s="75">
        <v>4</v>
      </c>
      <c r="I124" s="76">
        <v>2</v>
      </c>
      <c r="J124" s="96">
        <f>2</f>
        <v>2</v>
      </c>
      <c r="K124" s="77">
        <f>2440.63</f>
        <v>2440.63</v>
      </c>
      <c r="L124" s="77"/>
      <c r="M124" s="38">
        <f t="shared" si="4"/>
        <v>2440.63</v>
      </c>
      <c r="N124" s="100">
        <f>5+2+3</f>
        <v>10</v>
      </c>
      <c r="O124" s="81">
        <f>11716.73+6848.82+4046.18</f>
        <v>22611.73</v>
      </c>
      <c r="P124" s="81">
        <f>11716.73</f>
        <v>11716.73</v>
      </c>
      <c r="Q124" s="12">
        <f t="shared" si="3"/>
        <v>10895</v>
      </c>
      <c r="R124" s="141"/>
    </row>
    <row r="125" spans="1:18" s="13" customFormat="1" ht="15.75" x14ac:dyDescent="0.25">
      <c r="A125" s="10"/>
      <c r="B125" s="24" t="s">
        <v>77</v>
      </c>
      <c r="C125" s="1" t="s">
        <v>17</v>
      </c>
      <c r="D125" s="120"/>
      <c r="E125" s="3" t="s">
        <v>32</v>
      </c>
      <c r="F125" s="73" t="s">
        <v>433</v>
      </c>
      <c r="G125" s="11" t="s">
        <v>117</v>
      </c>
      <c r="H125" s="1">
        <v>1</v>
      </c>
      <c r="I125" s="49"/>
      <c r="J125" s="46"/>
      <c r="K125" s="40"/>
      <c r="L125" s="40"/>
      <c r="M125" s="78">
        <f t="shared" si="4"/>
        <v>0</v>
      </c>
      <c r="N125" s="41">
        <v>5</v>
      </c>
      <c r="O125" s="31">
        <v>15666.81</v>
      </c>
      <c r="P125" s="31"/>
      <c r="Q125" s="79">
        <f t="shared" si="3"/>
        <v>15666.81</v>
      </c>
    </row>
    <row r="126" spans="1:18" s="13" customFormat="1" ht="15.75" x14ac:dyDescent="0.25">
      <c r="A126" s="10"/>
      <c r="B126" s="24" t="s">
        <v>321</v>
      </c>
      <c r="C126" s="1" t="s">
        <v>17</v>
      </c>
      <c r="D126" s="120"/>
      <c r="E126" s="3" t="s">
        <v>21</v>
      </c>
      <c r="F126" s="73" t="s">
        <v>489</v>
      </c>
      <c r="G126" s="11" t="s">
        <v>112</v>
      </c>
      <c r="H126" s="1">
        <v>1</v>
      </c>
      <c r="I126" s="49"/>
      <c r="J126" s="46"/>
      <c r="K126" s="40"/>
      <c r="L126" s="40"/>
      <c r="M126" s="78"/>
      <c r="N126" s="41"/>
      <c r="O126" s="31"/>
      <c r="P126" s="31"/>
      <c r="Q126" s="79"/>
      <c r="R126" s="141"/>
    </row>
    <row r="127" spans="1:18" s="13" customFormat="1" ht="31.5" x14ac:dyDescent="0.25">
      <c r="A127" s="10"/>
      <c r="B127" s="62" t="s">
        <v>79</v>
      </c>
      <c r="C127" s="1" t="s">
        <v>304</v>
      </c>
      <c r="D127" s="120" t="s">
        <v>385</v>
      </c>
      <c r="E127" s="3" t="s">
        <v>18</v>
      </c>
      <c r="F127" s="73" t="s">
        <v>389</v>
      </c>
      <c r="G127" s="74" t="s">
        <v>112</v>
      </c>
      <c r="H127" s="75">
        <v>3</v>
      </c>
      <c r="I127" s="76">
        <v>1</v>
      </c>
      <c r="J127" s="96"/>
      <c r="K127" s="77">
        <f>2091.97</f>
        <v>2091.9699999999998</v>
      </c>
      <c r="L127" s="77"/>
      <c r="M127" s="38">
        <f t="shared" si="4"/>
        <v>2091.9699999999998</v>
      </c>
      <c r="N127" s="100">
        <f>2+2</f>
        <v>4</v>
      </c>
      <c r="O127" s="81">
        <f>1547.4+4166.12+7835.61</f>
        <v>13549.130000000001</v>
      </c>
      <c r="P127" s="81"/>
      <c r="Q127" s="12">
        <f t="shared" si="3"/>
        <v>13549.130000000001</v>
      </c>
      <c r="R127" s="141"/>
    </row>
    <row r="128" spans="1:18" s="13" customFormat="1" ht="31.5" x14ac:dyDescent="0.25">
      <c r="A128" s="10"/>
      <c r="B128" s="22" t="s">
        <v>79</v>
      </c>
      <c r="C128" s="1" t="s">
        <v>304</v>
      </c>
      <c r="D128" s="120" t="s">
        <v>475</v>
      </c>
      <c r="E128" s="3" t="s">
        <v>18</v>
      </c>
      <c r="F128" s="73" t="s">
        <v>329</v>
      </c>
      <c r="G128" s="11" t="s">
        <v>113</v>
      </c>
      <c r="H128" s="1">
        <v>8</v>
      </c>
      <c r="I128" s="53">
        <v>1</v>
      </c>
      <c r="J128" s="127">
        <v>1</v>
      </c>
      <c r="K128" s="31">
        <v>1268</v>
      </c>
      <c r="L128" s="31"/>
      <c r="M128" s="78">
        <f t="shared" si="4"/>
        <v>1268</v>
      </c>
      <c r="N128" s="41">
        <v>6</v>
      </c>
      <c r="O128" s="31">
        <v>31483</v>
      </c>
      <c r="P128" s="31"/>
      <c r="Q128" s="79">
        <f t="shared" si="3"/>
        <v>31483</v>
      </c>
    </row>
    <row r="129" spans="1:18" s="13" customFormat="1" ht="15.75" x14ac:dyDescent="0.25">
      <c r="A129" s="10"/>
      <c r="B129" s="62" t="s">
        <v>151</v>
      </c>
      <c r="C129" s="1" t="s">
        <v>17</v>
      </c>
      <c r="D129" s="120"/>
      <c r="E129" s="3" t="s">
        <v>32</v>
      </c>
      <c r="F129" s="73" t="s">
        <v>390</v>
      </c>
      <c r="G129" s="74" t="s">
        <v>112</v>
      </c>
      <c r="H129" s="75">
        <v>14</v>
      </c>
      <c r="I129" s="82">
        <v>3</v>
      </c>
      <c r="J129" s="96">
        <f>1</f>
        <v>1</v>
      </c>
      <c r="K129" s="81">
        <f>2317</f>
        <v>2317</v>
      </c>
      <c r="L129" s="81"/>
      <c r="M129" s="38">
        <f t="shared" si="4"/>
        <v>2317</v>
      </c>
      <c r="N129" s="100">
        <f>9+3</f>
        <v>12</v>
      </c>
      <c r="O129" s="81">
        <f>10726.94+18822.65+5703.53</f>
        <v>35253.120000000003</v>
      </c>
      <c r="P129" s="81">
        <f>10726.94</f>
        <v>10726.94</v>
      </c>
      <c r="Q129" s="12">
        <f t="shared" si="3"/>
        <v>24526.18</v>
      </c>
      <c r="R129" s="141"/>
    </row>
    <row r="130" spans="1:18" s="13" customFormat="1" ht="15.75" x14ac:dyDescent="0.25">
      <c r="A130" s="10"/>
      <c r="B130" s="22" t="s">
        <v>151</v>
      </c>
      <c r="C130" s="1" t="s">
        <v>17</v>
      </c>
      <c r="D130" s="120"/>
      <c r="E130" s="3" t="s">
        <v>32</v>
      </c>
      <c r="F130" s="73" t="s">
        <v>434</v>
      </c>
      <c r="G130" s="11" t="s">
        <v>117</v>
      </c>
      <c r="H130" s="1">
        <v>4</v>
      </c>
      <c r="I130" s="49"/>
      <c r="J130" s="46"/>
      <c r="K130" s="40"/>
      <c r="L130" s="40"/>
      <c r="M130" s="78">
        <f t="shared" si="4"/>
        <v>0</v>
      </c>
      <c r="N130" s="41">
        <v>8</v>
      </c>
      <c r="O130" s="31">
        <v>14253.2</v>
      </c>
      <c r="P130" s="31"/>
      <c r="Q130" s="79">
        <f t="shared" si="3"/>
        <v>14253.2</v>
      </c>
    </row>
    <row r="131" spans="1:18" s="13" customFormat="1" ht="15.75" x14ac:dyDescent="0.25">
      <c r="A131" s="10"/>
      <c r="B131" s="62" t="s">
        <v>80</v>
      </c>
      <c r="C131" s="1" t="s">
        <v>17</v>
      </c>
      <c r="D131" s="120"/>
      <c r="E131" s="3" t="s">
        <v>81</v>
      </c>
      <c r="F131" s="73" t="s">
        <v>417</v>
      </c>
      <c r="G131" s="74" t="s">
        <v>112</v>
      </c>
      <c r="H131" s="75"/>
      <c r="I131" s="76"/>
      <c r="J131" s="96"/>
      <c r="K131" s="77"/>
      <c r="L131" s="77"/>
      <c r="M131" s="38">
        <f t="shared" si="4"/>
        <v>0</v>
      </c>
      <c r="N131" s="100">
        <f>2</f>
        <v>2</v>
      </c>
      <c r="O131" s="81">
        <f>3040.94</f>
        <v>3040.94</v>
      </c>
      <c r="P131" s="81"/>
      <c r="Q131" s="12">
        <f t="shared" si="3"/>
        <v>3040.94</v>
      </c>
      <c r="R131" s="141"/>
    </row>
    <row r="132" spans="1:18" s="13" customFormat="1" ht="15.75" x14ac:dyDescent="0.25">
      <c r="A132" s="10"/>
      <c r="B132" s="22" t="s">
        <v>80</v>
      </c>
      <c r="C132" s="1" t="s">
        <v>17</v>
      </c>
      <c r="D132" s="120"/>
      <c r="E132" s="3" t="s">
        <v>81</v>
      </c>
      <c r="F132" s="73" t="s">
        <v>285</v>
      </c>
      <c r="G132" s="11" t="s">
        <v>114</v>
      </c>
      <c r="H132" s="1"/>
      <c r="I132" s="49"/>
      <c r="J132" s="51"/>
      <c r="K132" s="40"/>
      <c r="L132" s="40"/>
      <c r="M132" s="78">
        <f t="shared" si="4"/>
        <v>0</v>
      </c>
      <c r="N132" s="41">
        <v>15</v>
      </c>
      <c r="O132" s="31">
        <f>21200.04</f>
        <v>21200.04</v>
      </c>
      <c r="P132" s="31">
        <f>4610.4</f>
        <v>4610.3999999999996</v>
      </c>
      <c r="Q132" s="79">
        <f t="shared" si="3"/>
        <v>16589.64</v>
      </c>
    </row>
    <row r="133" spans="1:18" s="13" customFormat="1" ht="15.75" x14ac:dyDescent="0.25">
      <c r="A133" s="10"/>
      <c r="B133" s="30" t="s">
        <v>82</v>
      </c>
      <c r="C133" s="1" t="s">
        <v>17</v>
      </c>
      <c r="D133" s="120"/>
      <c r="E133" s="3" t="s">
        <v>20</v>
      </c>
      <c r="F133" s="73" t="s">
        <v>394</v>
      </c>
      <c r="G133" s="74" t="s">
        <v>112</v>
      </c>
      <c r="H133" s="75">
        <v>4</v>
      </c>
      <c r="I133" s="76"/>
      <c r="J133" s="96"/>
      <c r="K133" s="77"/>
      <c r="L133" s="77"/>
      <c r="M133" s="38">
        <f t="shared" si="4"/>
        <v>0</v>
      </c>
      <c r="N133" s="100">
        <f>3+5</f>
        <v>8</v>
      </c>
      <c r="O133" s="81">
        <f>5975.84+23579.15</f>
        <v>29554.99</v>
      </c>
      <c r="P133" s="81"/>
      <c r="Q133" s="12">
        <f t="shared" si="3"/>
        <v>29554.99</v>
      </c>
      <c r="R133" s="141"/>
    </row>
    <row r="134" spans="1:18" s="13" customFormat="1" ht="15.75" x14ac:dyDescent="0.25">
      <c r="A134" s="10"/>
      <c r="B134" s="24" t="s">
        <v>82</v>
      </c>
      <c r="C134" s="1" t="s">
        <v>17</v>
      </c>
      <c r="D134" s="120"/>
      <c r="E134" s="3" t="s">
        <v>20</v>
      </c>
      <c r="F134" s="73" t="s">
        <v>463</v>
      </c>
      <c r="G134" s="11" t="s">
        <v>114</v>
      </c>
      <c r="H134" s="1">
        <v>5</v>
      </c>
      <c r="I134" s="49"/>
      <c r="J134" s="51"/>
      <c r="K134" s="40"/>
      <c r="L134" s="40"/>
      <c r="M134" s="78">
        <f t="shared" si="4"/>
        <v>0</v>
      </c>
      <c r="N134" s="41">
        <v>7</v>
      </c>
      <c r="O134" s="31">
        <v>10757.8</v>
      </c>
      <c r="P134" s="31">
        <f>4314.3</f>
        <v>4314.3</v>
      </c>
      <c r="Q134" s="79">
        <f t="shared" si="3"/>
        <v>6443.4999999999991</v>
      </c>
    </row>
    <row r="135" spans="1:18" s="13" customFormat="1" ht="15.75" x14ac:dyDescent="0.25">
      <c r="A135" s="10"/>
      <c r="B135" s="24" t="s">
        <v>309</v>
      </c>
      <c r="C135" s="1"/>
      <c r="D135" s="120"/>
      <c r="E135" s="3" t="s">
        <v>20</v>
      </c>
      <c r="F135" s="73" t="s">
        <v>391</v>
      </c>
      <c r="G135" s="11" t="s">
        <v>112</v>
      </c>
      <c r="H135" s="1">
        <v>9</v>
      </c>
      <c r="I135" s="58">
        <v>1</v>
      </c>
      <c r="J135" s="51">
        <f>1</f>
        <v>1</v>
      </c>
      <c r="K135" s="40">
        <f>3606.1</f>
        <v>3606.1</v>
      </c>
      <c r="L135" s="40"/>
      <c r="M135" s="38">
        <f t="shared" si="4"/>
        <v>3606.1</v>
      </c>
      <c r="N135" s="41">
        <f>1+5+1</f>
        <v>7</v>
      </c>
      <c r="O135" s="31">
        <f>3088.97+13147.65</f>
        <v>16236.619999999999</v>
      </c>
      <c r="P135" s="31"/>
      <c r="Q135" s="79"/>
      <c r="R135" s="141"/>
    </row>
    <row r="136" spans="1:18" s="13" customFormat="1" ht="15.75" x14ac:dyDescent="0.25">
      <c r="A136" s="10"/>
      <c r="B136" s="30" t="s">
        <v>152</v>
      </c>
      <c r="C136" s="1" t="s">
        <v>17</v>
      </c>
      <c r="D136" s="120"/>
      <c r="E136" s="3" t="s">
        <v>35</v>
      </c>
      <c r="F136" s="73" t="s">
        <v>392</v>
      </c>
      <c r="G136" s="74" t="s">
        <v>112</v>
      </c>
      <c r="H136" s="75">
        <v>7</v>
      </c>
      <c r="I136" s="76">
        <v>2</v>
      </c>
      <c r="J136" s="96">
        <f>1+1</f>
        <v>2</v>
      </c>
      <c r="K136" s="77">
        <f>403.41+845.24</f>
        <v>1248.6500000000001</v>
      </c>
      <c r="L136" s="77"/>
      <c r="M136" s="38">
        <f t="shared" si="4"/>
        <v>1248.6500000000001</v>
      </c>
      <c r="N136" s="100">
        <f>2+2+2</f>
        <v>6</v>
      </c>
      <c r="O136" s="81">
        <f>1690.48+3050.26+3661.61+4648.82</f>
        <v>13051.17</v>
      </c>
      <c r="P136" s="81">
        <f>1690.4</f>
        <v>1690.4</v>
      </c>
      <c r="Q136" s="12">
        <f t="shared" si="3"/>
        <v>11360.77</v>
      </c>
      <c r="R136" s="141"/>
    </row>
    <row r="137" spans="1:18" s="13" customFormat="1" ht="15.75" x14ac:dyDescent="0.25">
      <c r="A137" s="10"/>
      <c r="B137" s="24" t="s">
        <v>152</v>
      </c>
      <c r="C137" s="1" t="s">
        <v>17</v>
      </c>
      <c r="D137" s="120"/>
      <c r="E137" s="3" t="s">
        <v>32</v>
      </c>
      <c r="F137" s="73"/>
      <c r="G137" s="11" t="s">
        <v>117</v>
      </c>
      <c r="H137" s="1"/>
      <c r="I137" s="49"/>
      <c r="J137" s="46"/>
      <c r="K137" s="40"/>
      <c r="L137" s="40"/>
      <c r="M137" s="78">
        <f t="shared" si="4"/>
        <v>0</v>
      </c>
      <c r="N137" s="41"/>
      <c r="O137" s="31"/>
      <c r="P137" s="31"/>
      <c r="Q137" s="79">
        <f t="shared" si="3"/>
        <v>0</v>
      </c>
    </row>
    <row r="138" spans="1:18" s="13" customFormat="1" ht="15.75" x14ac:dyDescent="0.25">
      <c r="A138" s="10"/>
      <c r="B138" s="30" t="s">
        <v>83</v>
      </c>
      <c r="C138" s="1" t="s">
        <v>17</v>
      </c>
      <c r="D138" s="120"/>
      <c r="E138" s="3" t="s">
        <v>20</v>
      </c>
      <c r="F138" s="73" t="s">
        <v>393</v>
      </c>
      <c r="G138" s="74" t="s">
        <v>112</v>
      </c>
      <c r="H138" s="75">
        <v>7</v>
      </c>
      <c r="I138" s="76">
        <v>2</v>
      </c>
      <c r="J138" s="96">
        <f>1+1</f>
        <v>2</v>
      </c>
      <c r="K138" s="77"/>
      <c r="L138" s="77"/>
      <c r="M138" s="38">
        <f t="shared" si="4"/>
        <v>0</v>
      </c>
      <c r="N138" s="100">
        <f>1+2</f>
        <v>3</v>
      </c>
      <c r="O138" s="81">
        <f>5837.09</f>
        <v>5837.09</v>
      </c>
      <c r="P138" s="81"/>
      <c r="Q138" s="12">
        <f t="shared" si="3"/>
        <v>5837.09</v>
      </c>
      <c r="R138" s="141"/>
    </row>
    <row r="139" spans="1:18" s="13" customFormat="1" ht="15.75" x14ac:dyDescent="0.25">
      <c r="A139" s="10"/>
      <c r="B139" s="24" t="s">
        <v>83</v>
      </c>
      <c r="C139" s="1" t="s">
        <v>17</v>
      </c>
      <c r="D139" s="120"/>
      <c r="E139" s="3" t="s">
        <v>20</v>
      </c>
      <c r="F139" s="73" t="s">
        <v>464</v>
      </c>
      <c r="G139" s="11" t="s">
        <v>114</v>
      </c>
      <c r="H139" s="1">
        <v>5</v>
      </c>
      <c r="I139" s="49"/>
      <c r="J139" s="51"/>
      <c r="K139" s="40"/>
      <c r="L139" s="40"/>
      <c r="M139" s="78">
        <f t="shared" si="4"/>
        <v>0</v>
      </c>
      <c r="N139" s="41">
        <v>22</v>
      </c>
      <c r="O139" s="31">
        <v>43871.3</v>
      </c>
      <c r="P139" s="31">
        <f>3649.9</f>
        <v>3649.9</v>
      </c>
      <c r="Q139" s="79">
        <f t="shared" si="3"/>
        <v>40221.4</v>
      </c>
    </row>
    <row r="140" spans="1:18" s="13" customFormat="1" ht="15.75" x14ac:dyDescent="0.25">
      <c r="A140" s="10"/>
      <c r="B140" s="24" t="s">
        <v>310</v>
      </c>
      <c r="C140" s="1"/>
      <c r="D140" s="120"/>
      <c r="E140" s="3" t="s">
        <v>20</v>
      </c>
      <c r="F140" s="73"/>
      <c r="G140" s="11" t="s">
        <v>114</v>
      </c>
      <c r="H140" s="1"/>
      <c r="I140" s="49"/>
      <c r="J140" s="51"/>
      <c r="K140" s="40"/>
      <c r="L140" s="40"/>
      <c r="M140" s="78"/>
      <c r="N140" s="41"/>
      <c r="O140" s="31"/>
      <c r="P140" s="31"/>
      <c r="Q140" s="79"/>
    </row>
    <row r="141" spans="1:18" s="13" customFormat="1" ht="15.75" x14ac:dyDescent="0.25">
      <c r="A141" s="10"/>
      <c r="B141" s="30" t="s">
        <v>84</v>
      </c>
      <c r="C141" s="1"/>
      <c r="D141" s="120"/>
      <c r="E141" s="3" t="s">
        <v>20</v>
      </c>
      <c r="F141" s="73" t="s">
        <v>287</v>
      </c>
      <c r="G141" s="11" t="s">
        <v>114</v>
      </c>
      <c r="H141" s="1"/>
      <c r="I141" s="49"/>
      <c r="J141" s="51"/>
      <c r="K141" s="40"/>
      <c r="L141" s="40"/>
      <c r="M141" s="38">
        <f t="shared" si="4"/>
        <v>0</v>
      </c>
      <c r="N141" s="41"/>
      <c r="O141" s="31"/>
      <c r="P141" s="31"/>
      <c r="Q141" s="12">
        <f t="shared" si="3"/>
        <v>0</v>
      </c>
    </row>
    <row r="142" spans="1:18" s="13" customFormat="1" ht="47.25" x14ac:dyDescent="0.25">
      <c r="A142" s="10"/>
      <c r="B142" s="30" t="s">
        <v>85</v>
      </c>
      <c r="C142" s="1" t="s">
        <v>304</v>
      </c>
      <c r="D142" s="120" t="s">
        <v>415</v>
      </c>
      <c r="E142" s="3" t="s">
        <v>20</v>
      </c>
      <c r="F142" s="73" t="s">
        <v>395</v>
      </c>
      <c r="G142" s="74" t="s">
        <v>112</v>
      </c>
      <c r="H142" s="75">
        <v>4</v>
      </c>
      <c r="I142" s="76"/>
      <c r="J142" s="96"/>
      <c r="K142" s="77"/>
      <c r="L142" s="77"/>
      <c r="M142" s="38">
        <f t="shared" si="4"/>
        <v>0</v>
      </c>
      <c r="N142" s="100"/>
      <c r="O142" s="81"/>
      <c r="P142" s="81"/>
      <c r="Q142" s="79">
        <f t="shared" si="3"/>
        <v>0</v>
      </c>
      <c r="R142" s="141"/>
    </row>
    <row r="143" spans="1:18" s="13" customFormat="1" ht="15.75" x14ac:dyDescent="0.25">
      <c r="A143" s="10"/>
      <c r="B143" s="27" t="s">
        <v>86</v>
      </c>
      <c r="C143" s="1" t="s">
        <v>17</v>
      </c>
      <c r="D143" s="120"/>
      <c r="E143" s="17" t="s">
        <v>20</v>
      </c>
      <c r="F143" s="73" t="s">
        <v>396</v>
      </c>
      <c r="G143" s="74" t="s">
        <v>112</v>
      </c>
      <c r="H143" s="75">
        <v>5</v>
      </c>
      <c r="I143" s="76">
        <v>1</v>
      </c>
      <c r="J143" s="96">
        <f>1</f>
        <v>1</v>
      </c>
      <c r="K143" s="77">
        <f>950.9</f>
        <v>950.9</v>
      </c>
      <c r="L143" s="77"/>
      <c r="M143" s="38">
        <f t="shared" si="4"/>
        <v>950.9</v>
      </c>
      <c r="N143" s="100">
        <f>15+4</f>
        <v>19</v>
      </c>
      <c r="O143" s="81">
        <f>30236.61+18366.75</f>
        <v>48603.360000000001</v>
      </c>
      <c r="P143" s="81"/>
      <c r="Q143" s="12">
        <f t="shared" si="3"/>
        <v>48603.360000000001</v>
      </c>
      <c r="R143" s="141"/>
    </row>
    <row r="144" spans="1:18" s="13" customFormat="1" ht="15.75" x14ac:dyDescent="0.25">
      <c r="A144" s="10"/>
      <c r="B144" s="25" t="s">
        <v>86</v>
      </c>
      <c r="C144" s="1" t="s">
        <v>17</v>
      </c>
      <c r="D144" s="120"/>
      <c r="E144" s="17" t="s">
        <v>20</v>
      </c>
      <c r="F144" s="73" t="s">
        <v>465</v>
      </c>
      <c r="G144" s="11" t="s">
        <v>114</v>
      </c>
      <c r="H144" s="1"/>
      <c r="I144" s="49"/>
      <c r="J144" s="51"/>
      <c r="K144" s="40"/>
      <c r="L144" s="40"/>
      <c r="M144" s="78">
        <f t="shared" si="4"/>
        <v>0</v>
      </c>
      <c r="N144" s="41">
        <v>3</v>
      </c>
      <c r="O144" s="31"/>
      <c r="P144" s="31"/>
      <c r="Q144" s="79">
        <f t="shared" si="3"/>
        <v>0</v>
      </c>
    </row>
    <row r="145" spans="1:18" s="13" customFormat="1" ht="15.75" x14ac:dyDescent="0.25">
      <c r="A145" s="10"/>
      <c r="B145" s="62" t="s">
        <v>87</v>
      </c>
      <c r="C145" s="1" t="s">
        <v>17</v>
      </c>
      <c r="D145" s="120"/>
      <c r="E145" s="17" t="s">
        <v>78</v>
      </c>
      <c r="F145" s="73" t="s">
        <v>142</v>
      </c>
      <c r="G145" s="74" t="s">
        <v>112</v>
      </c>
      <c r="H145" s="75"/>
      <c r="I145" s="76"/>
      <c r="J145" s="96"/>
      <c r="K145" s="77"/>
      <c r="L145" s="77"/>
      <c r="M145" s="38">
        <f t="shared" si="4"/>
        <v>0</v>
      </c>
      <c r="N145" s="100"/>
      <c r="O145" s="81"/>
      <c r="P145" s="81"/>
      <c r="Q145" s="12">
        <f t="shared" si="3"/>
        <v>0</v>
      </c>
      <c r="R145" s="141"/>
    </row>
    <row r="146" spans="1:18" s="13" customFormat="1" ht="15.75" x14ac:dyDescent="0.25">
      <c r="A146" s="10"/>
      <c r="B146" s="62" t="s">
        <v>312</v>
      </c>
      <c r="C146" s="1" t="s">
        <v>17</v>
      </c>
      <c r="D146" s="120"/>
      <c r="E146" s="17" t="s">
        <v>20</v>
      </c>
      <c r="F146" s="73" t="s">
        <v>320</v>
      </c>
      <c r="G146" s="74" t="s">
        <v>112</v>
      </c>
      <c r="H146" s="75">
        <v>6</v>
      </c>
      <c r="I146" s="76">
        <v>1</v>
      </c>
      <c r="J146" s="96">
        <f>1</f>
        <v>1</v>
      </c>
      <c r="K146" s="77">
        <f>3319.49</f>
        <v>3319.49</v>
      </c>
      <c r="L146" s="77"/>
      <c r="M146" s="38"/>
      <c r="N146" s="100">
        <f>5+6</f>
        <v>11</v>
      </c>
      <c r="O146" s="81">
        <f>4226.2+6627.45</f>
        <v>10853.65</v>
      </c>
      <c r="P146" s="81"/>
      <c r="Q146" s="12"/>
      <c r="R146" s="141"/>
    </row>
    <row r="147" spans="1:18" s="13" customFormat="1" ht="15.75" x14ac:dyDescent="0.25">
      <c r="A147" s="10"/>
      <c r="B147" s="62" t="s">
        <v>494</v>
      </c>
      <c r="C147" s="1" t="s">
        <v>17</v>
      </c>
      <c r="D147" s="120"/>
      <c r="E147" s="17" t="s">
        <v>20</v>
      </c>
      <c r="F147" s="73" t="s">
        <v>497</v>
      </c>
      <c r="G147" s="74" t="s">
        <v>112</v>
      </c>
      <c r="H147" s="75">
        <v>2</v>
      </c>
      <c r="I147" s="76"/>
      <c r="J147" s="96"/>
      <c r="K147" s="77"/>
      <c r="L147" s="77"/>
      <c r="M147" s="38"/>
      <c r="N147" s="100"/>
      <c r="O147" s="81"/>
      <c r="P147" s="81"/>
      <c r="Q147" s="12"/>
      <c r="R147" s="141"/>
    </row>
    <row r="148" spans="1:18" s="13" customFormat="1" ht="15.75" x14ac:dyDescent="0.25">
      <c r="A148" s="10"/>
      <c r="B148" s="30" t="s">
        <v>88</v>
      </c>
      <c r="C148" s="1" t="s">
        <v>17</v>
      </c>
      <c r="D148" s="120"/>
      <c r="E148" s="3" t="s">
        <v>89</v>
      </c>
      <c r="F148" s="73" t="s">
        <v>397</v>
      </c>
      <c r="G148" s="74" t="s">
        <v>112</v>
      </c>
      <c r="H148" s="75">
        <v>2</v>
      </c>
      <c r="I148" s="76"/>
      <c r="J148" s="96"/>
      <c r="K148" s="77">
        <f>4226.2</f>
        <v>4226.2</v>
      </c>
      <c r="L148" s="77"/>
      <c r="M148" s="38">
        <f t="shared" si="4"/>
        <v>4226.2</v>
      </c>
      <c r="N148" s="100">
        <f>4+1+3+1+2+2</f>
        <v>13</v>
      </c>
      <c r="O148" s="81">
        <f>11967.83+2831.55+10544.37+9418.99</f>
        <v>34762.74</v>
      </c>
      <c r="P148" s="81"/>
      <c r="Q148" s="79">
        <f t="shared" ref="Q148:Q189" si="5">O148-P148</f>
        <v>34762.74</v>
      </c>
      <c r="R148" s="141"/>
    </row>
    <row r="149" spans="1:18" s="13" customFormat="1" ht="15.75" x14ac:dyDescent="0.25">
      <c r="A149" s="10"/>
      <c r="B149" s="24" t="s">
        <v>88</v>
      </c>
      <c r="C149" s="1" t="s">
        <v>17</v>
      </c>
      <c r="D149" s="120"/>
      <c r="E149" s="3" t="s">
        <v>89</v>
      </c>
      <c r="F149" s="73" t="s">
        <v>442</v>
      </c>
      <c r="G149" s="11" t="s">
        <v>118</v>
      </c>
      <c r="H149" s="1">
        <v>2</v>
      </c>
      <c r="I149" s="49"/>
      <c r="J149" s="46"/>
      <c r="K149" s="40"/>
      <c r="L149" s="40"/>
      <c r="M149" s="38">
        <f t="shared" si="4"/>
        <v>0</v>
      </c>
      <c r="N149" s="41">
        <v>2</v>
      </c>
      <c r="O149" s="31">
        <v>8523.52</v>
      </c>
      <c r="P149" s="31"/>
      <c r="Q149" s="12">
        <f t="shared" si="5"/>
        <v>8523.52</v>
      </c>
    </row>
    <row r="150" spans="1:18" s="13" customFormat="1" ht="15.75" x14ac:dyDescent="0.25">
      <c r="A150" s="10"/>
      <c r="B150" s="30" t="s">
        <v>90</v>
      </c>
      <c r="C150" s="1" t="s">
        <v>17</v>
      </c>
      <c r="D150" s="120"/>
      <c r="E150" s="17" t="s">
        <v>20</v>
      </c>
      <c r="F150" s="73" t="s">
        <v>398</v>
      </c>
      <c r="G150" s="74" t="s">
        <v>112</v>
      </c>
      <c r="H150" s="75">
        <v>3</v>
      </c>
      <c r="I150" s="76"/>
      <c r="J150" s="96"/>
      <c r="K150" s="77"/>
      <c r="L150" s="77"/>
      <c r="M150" s="38">
        <f t="shared" si="4"/>
        <v>0</v>
      </c>
      <c r="N150" s="100">
        <f>1</f>
        <v>1</v>
      </c>
      <c r="O150" s="81">
        <f>2122.67</f>
        <v>2122.67</v>
      </c>
      <c r="P150" s="81"/>
      <c r="Q150" s="79">
        <f t="shared" si="5"/>
        <v>2122.67</v>
      </c>
      <c r="R150" s="141"/>
    </row>
    <row r="151" spans="1:18" s="13" customFormat="1" ht="15.75" x14ac:dyDescent="0.25">
      <c r="A151" s="10"/>
      <c r="B151" s="24" t="s">
        <v>90</v>
      </c>
      <c r="C151" s="1" t="s">
        <v>17</v>
      </c>
      <c r="D151" s="120"/>
      <c r="E151" s="17" t="s">
        <v>20</v>
      </c>
      <c r="F151" s="73" t="s">
        <v>466</v>
      </c>
      <c r="G151" s="11" t="s">
        <v>114</v>
      </c>
      <c r="H151" s="1">
        <v>3</v>
      </c>
      <c r="I151" s="49"/>
      <c r="J151" s="51"/>
      <c r="K151" s="40"/>
      <c r="L151" s="40"/>
      <c r="M151" s="78">
        <f t="shared" si="4"/>
        <v>0</v>
      </c>
      <c r="N151" s="41">
        <v>15</v>
      </c>
      <c r="O151" s="31">
        <f>31793</f>
        <v>31793</v>
      </c>
      <c r="P151" s="31">
        <f>3682</f>
        <v>3682</v>
      </c>
      <c r="Q151" s="12">
        <f t="shared" si="5"/>
        <v>28111</v>
      </c>
    </row>
    <row r="152" spans="1:18" s="13" customFormat="1" ht="15.75" x14ac:dyDescent="0.25">
      <c r="A152" s="10"/>
      <c r="B152" s="30" t="s">
        <v>91</v>
      </c>
      <c r="C152" s="1" t="s">
        <v>17</v>
      </c>
      <c r="D152" s="120"/>
      <c r="E152" s="17" t="s">
        <v>20</v>
      </c>
      <c r="F152" s="73" t="s">
        <v>399</v>
      </c>
      <c r="G152" s="74" t="s">
        <v>112</v>
      </c>
      <c r="H152" s="75"/>
      <c r="I152" s="76"/>
      <c r="J152" s="96"/>
      <c r="K152" s="77"/>
      <c r="L152" s="77"/>
      <c r="M152" s="38">
        <f t="shared" si="4"/>
        <v>0</v>
      </c>
      <c r="N152" s="100"/>
      <c r="O152" s="81"/>
      <c r="P152" s="81"/>
      <c r="Q152" s="79">
        <f t="shared" si="5"/>
        <v>0</v>
      </c>
      <c r="R152" s="141"/>
    </row>
    <row r="153" spans="1:18" s="13" customFormat="1" ht="15.75" x14ac:dyDescent="0.25">
      <c r="A153" s="10"/>
      <c r="B153" s="22" t="s">
        <v>138</v>
      </c>
      <c r="C153" s="1" t="s">
        <v>17</v>
      </c>
      <c r="D153" s="120"/>
      <c r="E153" s="17" t="s">
        <v>20</v>
      </c>
      <c r="F153" s="73" t="s">
        <v>467</v>
      </c>
      <c r="G153" s="11" t="s">
        <v>114</v>
      </c>
      <c r="H153" s="1">
        <v>1</v>
      </c>
      <c r="I153" s="49"/>
      <c r="J153" s="51"/>
      <c r="K153" s="37"/>
      <c r="L153" s="37"/>
      <c r="M153" s="78">
        <f t="shared" si="4"/>
        <v>0</v>
      </c>
      <c r="N153" s="39">
        <v>4</v>
      </c>
      <c r="O153" s="31">
        <v>1841</v>
      </c>
      <c r="P153" s="31"/>
      <c r="Q153" s="12">
        <f t="shared" si="5"/>
        <v>1841</v>
      </c>
    </row>
    <row r="154" spans="1:18" s="13" customFormat="1" ht="15.75" x14ac:dyDescent="0.25">
      <c r="A154" s="10"/>
      <c r="B154" s="62" t="s">
        <v>138</v>
      </c>
      <c r="C154" s="1" t="s">
        <v>17</v>
      </c>
      <c r="D154" s="120"/>
      <c r="E154" s="17" t="s">
        <v>20</v>
      </c>
      <c r="F154" s="73" t="s">
        <v>400</v>
      </c>
      <c r="G154" s="74" t="s">
        <v>112</v>
      </c>
      <c r="H154" s="75">
        <v>4</v>
      </c>
      <c r="I154" s="82"/>
      <c r="J154" s="96"/>
      <c r="K154" s="77"/>
      <c r="L154" s="77"/>
      <c r="M154" s="38">
        <f t="shared" si="4"/>
        <v>0</v>
      </c>
      <c r="N154" s="100">
        <f>5</f>
        <v>5</v>
      </c>
      <c r="O154" s="81">
        <v>8995.8700000000008</v>
      </c>
      <c r="P154" s="81"/>
      <c r="Q154" s="79">
        <f t="shared" si="5"/>
        <v>8995.8700000000008</v>
      </c>
      <c r="R154" s="141"/>
    </row>
    <row r="155" spans="1:18" s="13" customFormat="1" ht="15.75" x14ac:dyDescent="0.25">
      <c r="A155" s="10"/>
      <c r="B155" s="62" t="s">
        <v>157</v>
      </c>
      <c r="C155" s="1" t="s">
        <v>17</v>
      </c>
      <c r="D155" s="120"/>
      <c r="E155" s="17" t="s">
        <v>20</v>
      </c>
      <c r="F155" s="73" t="s">
        <v>401</v>
      </c>
      <c r="G155" s="74" t="s">
        <v>112</v>
      </c>
      <c r="H155" s="75">
        <v>3</v>
      </c>
      <c r="I155" s="82"/>
      <c r="J155" s="96"/>
      <c r="K155" s="77"/>
      <c r="L155" s="77"/>
      <c r="M155" s="38">
        <f t="shared" ref="M155:M188" si="6">K155-L155</f>
        <v>0</v>
      </c>
      <c r="N155" s="100"/>
      <c r="O155" s="81"/>
      <c r="P155" s="81"/>
      <c r="Q155" s="12">
        <f t="shared" si="5"/>
        <v>0</v>
      </c>
      <c r="R155" s="141"/>
    </row>
    <row r="156" spans="1:18" s="13" customFormat="1" ht="15.75" x14ac:dyDescent="0.25">
      <c r="A156" s="10"/>
      <c r="B156" s="22" t="s">
        <v>157</v>
      </c>
      <c r="C156" s="1" t="s">
        <v>17</v>
      </c>
      <c r="D156" s="120"/>
      <c r="E156" s="17" t="s">
        <v>20</v>
      </c>
      <c r="F156" s="73"/>
      <c r="G156" s="11" t="s">
        <v>114</v>
      </c>
      <c r="H156" s="1"/>
      <c r="I156" s="49"/>
      <c r="J156" s="51"/>
      <c r="K156" s="37"/>
      <c r="L156" s="37"/>
      <c r="M156" s="38">
        <f t="shared" si="6"/>
        <v>0</v>
      </c>
      <c r="N156" s="39"/>
      <c r="O156" s="31"/>
      <c r="P156" s="31"/>
      <c r="Q156" s="79">
        <f t="shared" si="5"/>
        <v>0</v>
      </c>
    </row>
    <row r="157" spans="1:18" s="15" customFormat="1" ht="15.75" x14ac:dyDescent="0.25">
      <c r="A157" s="14"/>
      <c r="B157" s="80" t="s">
        <v>92</v>
      </c>
      <c r="C157" s="1" t="s">
        <v>17</v>
      </c>
      <c r="D157" s="120"/>
      <c r="E157" s="17" t="s">
        <v>20</v>
      </c>
      <c r="F157" s="73" t="s">
        <v>402</v>
      </c>
      <c r="G157" s="74" t="s">
        <v>112</v>
      </c>
      <c r="H157" s="75">
        <v>2</v>
      </c>
      <c r="I157" s="76"/>
      <c r="J157" s="96"/>
      <c r="K157" s="77"/>
      <c r="L157" s="77"/>
      <c r="M157" s="38">
        <f t="shared" si="6"/>
        <v>0</v>
      </c>
      <c r="N157" s="100">
        <f>4+1</f>
        <v>5</v>
      </c>
      <c r="O157" s="81">
        <f>12624.74+2697.06</f>
        <v>15321.8</v>
      </c>
      <c r="P157" s="81">
        <f>12624.74</f>
        <v>12624.74</v>
      </c>
      <c r="Q157" s="12">
        <f t="shared" si="5"/>
        <v>2697.0599999999995</v>
      </c>
      <c r="R157" s="141"/>
    </row>
    <row r="158" spans="1:18" s="15" customFormat="1" ht="15.75" x14ac:dyDescent="0.25">
      <c r="A158" s="14"/>
      <c r="B158" s="23" t="s">
        <v>92</v>
      </c>
      <c r="C158" s="1" t="s">
        <v>17</v>
      </c>
      <c r="D158" s="120"/>
      <c r="E158" s="17" t="s">
        <v>20</v>
      </c>
      <c r="F158" s="73" t="s">
        <v>129</v>
      </c>
      <c r="G158" s="11" t="s">
        <v>114</v>
      </c>
      <c r="H158" s="1"/>
      <c r="I158" s="49"/>
      <c r="J158" s="51"/>
      <c r="K158" s="40"/>
      <c r="L158" s="40"/>
      <c r="M158" s="38">
        <f t="shared" si="6"/>
        <v>0</v>
      </c>
      <c r="N158" s="39"/>
      <c r="O158" s="31"/>
      <c r="P158" s="31"/>
      <c r="Q158" s="79">
        <f t="shared" si="5"/>
        <v>0</v>
      </c>
    </row>
    <row r="159" spans="1:18" s="13" customFormat="1" ht="15.75" x14ac:dyDescent="0.25">
      <c r="A159" s="10"/>
      <c r="B159" s="30" t="s">
        <v>93</v>
      </c>
      <c r="C159" s="1" t="s">
        <v>17</v>
      </c>
      <c r="D159" s="120"/>
      <c r="E159" s="3" t="s">
        <v>94</v>
      </c>
      <c r="F159" s="73" t="s">
        <v>403</v>
      </c>
      <c r="G159" s="74" t="s">
        <v>112</v>
      </c>
      <c r="H159" s="75">
        <v>7</v>
      </c>
      <c r="I159" s="76">
        <v>2</v>
      </c>
      <c r="J159" s="96">
        <f>2</f>
        <v>2</v>
      </c>
      <c r="K159" s="77">
        <f>2362.84</f>
        <v>2362.84</v>
      </c>
      <c r="L159" s="77"/>
      <c r="M159" s="38">
        <f t="shared" si="6"/>
        <v>2362.84</v>
      </c>
      <c r="N159" s="100">
        <f>3+8</f>
        <v>11</v>
      </c>
      <c r="O159" s="81">
        <f>20117.75</f>
        <v>20117.75</v>
      </c>
      <c r="P159" s="81"/>
      <c r="Q159" s="12">
        <f t="shared" si="5"/>
        <v>20117.75</v>
      </c>
      <c r="R159" s="141"/>
    </row>
    <row r="160" spans="1:18" s="13" customFormat="1" ht="15.75" x14ac:dyDescent="0.25">
      <c r="A160" s="10"/>
      <c r="B160" s="24" t="s">
        <v>93</v>
      </c>
      <c r="C160" s="1" t="s">
        <v>17</v>
      </c>
      <c r="D160" s="120"/>
      <c r="E160" s="3" t="s">
        <v>94</v>
      </c>
      <c r="F160" s="73" t="s">
        <v>130</v>
      </c>
      <c r="G160" s="11" t="s">
        <v>114</v>
      </c>
      <c r="H160" s="1"/>
      <c r="I160" s="49"/>
      <c r="J160" s="51"/>
      <c r="K160" s="40"/>
      <c r="L160" s="77"/>
      <c r="M160" s="38">
        <f t="shared" si="6"/>
        <v>0</v>
      </c>
      <c r="N160" s="41"/>
      <c r="O160" s="31"/>
      <c r="P160" s="31"/>
      <c r="Q160" s="79">
        <f t="shared" si="5"/>
        <v>0</v>
      </c>
    </row>
    <row r="161" spans="1:18" s="13" customFormat="1" ht="15.75" x14ac:dyDescent="0.25">
      <c r="A161" s="10"/>
      <c r="B161" s="24" t="s">
        <v>93</v>
      </c>
      <c r="C161" s="1" t="s">
        <v>17</v>
      </c>
      <c r="D161" s="120"/>
      <c r="E161" s="3" t="s">
        <v>94</v>
      </c>
      <c r="F161" s="73" t="s">
        <v>240</v>
      </c>
      <c r="G161" s="11" t="s">
        <v>118</v>
      </c>
      <c r="H161" s="1"/>
      <c r="I161" s="49"/>
      <c r="J161" s="46"/>
      <c r="K161" s="40"/>
      <c r="L161" s="40"/>
      <c r="M161" s="78">
        <f t="shared" si="6"/>
        <v>0</v>
      </c>
      <c r="N161" s="41"/>
      <c r="O161" s="31"/>
      <c r="P161" s="31"/>
      <c r="Q161" s="12">
        <f t="shared" si="5"/>
        <v>0</v>
      </c>
    </row>
    <row r="162" spans="1:18" s="13" customFormat="1" ht="15.75" x14ac:dyDescent="0.25">
      <c r="A162" s="10"/>
      <c r="B162" s="30" t="s">
        <v>95</v>
      </c>
      <c r="C162" s="1" t="s">
        <v>17</v>
      </c>
      <c r="D162" s="120"/>
      <c r="E162" s="17" t="s">
        <v>20</v>
      </c>
      <c r="F162" s="73" t="s">
        <v>404</v>
      </c>
      <c r="G162" s="74" t="s">
        <v>112</v>
      </c>
      <c r="H162" s="75">
        <v>3</v>
      </c>
      <c r="I162" s="76">
        <v>1</v>
      </c>
      <c r="J162" s="96">
        <f>1</f>
        <v>1</v>
      </c>
      <c r="K162" s="77"/>
      <c r="L162" s="77"/>
      <c r="M162" s="38">
        <f t="shared" si="6"/>
        <v>0</v>
      </c>
      <c r="N162" s="100">
        <f>1+6</f>
        <v>7</v>
      </c>
      <c r="O162" s="81">
        <f>11603.82</f>
        <v>11603.82</v>
      </c>
      <c r="P162" s="81"/>
      <c r="Q162" s="79">
        <f t="shared" si="5"/>
        <v>11603.82</v>
      </c>
      <c r="R162" s="141"/>
    </row>
    <row r="163" spans="1:18" s="13" customFormat="1" ht="15.75" x14ac:dyDescent="0.25">
      <c r="A163" s="10"/>
      <c r="B163" s="24" t="s">
        <v>95</v>
      </c>
      <c r="C163" s="1" t="s">
        <v>17</v>
      </c>
      <c r="D163" s="120"/>
      <c r="E163" s="17" t="s">
        <v>20</v>
      </c>
      <c r="F163" s="73" t="s">
        <v>291</v>
      </c>
      <c r="G163" s="11" t="s">
        <v>114</v>
      </c>
      <c r="H163" s="1">
        <v>1</v>
      </c>
      <c r="I163" s="49"/>
      <c r="J163" s="51"/>
      <c r="K163" s="40"/>
      <c r="L163" s="40"/>
      <c r="M163" s="78">
        <f t="shared" si="6"/>
        <v>0</v>
      </c>
      <c r="N163" s="41"/>
      <c r="O163" s="31"/>
      <c r="P163" s="31"/>
      <c r="Q163" s="12">
        <f t="shared" si="5"/>
        <v>0</v>
      </c>
    </row>
    <row r="164" spans="1:18" s="13" customFormat="1" ht="15.75" x14ac:dyDescent="0.25">
      <c r="A164" s="10"/>
      <c r="B164" s="30" t="s">
        <v>96</v>
      </c>
      <c r="C164" s="1" t="s">
        <v>17</v>
      </c>
      <c r="D164" s="120"/>
      <c r="E164" s="17" t="s">
        <v>97</v>
      </c>
      <c r="F164" s="73" t="s">
        <v>405</v>
      </c>
      <c r="G164" s="74" t="s">
        <v>112</v>
      </c>
      <c r="H164" s="75"/>
      <c r="I164" s="76"/>
      <c r="J164" s="96"/>
      <c r="K164" s="77"/>
      <c r="L164" s="77"/>
      <c r="M164" s="38">
        <f t="shared" si="6"/>
        <v>0</v>
      </c>
      <c r="N164" s="103">
        <f>1</f>
        <v>1</v>
      </c>
      <c r="O164" s="77">
        <f>1742.31</f>
        <v>1742.31</v>
      </c>
      <c r="P164" s="77"/>
      <c r="Q164" s="79">
        <f t="shared" si="5"/>
        <v>1742.31</v>
      </c>
      <c r="R164" s="141"/>
    </row>
    <row r="165" spans="1:18" s="13" customFormat="1" ht="15.75" x14ac:dyDescent="0.25">
      <c r="A165" s="10"/>
      <c r="B165" s="24" t="s">
        <v>96</v>
      </c>
      <c r="C165" s="1" t="s">
        <v>17</v>
      </c>
      <c r="D165" s="120"/>
      <c r="E165" s="17" t="s">
        <v>97</v>
      </c>
      <c r="F165" s="73" t="s">
        <v>468</v>
      </c>
      <c r="G165" s="11" t="s">
        <v>114</v>
      </c>
      <c r="H165" s="1">
        <v>1</v>
      </c>
      <c r="I165" s="49"/>
      <c r="J165" s="51"/>
      <c r="K165" s="40"/>
      <c r="L165" s="40"/>
      <c r="M165" s="78">
        <f t="shared" si="6"/>
        <v>0</v>
      </c>
      <c r="N165" s="41">
        <v>2</v>
      </c>
      <c r="O165" s="31"/>
      <c r="P165" s="31"/>
      <c r="Q165" s="12">
        <f t="shared" si="5"/>
        <v>0</v>
      </c>
    </row>
    <row r="166" spans="1:18" s="13" customFormat="1" ht="15.75" x14ac:dyDescent="0.25">
      <c r="A166" s="10"/>
      <c r="B166" s="30" t="s">
        <v>98</v>
      </c>
      <c r="C166" s="1" t="s">
        <v>17</v>
      </c>
      <c r="D166" s="120"/>
      <c r="E166" s="17" t="s">
        <v>35</v>
      </c>
      <c r="F166" s="73" t="s">
        <v>406</v>
      </c>
      <c r="G166" s="74" t="s">
        <v>112</v>
      </c>
      <c r="H166" s="75">
        <v>8</v>
      </c>
      <c r="I166" s="76">
        <v>2</v>
      </c>
      <c r="J166" s="96">
        <f>1</f>
        <v>1</v>
      </c>
      <c r="K166" s="77">
        <f>845.24+1764.25</f>
        <v>2609.4899999999998</v>
      </c>
      <c r="L166" s="77"/>
      <c r="M166" s="38">
        <f t="shared" si="6"/>
        <v>2609.4899999999998</v>
      </c>
      <c r="N166" s="100">
        <f>9+1+1+4</f>
        <v>15</v>
      </c>
      <c r="O166" s="81">
        <f>17007.01+2697.06+1267.86+31709.38+5331.44</f>
        <v>58012.75</v>
      </c>
      <c r="P166" s="81"/>
      <c r="Q166" s="79">
        <f t="shared" si="5"/>
        <v>58012.75</v>
      </c>
      <c r="R166" s="141"/>
    </row>
    <row r="167" spans="1:18" s="13" customFormat="1" ht="15.75" x14ac:dyDescent="0.25">
      <c r="A167" s="10"/>
      <c r="B167" s="24" t="s">
        <v>98</v>
      </c>
      <c r="C167" s="1" t="s">
        <v>17</v>
      </c>
      <c r="D167" s="120"/>
      <c r="E167" s="17" t="s">
        <v>35</v>
      </c>
      <c r="F167" s="73" t="s">
        <v>435</v>
      </c>
      <c r="G167" s="8" t="s">
        <v>117</v>
      </c>
      <c r="H167" s="1">
        <v>2</v>
      </c>
      <c r="I167" s="49"/>
      <c r="J167" s="46"/>
      <c r="K167" s="40"/>
      <c r="L167" s="40"/>
      <c r="M167" s="78">
        <f t="shared" si="6"/>
        <v>0</v>
      </c>
      <c r="N167" s="41">
        <f>4</f>
        <v>4</v>
      </c>
      <c r="O167" s="40">
        <v>10721.75</v>
      </c>
      <c r="P167" s="40"/>
      <c r="Q167" s="12">
        <f t="shared" si="5"/>
        <v>10721.75</v>
      </c>
    </row>
    <row r="168" spans="1:18" s="13" customFormat="1" ht="15.75" x14ac:dyDescent="0.25">
      <c r="A168" s="10"/>
      <c r="B168" s="24" t="s">
        <v>488</v>
      </c>
      <c r="C168" s="1" t="s">
        <v>17</v>
      </c>
      <c r="D168" s="120"/>
      <c r="E168" s="17" t="s">
        <v>97</v>
      </c>
      <c r="F168" s="73" t="s">
        <v>498</v>
      </c>
      <c r="G168" s="8" t="s">
        <v>112</v>
      </c>
      <c r="H168" s="1">
        <v>2</v>
      </c>
      <c r="I168" s="49"/>
      <c r="J168" s="46"/>
      <c r="K168" s="40"/>
      <c r="L168" s="40"/>
      <c r="M168" s="78"/>
      <c r="N168" s="41"/>
      <c r="O168" s="40"/>
      <c r="P168" s="40"/>
      <c r="Q168" s="12"/>
    </row>
    <row r="169" spans="1:18" s="15" customFormat="1" ht="15.75" x14ac:dyDescent="0.25">
      <c r="A169" s="14"/>
      <c r="B169" s="84" t="s">
        <v>99</v>
      </c>
      <c r="C169" s="1" t="s">
        <v>17</v>
      </c>
      <c r="D169" s="120"/>
      <c r="E169" s="3" t="s">
        <v>32</v>
      </c>
      <c r="F169" s="73" t="s">
        <v>418</v>
      </c>
      <c r="G169" s="74" t="s">
        <v>112</v>
      </c>
      <c r="H169" s="75"/>
      <c r="I169" s="76"/>
      <c r="J169" s="96"/>
      <c r="K169" s="77"/>
      <c r="L169" s="77"/>
      <c r="M169" s="38">
        <f t="shared" si="6"/>
        <v>0</v>
      </c>
      <c r="N169" s="100"/>
      <c r="O169" s="81"/>
      <c r="P169" s="81"/>
      <c r="Q169" s="79">
        <f t="shared" si="5"/>
        <v>0</v>
      </c>
      <c r="R169" s="141"/>
    </row>
    <row r="170" spans="1:18" s="15" customFormat="1" ht="15.75" x14ac:dyDescent="0.25">
      <c r="A170" s="14"/>
      <c r="B170" s="29" t="s">
        <v>99</v>
      </c>
      <c r="C170" s="1" t="s">
        <v>17</v>
      </c>
      <c r="D170" s="120"/>
      <c r="E170" s="3" t="s">
        <v>32</v>
      </c>
      <c r="F170" s="73" t="s">
        <v>423</v>
      </c>
      <c r="G170" s="8" t="s">
        <v>117</v>
      </c>
      <c r="H170" s="1"/>
      <c r="I170" s="49"/>
      <c r="J170" s="51"/>
      <c r="K170" s="40"/>
      <c r="L170" s="40"/>
      <c r="M170" s="78">
        <f t="shared" si="6"/>
        <v>0</v>
      </c>
      <c r="N170" s="39"/>
      <c r="O170" s="40"/>
      <c r="P170" s="40"/>
      <c r="Q170" s="12">
        <f t="shared" si="5"/>
        <v>0</v>
      </c>
    </row>
    <row r="171" spans="1:18" s="15" customFormat="1" ht="31.5" x14ac:dyDescent="0.25">
      <c r="A171" s="14"/>
      <c r="B171" s="30" t="s">
        <v>144</v>
      </c>
      <c r="C171" s="1" t="s">
        <v>304</v>
      </c>
      <c r="D171" s="120" t="s">
        <v>313</v>
      </c>
      <c r="E171" s="17" t="s">
        <v>97</v>
      </c>
      <c r="F171" s="73" t="s">
        <v>407</v>
      </c>
      <c r="G171" s="66" t="s">
        <v>112</v>
      </c>
      <c r="H171" s="75">
        <v>4</v>
      </c>
      <c r="I171" s="76">
        <v>4</v>
      </c>
      <c r="J171" s="98">
        <f>2+2+1</f>
        <v>5</v>
      </c>
      <c r="K171" s="77">
        <f>950.9+1449.39</f>
        <v>2400.29</v>
      </c>
      <c r="L171" s="77"/>
      <c r="M171" s="38">
        <f t="shared" si="6"/>
        <v>2400.29</v>
      </c>
      <c r="N171" s="100">
        <f>3+2+1</f>
        <v>6</v>
      </c>
      <c r="O171" s="77">
        <f>5020.57+5566.06</f>
        <v>10586.630000000001</v>
      </c>
      <c r="P171" s="77"/>
      <c r="Q171" s="79">
        <f t="shared" si="5"/>
        <v>10586.630000000001</v>
      </c>
      <c r="R171" s="141"/>
    </row>
    <row r="172" spans="1:18" s="15" customFormat="1" ht="15.75" x14ac:dyDescent="0.25">
      <c r="A172" s="14"/>
      <c r="B172" s="30" t="s">
        <v>488</v>
      </c>
      <c r="C172" s="1"/>
      <c r="D172" s="120"/>
      <c r="E172" s="17"/>
      <c r="F172" s="73"/>
      <c r="G172" s="66" t="s">
        <v>114</v>
      </c>
      <c r="H172" s="75">
        <v>4</v>
      </c>
      <c r="I172" s="76"/>
      <c r="J172" s="98"/>
      <c r="K172" s="77"/>
      <c r="L172" s="77"/>
      <c r="M172" s="38"/>
      <c r="N172" s="100"/>
      <c r="O172" s="77"/>
      <c r="P172" s="77"/>
      <c r="Q172" s="79"/>
    </row>
    <row r="173" spans="1:18" s="15" customFormat="1" ht="31.5" x14ac:dyDescent="0.25">
      <c r="A173" s="14"/>
      <c r="B173" s="34" t="s">
        <v>144</v>
      </c>
      <c r="C173" s="1" t="s">
        <v>446</v>
      </c>
      <c r="D173" s="120" t="s">
        <v>313</v>
      </c>
      <c r="E173" s="3" t="s">
        <v>20</v>
      </c>
      <c r="F173" s="73" t="s">
        <v>485</v>
      </c>
      <c r="G173" s="8" t="s">
        <v>114</v>
      </c>
      <c r="H173" s="1">
        <v>6</v>
      </c>
      <c r="I173" s="49">
        <v>1</v>
      </c>
      <c r="J173" s="51">
        <v>1</v>
      </c>
      <c r="K173" s="40"/>
      <c r="L173" s="40"/>
      <c r="M173" s="78">
        <f t="shared" si="6"/>
        <v>0</v>
      </c>
      <c r="N173" s="42">
        <v>17</v>
      </c>
      <c r="O173" s="31">
        <f>10845.7</f>
        <v>10845.7</v>
      </c>
      <c r="P173" s="31">
        <f>3738</f>
        <v>3738</v>
      </c>
      <c r="Q173" s="12">
        <f t="shared" si="5"/>
        <v>7107.7000000000007</v>
      </c>
    </row>
    <row r="174" spans="1:18" s="21" customFormat="1" ht="47.25" x14ac:dyDescent="0.25">
      <c r="A174" s="1"/>
      <c r="B174" s="30" t="s">
        <v>100</v>
      </c>
      <c r="C174" s="1" t="s">
        <v>304</v>
      </c>
      <c r="D174" s="120" t="s">
        <v>416</v>
      </c>
      <c r="E174" s="17" t="s">
        <v>20</v>
      </c>
      <c r="F174" s="73" t="s">
        <v>408</v>
      </c>
      <c r="G174" s="27" t="s">
        <v>112</v>
      </c>
      <c r="H174" s="75">
        <v>6</v>
      </c>
      <c r="I174" s="76"/>
      <c r="J174" s="98"/>
      <c r="K174" s="86"/>
      <c r="L174" s="86"/>
      <c r="M174" s="38">
        <f t="shared" si="6"/>
        <v>0</v>
      </c>
      <c r="N174" s="100">
        <f>1</f>
        <v>1</v>
      </c>
      <c r="O174" s="87">
        <f>10770.58</f>
        <v>10770.58</v>
      </c>
      <c r="P174" s="87"/>
      <c r="Q174" s="79">
        <f t="shared" si="5"/>
        <v>10770.58</v>
      </c>
      <c r="R174" s="141"/>
    </row>
    <row r="175" spans="1:18" s="21" customFormat="1" ht="47.25" x14ac:dyDescent="0.25">
      <c r="A175" s="1"/>
      <c r="B175" s="24" t="s">
        <v>100</v>
      </c>
      <c r="C175" s="18" t="s">
        <v>125</v>
      </c>
      <c r="D175" s="120" t="s">
        <v>126</v>
      </c>
      <c r="E175" s="17" t="s">
        <v>20</v>
      </c>
      <c r="F175" s="73" t="s">
        <v>486</v>
      </c>
      <c r="G175" s="20" t="s">
        <v>114</v>
      </c>
      <c r="H175" s="1">
        <v>6</v>
      </c>
      <c r="I175" s="53"/>
      <c r="J175" s="52"/>
      <c r="K175" s="55"/>
      <c r="L175" s="55"/>
      <c r="M175" s="78">
        <f t="shared" si="6"/>
        <v>0</v>
      </c>
      <c r="N175" s="41"/>
      <c r="O175" s="54"/>
      <c r="P175" s="54"/>
      <c r="Q175" s="12">
        <f t="shared" si="5"/>
        <v>0</v>
      </c>
    </row>
    <row r="176" spans="1:18" s="13" customFormat="1" ht="15.75" x14ac:dyDescent="0.25">
      <c r="A176" s="10"/>
      <c r="B176" s="62" t="s">
        <v>101</v>
      </c>
      <c r="C176" s="1" t="s">
        <v>17</v>
      </c>
      <c r="D176" s="120"/>
      <c r="E176" s="17" t="s">
        <v>20</v>
      </c>
      <c r="F176" s="73" t="s">
        <v>409</v>
      </c>
      <c r="G176" s="74" t="s">
        <v>112</v>
      </c>
      <c r="H176" s="75">
        <v>3</v>
      </c>
      <c r="I176" s="76"/>
      <c r="J176" s="96"/>
      <c r="K176" s="77"/>
      <c r="L176" s="77"/>
      <c r="M176" s="38">
        <f t="shared" si="6"/>
        <v>0</v>
      </c>
      <c r="N176" s="100">
        <f>5</f>
        <v>5</v>
      </c>
      <c r="O176" s="81">
        <f>6288.07</f>
        <v>6288.07</v>
      </c>
      <c r="P176" s="81"/>
      <c r="Q176" s="79">
        <f t="shared" si="5"/>
        <v>6288.07</v>
      </c>
      <c r="R176" s="141"/>
    </row>
    <row r="177" spans="1:18" s="13" customFormat="1" ht="15.75" x14ac:dyDescent="0.25">
      <c r="A177" s="10"/>
      <c r="B177" s="62" t="s">
        <v>146</v>
      </c>
      <c r="C177" s="1" t="s">
        <v>17</v>
      </c>
      <c r="D177" s="120"/>
      <c r="E177" s="17" t="s">
        <v>20</v>
      </c>
      <c r="F177" s="73" t="s">
        <v>410</v>
      </c>
      <c r="G177" s="74" t="s">
        <v>112</v>
      </c>
      <c r="H177" s="75">
        <v>4</v>
      </c>
      <c r="I177" s="76">
        <v>4</v>
      </c>
      <c r="J177" s="96">
        <f>4+1</f>
        <v>5</v>
      </c>
      <c r="K177" s="77">
        <f>4610.77</f>
        <v>4610.7700000000004</v>
      </c>
      <c r="L177" s="77"/>
      <c r="M177" s="38">
        <f t="shared" si="6"/>
        <v>4610.7700000000004</v>
      </c>
      <c r="N177" s="100">
        <f>5+1+1</f>
        <v>7</v>
      </c>
      <c r="O177" s="81">
        <f>13579.06+1287.07+2636.18</f>
        <v>17502.309999999998</v>
      </c>
      <c r="P177" s="81"/>
      <c r="Q177" s="12">
        <f t="shared" si="5"/>
        <v>17502.309999999998</v>
      </c>
      <c r="R177" s="141"/>
    </row>
    <row r="178" spans="1:18" s="13" customFormat="1" ht="15.75" x14ac:dyDescent="0.25">
      <c r="A178" s="10"/>
      <c r="B178" s="22" t="s">
        <v>146</v>
      </c>
      <c r="C178" s="1" t="s">
        <v>17</v>
      </c>
      <c r="D178" s="120"/>
      <c r="E178" s="3" t="s">
        <v>21</v>
      </c>
      <c r="F178" s="73" t="s">
        <v>443</v>
      </c>
      <c r="G178" s="11" t="s">
        <v>118</v>
      </c>
      <c r="H178" s="1">
        <v>2</v>
      </c>
      <c r="I178" s="47"/>
      <c r="J178" s="51"/>
      <c r="K178" s="37"/>
      <c r="L178" s="37"/>
      <c r="M178" s="38">
        <f t="shared" si="6"/>
        <v>0</v>
      </c>
      <c r="N178" s="39">
        <v>3</v>
      </c>
      <c r="O178" s="31">
        <v>3035.18</v>
      </c>
      <c r="P178" s="31"/>
      <c r="Q178" s="79">
        <f t="shared" si="5"/>
        <v>3035.18</v>
      </c>
    </row>
    <row r="179" spans="1:18" s="13" customFormat="1" ht="15.75" x14ac:dyDescent="0.25">
      <c r="A179" s="10"/>
      <c r="B179" s="27" t="s">
        <v>102</v>
      </c>
      <c r="C179" s="1" t="s">
        <v>17</v>
      </c>
      <c r="D179" s="120"/>
      <c r="E179" s="17" t="s">
        <v>20</v>
      </c>
      <c r="F179" s="73" t="s">
        <v>411</v>
      </c>
      <c r="G179" s="74" t="s">
        <v>112</v>
      </c>
      <c r="H179" s="75">
        <v>6</v>
      </c>
      <c r="I179" s="76">
        <v>1</v>
      </c>
      <c r="J179" s="96">
        <f>1</f>
        <v>1</v>
      </c>
      <c r="K179" s="77">
        <f>845.24</f>
        <v>845.24</v>
      </c>
      <c r="L179" s="77"/>
      <c r="M179" s="38">
        <f t="shared" si="6"/>
        <v>845.24</v>
      </c>
      <c r="N179" s="100">
        <f>3</f>
        <v>3</v>
      </c>
      <c r="O179" s="81">
        <f>7808.21</f>
        <v>7808.21</v>
      </c>
      <c r="P179" s="81"/>
      <c r="Q179" s="12">
        <f t="shared" si="5"/>
        <v>7808.21</v>
      </c>
      <c r="R179" s="141"/>
    </row>
    <row r="180" spans="1:18" s="13" customFormat="1" ht="15.75" x14ac:dyDescent="0.25">
      <c r="A180" s="10"/>
      <c r="B180" s="25" t="s">
        <v>102</v>
      </c>
      <c r="C180" s="1" t="s">
        <v>17</v>
      </c>
      <c r="D180" s="120"/>
      <c r="E180" s="17" t="s">
        <v>20</v>
      </c>
      <c r="F180" s="73" t="s">
        <v>469</v>
      </c>
      <c r="G180" s="11" t="s">
        <v>114</v>
      </c>
      <c r="H180" s="1">
        <v>2</v>
      </c>
      <c r="I180" s="58"/>
      <c r="J180" s="51"/>
      <c r="K180" s="40"/>
      <c r="L180" s="40"/>
      <c r="M180" s="38">
        <f t="shared" si="6"/>
        <v>0</v>
      </c>
      <c r="N180" s="41">
        <v>7</v>
      </c>
      <c r="O180" s="31">
        <f>7604.1</f>
        <v>7604.1</v>
      </c>
      <c r="P180" s="31">
        <f>3129.7</f>
        <v>3129.7</v>
      </c>
      <c r="Q180" s="79">
        <f t="shared" si="5"/>
        <v>4474.4000000000005</v>
      </c>
    </row>
    <row r="181" spans="1:18" s="13" customFormat="1" ht="15.75" x14ac:dyDescent="0.25">
      <c r="A181" s="10"/>
      <c r="B181" s="27" t="s">
        <v>103</v>
      </c>
      <c r="C181" s="1" t="s">
        <v>17</v>
      </c>
      <c r="D181" s="120"/>
      <c r="E181" s="3" t="s">
        <v>20</v>
      </c>
      <c r="F181" s="73" t="s">
        <v>412</v>
      </c>
      <c r="G181" s="74" t="s">
        <v>112</v>
      </c>
      <c r="H181" s="75">
        <v>5</v>
      </c>
      <c r="I181" s="76"/>
      <c r="J181" s="96"/>
      <c r="K181" s="77"/>
      <c r="L181" s="77"/>
      <c r="M181" s="38">
        <f t="shared" si="6"/>
        <v>0</v>
      </c>
      <c r="N181" s="100">
        <f>7</f>
        <v>7</v>
      </c>
      <c r="O181" s="77">
        <f>20193.14</f>
        <v>20193.14</v>
      </c>
      <c r="P181" s="81"/>
      <c r="Q181" s="12">
        <f t="shared" si="5"/>
        <v>20193.14</v>
      </c>
      <c r="R181" s="141"/>
    </row>
    <row r="182" spans="1:18" s="13" customFormat="1" ht="15.75" x14ac:dyDescent="0.25">
      <c r="A182" s="10"/>
      <c r="B182" s="25" t="s">
        <v>103</v>
      </c>
      <c r="C182" s="1" t="s">
        <v>17</v>
      </c>
      <c r="D182" s="120"/>
      <c r="E182" s="3" t="s">
        <v>20</v>
      </c>
      <c r="F182" s="73" t="s">
        <v>470</v>
      </c>
      <c r="G182" s="11" t="s">
        <v>114</v>
      </c>
      <c r="H182" s="1">
        <v>2</v>
      </c>
      <c r="I182" s="49"/>
      <c r="J182" s="51"/>
      <c r="K182" s="40"/>
      <c r="L182" s="40"/>
      <c r="M182" s="38">
        <f t="shared" si="6"/>
        <v>0</v>
      </c>
      <c r="N182" s="41">
        <v>3</v>
      </c>
      <c r="O182" s="31">
        <f>8510.89</f>
        <v>8510.89</v>
      </c>
      <c r="P182" s="31">
        <f>3380.96</f>
        <v>3380.96</v>
      </c>
      <c r="Q182" s="79">
        <f t="shared" si="5"/>
        <v>5129.9299999999994</v>
      </c>
    </row>
    <row r="183" spans="1:18" s="15" customFormat="1" ht="15.75" x14ac:dyDescent="0.25">
      <c r="A183" s="14"/>
      <c r="B183" s="28" t="s">
        <v>104</v>
      </c>
      <c r="C183" s="1" t="s">
        <v>17</v>
      </c>
      <c r="D183" s="120"/>
      <c r="E183" s="3" t="s">
        <v>20</v>
      </c>
      <c r="F183" s="73" t="s">
        <v>413</v>
      </c>
      <c r="G183" s="74" t="s">
        <v>112</v>
      </c>
      <c r="H183" s="75">
        <v>4</v>
      </c>
      <c r="I183" s="76">
        <v>3</v>
      </c>
      <c r="J183" s="96">
        <f>3</f>
        <v>3</v>
      </c>
      <c r="K183" s="77">
        <f>5112.82</f>
        <v>5112.82</v>
      </c>
      <c r="L183" s="77"/>
      <c r="M183" s="38">
        <f t="shared" si="6"/>
        <v>5112.82</v>
      </c>
      <c r="N183" s="100">
        <f>4</f>
        <v>4</v>
      </c>
      <c r="O183" s="81">
        <f>7087.22</f>
        <v>7087.22</v>
      </c>
      <c r="P183" s="81"/>
      <c r="Q183" s="12">
        <f t="shared" si="5"/>
        <v>7087.22</v>
      </c>
      <c r="R183" s="141"/>
    </row>
    <row r="184" spans="1:18" s="15" customFormat="1" ht="15.75" x14ac:dyDescent="0.25">
      <c r="A184" s="14"/>
      <c r="B184" s="26" t="s">
        <v>104</v>
      </c>
      <c r="C184" s="1" t="s">
        <v>17</v>
      </c>
      <c r="D184" s="120"/>
      <c r="E184" s="3" t="s">
        <v>20</v>
      </c>
      <c r="F184" s="73" t="s">
        <v>471</v>
      </c>
      <c r="G184" s="11" t="s">
        <v>114</v>
      </c>
      <c r="H184" s="1">
        <v>11</v>
      </c>
      <c r="I184" s="49"/>
      <c r="J184" s="51"/>
      <c r="K184" s="40"/>
      <c r="L184" s="40"/>
      <c r="M184" s="38">
        <f t="shared" si="6"/>
        <v>0</v>
      </c>
      <c r="N184" s="39">
        <v>12</v>
      </c>
      <c r="O184" s="31">
        <f>8717.37</f>
        <v>8717.3700000000008</v>
      </c>
      <c r="P184" s="31">
        <v>3338.57</v>
      </c>
      <c r="Q184" s="79">
        <f t="shared" si="5"/>
        <v>5378.8000000000011</v>
      </c>
    </row>
    <row r="185" spans="1:18" s="13" customFormat="1" ht="15.75" x14ac:dyDescent="0.25">
      <c r="A185" s="10"/>
      <c r="B185" s="30" t="s">
        <v>105</v>
      </c>
      <c r="C185" s="1" t="s">
        <v>17</v>
      </c>
      <c r="D185" s="120"/>
      <c r="E185" s="17" t="s">
        <v>35</v>
      </c>
      <c r="F185" s="73" t="s">
        <v>419</v>
      </c>
      <c r="G185" s="74" t="s">
        <v>112</v>
      </c>
      <c r="H185" s="75"/>
      <c r="I185" s="76"/>
      <c r="J185" s="96"/>
      <c r="K185" s="77"/>
      <c r="L185" s="77"/>
      <c r="M185" s="38">
        <f t="shared" si="6"/>
        <v>0</v>
      </c>
      <c r="N185" s="100"/>
      <c r="O185" s="81"/>
      <c r="P185" s="81"/>
      <c r="Q185" s="12">
        <f t="shared" si="5"/>
        <v>0</v>
      </c>
      <c r="R185" s="141"/>
    </row>
    <row r="186" spans="1:18" s="13" customFormat="1" ht="15.75" x14ac:dyDescent="0.25">
      <c r="A186" s="10"/>
      <c r="B186" s="30" t="s">
        <v>26</v>
      </c>
      <c r="C186" s="1" t="s">
        <v>17</v>
      </c>
      <c r="D186" s="120"/>
      <c r="E186" s="3" t="s">
        <v>32</v>
      </c>
      <c r="F186" s="73" t="s">
        <v>246</v>
      </c>
      <c r="G186" s="74" t="s">
        <v>117</v>
      </c>
      <c r="H186" s="75"/>
      <c r="I186" s="76"/>
      <c r="J186" s="96"/>
      <c r="K186" s="77"/>
      <c r="L186" s="77"/>
      <c r="M186" s="78">
        <f t="shared" si="6"/>
        <v>0</v>
      </c>
      <c r="N186" s="100">
        <v>3</v>
      </c>
      <c r="O186" s="81">
        <v>3774.05</v>
      </c>
      <c r="P186" s="81"/>
      <c r="Q186" s="12">
        <f t="shared" si="5"/>
        <v>3774.05</v>
      </c>
    </row>
    <row r="187" spans="1:18" s="13" customFormat="1" ht="15.75" x14ac:dyDescent="0.25">
      <c r="A187" s="10"/>
      <c r="B187" s="24" t="s">
        <v>105</v>
      </c>
      <c r="C187" s="1" t="s">
        <v>17</v>
      </c>
      <c r="D187" s="120"/>
      <c r="E187" s="17" t="s">
        <v>35</v>
      </c>
      <c r="F187" s="73" t="s">
        <v>436</v>
      </c>
      <c r="G187" s="11" t="s">
        <v>117</v>
      </c>
      <c r="H187" s="1"/>
      <c r="I187" s="47"/>
      <c r="J187" s="46"/>
      <c r="K187" s="40"/>
      <c r="L187" s="40"/>
      <c r="M187" s="38">
        <f t="shared" si="6"/>
        <v>0</v>
      </c>
      <c r="N187" s="41"/>
      <c r="O187" s="31"/>
      <c r="P187" s="31"/>
      <c r="Q187" s="79">
        <f t="shared" si="5"/>
        <v>0</v>
      </c>
    </row>
    <row r="188" spans="1:18" s="13" customFormat="1" ht="15.75" x14ac:dyDescent="0.25">
      <c r="A188" s="10"/>
      <c r="B188" s="62" t="s">
        <v>106</v>
      </c>
      <c r="C188" s="1" t="s">
        <v>17</v>
      </c>
      <c r="D188" s="2"/>
      <c r="E188" s="17" t="s">
        <v>20</v>
      </c>
      <c r="F188" s="73" t="s">
        <v>414</v>
      </c>
      <c r="G188" s="74" t="s">
        <v>112</v>
      </c>
      <c r="H188" s="75">
        <v>5</v>
      </c>
      <c r="I188" s="76"/>
      <c r="J188" s="96"/>
      <c r="K188" s="77"/>
      <c r="L188" s="77"/>
      <c r="M188" s="38">
        <f t="shared" si="6"/>
        <v>0</v>
      </c>
      <c r="N188" s="100">
        <f>3</f>
        <v>3</v>
      </c>
      <c r="O188" s="81">
        <f>15956.85</f>
        <v>15956.85</v>
      </c>
      <c r="P188" s="81"/>
      <c r="Q188" s="12">
        <f t="shared" si="5"/>
        <v>15956.85</v>
      </c>
      <c r="R188" s="141"/>
    </row>
    <row r="189" spans="1:18" ht="15.75" x14ac:dyDescent="0.25">
      <c r="A189" s="7"/>
      <c r="B189" s="32"/>
      <c r="C189" s="107"/>
      <c r="D189" s="33"/>
      <c r="E189" s="33"/>
      <c r="F189" s="73"/>
      <c r="G189" s="8" t="s">
        <v>131</v>
      </c>
      <c r="H189" s="106">
        <f t="shared" ref="H189:P189" si="7">SUM(H10:H188)</f>
        <v>639</v>
      </c>
      <c r="I189" s="59">
        <f t="shared" si="7"/>
        <v>138</v>
      </c>
      <c r="J189" s="43">
        <f t="shared" si="7"/>
        <v>132</v>
      </c>
      <c r="K189" s="56">
        <f t="shared" si="7"/>
        <v>162444.53999999998</v>
      </c>
      <c r="L189" s="56">
        <f t="shared" si="7"/>
        <v>0</v>
      </c>
      <c r="M189" s="44">
        <f>K189-L189</f>
        <v>162444.53999999998</v>
      </c>
      <c r="N189" s="43">
        <f t="shared" si="7"/>
        <v>1017</v>
      </c>
      <c r="O189" s="57">
        <f t="shared" si="7"/>
        <v>2384730.21</v>
      </c>
      <c r="P189" s="57">
        <f t="shared" si="7"/>
        <v>301858.16000000009</v>
      </c>
      <c r="Q189" s="79">
        <f t="shared" si="5"/>
        <v>2082872.0499999998</v>
      </c>
      <c r="R189" s="129"/>
    </row>
    <row r="190" spans="1:18" x14ac:dyDescent="0.25">
      <c r="K190" s="91" t="s">
        <v>305</v>
      </c>
    </row>
    <row r="191" spans="1:18" ht="45" x14ac:dyDescent="0.25">
      <c r="B191" s="89" t="s">
        <v>316</v>
      </c>
      <c r="F191" s="104" t="s">
        <v>317</v>
      </c>
      <c r="M191" s="142"/>
      <c r="Q191" s="133"/>
    </row>
  </sheetData>
  <mergeCells count="7">
    <mergeCell ref="O1:Q1"/>
    <mergeCell ref="A3:Q3"/>
    <mergeCell ref="A4:Q4"/>
    <mergeCell ref="A5:Q5"/>
    <mergeCell ref="B7:G7"/>
    <mergeCell ref="H7:M7"/>
    <mergeCell ref="N7:Q7"/>
  </mergeCells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93"/>
  <sheetViews>
    <sheetView topLeftCell="A8" workbookViewId="0">
      <pane xSplit="6" ySplit="2" topLeftCell="G10" activePane="bottomRight" state="frozen"/>
      <selection activeCell="A8" sqref="A8"/>
      <selection pane="topRight" activeCell="G8" sqref="G8"/>
      <selection pane="bottomLeft" activeCell="A10" sqref="A10"/>
      <selection pane="bottomRight" activeCell="A8" sqref="A1:XFD1048576"/>
    </sheetView>
  </sheetViews>
  <sheetFormatPr defaultRowHeight="15" x14ac:dyDescent="0.25"/>
  <cols>
    <col min="1" max="1" width="1.85546875" style="6" customWidth="1"/>
    <col min="2" max="2" width="36.7109375" style="88" customWidth="1"/>
    <col min="3" max="3" width="6.5703125" style="19" customWidth="1"/>
    <col min="4" max="4" width="17.42578125" style="19" customWidth="1"/>
    <col min="5" max="5" width="19" style="19" customWidth="1"/>
    <col min="6" max="6" width="18.140625" style="89" customWidth="1"/>
    <col min="7" max="7" width="21.42578125" style="89" customWidth="1"/>
    <col min="8" max="8" width="11.85546875" style="90" customWidth="1"/>
    <col min="9" max="9" width="10.7109375" style="90" customWidth="1"/>
    <col min="10" max="10" width="7.85546875" style="99" customWidth="1"/>
    <col min="11" max="11" width="11.7109375" style="91" customWidth="1"/>
    <col min="12" max="13" width="15.7109375" style="91" customWidth="1"/>
    <col min="14" max="14" width="10.7109375" style="99" customWidth="1"/>
    <col min="15" max="15" width="11.85546875" style="92" customWidth="1"/>
    <col min="16" max="16" width="15.7109375" style="92" customWidth="1"/>
    <col min="17" max="17" width="18.28515625" style="92" customWidth="1"/>
    <col min="18" max="18" width="11.7109375" style="6" customWidth="1"/>
    <col min="19" max="19" width="9.42578125" style="6" customWidth="1"/>
    <col min="20" max="21" width="9.140625" style="6" customWidth="1"/>
    <col min="22" max="16384" width="9.140625" style="6"/>
  </cols>
  <sheetData>
    <row r="1" spans="1:18" s="105" customFormat="1" x14ac:dyDescent="0.25">
      <c r="B1" s="60"/>
      <c r="C1" s="4"/>
      <c r="D1" s="4"/>
      <c r="E1" s="4"/>
      <c r="F1" s="63"/>
      <c r="G1" s="63"/>
      <c r="H1" s="64"/>
      <c r="I1" s="64"/>
      <c r="J1" s="93"/>
      <c r="K1" s="65"/>
      <c r="L1" s="65"/>
      <c r="M1" s="65"/>
      <c r="N1" s="93"/>
      <c r="O1" s="362" t="s">
        <v>15</v>
      </c>
      <c r="P1" s="362"/>
      <c r="Q1" s="362"/>
    </row>
    <row r="2" spans="1:18" s="105" customFormat="1" x14ac:dyDescent="0.25">
      <c r="A2" s="7"/>
      <c r="B2" s="144"/>
      <c r="C2" s="107"/>
      <c r="D2" s="107"/>
      <c r="E2" s="107"/>
      <c r="F2" s="66"/>
      <c r="G2" s="66"/>
      <c r="H2" s="143"/>
      <c r="I2" s="143"/>
      <c r="J2" s="94"/>
      <c r="K2" s="67"/>
      <c r="L2" s="67"/>
      <c r="M2" s="67"/>
      <c r="N2" s="94"/>
      <c r="O2" s="68"/>
      <c r="P2" s="68"/>
      <c r="Q2" s="68"/>
    </row>
    <row r="3" spans="1:18" s="105" customFormat="1" x14ac:dyDescent="0.25">
      <c r="A3" s="363" t="s">
        <v>318</v>
      </c>
      <c r="B3" s="364"/>
      <c r="C3" s="363"/>
      <c r="D3" s="363"/>
      <c r="E3" s="363"/>
      <c r="F3" s="364"/>
      <c r="G3" s="364"/>
      <c r="H3" s="365"/>
      <c r="I3" s="366"/>
      <c r="J3" s="367"/>
      <c r="K3" s="364"/>
      <c r="L3" s="364"/>
      <c r="M3" s="364"/>
      <c r="N3" s="364"/>
      <c r="O3" s="364"/>
      <c r="P3" s="364"/>
      <c r="Q3" s="364"/>
    </row>
    <row r="4" spans="1:18" s="105" customFormat="1" x14ac:dyDescent="0.25">
      <c r="A4" s="368">
        <v>43542</v>
      </c>
      <c r="B4" s="369"/>
      <c r="C4" s="370"/>
      <c r="D4" s="370"/>
      <c r="E4" s="370"/>
      <c r="F4" s="369"/>
      <c r="G4" s="369"/>
      <c r="H4" s="371"/>
      <c r="I4" s="372"/>
      <c r="J4" s="373"/>
      <c r="K4" s="369"/>
      <c r="L4" s="369"/>
      <c r="M4" s="369"/>
      <c r="N4" s="369"/>
      <c r="O4" s="369"/>
      <c r="P4" s="369"/>
      <c r="Q4" s="369"/>
    </row>
    <row r="5" spans="1:18" s="105" customFormat="1" x14ac:dyDescent="0.25">
      <c r="A5" s="374" t="s">
        <v>14</v>
      </c>
      <c r="B5" s="367"/>
      <c r="C5" s="374"/>
      <c r="D5" s="374"/>
      <c r="E5" s="374"/>
      <c r="F5" s="367"/>
      <c r="G5" s="367"/>
      <c r="H5" s="366"/>
      <c r="I5" s="366"/>
      <c r="J5" s="367"/>
      <c r="K5" s="367"/>
      <c r="L5" s="367"/>
      <c r="M5" s="367"/>
      <c r="N5" s="367"/>
      <c r="O5" s="367"/>
      <c r="P5" s="367"/>
      <c r="Q5" s="367"/>
    </row>
    <row r="6" spans="1:18" s="105" customFormat="1" x14ac:dyDescent="0.25">
      <c r="A6" s="7"/>
      <c r="B6" s="144"/>
      <c r="C6" s="107"/>
      <c r="D6" s="107"/>
      <c r="E6" s="107"/>
      <c r="F6" s="66"/>
      <c r="G6" s="66"/>
      <c r="H6" s="143"/>
      <c r="I6" s="143"/>
      <c r="J6" s="94"/>
      <c r="K6" s="67"/>
      <c r="L6" s="67"/>
      <c r="M6" s="67"/>
      <c r="N6" s="94"/>
      <c r="O6" s="68"/>
      <c r="P6" s="68"/>
      <c r="Q6" s="68"/>
    </row>
    <row r="7" spans="1:18" x14ac:dyDescent="0.25">
      <c r="A7" s="5" t="s">
        <v>0</v>
      </c>
      <c r="B7" s="364" t="s">
        <v>10</v>
      </c>
      <c r="C7" s="375"/>
      <c r="D7" s="375"/>
      <c r="E7" s="375"/>
      <c r="F7" s="364"/>
      <c r="G7" s="364"/>
      <c r="H7" s="365" t="s">
        <v>472</v>
      </c>
      <c r="I7" s="366"/>
      <c r="J7" s="367"/>
      <c r="K7" s="364"/>
      <c r="L7" s="364"/>
      <c r="M7" s="364"/>
      <c r="N7" s="364" t="s">
        <v>132</v>
      </c>
      <c r="O7" s="364"/>
      <c r="P7" s="364"/>
      <c r="Q7" s="364"/>
    </row>
    <row r="8" spans="1:18" ht="195" x14ac:dyDescent="0.25">
      <c r="A8" s="5"/>
      <c r="B8" s="144" t="s">
        <v>4</v>
      </c>
      <c r="C8" s="107" t="s">
        <v>1</v>
      </c>
      <c r="D8" s="107" t="s">
        <v>3</v>
      </c>
      <c r="E8" s="107" t="s">
        <v>2</v>
      </c>
      <c r="F8" s="122" t="s">
        <v>6</v>
      </c>
      <c r="G8" s="66" t="s">
        <v>5</v>
      </c>
      <c r="H8" s="144" t="s">
        <v>7</v>
      </c>
      <c r="I8" s="144" t="s">
        <v>8</v>
      </c>
      <c r="J8" s="94" t="s">
        <v>9</v>
      </c>
      <c r="K8" s="67" t="s">
        <v>11</v>
      </c>
      <c r="L8" s="67" t="s">
        <v>12</v>
      </c>
      <c r="M8" s="67" t="s">
        <v>13</v>
      </c>
      <c r="N8" s="94" t="s">
        <v>9</v>
      </c>
      <c r="O8" s="68" t="s">
        <v>11</v>
      </c>
      <c r="P8" s="68" t="s">
        <v>12</v>
      </c>
      <c r="Q8" s="68" t="s">
        <v>13</v>
      </c>
    </row>
    <row r="9" spans="1:18" x14ac:dyDescent="0.25">
      <c r="A9" s="9">
        <v>1</v>
      </c>
      <c r="B9" s="61">
        <f>A9+1</f>
        <v>2</v>
      </c>
      <c r="C9" s="9">
        <f t="shared" ref="C9:Q9" si="0">B9+1</f>
        <v>3</v>
      </c>
      <c r="D9" s="9">
        <f t="shared" si="0"/>
        <v>4</v>
      </c>
      <c r="E9" s="9">
        <f t="shared" si="0"/>
        <v>5</v>
      </c>
      <c r="F9" s="69">
        <f t="shared" si="0"/>
        <v>6</v>
      </c>
      <c r="G9" s="69">
        <f t="shared" si="0"/>
        <v>7</v>
      </c>
      <c r="H9" s="70">
        <f t="shared" si="0"/>
        <v>8</v>
      </c>
      <c r="I9" s="70">
        <f t="shared" si="0"/>
        <v>9</v>
      </c>
      <c r="J9" s="95">
        <f t="shared" si="0"/>
        <v>10</v>
      </c>
      <c r="K9" s="71">
        <f t="shared" si="0"/>
        <v>11</v>
      </c>
      <c r="L9" s="71">
        <f t="shared" si="0"/>
        <v>12</v>
      </c>
      <c r="M9" s="71">
        <f t="shared" si="0"/>
        <v>13</v>
      </c>
      <c r="N9" s="95">
        <f t="shared" si="0"/>
        <v>14</v>
      </c>
      <c r="O9" s="72">
        <f t="shared" si="0"/>
        <v>15</v>
      </c>
      <c r="P9" s="72">
        <f t="shared" si="0"/>
        <v>16</v>
      </c>
      <c r="Q9" s="72">
        <f t="shared" si="0"/>
        <v>17</v>
      </c>
    </row>
    <row r="10" spans="1:18" s="13" customFormat="1" ht="31.5" x14ac:dyDescent="0.25">
      <c r="A10" s="10"/>
      <c r="B10" s="62" t="s">
        <v>16</v>
      </c>
      <c r="C10" s="1" t="s">
        <v>304</v>
      </c>
      <c r="D10" s="120" t="s">
        <v>315</v>
      </c>
      <c r="E10" s="3" t="s">
        <v>18</v>
      </c>
      <c r="F10" s="73" t="s">
        <v>322</v>
      </c>
      <c r="G10" s="74" t="s">
        <v>112</v>
      </c>
      <c r="H10" s="75">
        <v>5</v>
      </c>
      <c r="I10" s="76"/>
      <c r="J10" s="96"/>
      <c r="K10" s="77">
        <f>4792.51</f>
        <v>4792.51</v>
      </c>
      <c r="L10" s="77"/>
      <c r="M10" s="78">
        <f>K10-L10</f>
        <v>4792.51</v>
      </c>
      <c r="N10" s="100">
        <f>2+5</f>
        <v>7</v>
      </c>
      <c r="O10" s="77">
        <f>9108.77</f>
        <v>9108.77</v>
      </c>
      <c r="P10" s="77"/>
      <c r="Q10" s="79">
        <f>O10-P10</f>
        <v>9108.77</v>
      </c>
      <c r="R10" s="141"/>
    </row>
    <row r="11" spans="1:18" s="13" customFormat="1" ht="31.5" x14ac:dyDescent="0.25">
      <c r="A11" s="10"/>
      <c r="B11" s="22" t="s">
        <v>16</v>
      </c>
      <c r="C11" s="1" t="s">
        <v>304</v>
      </c>
      <c r="D11" s="120" t="s">
        <v>315</v>
      </c>
      <c r="E11" s="3" t="s">
        <v>18</v>
      </c>
      <c r="F11" s="73" t="s">
        <v>322</v>
      </c>
      <c r="G11" s="11" t="s">
        <v>116</v>
      </c>
      <c r="H11" s="1">
        <v>2</v>
      </c>
      <c r="I11" s="49"/>
      <c r="J11" s="46"/>
      <c r="K11" s="31"/>
      <c r="L11" s="31"/>
      <c r="M11" s="38">
        <f t="shared" ref="M11:M82" si="1">K11-L11</f>
        <v>0</v>
      </c>
      <c r="N11" s="41"/>
      <c r="O11" s="31">
        <v>2945</v>
      </c>
      <c r="P11" s="31"/>
      <c r="Q11" s="12">
        <f t="shared" ref="Q11:Q77" si="2">O11-P11</f>
        <v>2945</v>
      </c>
    </row>
    <row r="12" spans="1:18" s="13" customFormat="1" ht="15.75" x14ac:dyDescent="0.25">
      <c r="A12" s="10"/>
      <c r="B12" s="22" t="s">
        <v>490</v>
      </c>
      <c r="C12" s="1"/>
      <c r="D12" s="120"/>
      <c r="E12" s="3"/>
      <c r="F12" s="73"/>
      <c r="G12" s="11" t="s">
        <v>112</v>
      </c>
      <c r="H12" s="1">
        <v>2</v>
      </c>
      <c r="I12" s="49"/>
      <c r="J12" s="46"/>
      <c r="K12" s="31"/>
      <c r="L12" s="31"/>
      <c r="M12" s="38"/>
      <c r="N12" s="41"/>
      <c r="O12" s="31"/>
      <c r="P12" s="31"/>
      <c r="Q12" s="12"/>
    </row>
    <row r="13" spans="1:18" s="15" customFormat="1" ht="15.75" x14ac:dyDescent="0.25">
      <c r="A13" s="14"/>
      <c r="B13" s="80" t="s">
        <v>19</v>
      </c>
      <c r="C13" s="1" t="s">
        <v>17</v>
      </c>
      <c r="D13" s="120"/>
      <c r="E13" s="3" t="s">
        <v>20</v>
      </c>
      <c r="F13" s="73" t="s">
        <v>323</v>
      </c>
      <c r="G13" s="74" t="s">
        <v>112</v>
      </c>
      <c r="H13" s="75">
        <v>7</v>
      </c>
      <c r="I13" s="76">
        <v>3</v>
      </c>
      <c r="J13" s="96">
        <f>1+2</f>
        <v>3</v>
      </c>
      <c r="K13" s="77">
        <f>422.62+4792.51</f>
        <v>5215.13</v>
      </c>
      <c r="L13" s="77"/>
      <c r="M13" s="78">
        <f t="shared" si="1"/>
        <v>5215.13</v>
      </c>
      <c r="N13" s="100">
        <f>8</f>
        <v>8</v>
      </c>
      <c r="O13" s="81">
        <v>6459.36</v>
      </c>
      <c r="P13" s="81"/>
      <c r="Q13" s="79">
        <f t="shared" si="2"/>
        <v>6459.36</v>
      </c>
      <c r="R13" s="141"/>
    </row>
    <row r="14" spans="1:18" s="15" customFormat="1" ht="15.75" x14ac:dyDescent="0.25">
      <c r="A14" s="14"/>
      <c r="B14" s="23" t="s">
        <v>19</v>
      </c>
      <c r="C14" s="1" t="s">
        <v>17</v>
      </c>
      <c r="D14" s="120"/>
      <c r="E14" s="3" t="s">
        <v>20</v>
      </c>
      <c r="F14" s="73" t="s">
        <v>451</v>
      </c>
      <c r="G14" s="11" t="s">
        <v>114</v>
      </c>
      <c r="H14" s="1">
        <v>2</v>
      </c>
      <c r="I14" s="49">
        <v>1</v>
      </c>
      <c r="J14" s="51">
        <v>1</v>
      </c>
      <c r="K14" s="40"/>
      <c r="L14" s="40"/>
      <c r="M14" s="38">
        <f t="shared" si="1"/>
        <v>0</v>
      </c>
      <c r="N14" s="42">
        <v>7</v>
      </c>
      <c r="O14" s="31">
        <v>3818</v>
      </c>
      <c r="P14" s="31">
        <v>3818</v>
      </c>
      <c r="Q14" s="12">
        <f t="shared" si="2"/>
        <v>0</v>
      </c>
    </row>
    <row r="15" spans="1:18" s="15" customFormat="1" ht="15.75" x14ac:dyDescent="0.25">
      <c r="A15" s="14"/>
      <c r="B15" s="62" t="s">
        <v>153</v>
      </c>
      <c r="C15" s="1" t="s">
        <v>17</v>
      </c>
      <c r="D15" s="120"/>
      <c r="E15" s="3" t="s">
        <v>20</v>
      </c>
      <c r="F15" s="73" t="s">
        <v>324</v>
      </c>
      <c r="G15" s="74" t="s">
        <v>112</v>
      </c>
      <c r="H15" s="75">
        <v>3</v>
      </c>
      <c r="I15" s="82">
        <v>1</v>
      </c>
      <c r="J15" s="96">
        <f>1+1</f>
        <v>2</v>
      </c>
      <c r="K15" s="77">
        <f>950.9+2451.87</f>
        <v>3402.77</v>
      </c>
      <c r="L15" s="77"/>
      <c r="M15" s="78">
        <f t="shared" si="1"/>
        <v>3402.77</v>
      </c>
      <c r="N15" s="114">
        <f>1+2+1</f>
        <v>4</v>
      </c>
      <c r="O15" s="81">
        <f>422.62+945.61+2484.69</f>
        <v>3852.92</v>
      </c>
      <c r="P15" s="81"/>
      <c r="Q15" s="79">
        <f t="shared" si="2"/>
        <v>3852.92</v>
      </c>
      <c r="R15" s="141"/>
    </row>
    <row r="16" spans="1:18" s="15" customFormat="1" ht="15.75" x14ac:dyDescent="0.25">
      <c r="A16" s="14"/>
      <c r="B16" s="50" t="s">
        <v>153</v>
      </c>
      <c r="C16" s="1" t="s">
        <v>17</v>
      </c>
      <c r="D16" s="120"/>
      <c r="E16" s="3" t="s">
        <v>20</v>
      </c>
      <c r="F16" s="73" t="s">
        <v>452</v>
      </c>
      <c r="G16" s="11" t="s">
        <v>114</v>
      </c>
      <c r="H16" s="1">
        <v>1</v>
      </c>
      <c r="I16" s="49">
        <v>1</v>
      </c>
      <c r="J16" s="51">
        <v>1</v>
      </c>
      <c r="K16" s="40"/>
      <c r="L16" s="40"/>
      <c r="M16" s="38">
        <f t="shared" si="1"/>
        <v>0</v>
      </c>
      <c r="N16" s="42">
        <v>5</v>
      </c>
      <c r="O16" s="31">
        <v>13319</v>
      </c>
      <c r="P16" s="31">
        <f>3073.6</f>
        <v>3073.6</v>
      </c>
      <c r="Q16" s="12">
        <f t="shared" si="2"/>
        <v>10245.4</v>
      </c>
    </row>
    <row r="17" spans="1:18" s="13" customFormat="1" ht="15.75" x14ac:dyDescent="0.25">
      <c r="A17" s="10"/>
      <c r="B17" s="30" t="s">
        <v>22</v>
      </c>
      <c r="C17" s="1" t="s">
        <v>17</v>
      </c>
      <c r="D17" s="120"/>
      <c r="E17" s="3" t="s">
        <v>23</v>
      </c>
      <c r="F17" s="73" t="s">
        <v>325</v>
      </c>
      <c r="G17" s="74" t="s">
        <v>112</v>
      </c>
      <c r="H17" s="75">
        <v>5</v>
      </c>
      <c r="I17" s="76">
        <v>1</v>
      </c>
      <c r="J17" s="96">
        <f>1</f>
        <v>1</v>
      </c>
      <c r="K17" s="77">
        <f>2698.64</f>
        <v>2698.64</v>
      </c>
      <c r="L17" s="77"/>
      <c r="M17" s="78">
        <f t="shared" si="1"/>
        <v>2698.64</v>
      </c>
      <c r="N17" s="100">
        <f>14+3</f>
        <v>17</v>
      </c>
      <c r="O17" s="81">
        <f>22716.4+4171.06</f>
        <v>26887.460000000003</v>
      </c>
      <c r="P17" s="81"/>
      <c r="Q17" s="79">
        <f t="shared" si="2"/>
        <v>26887.460000000003</v>
      </c>
      <c r="R17" s="141"/>
    </row>
    <row r="18" spans="1:18" s="13" customFormat="1" ht="15.75" x14ac:dyDescent="0.25">
      <c r="A18" s="10"/>
      <c r="B18" s="24" t="s">
        <v>154</v>
      </c>
      <c r="C18" s="1" t="s">
        <v>17</v>
      </c>
      <c r="D18" s="120"/>
      <c r="E18" s="3" t="s">
        <v>20</v>
      </c>
      <c r="F18" s="73" t="s">
        <v>453</v>
      </c>
      <c r="G18" s="11" t="s">
        <v>114</v>
      </c>
      <c r="H18" s="1">
        <v>7</v>
      </c>
      <c r="I18" s="47"/>
      <c r="J18" s="51"/>
      <c r="K18" s="37"/>
      <c r="L18" s="37"/>
      <c r="M18" s="38">
        <f t="shared" si="1"/>
        <v>0</v>
      </c>
      <c r="N18" s="39">
        <v>5</v>
      </c>
      <c r="O18" s="31">
        <v>5603</v>
      </c>
      <c r="P18" s="31">
        <f>3682</f>
        <v>3682</v>
      </c>
      <c r="Q18" s="12">
        <f t="shared" si="2"/>
        <v>1921</v>
      </c>
    </row>
    <row r="19" spans="1:18" s="13" customFormat="1" ht="15.75" x14ac:dyDescent="0.25">
      <c r="A19" s="10"/>
      <c r="B19" s="30" t="s">
        <v>154</v>
      </c>
      <c r="C19" s="1" t="s">
        <v>17</v>
      </c>
      <c r="D19" s="120"/>
      <c r="E19" s="3" t="s">
        <v>20</v>
      </c>
      <c r="F19" s="73" t="s">
        <v>326</v>
      </c>
      <c r="G19" s="74" t="s">
        <v>112</v>
      </c>
      <c r="H19" s="75">
        <v>9</v>
      </c>
      <c r="I19" s="76">
        <v>5</v>
      </c>
      <c r="J19" s="96">
        <f>1+1+2+2</f>
        <v>6</v>
      </c>
      <c r="K19" s="77">
        <f>950.9</f>
        <v>950.9</v>
      </c>
      <c r="L19" s="77"/>
      <c r="M19" s="78">
        <f t="shared" si="1"/>
        <v>950.9</v>
      </c>
      <c r="N19" s="100">
        <f>6+3</f>
        <v>9</v>
      </c>
      <c r="O19" s="128">
        <f>6681.33+7017+1523.5</f>
        <v>15221.83</v>
      </c>
      <c r="P19" s="81"/>
      <c r="Q19" s="79">
        <f t="shared" si="2"/>
        <v>15221.83</v>
      </c>
      <c r="R19" s="141"/>
    </row>
    <row r="20" spans="1:18" s="13" customFormat="1" ht="15.75" x14ac:dyDescent="0.25">
      <c r="A20" s="10"/>
      <c r="B20" s="62" t="s">
        <v>24</v>
      </c>
      <c r="C20" s="1" t="s">
        <v>17</v>
      </c>
      <c r="D20" s="120"/>
      <c r="E20" s="3" t="s">
        <v>20</v>
      </c>
      <c r="F20" s="73" t="s">
        <v>327</v>
      </c>
      <c r="G20" s="74" t="s">
        <v>112</v>
      </c>
      <c r="H20" s="75">
        <v>1</v>
      </c>
      <c r="I20" s="76"/>
      <c r="J20" s="96"/>
      <c r="K20" s="77"/>
      <c r="L20" s="77"/>
      <c r="M20" s="38">
        <f t="shared" si="1"/>
        <v>0</v>
      </c>
      <c r="N20" s="100">
        <f>1</f>
        <v>1</v>
      </c>
      <c r="O20" s="81">
        <f>576.3</f>
        <v>576.29999999999995</v>
      </c>
      <c r="P20" s="81"/>
      <c r="Q20" s="12">
        <f t="shared" si="2"/>
        <v>576.29999999999995</v>
      </c>
      <c r="R20" s="141"/>
    </row>
    <row r="21" spans="1:18" s="13" customFormat="1" ht="15.75" x14ac:dyDescent="0.25">
      <c r="A21" s="10"/>
      <c r="B21" s="22" t="s">
        <v>24</v>
      </c>
      <c r="C21" s="1" t="s">
        <v>17</v>
      </c>
      <c r="D21" s="120"/>
      <c r="E21" s="3" t="s">
        <v>20</v>
      </c>
      <c r="F21" s="73" t="s">
        <v>454</v>
      </c>
      <c r="G21" s="11" t="s">
        <v>114</v>
      </c>
      <c r="H21" s="1">
        <v>5</v>
      </c>
      <c r="I21" s="49"/>
      <c r="J21" s="51"/>
      <c r="K21" s="40"/>
      <c r="L21" s="40"/>
      <c r="M21" s="78">
        <f t="shared" si="1"/>
        <v>0</v>
      </c>
      <c r="N21" s="41">
        <v>7</v>
      </c>
      <c r="O21" s="31">
        <v>14635.6</v>
      </c>
      <c r="P21" s="31">
        <f>3649.9</f>
        <v>3649.9</v>
      </c>
      <c r="Q21" s="79">
        <f t="shared" si="2"/>
        <v>10985.7</v>
      </c>
    </row>
    <row r="22" spans="1:18" s="13" customFormat="1" ht="15.75" x14ac:dyDescent="0.25">
      <c r="A22" s="10"/>
      <c r="B22" s="62" t="s">
        <v>25</v>
      </c>
      <c r="C22" s="1" t="s">
        <v>17</v>
      </c>
      <c r="D22" s="120"/>
      <c r="E22" s="3" t="s">
        <v>20</v>
      </c>
      <c r="F22" s="73" t="s">
        <v>328</v>
      </c>
      <c r="G22" s="74" t="s">
        <v>112</v>
      </c>
      <c r="H22" s="75">
        <v>3</v>
      </c>
      <c r="I22" s="76">
        <v>1</v>
      </c>
      <c r="J22" s="96">
        <f>1</f>
        <v>1</v>
      </c>
      <c r="K22" s="77">
        <v>1743.31</v>
      </c>
      <c r="L22" s="77"/>
      <c r="M22" s="38">
        <f t="shared" si="1"/>
        <v>1743.31</v>
      </c>
      <c r="N22" s="100">
        <f>6</f>
        <v>6</v>
      </c>
      <c r="O22" s="81">
        <v>14526.7</v>
      </c>
      <c r="P22" s="81"/>
      <c r="Q22" s="12">
        <f t="shared" si="2"/>
        <v>14526.7</v>
      </c>
      <c r="R22" s="141"/>
    </row>
    <row r="23" spans="1:18" s="13" customFormat="1" ht="15.75" x14ac:dyDescent="0.25">
      <c r="A23" s="10"/>
      <c r="B23" s="22" t="s">
        <v>25</v>
      </c>
      <c r="C23" s="1" t="s">
        <v>17</v>
      </c>
      <c r="D23" s="120"/>
      <c r="E23" s="3" t="s">
        <v>20</v>
      </c>
      <c r="F23" s="73" t="s">
        <v>455</v>
      </c>
      <c r="G23" s="11" t="s">
        <v>114</v>
      </c>
      <c r="H23" s="1"/>
      <c r="I23" s="49"/>
      <c r="J23" s="51"/>
      <c r="K23" s="40"/>
      <c r="L23" s="40"/>
      <c r="M23" s="78">
        <f t="shared" si="1"/>
        <v>0</v>
      </c>
      <c r="N23" s="41">
        <v>2</v>
      </c>
      <c r="O23" s="31">
        <v>4146.2</v>
      </c>
      <c r="P23" s="31">
        <f>4146.2</f>
        <v>4146.2</v>
      </c>
      <c r="Q23" s="79">
        <f t="shared" si="2"/>
        <v>0</v>
      </c>
    </row>
    <row r="24" spans="1:18" s="13" customFormat="1" ht="15.75" x14ac:dyDescent="0.25">
      <c r="A24" s="10"/>
      <c r="B24" s="62" t="s">
        <v>26</v>
      </c>
      <c r="C24" s="1" t="s">
        <v>17</v>
      </c>
      <c r="D24" s="120"/>
      <c r="E24" s="3" t="s">
        <v>27</v>
      </c>
      <c r="F24" s="73" t="s">
        <v>329</v>
      </c>
      <c r="G24" s="74" t="s">
        <v>112</v>
      </c>
      <c r="H24" s="75">
        <v>5</v>
      </c>
      <c r="I24" s="76">
        <v>2</v>
      </c>
      <c r="J24" s="96">
        <f>2</f>
        <v>2</v>
      </c>
      <c r="K24" s="77">
        <f>845.24</f>
        <v>845.24</v>
      </c>
      <c r="L24" s="77"/>
      <c r="M24" s="38">
        <f t="shared" si="1"/>
        <v>845.24</v>
      </c>
      <c r="N24" s="100">
        <f>6+1</f>
        <v>7</v>
      </c>
      <c r="O24" s="81">
        <f>17838.53+2535.75</f>
        <v>20374.28</v>
      </c>
      <c r="P24" s="81">
        <v>14149.86</v>
      </c>
      <c r="Q24" s="12">
        <f t="shared" si="2"/>
        <v>6224.4199999999983</v>
      </c>
      <c r="R24" s="141"/>
    </row>
    <row r="25" spans="1:18" s="15" customFormat="1" ht="15.75" x14ac:dyDescent="0.25">
      <c r="A25" s="14"/>
      <c r="B25" s="80" t="s">
        <v>28</v>
      </c>
      <c r="C25" s="1" t="s">
        <v>17</v>
      </c>
      <c r="D25" s="120"/>
      <c r="E25" s="17" t="s">
        <v>29</v>
      </c>
      <c r="F25" s="73" t="s">
        <v>330</v>
      </c>
      <c r="G25" s="74" t="s">
        <v>112</v>
      </c>
      <c r="H25" s="75">
        <v>2</v>
      </c>
      <c r="I25" s="76"/>
      <c r="J25" s="96"/>
      <c r="K25" s="77"/>
      <c r="L25" s="77"/>
      <c r="M25" s="38">
        <f t="shared" si="1"/>
        <v>0</v>
      </c>
      <c r="N25" s="100">
        <f>3+2+4</f>
        <v>9</v>
      </c>
      <c r="O25" s="81">
        <f>5310.83+4630.52+14679.01</f>
        <v>24620.36</v>
      </c>
      <c r="P25" s="81"/>
      <c r="Q25" s="12">
        <f t="shared" si="2"/>
        <v>24620.36</v>
      </c>
      <c r="R25" s="141"/>
    </row>
    <row r="26" spans="1:18" s="15" customFormat="1" ht="15.75" x14ac:dyDescent="0.25">
      <c r="A26" s="14"/>
      <c r="B26" s="23" t="s">
        <v>28</v>
      </c>
      <c r="C26" s="1" t="s">
        <v>17</v>
      </c>
      <c r="D26" s="120"/>
      <c r="E26" s="17" t="s">
        <v>29</v>
      </c>
      <c r="F26" s="73" t="s">
        <v>420</v>
      </c>
      <c r="G26" s="8" t="s">
        <v>117</v>
      </c>
      <c r="H26" s="1">
        <v>1</v>
      </c>
      <c r="I26" s="48"/>
      <c r="J26" s="45"/>
      <c r="K26" s="40"/>
      <c r="L26" s="40"/>
      <c r="M26" s="78">
        <f t="shared" si="1"/>
        <v>0</v>
      </c>
      <c r="N26" s="42">
        <v>1</v>
      </c>
      <c r="O26" s="31"/>
      <c r="P26" s="31"/>
      <c r="Q26" s="79">
        <f t="shared" si="2"/>
        <v>0</v>
      </c>
    </row>
    <row r="27" spans="1:18" s="13" customFormat="1" ht="15.75" x14ac:dyDescent="0.25">
      <c r="A27" s="10"/>
      <c r="B27" s="27" t="s">
        <v>30</v>
      </c>
      <c r="C27" s="1" t="s">
        <v>17</v>
      </c>
      <c r="D27" s="120"/>
      <c r="E27" s="17" t="s">
        <v>21</v>
      </c>
      <c r="F27" s="73" t="s">
        <v>333</v>
      </c>
      <c r="G27" s="74" t="s">
        <v>112</v>
      </c>
      <c r="H27" s="75">
        <v>8</v>
      </c>
      <c r="I27" s="76">
        <v>4</v>
      </c>
      <c r="J27" s="96">
        <f>3+1</f>
        <v>4</v>
      </c>
      <c r="K27" s="77">
        <f>2399.78+806.82</f>
        <v>3206.6000000000004</v>
      </c>
      <c r="L27" s="77"/>
      <c r="M27" s="38">
        <f t="shared" si="1"/>
        <v>3206.6000000000004</v>
      </c>
      <c r="N27" s="100">
        <f>9+1</f>
        <v>10</v>
      </c>
      <c r="O27" s="81">
        <f>39871.99+5530.04</f>
        <v>45402.03</v>
      </c>
      <c r="P27" s="81"/>
      <c r="Q27" s="12">
        <f t="shared" si="2"/>
        <v>45402.03</v>
      </c>
      <c r="R27" s="141"/>
    </row>
    <row r="28" spans="1:18" s="13" customFormat="1" ht="15.75" x14ac:dyDescent="0.25">
      <c r="A28" s="10"/>
      <c r="B28" s="27" t="s">
        <v>491</v>
      </c>
      <c r="C28" s="1" t="s">
        <v>17</v>
      </c>
      <c r="D28" s="120"/>
      <c r="E28" s="3" t="s">
        <v>20</v>
      </c>
      <c r="F28" s="73" t="s">
        <v>495</v>
      </c>
      <c r="G28" s="74" t="s">
        <v>112</v>
      </c>
      <c r="H28" s="75">
        <v>2</v>
      </c>
      <c r="I28" s="76"/>
      <c r="J28" s="96"/>
      <c r="K28" s="77"/>
      <c r="L28" s="77"/>
      <c r="M28" s="38"/>
      <c r="N28" s="100"/>
      <c r="O28" s="81"/>
      <c r="P28" s="81"/>
      <c r="Q28" s="12"/>
      <c r="R28" s="141"/>
    </row>
    <row r="29" spans="1:18" s="13" customFormat="1" ht="15.75" x14ac:dyDescent="0.25">
      <c r="A29" s="10"/>
      <c r="B29" s="30" t="s">
        <v>31</v>
      </c>
      <c r="C29" s="1" t="s">
        <v>17</v>
      </c>
      <c r="D29" s="120"/>
      <c r="E29" s="3" t="s">
        <v>32</v>
      </c>
      <c r="F29" s="73" t="s">
        <v>331</v>
      </c>
      <c r="G29" s="74" t="s">
        <v>112</v>
      </c>
      <c r="H29" s="75">
        <v>4</v>
      </c>
      <c r="I29" s="76">
        <v>1</v>
      </c>
      <c r="J29" s="96">
        <f>1</f>
        <v>1</v>
      </c>
      <c r="K29" s="77">
        <f>633.93</f>
        <v>633.92999999999995</v>
      </c>
      <c r="L29" s="77"/>
      <c r="M29" s="78">
        <f t="shared" si="1"/>
        <v>633.92999999999995</v>
      </c>
      <c r="N29" s="100">
        <f>1+3+3</f>
        <v>7</v>
      </c>
      <c r="O29" s="81">
        <f>2299.8+15239.58+6152.75</f>
        <v>23692.13</v>
      </c>
      <c r="P29" s="81">
        <f>2299.8</f>
        <v>2299.8000000000002</v>
      </c>
      <c r="Q29" s="79">
        <f t="shared" si="2"/>
        <v>21392.33</v>
      </c>
      <c r="R29" s="141"/>
    </row>
    <row r="30" spans="1:18" s="13" customFormat="1" ht="15.75" x14ac:dyDescent="0.25">
      <c r="A30" s="10"/>
      <c r="B30" s="24" t="s">
        <v>31</v>
      </c>
      <c r="C30" s="1" t="s">
        <v>17</v>
      </c>
      <c r="D30" s="120"/>
      <c r="E30" s="3" t="s">
        <v>32</v>
      </c>
      <c r="F30" s="73" t="s">
        <v>422</v>
      </c>
      <c r="G30" s="8" t="s">
        <v>117</v>
      </c>
      <c r="H30" s="1">
        <v>7</v>
      </c>
      <c r="I30" s="49">
        <v>1</v>
      </c>
      <c r="J30" s="46">
        <v>1</v>
      </c>
      <c r="K30" s="40">
        <v>2344.3000000000002</v>
      </c>
      <c r="L30" s="40"/>
      <c r="M30" s="38">
        <f t="shared" si="1"/>
        <v>2344.3000000000002</v>
      </c>
      <c r="N30" s="41">
        <v>6</v>
      </c>
      <c r="O30" s="40">
        <v>12150.4</v>
      </c>
      <c r="P30" s="40"/>
      <c r="Q30" s="12">
        <f t="shared" si="2"/>
        <v>12150.4</v>
      </c>
    </row>
    <row r="31" spans="1:18" s="15" customFormat="1" ht="15.75" x14ac:dyDescent="0.25">
      <c r="A31" s="14"/>
      <c r="B31" s="80" t="s">
        <v>33</v>
      </c>
      <c r="C31" s="1" t="s">
        <v>17</v>
      </c>
      <c r="D31" s="120"/>
      <c r="E31" s="145" t="s">
        <v>20</v>
      </c>
      <c r="F31" s="73" t="s">
        <v>332</v>
      </c>
      <c r="G31" s="74" t="s">
        <v>112</v>
      </c>
      <c r="H31" s="75">
        <v>4</v>
      </c>
      <c r="I31" s="76"/>
      <c r="J31" s="96"/>
      <c r="K31" s="77"/>
      <c r="L31" s="77"/>
      <c r="M31" s="78">
        <f t="shared" si="1"/>
        <v>0</v>
      </c>
      <c r="N31" s="100">
        <f>2+1</f>
        <v>3</v>
      </c>
      <c r="O31" s="81">
        <f>845.24+1613.64</f>
        <v>2458.88</v>
      </c>
      <c r="P31" s="81"/>
      <c r="Q31" s="79">
        <f t="shared" si="2"/>
        <v>2458.88</v>
      </c>
      <c r="R31" s="141"/>
    </row>
    <row r="32" spans="1:18" s="15" customFormat="1" ht="15.75" x14ac:dyDescent="0.25">
      <c r="A32" s="14"/>
      <c r="B32" s="23" t="s">
        <v>33</v>
      </c>
      <c r="C32" s="1" t="s">
        <v>17</v>
      </c>
      <c r="D32" s="120"/>
      <c r="E32" s="3" t="s">
        <v>20</v>
      </c>
      <c r="F32" s="73" t="s">
        <v>481</v>
      </c>
      <c r="G32" s="11" t="s">
        <v>114</v>
      </c>
      <c r="H32" s="1">
        <v>1</v>
      </c>
      <c r="I32" s="49"/>
      <c r="J32" s="51"/>
      <c r="K32" s="40"/>
      <c r="L32" s="40"/>
      <c r="M32" s="38">
        <f t="shared" si="1"/>
        <v>0</v>
      </c>
      <c r="N32" s="42">
        <v>12</v>
      </c>
      <c r="O32" s="31">
        <v>13071.87</v>
      </c>
      <c r="P32" s="31">
        <f>3738</f>
        <v>3738</v>
      </c>
      <c r="Q32" s="12">
        <f t="shared" si="2"/>
        <v>9333.8700000000008</v>
      </c>
    </row>
    <row r="33" spans="1:18" s="15" customFormat="1" ht="15.75" x14ac:dyDescent="0.25">
      <c r="A33" s="14"/>
      <c r="B33" s="62" t="s">
        <v>147</v>
      </c>
      <c r="C33" s="1" t="s">
        <v>17</v>
      </c>
      <c r="D33" s="120"/>
      <c r="E33" s="3" t="s">
        <v>29</v>
      </c>
      <c r="F33" s="73" t="s">
        <v>334</v>
      </c>
      <c r="G33" s="74" t="s">
        <v>112</v>
      </c>
      <c r="H33" s="75">
        <v>2</v>
      </c>
      <c r="I33" s="102"/>
      <c r="J33" s="97"/>
      <c r="K33" s="77"/>
      <c r="L33" s="77"/>
      <c r="M33" s="78">
        <f t="shared" si="1"/>
        <v>0</v>
      </c>
      <c r="N33" s="114">
        <f>1</f>
        <v>1</v>
      </c>
      <c r="O33" s="81">
        <f>1394.65</f>
        <v>1394.65</v>
      </c>
      <c r="P33" s="81">
        <f>1394.65</f>
        <v>1394.65</v>
      </c>
      <c r="Q33" s="79">
        <f t="shared" si="2"/>
        <v>0</v>
      </c>
      <c r="R33" s="141"/>
    </row>
    <row r="34" spans="1:18" s="15" customFormat="1" ht="15.75" x14ac:dyDescent="0.25">
      <c r="A34" s="14"/>
      <c r="B34" s="50" t="s">
        <v>147</v>
      </c>
      <c r="C34" s="1" t="s">
        <v>17</v>
      </c>
      <c r="D34" s="120"/>
      <c r="E34" s="3" t="s">
        <v>29</v>
      </c>
      <c r="F34" s="73" t="s">
        <v>423</v>
      </c>
      <c r="G34" s="11" t="s">
        <v>117</v>
      </c>
      <c r="H34" s="1">
        <v>3</v>
      </c>
      <c r="I34" s="48">
        <v>1</v>
      </c>
      <c r="J34" s="45">
        <v>1</v>
      </c>
      <c r="K34" s="40"/>
      <c r="L34" s="40"/>
      <c r="M34" s="38">
        <f t="shared" si="1"/>
        <v>0</v>
      </c>
      <c r="N34" s="42">
        <f>2</f>
        <v>2</v>
      </c>
      <c r="O34" s="31">
        <v>3361.75</v>
      </c>
      <c r="P34" s="31"/>
      <c r="Q34" s="12">
        <f t="shared" si="2"/>
        <v>3361.75</v>
      </c>
    </row>
    <row r="35" spans="1:18" s="13" customFormat="1" ht="15.75" x14ac:dyDescent="0.25">
      <c r="A35" s="10"/>
      <c r="B35" s="62" t="s">
        <v>34</v>
      </c>
      <c r="C35" s="1" t="s">
        <v>17</v>
      </c>
      <c r="D35" s="120"/>
      <c r="E35" s="17" t="s">
        <v>35</v>
      </c>
      <c r="F35" s="73" t="s">
        <v>335</v>
      </c>
      <c r="G35" s="74" t="s">
        <v>112</v>
      </c>
      <c r="H35" s="75">
        <v>9</v>
      </c>
      <c r="I35" s="76">
        <v>4</v>
      </c>
      <c r="J35" s="96">
        <f>4</f>
        <v>4</v>
      </c>
      <c r="K35" s="77">
        <f>8288.4</f>
        <v>8288.4</v>
      </c>
      <c r="L35" s="77"/>
      <c r="M35" s="78">
        <f t="shared" si="1"/>
        <v>8288.4</v>
      </c>
      <c r="N35" s="100">
        <f>4+4+6+1+3</f>
        <v>18</v>
      </c>
      <c r="O35" s="81">
        <f>23915.04+21171.88+6399.1</f>
        <v>51486.02</v>
      </c>
      <c r="P35" s="81"/>
      <c r="Q35" s="79">
        <f t="shared" si="2"/>
        <v>51486.02</v>
      </c>
      <c r="R35" s="141"/>
    </row>
    <row r="36" spans="1:18" s="13" customFormat="1" ht="15.75" x14ac:dyDescent="0.25">
      <c r="A36" s="10"/>
      <c r="B36" s="22" t="s">
        <v>34</v>
      </c>
      <c r="C36" s="1" t="s">
        <v>17</v>
      </c>
      <c r="D36" s="120"/>
      <c r="E36" s="17" t="s">
        <v>35</v>
      </c>
      <c r="F36" s="73" t="s">
        <v>424</v>
      </c>
      <c r="G36" s="8" t="s">
        <v>117</v>
      </c>
      <c r="H36" s="1">
        <v>1</v>
      </c>
      <c r="I36" s="49"/>
      <c r="J36" s="46"/>
      <c r="K36" s="40"/>
      <c r="L36" s="40"/>
      <c r="M36" s="38">
        <f t="shared" si="1"/>
        <v>0</v>
      </c>
      <c r="N36" s="41">
        <v>2</v>
      </c>
      <c r="O36" s="31">
        <v>5570.9</v>
      </c>
      <c r="P36" s="31"/>
      <c r="Q36" s="12">
        <f t="shared" si="2"/>
        <v>5570.9</v>
      </c>
    </row>
    <row r="37" spans="1:18" s="13" customFormat="1" ht="15.75" x14ac:dyDescent="0.25">
      <c r="A37" s="10"/>
      <c r="B37" s="27" t="s">
        <v>36</v>
      </c>
      <c r="C37" s="1" t="s">
        <v>17</v>
      </c>
      <c r="D37" s="120"/>
      <c r="E37" s="17" t="s">
        <v>32</v>
      </c>
      <c r="F37" s="73" t="s">
        <v>336</v>
      </c>
      <c r="G37" s="74" t="s">
        <v>112</v>
      </c>
      <c r="H37" s="75">
        <v>5</v>
      </c>
      <c r="I37" s="76">
        <v>1</v>
      </c>
      <c r="J37" s="96">
        <f>1</f>
        <v>1</v>
      </c>
      <c r="K37" s="77">
        <f>2091.97</f>
        <v>2091.9699999999998</v>
      </c>
      <c r="L37" s="77"/>
      <c r="M37" s="78">
        <f t="shared" si="1"/>
        <v>2091.9699999999998</v>
      </c>
      <c r="N37" s="100">
        <f>4+2+5</f>
        <v>11</v>
      </c>
      <c r="O37" s="81">
        <f>26828.22+3116.2+14162</f>
        <v>44106.42</v>
      </c>
      <c r="P37" s="81">
        <f>8144.95</f>
        <v>8144.95</v>
      </c>
      <c r="Q37" s="79">
        <f t="shared" si="2"/>
        <v>35961.47</v>
      </c>
      <c r="R37" s="141"/>
    </row>
    <row r="38" spans="1:18" s="13" customFormat="1" ht="15.75" x14ac:dyDescent="0.25">
      <c r="A38" s="10"/>
      <c r="B38" s="27" t="s">
        <v>38</v>
      </c>
      <c r="C38" s="1" t="s">
        <v>17</v>
      </c>
      <c r="D38" s="120"/>
      <c r="E38" s="3" t="s">
        <v>20</v>
      </c>
      <c r="F38" s="73" t="s">
        <v>338</v>
      </c>
      <c r="G38" s="74" t="s">
        <v>112</v>
      </c>
      <c r="H38" s="75">
        <v>18</v>
      </c>
      <c r="I38" s="76">
        <v>5</v>
      </c>
      <c r="J38" s="96">
        <f>5</f>
        <v>5</v>
      </c>
      <c r="K38" s="77">
        <f>4427.07</f>
        <v>4427.07</v>
      </c>
      <c r="L38" s="77"/>
      <c r="M38" s="78">
        <f t="shared" si="1"/>
        <v>4427.07</v>
      </c>
      <c r="N38" s="100">
        <f>1+14</f>
        <v>15</v>
      </c>
      <c r="O38" s="81">
        <f>34449.99+27363.78</f>
        <v>61813.77</v>
      </c>
      <c r="P38" s="81">
        <f>34449.99</f>
        <v>34449.99</v>
      </c>
      <c r="Q38" s="79">
        <f t="shared" si="2"/>
        <v>27363.78</v>
      </c>
      <c r="R38" s="141"/>
    </row>
    <row r="39" spans="1:18" s="13" customFormat="1" ht="15.75" x14ac:dyDescent="0.25">
      <c r="A39" s="10"/>
      <c r="B39" s="25" t="s">
        <v>38</v>
      </c>
      <c r="C39" s="1" t="s">
        <v>17</v>
      </c>
      <c r="D39" s="120"/>
      <c r="E39" s="3" t="s">
        <v>20</v>
      </c>
      <c r="F39" s="73" t="s">
        <v>268</v>
      </c>
      <c r="G39" s="11" t="s">
        <v>114</v>
      </c>
      <c r="H39" s="1"/>
      <c r="I39" s="49"/>
      <c r="J39" s="51"/>
      <c r="K39" s="40"/>
      <c r="L39" s="40"/>
      <c r="M39" s="38">
        <f t="shared" si="1"/>
        <v>0</v>
      </c>
      <c r="N39" s="41"/>
      <c r="O39" s="31"/>
      <c r="P39" s="31"/>
      <c r="Q39" s="12">
        <f t="shared" si="2"/>
        <v>0</v>
      </c>
    </row>
    <row r="40" spans="1:18" s="13" customFormat="1" ht="15.75" x14ac:dyDescent="0.25">
      <c r="A40" s="10"/>
      <c r="B40" s="25" t="s">
        <v>38</v>
      </c>
      <c r="C40" s="1" t="s">
        <v>17</v>
      </c>
      <c r="D40" s="120"/>
      <c r="E40" s="3" t="s">
        <v>18</v>
      </c>
      <c r="F40" s="73" t="s">
        <v>324</v>
      </c>
      <c r="G40" s="11" t="s">
        <v>116</v>
      </c>
      <c r="H40" s="1">
        <v>3</v>
      </c>
      <c r="I40" s="49"/>
      <c r="J40" s="51"/>
      <c r="K40" s="40"/>
      <c r="L40" s="40"/>
      <c r="M40" s="38">
        <f t="shared" si="1"/>
        <v>0</v>
      </c>
      <c r="N40" s="41"/>
      <c r="O40" s="31"/>
      <c r="P40" s="31"/>
      <c r="Q40" s="12">
        <f t="shared" si="2"/>
        <v>0</v>
      </c>
    </row>
    <row r="41" spans="1:18" s="13" customFormat="1" ht="15.75" x14ac:dyDescent="0.25">
      <c r="A41" s="10"/>
      <c r="B41" s="22" t="s">
        <v>39</v>
      </c>
      <c r="C41" s="1" t="s">
        <v>17</v>
      </c>
      <c r="D41" s="120"/>
      <c r="E41" s="3" t="s">
        <v>20</v>
      </c>
      <c r="F41" s="73" t="s">
        <v>269</v>
      </c>
      <c r="G41" s="11" t="s">
        <v>114</v>
      </c>
      <c r="H41" s="1"/>
      <c r="I41" s="49"/>
      <c r="J41" s="51"/>
      <c r="K41" s="40"/>
      <c r="L41" s="40"/>
      <c r="M41" s="38">
        <f t="shared" si="1"/>
        <v>0</v>
      </c>
      <c r="N41" s="41"/>
      <c r="O41" s="31"/>
      <c r="P41" s="31"/>
      <c r="Q41" s="12">
        <f t="shared" si="2"/>
        <v>0</v>
      </c>
    </row>
    <row r="42" spans="1:18" s="13" customFormat="1" ht="15.75" x14ac:dyDescent="0.25">
      <c r="A42" s="10"/>
      <c r="B42" s="27" t="s">
        <v>40</v>
      </c>
      <c r="C42" s="1" t="s">
        <v>17</v>
      </c>
      <c r="D42" s="120"/>
      <c r="E42" s="17" t="s">
        <v>41</v>
      </c>
      <c r="F42" s="73" t="s">
        <v>339</v>
      </c>
      <c r="G42" s="74" t="s">
        <v>112</v>
      </c>
      <c r="H42" s="75">
        <v>10</v>
      </c>
      <c r="I42" s="76">
        <v>2</v>
      </c>
      <c r="J42" s="96">
        <f>1+1</f>
        <v>2</v>
      </c>
      <c r="K42" s="77">
        <f>1045.98</f>
        <v>1045.98</v>
      </c>
      <c r="L42" s="77"/>
      <c r="M42" s="78">
        <f t="shared" si="1"/>
        <v>1045.98</v>
      </c>
      <c r="N42" s="100">
        <f>3+13+6</f>
        <v>22</v>
      </c>
      <c r="O42" s="81">
        <f>17269.31+39990.78+16582.12</f>
        <v>73842.209999999992</v>
      </c>
      <c r="P42" s="81">
        <f>17269.31</f>
        <v>17269.310000000001</v>
      </c>
      <c r="Q42" s="79">
        <f t="shared" si="2"/>
        <v>56572.899999999994</v>
      </c>
      <c r="R42" s="141"/>
    </row>
    <row r="43" spans="1:18" s="13" customFormat="1" ht="15.75" x14ac:dyDescent="0.25">
      <c r="A43" s="10"/>
      <c r="B43" s="25" t="s">
        <v>40</v>
      </c>
      <c r="C43" s="1" t="s">
        <v>17</v>
      </c>
      <c r="D43" s="120"/>
      <c r="E43" s="17" t="s">
        <v>41</v>
      </c>
      <c r="F43" s="73" t="s">
        <v>482</v>
      </c>
      <c r="G43" s="11" t="s">
        <v>114</v>
      </c>
      <c r="H43" s="1"/>
      <c r="I43" s="49"/>
      <c r="J43" s="51"/>
      <c r="K43" s="40"/>
      <c r="L43" s="40"/>
      <c r="M43" s="38">
        <f t="shared" si="1"/>
        <v>0</v>
      </c>
      <c r="N43" s="41">
        <v>1</v>
      </c>
      <c r="O43" s="31">
        <v>3073.6</v>
      </c>
      <c r="P43" s="31">
        <f>3073.6</f>
        <v>3073.6</v>
      </c>
      <c r="Q43" s="12">
        <f t="shared" si="2"/>
        <v>0</v>
      </c>
    </row>
    <row r="44" spans="1:18" s="13" customFormat="1" ht="15.75" x14ac:dyDescent="0.25">
      <c r="A44" s="10"/>
      <c r="B44" s="27" t="s">
        <v>148</v>
      </c>
      <c r="C44" s="1" t="s">
        <v>17</v>
      </c>
      <c r="D44" s="120"/>
      <c r="E44" s="3" t="s">
        <v>20</v>
      </c>
      <c r="F44" s="73" t="s">
        <v>340</v>
      </c>
      <c r="G44" s="74" t="s">
        <v>112</v>
      </c>
      <c r="H44" s="75">
        <v>7</v>
      </c>
      <c r="I44" s="82">
        <v>1</v>
      </c>
      <c r="J44" s="96">
        <f>1</f>
        <v>1</v>
      </c>
      <c r="K44" s="77">
        <f>537.88</f>
        <v>537.88</v>
      </c>
      <c r="L44" s="77"/>
      <c r="M44" s="78">
        <f t="shared" si="1"/>
        <v>537.88</v>
      </c>
      <c r="N44" s="100">
        <f>6+5+3</f>
        <v>14</v>
      </c>
      <c r="O44" s="81">
        <f>9370.6+9456.38+8868.69</f>
        <v>27695.67</v>
      </c>
      <c r="P44" s="81">
        <f>9370.6</f>
        <v>9370.6</v>
      </c>
      <c r="Q44" s="79">
        <f t="shared" si="2"/>
        <v>18325.07</v>
      </c>
      <c r="R44" s="141"/>
    </row>
    <row r="45" spans="1:18" s="13" customFormat="1" ht="15.75" x14ac:dyDescent="0.25">
      <c r="A45" s="10"/>
      <c r="B45" s="25" t="s">
        <v>148</v>
      </c>
      <c r="C45" s="1" t="s">
        <v>17</v>
      </c>
      <c r="D45" s="120"/>
      <c r="E45" s="17" t="s">
        <v>32</v>
      </c>
      <c r="F45" s="73" t="s">
        <v>425</v>
      </c>
      <c r="G45" s="11" t="s">
        <v>117</v>
      </c>
      <c r="H45" s="1">
        <v>4</v>
      </c>
      <c r="I45" s="49"/>
      <c r="J45" s="46"/>
      <c r="K45" s="40"/>
      <c r="L45" s="40"/>
      <c r="M45" s="38">
        <f t="shared" si="1"/>
        <v>0</v>
      </c>
      <c r="N45" s="41">
        <v>2</v>
      </c>
      <c r="O45" s="31">
        <v>7472.69</v>
      </c>
      <c r="P45" s="31"/>
      <c r="Q45" s="12">
        <f t="shared" si="2"/>
        <v>7472.69</v>
      </c>
    </row>
    <row r="46" spans="1:18" s="13" customFormat="1" ht="15.75" x14ac:dyDescent="0.25">
      <c r="A46" s="10"/>
      <c r="B46" s="30" t="s">
        <v>42</v>
      </c>
      <c r="C46" s="1" t="s">
        <v>17</v>
      </c>
      <c r="D46" s="120"/>
      <c r="E46" s="3" t="s">
        <v>23</v>
      </c>
      <c r="F46" s="73" t="s">
        <v>341</v>
      </c>
      <c r="G46" s="74" t="s">
        <v>112</v>
      </c>
      <c r="H46" s="75">
        <v>10</v>
      </c>
      <c r="I46" s="76">
        <v>4</v>
      </c>
      <c r="J46" s="96">
        <f>5</f>
        <v>5</v>
      </c>
      <c r="K46" s="77">
        <f>7156.22</f>
        <v>7156.22</v>
      </c>
      <c r="L46" s="77"/>
      <c r="M46" s="78">
        <f t="shared" si="1"/>
        <v>7156.22</v>
      </c>
      <c r="N46" s="100">
        <f>4+6+9+2</f>
        <v>21</v>
      </c>
      <c r="O46" s="81">
        <f>5364.2+26170.88+2849.25</f>
        <v>34384.33</v>
      </c>
      <c r="P46" s="81"/>
      <c r="Q46" s="79">
        <f t="shared" si="2"/>
        <v>34384.33</v>
      </c>
      <c r="R46" s="141"/>
    </row>
    <row r="47" spans="1:18" s="13" customFormat="1" ht="15.75" x14ac:dyDescent="0.25">
      <c r="A47" s="10"/>
      <c r="B47" s="24" t="s">
        <v>42</v>
      </c>
      <c r="C47" s="1" t="s">
        <v>17</v>
      </c>
      <c r="D47" s="120"/>
      <c r="E47" s="3" t="s">
        <v>23</v>
      </c>
      <c r="F47" s="73" t="s">
        <v>437</v>
      </c>
      <c r="G47" s="11" t="s">
        <v>118</v>
      </c>
      <c r="H47" s="1">
        <v>2</v>
      </c>
      <c r="I47" s="49"/>
      <c r="J47" s="46"/>
      <c r="K47" s="40"/>
      <c r="L47" s="40"/>
      <c r="M47" s="38">
        <f t="shared" si="1"/>
        <v>0</v>
      </c>
      <c r="N47" s="41"/>
      <c r="O47" s="31">
        <v>4226.2</v>
      </c>
      <c r="P47" s="31"/>
      <c r="Q47" s="12">
        <f t="shared" si="2"/>
        <v>4226.2</v>
      </c>
    </row>
    <row r="48" spans="1:18" s="13" customFormat="1" ht="15.75" x14ac:dyDescent="0.25">
      <c r="A48" s="10"/>
      <c r="B48" s="30" t="s">
        <v>173</v>
      </c>
      <c r="C48" s="1" t="s">
        <v>17</v>
      </c>
      <c r="D48" s="120"/>
      <c r="E48" s="11" t="s">
        <v>118</v>
      </c>
      <c r="F48" s="73" t="s">
        <v>342</v>
      </c>
      <c r="G48" s="74" t="s">
        <v>112</v>
      </c>
      <c r="H48" s="75">
        <v>4</v>
      </c>
      <c r="I48" s="76">
        <v>4</v>
      </c>
      <c r="J48" s="96">
        <f>1+2+1</f>
        <v>4</v>
      </c>
      <c r="K48" s="77">
        <f>6833.76+696.36</f>
        <v>7530.12</v>
      </c>
      <c r="L48" s="77"/>
      <c r="M48" s="78">
        <f t="shared" si="1"/>
        <v>7530.12</v>
      </c>
      <c r="N48" s="100">
        <f>4+2</f>
        <v>6</v>
      </c>
      <c r="O48" s="81">
        <f>5931.9+4183.92+3158.95</f>
        <v>13274.77</v>
      </c>
      <c r="P48" s="81">
        <f>5931.9</f>
        <v>5931.9</v>
      </c>
      <c r="Q48" s="79">
        <f t="shared" si="2"/>
        <v>7342.8700000000008</v>
      </c>
      <c r="R48" s="141"/>
    </row>
    <row r="49" spans="1:18" s="13" customFormat="1" ht="15.75" x14ac:dyDescent="0.25">
      <c r="A49" s="10"/>
      <c r="B49" s="22" t="s">
        <v>143</v>
      </c>
      <c r="C49" s="1" t="s">
        <v>64</v>
      </c>
      <c r="D49" s="120" t="s">
        <v>444</v>
      </c>
      <c r="E49" s="3" t="s">
        <v>20</v>
      </c>
      <c r="F49" s="73" t="s">
        <v>445</v>
      </c>
      <c r="G49" s="11" t="s">
        <v>114</v>
      </c>
      <c r="H49" s="1">
        <v>6</v>
      </c>
      <c r="I49" s="47"/>
      <c r="J49" s="51"/>
      <c r="K49" s="37"/>
      <c r="L49" s="37"/>
      <c r="M49" s="78">
        <f t="shared" si="1"/>
        <v>0</v>
      </c>
      <c r="N49" s="39">
        <v>11</v>
      </c>
      <c r="O49" s="31">
        <v>13367.1</v>
      </c>
      <c r="P49" s="31">
        <f>3762</f>
        <v>3762</v>
      </c>
      <c r="Q49" s="79">
        <f t="shared" si="2"/>
        <v>9605.1</v>
      </c>
    </row>
    <row r="50" spans="1:18" s="13" customFormat="1" ht="15.75" x14ac:dyDescent="0.25">
      <c r="A50" s="10"/>
      <c r="B50" s="24" t="s">
        <v>158</v>
      </c>
      <c r="C50" s="1" t="s">
        <v>17</v>
      </c>
      <c r="D50" s="120"/>
      <c r="E50" s="17" t="s">
        <v>32</v>
      </c>
      <c r="F50" s="73" t="s">
        <v>426</v>
      </c>
      <c r="G50" s="11" t="s">
        <v>117</v>
      </c>
      <c r="H50" s="1">
        <v>5</v>
      </c>
      <c r="I50" s="47"/>
      <c r="J50" s="51"/>
      <c r="K50" s="37"/>
      <c r="L50" s="37"/>
      <c r="M50" s="38">
        <f t="shared" si="1"/>
        <v>0</v>
      </c>
      <c r="N50" s="39">
        <v>4</v>
      </c>
      <c r="O50" s="31">
        <v>9789.2000000000007</v>
      </c>
      <c r="P50" s="31"/>
      <c r="Q50" s="12">
        <f t="shared" si="2"/>
        <v>9789.2000000000007</v>
      </c>
    </row>
    <row r="51" spans="1:18" s="15" customFormat="1" ht="15.75" x14ac:dyDescent="0.25">
      <c r="A51" s="14"/>
      <c r="B51" s="80" t="s">
        <v>43</v>
      </c>
      <c r="C51" s="1" t="s">
        <v>17</v>
      </c>
      <c r="D51" s="120"/>
      <c r="E51" s="3" t="s">
        <v>18</v>
      </c>
      <c r="F51" s="73" t="s">
        <v>344</v>
      </c>
      <c r="G51" s="74" t="s">
        <v>112</v>
      </c>
      <c r="H51" s="75">
        <v>12</v>
      </c>
      <c r="I51" s="76">
        <v>3</v>
      </c>
      <c r="J51" s="96">
        <f>1</f>
        <v>1</v>
      </c>
      <c r="K51" s="77"/>
      <c r="L51" s="77"/>
      <c r="M51" s="78">
        <f t="shared" si="1"/>
        <v>0</v>
      </c>
      <c r="N51" s="100">
        <f>1+5+4</f>
        <v>10</v>
      </c>
      <c r="O51" s="81">
        <f>1223.8+3810.29+4959.02+10043.87</f>
        <v>20036.980000000003</v>
      </c>
      <c r="P51" s="81"/>
      <c r="Q51" s="79">
        <f t="shared" si="2"/>
        <v>20036.980000000003</v>
      </c>
      <c r="R51" s="141"/>
    </row>
    <row r="52" spans="1:18" s="15" customFormat="1" ht="31.5" x14ac:dyDescent="0.25">
      <c r="A52" s="14"/>
      <c r="B52" s="22" t="s">
        <v>43</v>
      </c>
      <c r="C52" s="1" t="s">
        <v>304</v>
      </c>
      <c r="D52" s="120" t="s">
        <v>473</v>
      </c>
      <c r="E52" s="3" t="s">
        <v>18</v>
      </c>
      <c r="F52" s="73" t="s">
        <v>323</v>
      </c>
      <c r="G52" s="11" t="s">
        <v>113</v>
      </c>
      <c r="H52" s="1">
        <v>7</v>
      </c>
      <c r="I52" s="126">
        <v>4</v>
      </c>
      <c r="J52" s="125">
        <v>4</v>
      </c>
      <c r="K52" s="40">
        <v>5071</v>
      </c>
      <c r="L52" s="40"/>
      <c r="M52" s="38">
        <f t="shared" si="1"/>
        <v>5071</v>
      </c>
      <c r="N52" s="39">
        <v>4</v>
      </c>
      <c r="O52" s="31">
        <v>8937</v>
      </c>
      <c r="P52" s="31"/>
      <c r="Q52" s="12">
        <f t="shared" si="2"/>
        <v>8937</v>
      </c>
    </row>
    <row r="53" spans="1:18" s="13" customFormat="1" ht="15.75" x14ac:dyDescent="0.25">
      <c r="A53" s="10"/>
      <c r="B53" s="30" t="s">
        <v>44</v>
      </c>
      <c r="C53" s="1" t="s">
        <v>17</v>
      </c>
      <c r="D53" s="120"/>
      <c r="E53" s="3" t="s">
        <v>20</v>
      </c>
      <c r="F53" s="73" t="s">
        <v>345</v>
      </c>
      <c r="G53" s="74" t="s">
        <v>112</v>
      </c>
      <c r="H53" s="75">
        <v>6</v>
      </c>
      <c r="I53" s="76">
        <v>4</v>
      </c>
      <c r="J53" s="96">
        <f>1+1+1</f>
        <v>3</v>
      </c>
      <c r="K53" s="77">
        <f>2422.38+1267.86</f>
        <v>3690.24</v>
      </c>
      <c r="L53" s="77"/>
      <c r="M53" s="78">
        <f t="shared" si="1"/>
        <v>3690.24</v>
      </c>
      <c r="N53" s="100">
        <f>1</f>
        <v>1</v>
      </c>
      <c r="O53" s="81">
        <f>421.62+4603.39+10559.77</f>
        <v>15584.78</v>
      </c>
      <c r="P53" s="81"/>
      <c r="Q53" s="79">
        <f t="shared" si="2"/>
        <v>15584.78</v>
      </c>
      <c r="R53" s="141"/>
    </row>
    <row r="54" spans="1:18" s="13" customFormat="1" ht="15.75" x14ac:dyDescent="0.25">
      <c r="A54" s="10"/>
      <c r="B54" s="24" t="s">
        <v>44</v>
      </c>
      <c r="C54" s="1" t="s">
        <v>17</v>
      </c>
      <c r="D54" s="120"/>
      <c r="E54" s="3" t="s">
        <v>20</v>
      </c>
      <c r="F54" s="73" t="s">
        <v>483</v>
      </c>
      <c r="G54" s="11" t="s">
        <v>114</v>
      </c>
      <c r="H54" s="1"/>
      <c r="I54" s="49"/>
      <c r="J54" s="51"/>
      <c r="K54" s="40"/>
      <c r="L54" s="40"/>
      <c r="M54" s="78">
        <f t="shared" si="1"/>
        <v>0</v>
      </c>
      <c r="N54" s="41">
        <v>2</v>
      </c>
      <c r="O54" s="31"/>
      <c r="P54" s="31"/>
      <c r="Q54" s="12">
        <f t="shared" si="2"/>
        <v>0</v>
      </c>
    </row>
    <row r="55" spans="1:18" s="13" customFormat="1" ht="15.75" x14ac:dyDescent="0.25">
      <c r="A55" s="10"/>
      <c r="B55" s="24" t="s">
        <v>492</v>
      </c>
      <c r="C55" s="1" t="s">
        <v>17</v>
      </c>
      <c r="D55" s="120"/>
      <c r="E55" s="3" t="s">
        <v>20</v>
      </c>
      <c r="F55" s="73" t="s">
        <v>499</v>
      </c>
      <c r="G55" s="11" t="s">
        <v>112</v>
      </c>
      <c r="H55" s="1">
        <v>2</v>
      </c>
      <c r="I55" s="49"/>
      <c r="J55" s="51"/>
      <c r="K55" s="40"/>
      <c r="L55" s="40"/>
      <c r="M55" s="78"/>
      <c r="N55" s="41"/>
      <c r="O55" s="31"/>
      <c r="P55" s="31"/>
      <c r="Q55" s="12"/>
    </row>
    <row r="56" spans="1:18" s="13" customFormat="1" ht="15.75" x14ac:dyDescent="0.25">
      <c r="A56" s="10"/>
      <c r="B56" s="27" t="s">
        <v>45</v>
      </c>
      <c r="C56" s="1" t="s">
        <v>17</v>
      </c>
      <c r="D56" s="120"/>
      <c r="E56" s="3" t="s">
        <v>20</v>
      </c>
      <c r="F56" s="73" t="s">
        <v>346</v>
      </c>
      <c r="G56" s="74" t="s">
        <v>112</v>
      </c>
      <c r="H56" s="75"/>
      <c r="I56" s="76"/>
      <c r="J56" s="96"/>
      <c r="K56" s="77"/>
      <c r="L56" s="77"/>
      <c r="M56" s="38">
        <f t="shared" si="1"/>
        <v>0</v>
      </c>
      <c r="N56" s="100">
        <f>1</f>
        <v>1</v>
      </c>
      <c r="O56" s="81">
        <f>17995.91+2729.8</f>
        <v>20725.71</v>
      </c>
      <c r="P56" s="81"/>
      <c r="Q56" s="79">
        <f t="shared" si="2"/>
        <v>20725.71</v>
      </c>
      <c r="R56" s="141"/>
    </row>
    <row r="57" spans="1:18" s="13" customFormat="1" ht="15.75" x14ac:dyDescent="0.25">
      <c r="A57" s="10"/>
      <c r="B57" s="25" t="s">
        <v>45</v>
      </c>
      <c r="C57" s="1" t="s">
        <v>17</v>
      </c>
      <c r="D57" s="120"/>
      <c r="E57" s="3" t="s">
        <v>20</v>
      </c>
      <c r="F57" s="73" t="s">
        <v>484</v>
      </c>
      <c r="G57" s="11" t="s">
        <v>114</v>
      </c>
      <c r="H57" s="1"/>
      <c r="I57" s="49"/>
      <c r="J57" s="51"/>
      <c r="K57" s="40"/>
      <c r="L57" s="40"/>
      <c r="M57" s="78">
        <f t="shared" si="1"/>
        <v>0</v>
      </c>
      <c r="N57" s="41"/>
      <c r="O57" s="31"/>
      <c r="P57" s="31"/>
      <c r="Q57" s="12">
        <f t="shared" si="2"/>
        <v>0</v>
      </c>
    </row>
    <row r="58" spans="1:18" s="15" customFormat="1" ht="15.75" x14ac:dyDescent="0.25">
      <c r="A58" s="14"/>
      <c r="B58" s="28" t="s">
        <v>46</v>
      </c>
      <c r="C58" s="1" t="s">
        <v>17</v>
      </c>
      <c r="D58" s="120"/>
      <c r="E58" s="3" t="s">
        <v>20</v>
      </c>
      <c r="F58" s="73" t="s">
        <v>347</v>
      </c>
      <c r="G58" s="74" t="s">
        <v>112</v>
      </c>
      <c r="H58" s="75">
        <v>5</v>
      </c>
      <c r="I58" s="76">
        <v>1</v>
      </c>
      <c r="J58" s="96">
        <f>1</f>
        <v>1</v>
      </c>
      <c r="K58" s="77">
        <f>1045.98</f>
        <v>1045.98</v>
      </c>
      <c r="L58" s="77"/>
      <c r="M58" s="38">
        <f t="shared" si="1"/>
        <v>1045.98</v>
      </c>
      <c r="N58" s="100">
        <f>4</f>
        <v>4</v>
      </c>
      <c r="O58" s="81">
        <f>10759.2</f>
        <v>10759.2</v>
      </c>
      <c r="P58" s="81"/>
      <c r="Q58" s="79">
        <f t="shared" si="2"/>
        <v>10759.2</v>
      </c>
      <c r="R58" s="141"/>
    </row>
    <row r="59" spans="1:18" s="15" customFormat="1" ht="15.75" x14ac:dyDescent="0.25">
      <c r="A59" s="14"/>
      <c r="B59" s="26" t="s">
        <v>46</v>
      </c>
      <c r="C59" s="1" t="s">
        <v>17</v>
      </c>
      <c r="D59" s="120"/>
      <c r="E59" s="3" t="s">
        <v>20</v>
      </c>
      <c r="F59" s="73" t="s">
        <v>273</v>
      </c>
      <c r="G59" s="11" t="s">
        <v>114</v>
      </c>
      <c r="H59" s="1">
        <v>1</v>
      </c>
      <c r="I59" s="49"/>
      <c r="J59" s="51"/>
      <c r="K59" s="40"/>
      <c r="L59" s="40"/>
      <c r="M59" s="78">
        <f t="shared" si="1"/>
        <v>0</v>
      </c>
      <c r="N59" s="42">
        <v>2</v>
      </c>
      <c r="O59" s="31">
        <v>8068.2</v>
      </c>
      <c r="P59" s="31">
        <f>4034.1</f>
        <v>4034.1</v>
      </c>
      <c r="Q59" s="12">
        <f t="shared" si="2"/>
        <v>4034.1</v>
      </c>
    </row>
    <row r="60" spans="1:18" s="13" customFormat="1" ht="47.25" x14ac:dyDescent="0.25">
      <c r="A60" s="10"/>
      <c r="B60" s="30" t="s">
        <v>47</v>
      </c>
      <c r="C60" s="1" t="s">
        <v>304</v>
      </c>
      <c r="D60" s="120" t="s">
        <v>474</v>
      </c>
      <c r="E60" s="3" t="s">
        <v>18</v>
      </c>
      <c r="F60" s="73" t="s">
        <v>348</v>
      </c>
      <c r="G60" s="74" t="s">
        <v>112</v>
      </c>
      <c r="H60" s="75">
        <v>10</v>
      </c>
      <c r="I60" s="76">
        <v>3</v>
      </c>
      <c r="J60" s="96">
        <f>1+1</f>
        <v>2</v>
      </c>
      <c r="K60" s="77">
        <f>1129.78+866.14</f>
        <v>1995.92</v>
      </c>
      <c r="L60" s="77"/>
      <c r="M60" s="38">
        <f t="shared" si="1"/>
        <v>1995.92</v>
      </c>
      <c r="N60" s="100">
        <f>7+3+4+10+6</f>
        <v>30</v>
      </c>
      <c r="O60" s="81">
        <f>8477.51+15159.83+14079.46+15414.2+17995.91</f>
        <v>71126.91</v>
      </c>
      <c r="P60" s="81"/>
      <c r="Q60" s="79">
        <f t="shared" si="2"/>
        <v>71126.91</v>
      </c>
      <c r="R60" s="141"/>
    </row>
    <row r="61" spans="1:18" s="13" customFormat="1" ht="47.25" x14ac:dyDescent="0.25">
      <c r="A61" s="10"/>
      <c r="B61" s="22" t="s">
        <v>120</v>
      </c>
      <c r="C61" s="1" t="s">
        <v>304</v>
      </c>
      <c r="D61" s="120" t="s">
        <v>474</v>
      </c>
      <c r="E61" s="3" t="s">
        <v>18</v>
      </c>
      <c r="F61" s="73" t="s">
        <v>334</v>
      </c>
      <c r="G61" s="11" t="s">
        <v>116</v>
      </c>
      <c r="H61" s="1">
        <v>14</v>
      </c>
      <c r="I61" s="53">
        <v>2</v>
      </c>
      <c r="J61" s="127">
        <v>2</v>
      </c>
      <c r="K61" s="40">
        <v>3170</v>
      </c>
      <c r="L61" s="40"/>
      <c r="M61" s="78">
        <f t="shared" si="1"/>
        <v>3170</v>
      </c>
      <c r="N61" s="41">
        <v>2</v>
      </c>
      <c r="O61" s="31">
        <v>27965</v>
      </c>
      <c r="P61" s="31"/>
      <c r="Q61" s="12">
        <f t="shared" si="2"/>
        <v>27965</v>
      </c>
    </row>
    <row r="62" spans="1:18" s="13" customFormat="1" ht="15.75" x14ac:dyDescent="0.25">
      <c r="A62" s="10"/>
      <c r="B62" s="30" t="s">
        <v>134</v>
      </c>
      <c r="C62" s="1" t="s">
        <v>17</v>
      </c>
      <c r="D62" s="120"/>
      <c r="E62" s="3" t="s">
        <v>20</v>
      </c>
      <c r="F62" s="73" t="s">
        <v>349</v>
      </c>
      <c r="G62" s="74" t="s">
        <v>112</v>
      </c>
      <c r="H62" s="75">
        <v>7</v>
      </c>
      <c r="I62" s="76">
        <v>2</v>
      </c>
      <c r="J62" s="96">
        <f>1</f>
        <v>1</v>
      </c>
      <c r="K62" s="77">
        <f>7301.48+1473.89</f>
        <v>8775.369999999999</v>
      </c>
      <c r="L62" s="77"/>
      <c r="M62" s="38">
        <f t="shared" si="1"/>
        <v>8775.369999999999</v>
      </c>
      <c r="N62" s="100">
        <f>4</f>
        <v>4</v>
      </c>
      <c r="O62" s="81">
        <f>5020.05+3215.31+12312.39</f>
        <v>20547.75</v>
      </c>
      <c r="P62" s="81"/>
      <c r="Q62" s="79">
        <f t="shared" si="2"/>
        <v>20547.75</v>
      </c>
      <c r="R62" s="141"/>
    </row>
    <row r="63" spans="1:18" s="13" customFormat="1" ht="15.75" x14ac:dyDescent="0.25">
      <c r="A63" s="10"/>
      <c r="B63" s="24" t="s">
        <v>134</v>
      </c>
      <c r="C63" s="1" t="s">
        <v>17</v>
      </c>
      <c r="D63" s="120"/>
      <c r="E63" s="3" t="s">
        <v>20</v>
      </c>
      <c r="F63" s="73" t="s">
        <v>456</v>
      </c>
      <c r="G63" s="11" t="s">
        <v>114</v>
      </c>
      <c r="H63" s="1">
        <v>12</v>
      </c>
      <c r="I63" s="49"/>
      <c r="J63" s="51"/>
      <c r="K63" s="40"/>
      <c r="L63" s="40"/>
      <c r="M63" s="78">
        <f t="shared" si="1"/>
        <v>0</v>
      </c>
      <c r="N63" s="41">
        <v>19</v>
      </c>
      <c r="O63" s="31">
        <v>16425.57</v>
      </c>
      <c r="P63" s="31">
        <f>3241.7</f>
        <v>3241.7</v>
      </c>
      <c r="Q63" s="12">
        <f t="shared" si="2"/>
        <v>13183.869999999999</v>
      </c>
    </row>
    <row r="64" spans="1:18" s="13" customFormat="1" ht="15.75" x14ac:dyDescent="0.25">
      <c r="A64" s="10"/>
      <c r="B64" s="62" t="s">
        <v>48</v>
      </c>
      <c r="C64" s="1" t="s">
        <v>17</v>
      </c>
      <c r="D64" s="120"/>
      <c r="E64" s="3" t="s">
        <v>20</v>
      </c>
      <c r="F64" s="73" t="s">
        <v>350</v>
      </c>
      <c r="G64" s="74" t="s">
        <v>112</v>
      </c>
      <c r="H64" s="75">
        <v>5</v>
      </c>
      <c r="I64" s="76">
        <v>2</v>
      </c>
      <c r="J64" s="96">
        <f>1</f>
        <v>1</v>
      </c>
      <c r="K64" s="77">
        <f>4805.96</f>
        <v>4805.96</v>
      </c>
      <c r="L64" s="77"/>
      <c r="M64" s="38">
        <f t="shared" si="1"/>
        <v>4805.96</v>
      </c>
      <c r="N64" s="100">
        <f>2+1</f>
        <v>3</v>
      </c>
      <c r="O64" s="81">
        <f>23174.33+2535.72+11633.02</f>
        <v>37343.070000000007</v>
      </c>
      <c r="P64" s="81"/>
      <c r="Q64" s="79">
        <f t="shared" si="2"/>
        <v>37343.070000000007</v>
      </c>
      <c r="R64" s="141"/>
    </row>
    <row r="65" spans="1:18" s="13" customFormat="1" ht="15.75" x14ac:dyDescent="0.25">
      <c r="A65" s="10"/>
      <c r="B65" s="62" t="s">
        <v>49</v>
      </c>
      <c r="C65" s="1" t="s">
        <v>17</v>
      </c>
      <c r="D65" s="120"/>
      <c r="E65" s="3" t="s">
        <v>50</v>
      </c>
      <c r="F65" s="73" t="s">
        <v>351</v>
      </c>
      <c r="G65" s="74" t="s">
        <v>112</v>
      </c>
      <c r="H65" s="75">
        <v>7</v>
      </c>
      <c r="I65" s="76"/>
      <c r="J65" s="96"/>
      <c r="K65" s="77"/>
      <c r="L65" s="77"/>
      <c r="M65" s="78">
        <f t="shared" si="1"/>
        <v>0</v>
      </c>
      <c r="N65" s="100">
        <f>5+1+3</f>
        <v>9</v>
      </c>
      <c r="O65" s="81">
        <f>7374+1806.93+7275.53+4666.9</f>
        <v>21123.360000000001</v>
      </c>
      <c r="P65" s="81">
        <f>7374</f>
        <v>7374</v>
      </c>
      <c r="Q65" s="12">
        <f t="shared" si="2"/>
        <v>13749.36</v>
      </c>
      <c r="R65" s="141"/>
    </row>
    <row r="66" spans="1:18" s="13" customFormat="1" ht="15.75" x14ac:dyDescent="0.25">
      <c r="A66" s="10"/>
      <c r="B66" s="22" t="s">
        <v>49</v>
      </c>
      <c r="C66" s="1" t="s">
        <v>17</v>
      </c>
      <c r="D66" s="120"/>
      <c r="E66" s="3" t="s">
        <v>50</v>
      </c>
      <c r="F66" s="73" t="s">
        <v>427</v>
      </c>
      <c r="G66" s="11" t="s">
        <v>115</v>
      </c>
      <c r="H66" s="1">
        <v>4</v>
      </c>
      <c r="I66" s="49"/>
      <c r="J66" s="46"/>
      <c r="K66" s="40"/>
      <c r="L66" s="40"/>
      <c r="M66" s="38">
        <f t="shared" si="1"/>
        <v>0</v>
      </c>
      <c r="N66" s="41">
        <v>7</v>
      </c>
      <c r="O66" s="31">
        <v>9893.2000000000007</v>
      </c>
      <c r="P66" s="31"/>
      <c r="Q66" s="79">
        <f t="shared" si="2"/>
        <v>9893.2000000000007</v>
      </c>
    </row>
    <row r="67" spans="1:18" s="13" customFormat="1" ht="15.75" x14ac:dyDescent="0.25">
      <c r="A67" s="10"/>
      <c r="B67" s="27" t="s">
        <v>51</v>
      </c>
      <c r="C67" s="1" t="s">
        <v>17</v>
      </c>
      <c r="D67" s="120"/>
      <c r="E67" s="3" t="s">
        <v>20</v>
      </c>
      <c r="F67" s="73" t="s">
        <v>186</v>
      </c>
      <c r="G67" s="74" t="s">
        <v>112</v>
      </c>
      <c r="H67" s="75"/>
      <c r="I67" s="76"/>
      <c r="J67" s="96"/>
      <c r="K67" s="77"/>
      <c r="L67" s="77"/>
      <c r="M67" s="78">
        <f t="shared" si="1"/>
        <v>0</v>
      </c>
      <c r="N67" s="100">
        <f>1</f>
        <v>1</v>
      </c>
      <c r="O67" s="81">
        <v>2451.87</v>
      </c>
      <c r="P67" s="81"/>
      <c r="Q67" s="12">
        <f t="shared" si="2"/>
        <v>2451.87</v>
      </c>
      <c r="R67" s="141"/>
    </row>
    <row r="68" spans="1:18" s="13" customFormat="1" ht="15.75" x14ac:dyDescent="0.25">
      <c r="A68" s="10"/>
      <c r="B68" s="27" t="s">
        <v>51</v>
      </c>
      <c r="C68" s="1" t="s">
        <v>17</v>
      </c>
      <c r="D68" s="120"/>
      <c r="E68" s="3" t="s">
        <v>20</v>
      </c>
      <c r="F68" s="73" t="s">
        <v>276</v>
      </c>
      <c r="G68" s="11" t="s">
        <v>114</v>
      </c>
      <c r="H68" s="1"/>
      <c r="I68" s="49"/>
      <c r="J68" s="51"/>
      <c r="K68" s="40"/>
      <c r="L68" s="40"/>
      <c r="M68" s="38">
        <f t="shared" si="1"/>
        <v>0</v>
      </c>
      <c r="N68" s="41">
        <v>3</v>
      </c>
      <c r="O68" s="31">
        <v>6763.6</v>
      </c>
      <c r="P68" s="31">
        <v>3497.9</v>
      </c>
      <c r="Q68" s="79">
        <f t="shared" si="2"/>
        <v>3265.7000000000003</v>
      </c>
    </row>
    <row r="69" spans="1:18" s="13" customFormat="1" ht="15.75" x14ac:dyDescent="0.25">
      <c r="A69" s="10"/>
      <c r="B69" s="62" t="s">
        <v>52</v>
      </c>
      <c r="C69" s="1" t="s">
        <v>17</v>
      </c>
      <c r="D69" s="120"/>
      <c r="E69" s="3" t="s">
        <v>20</v>
      </c>
      <c r="F69" s="73" t="s">
        <v>352</v>
      </c>
      <c r="G69" s="74" t="s">
        <v>112</v>
      </c>
      <c r="H69" s="75">
        <v>3</v>
      </c>
      <c r="I69" s="76"/>
      <c r="J69" s="96"/>
      <c r="K69" s="77"/>
      <c r="L69" s="77"/>
      <c r="M69" s="78">
        <f t="shared" si="1"/>
        <v>0</v>
      </c>
      <c r="N69" s="100">
        <f>4+3+1+1</f>
        <v>9</v>
      </c>
      <c r="O69" s="81">
        <f>5977.15+48296.91+7596.86+1061.83</f>
        <v>62932.750000000007</v>
      </c>
      <c r="P69" s="81"/>
      <c r="Q69" s="12">
        <f t="shared" si="2"/>
        <v>62932.750000000007</v>
      </c>
      <c r="R69" s="141"/>
    </row>
    <row r="70" spans="1:18" s="13" customFormat="1" ht="15.75" x14ac:dyDescent="0.25">
      <c r="A70" s="10"/>
      <c r="B70" s="22" t="s">
        <v>52</v>
      </c>
      <c r="C70" s="1" t="s">
        <v>17</v>
      </c>
      <c r="D70" s="120"/>
      <c r="E70" s="3" t="s">
        <v>20</v>
      </c>
      <c r="F70" s="73" t="s">
        <v>457</v>
      </c>
      <c r="G70" s="11" t="s">
        <v>114</v>
      </c>
      <c r="H70" s="1">
        <v>4</v>
      </c>
      <c r="I70" s="49"/>
      <c r="J70" s="51"/>
      <c r="K70" s="40"/>
      <c r="L70" s="40"/>
      <c r="M70" s="38">
        <f t="shared" si="1"/>
        <v>0</v>
      </c>
      <c r="N70" s="41">
        <v>12</v>
      </c>
      <c r="O70" s="31">
        <v>19664.86</v>
      </c>
      <c r="P70" s="31">
        <f>3328.16</f>
        <v>3328.16</v>
      </c>
      <c r="Q70" s="79">
        <f t="shared" si="2"/>
        <v>16336.7</v>
      </c>
    </row>
    <row r="71" spans="1:18" s="13" customFormat="1" ht="15.75" x14ac:dyDescent="0.25">
      <c r="A71" s="10"/>
      <c r="B71" s="27" t="s">
        <v>53</v>
      </c>
      <c r="C71" s="1" t="s">
        <v>17</v>
      </c>
      <c r="D71" s="120"/>
      <c r="E71" s="3" t="s">
        <v>20</v>
      </c>
      <c r="F71" s="73" t="s">
        <v>353</v>
      </c>
      <c r="G71" s="74" t="s">
        <v>112</v>
      </c>
      <c r="H71" s="75">
        <v>5</v>
      </c>
      <c r="I71" s="76"/>
      <c r="J71" s="96"/>
      <c r="K71" s="77"/>
      <c r="L71" s="77"/>
      <c r="M71" s="78">
        <f>K71-L71</f>
        <v>0</v>
      </c>
      <c r="N71" s="100">
        <f>1+2+2</f>
        <v>5</v>
      </c>
      <c r="O71" s="81">
        <f>1743.3+3921.71+422.62</f>
        <v>6087.63</v>
      </c>
      <c r="P71" s="81">
        <f>422.62</f>
        <v>422.62</v>
      </c>
      <c r="Q71" s="12">
        <f t="shared" si="2"/>
        <v>5665.01</v>
      </c>
      <c r="R71" s="141"/>
    </row>
    <row r="72" spans="1:18" s="13" customFormat="1" ht="15.75" x14ac:dyDescent="0.25">
      <c r="A72" s="10"/>
      <c r="B72" s="27" t="s">
        <v>149</v>
      </c>
      <c r="C72" s="1" t="s">
        <v>17</v>
      </c>
      <c r="D72" s="120"/>
      <c r="E72" s="3" t="s">
        <v>383</v>
      </c>
      <c r="F72" s="73" t="s">
        <v>354</v>
      </c>
      <c r="G72" s="74" t="s">
        <v>112</v>
      </c>
      <c r="H72" s="75">
        <v>12</v>
      </c>
      <c r="I72" s="76"/>
      <c r="J72" s="96"/>
      <c r="K72" s="77"/>
      <c r="L72" s="77"/>
      <c r="M72" s="38">
        <f t="shared" si="1"/>
        <v>0</v>
      </c>
      <c r="N72" s="100">
        <f>2+2</f>
        <v>4</v>
      </c>
      <c r="O72" s="81">
        <f>3676.8+3431.65</f>
        <v>7108.4500000000007</v>
      </c>
      <c r="P72" s="81"/>
      <c r="Q72" s="79">
        <f t="shared" si="2"/>
        <v>7108.4500000000007</v>
      </c>
      <c r="R72" s="141"/>
    </row>
    <row r="73" spans="1:18" s="13" customFormat="1" ht="15.75" x14ac:dyDescent="0.25">
      <c r="A73" s="10"/>
      <c r="B73" s="25" t="s">
        <v>149</v>
      </c>
      <c r="C73" s="1" t="s">
        <v>17</v>
      </c>
      <c r="D73" s="120"/>
      <c r="E73" s="3" t="s">
        <v>383</v>
      </c>
      <c r="F73" s="73" t="s">
        <v>438</v>
      </c>
      <c r="G73" s="11" t="s">
        <v>118</v>
      </c>
      <c r="H73" s="1">
        <v>3</v>
      </c>
      <c r="I73" s="47"/>
      <c r="J73" s="51"/>
      <c r="K73" s="37"/>
      <c r="L73" s="37"/>
      <c r="M73" s="78">
        <f t="shared" si="1"/>
        <v>0</v>
      </c>
      <c r="N73" s="39">
        <v>3</v>
      </c>
      <c r="O73" s="31">
        <v>4994.6000000000004</v>
      </c>
      <c r="P73" s="31"/>
      <c r="Q73" s="12">
        <f t="shared" si="2"/>
        <v>4994.6000000000004</v>
      </c>
    </row>
    <row r="74" spans="1:18" s="13" customFormat="1" ht="15.75" x14ac:dyDescent="0.25">
      <c r="A74" s="10"/>
      <c r="B74" s="62" t="s">
        <v>107</v>
      </c>
      <c r="C74" s="1" t="s">
        <v>17</v>
      </c>
      <c r="D74" s="120"/>
      <c r="E74" s="17" t="s">
        <v>20</v>
      </c>
      <c r="F74" s="73" t="s">
        <v>355</v>
      </c>
      <c r="G74" s="74" t="s">
        <v>112</v>
      </c>
      <c r="H74" s="75">
        <v>4</v>
      </c>
      <c r="I74" s="76"/>
      <c r="J74" s="96">
        <f>1</f>
        <v>1</v>
      </c>
      <c r="K74" s="77">
        <f>666.63</f>
        <v>666.63</v>
      </c>
      <c r="L74" s="77"/>
      <c r="M74" s="38">
        <f t="shared" si="1"/>
        <v>666.63</v>
      </c>
      <c r="N74" s="100">
        <f>2+6</f>
        <v>8</v>
      </c>
      <c r="O74" s="81">
        <f>7612.92+18804.48+9163.33</f>
        <v>35580.730000000003</v>
      </c>
      <c r="P74" s="81"/>
      <c r="Q74" s="79">
        <f t="shared" si="2"/>
        <v>35580.730000000003</v>
      </c>
      <c r="R74" s="141"/>
    </row>
    <row r="75" spans="1:18" s="13" customFormat="1" ht="15.75" x14ac:dyDescent="0.25">
      <c r="A75" s="10"/>
      <c r="B75" s="30" t="s">
        <v>54</v>
      </c>
      <c r="C75" s="1" t="s">
        <v>17</v>
      </c>
      <c r="D75" s="120"/>
      <c r="E75" s="17" t="s">
        <v>20</v>
      </c>
      <c r="F75" s="73" t="s">
        <v>356</v>
      </c>
      <c r="G75" s="74" t="s">
        <v>112</v>
      </c>
      <c r="H75" s="75"/>
      <c r="I75" s="76"/>
      <c r="J75" s="96"/>
      <c r="K75" s="77"/>
      <c r="L75" s="77"/>
      <c r="M75" s="38">
        <f t="shared" si="1"/>
        <v>0</v>
      </c>
      <c r="N75" s="100">
        <f>4</f>
        <v>4</v>
      </c>
      <c r="O75" s="81">
        <f>17895.28</f>
        <v>17895.28</v>
      </c>
      <c r="P75" s="81"/>
      <c r="Q75" s="79">
        <f t="shared" si="2"/>
        <v>17895.28</v>
      </c>
      <c r="R75" s="141"/>
    </row>
    <row r="76" spans="1:18" s="13" customFormat="1" ht="31.5" x14ac:dyDescent="0.25">
      <c r="A76" s="10"/>
      <c r="B76" s="27" t="s">
        <v>55</v>
      </c>
      <c r="C76" s="1" t="s">
        <v>304</v>
      </c>
      <c r="D76" s="120" t="s">
        <v>387</v>
      </c>
      <c r="E76" s="3" t="s">
        <v>20</v>
      </c>
      <c r="F76" s="73" t="s">
        <v>357</v>
      </c>
      <c r="G76" s="74" t="s">
        <v>112</v>
      </c>
      <c r="H76" s="75">
        <v>8</v>
      </c>
      <c r="I76" s="76">
        <v>2</v>
      </c>
      <c r="J76" s="96"/>
      <c r="K76" s="77">
        <f>1267.86</f>
        <v>1267.8599999999999</v>
      </c>
      <c r="L76" s="77"/>
      <c r="M76" s="78">
        <f t="shared" si="1"/>
        <v>1267.8599999999999</v>
      </c>
      <c r="N76" s="100">
        <f>2+1+2</f>
        <v>5</v>
      </c>
      <c r="O76" s="81">
        <f>34854.19+2113.1+6430.67</f>
        <v>43397.96</v>
      </c>
      <c r="P76" s="81">
        <f>34854.19</f>
        <v>34854.19</v>
      </c>
      <c r="Q76" s="12">
        <f t="shared" si="2"/>
        <v>8543.7699999999968</v>
      </c>
      <c r="R76" s="141"/>
    </row>
    <row r="77" spans="1:18" s="13" customFormat="1" ht="31.5" x14ac:dyDescent="0.25">
      <c r="A77" s="10"/>
      <c r="B77" s="62" t="s">
        <v>56</v>
      </c>
      <c r="C77" s="1" t="s">
        <v>17</v>
      </c>
      <c r="D77" s="120" t="s">
        <v>386</v>
      </c>
      <c r="E77" s="3" t="s">
        <v>18</v>
      </c>
      <c r="F77" s="73" t="s">
        <v>358</v>
      </c>
      <c r="G77" s="74" t="s">
        <v>112</v>
      </c>
      <c r="H77" s="75">
        <v>2</v>
      </c>
      <c r="I77" s="76">
        <v>1</v>
      </c>
      <c r="J77" s="96">
        <f>1</f>
        <v>1</v>
      </c>
      <c r="K77" s="77">
        <f>678.11</f>
        <v>678.11</v>
      </c>
      <c r="L77" s="77"/>
      <c r="M77" s="38">
        <f t="shared" si="1"/>
        <v>678.11</v>
      </c>
      <c r="N77" s="100"/>
      <c r="O77" s="81"/>
      <c r="P77" s="81"/>
      <c r="Q77" s="79">
        <f t="shared" si="2"/>
        <v>0</v>
      </c>
      <c r="R77" s="141"/>
    </row>
    <row r="78" spans="1:18" s="13" customFormat="1" ht="31.5" x14ac:dyDescent="0.25">
      <c r="A78" s="10"/>
      <c r="B78" s="22" t="s">
        <v>56</v>
      </c>
      <c r="C78" s="1" t="s">
        <v>304</v>
      </c>
      <c r="D78" s="120" t="s">
        <v>386</v>
      </c>
      <c r="E78" s="3" t="s">
        <v>18</v>
      </c>
      <c r="F78" s="73" t="s">
        <v>476</v>
      </c>
      <c r="G78" s="11" t="s">
        <v>113</v>
      </c>
      <c r="H78" s="1">
        <v>1</v>
      </c>
      <c r="I78" s="49"/>
      <c r="J78" s="46"/>
      <c r="K78" s="40"/>
      <c r="L78" s="40"/>
      <c r="M78" s="78">
        <f t="shared" si="1"/>
        <v>0</v>
      </c>
      <c r="N78" s="41"/>
      <c r="O78" s="31">
        <v>7612</v>
      </c>
      <c r="P78" s="31"/>
      <c r="Q78" s="12">
        <f t="shared" ref="Q78:Q145" si="3">O78-P78</f>
        <v>7612</v>
      </c>
    </row>
    <row r="79" spans="1:18" s="13" customFormat="1" ht="15.75" x14ac:dyDescent="0.25">
      <c r="A79" s="10"/>
      <c r="B79" s="62" t="s">
        <v>156</v>
      </c>
      <c r="C79" s="1" t="s">
        <v>304</v>
      </c>
      <c r="D79" s="120"/>
      <c r="E79" s="3" t="s">
        <v>20</v>
      </c>
      <c r="F79" s="73" t="s">
        <v>359</v>
      </c>
      <c r="G79" s="74" t="s">
        <v>112</v>
      </c>
      <c r="H79" s="75">
        <v>3</v>
      </c>
      <c r="I79" s="76"/>
      <c r="J79" s="96"/>
      <c r="K79" s="77"/>
      <c r="L79" s="77"/>
      <c r="M79" s="38">
        <f t="shared" si="1"/>
        <v>0</v>
      </c>
      <c r="N79" s="100">
        <f>3</f>
        <v>3</v>
      </c>
      <c r="O79" s="81">
        <f>5488.54+2398.37</f>
        <v>7886.91</v>
      </c>
      <c r="P79" s="81"/>
      <c r="Q79" s="79">
        <f t="shared" si="3"/>
        <v>7886.91</v>
      </c>
      <c r="R79" s="141"/>
    </row>
    <row r="80" spans="1:18" s="15" customFormat="1" ht="15.75" x14ac:dyDescent="0.25">
      <c r="A80" s="14"/>
      <c r="B80" s="80" t="s">
        <v>57</v>
      </c>
      <c r="C80" s="1" t="s">
        <v>17</v>
      </c>
      <c r="D80" s="120"/>
      <c r="E80" s="3" t="s">
        <v>20</v>
      </c>
      <c r="F80" s="73" t="s">
        <v>360</v>
      </c>
      <c r="G80" s="74" t="s">
        <v>112</v>
      </c>
      <c r="H80" s="75">
        <v>3</v>
      </c>
      <c r="I80" s="76"/>
      <c r="J80" s="96"/>
      <c r="K80" s="77"/>
      <c r="L80" s="77"/>
      <c r="M80" s="78">
        <f t="shared" si="1"/>
        <v>0</v>
      </c>
      <c r="N80" s="100">
        <f>2</f>
        <v>2</v>
      </c>
      <c r="O80" s="81">
        <f>2745.3</f>
        <v>2745.3</v>
      </c>
      <c r="P80" s="81"/>
      <c r="Q80" s="12">
        <f t="shared" si="3"/>
        <v>2745.3</v>
      </c>
      <c r="R80" s="141"/>
    </row>
    <row r="81" spans="1:18" s="15" customFormat="1" ht="15.75" x14ac:dyDescent="0.25">
      <c r="A81" s="14"/>
      <c r="B81" s="23" t="s">
        <v>57</v>
      </c>
      <c r="C81" s="1" t="s">
        <v>17</v>
      </c>
      <c r="D81" s="120"/>
      <c r="E81" s="3" t="s">
        <v>20</v>
      </c>
      <c r="F81" s="73" t="s">
        <v>458</v>
      </c>
      <c r="G81" s="11" t="s">
        <v>114</v>
      </c>
      <c r="H81" s="1">
        <v>11</v>
      </c>
      <c r="I81" s="49">
        <v>1</v>
      </c>
      <c r="J81" s="51">
        <v>1</v>
      </c>
      <c r="K81" s="40"/>
      <c r="L81" s="40"/>
      <c r="M81" s="38">
        <f t="shared" si="1"/>
        <v>0</v>
      </c>
      <c r="N81" s="42">
        <v>7</v>
      </c>
      <c r="O81" s="31"/>
      <c r="P81" s="31"/>
      <c r="Q81" s="79">
        <f t="shared" si="3"/>
        <v>0</v>
      </c>
    </row>
    <row r="82" spans="1:18" s="13" customFormat="1" ht="15.75" x14ac:dyDescent="0.25">
      <c r="A82" s="10"/>
      <c r="B82" s="62" t="s">
        <v>58</v>
      </c>
      <c r="C82" s="1" t="s">
        <v>17</v>
      </c>
      <c r="D82" s="120"/>
      <c r="E82" s="3" t="s">
        <v>20</v>
      </c>
      <c r="F82" s="73" t="s">
        <v>361</v>
      </c>
      <c r="G82" s="74" t="s">
        <v>112</v>
      </c>
      <c r="H82" s="75">
        <v>1</v>
      </c>
      <c r="I82" s="76"/>
      <c r="J82" s="96"/>
      <c r="K82" s="77"/>
      <c r="L82" s="77"/>
      <c r="M82" s="78">
        <f t="shared" si="1"/>
        <v>0</v>
      </c>
      <c r="N82" s="100">
        <f>1+1</f>
        <v>2</v>
      </c>
      <c r="O82" s="81">
        <f>9196.24+2480.78</f>
        <v>11677.02</v>
      </c>
      <c r="P82" s="81"/>
      <c r="Q82" s="12">
        <f t="shared" si="3"/>
        <v>11677.02</v>
      </c>
      <c r="R82" s="141"/>
    </row>
    <row r="83" spans="1:18" s="13" customFormat="1" ht="15.75" x14ac:dyDescent="0.25">
      <c r="A83" s="10"/>
      <c r="B83" s="22" t="s">
        <v>58</v>
      </c>
      <c r="C83" s="1" t="s">
        <v>17</v>
      </c>
      <c r="D83" s="120"/>
      <c r="E83" s="3" t="s">
        <v>20</v>
      </c>
      <c r="F83" s="73" t="s">
        <v>478</v>
      </c>
      <c r="G83" s="11" t="s">
        <v>114</v>
      </c>
      <c r="H83" s="1">
        <v>2</v>
      </c>
      <c r="I83" s="49"/>
      <c r="J83" s="51"/>
      <c r="K83" s="40"/>
      <c r="L83" s="40"/>
      <c r="M83" s="38">
        <f t="shared" ref="M83:M155" si="4">K83-L83</f>
        <v>0</v>
      </c>
      <c r="N83" s="41">
        <v>15</v>
      </c>
      <c r="O83" s="31">
        <v>23095.57</v>
      </c>
      <c r="P83" s="31">
        <f>4035.73</f>
        <v>4035.73</v>
      </c>
      <c r="Q83" s="79">
        <f t="shared" si="3"/>
        <v>19059.84</v>
      </c>
    </row>
    <row r="84" spans="1:18" s="13" customFormat="1" ht="15.75" x14ac:dyDescent="0.25">
      <c r="A84" s="10"/>
      <c r="B84" s="62" t="s">
        <v>59</v>
      </c>
      <c r="C84" s="1" t="s">
        <v>17</v>
      </c>
      <c r="D84" s="120"/>
      <c r="E84" s="3" t="s">
        <v>20</v>
      </c>
      <c r="F84" s="73" t="s">
        <v>362</v>
      </c>
      <c r="G84" s="74" t="s">
        <v>112</v>
      </c>
      <c r="H84" s="75">
        <v>3</v>
      </c>
      <c r="I84" s="76">
        <v>3</v>
      </c>
      <c r="J84" s="96">
        <f>1+1+1</f>
        <v>3</v>
      </c>
      <c r="K84" s="77">
        <f>403.41</f>
        <v>403.41</v>
      </c>
      <c r="L84" s="77"/>
      <c r="M84" s="78">
        <f t="shared" si="4"/>
        <v>403.41</v>
      </c>
      <c r="N84" s="100">
        <f>1+2+2+1</f>
        <v>6</v>
      </c>
      <c r="O84" s="81">
        <f>6646.05+1267.86+979.71</f>
        <v>8893.619999999999</v>
      </c>
      <c r="P84" s="81"/>
      <c r="Q84" s="12">
        <f t="shared" si="3"/>
        <v>8893.619999999999</v>
      </c>
      <c r="R84" s="141"/>
    </row>
    <row r="85" spans="1:18" s="13" customFormat="1" ht="15.75" x14ac:dyDescent="0.25">
      <c r="A85" s="10"/>
      <c r="B85" s="22" t="s">
        <v>59</v>
      </c>
      <c r="C85" s="1" t="s">
        <v>17</v>
      </c>
      <c r="D85" s="120"/>
      <c r="E85" s="3" t="s">
        <v>20</v>
      </c>
      <c r="F85" s="73" t="s">
        <v>128</v>
      </c>
      <c r="G85" s="11" t="s">
        <v>114</v>
      </c>
      <c r="H85" s="1"/>
      <c r="I85" s="49"/>
      <c r="J85" s="51"/>
      <c r="K85" s="40"/>
      <c r="L85" s="40"/>
      <c r="M85" s="38">
        <f t="shared" si="4"/>
        <v>0</v>
      </c>
      <c r="N85" s="41"/>
      <c r="O85" s="31"/>
      <c r="P85" s="31"/>
      <c r="Q85" s="79">
        <f t="shared" si="3"/>
        <v>0</v>
      </c>
    </row>
    <row r="86" spans="1:18" s="13" customFormat="1" ht="15.75" x14ac:dyDescent="0.25">
      <c r="A86" s="10"/>
      <c r="B86" s="27" t="s">
        <v>60</v>
      </c>
      <c r="C86" s="1" t="s">
        <v>17</v>
      </c>
      <c r="D86" s="120"/>
      <c r="E86" s="3" t="s">
        <v>20</v>
      </c>
      <c r="F86" s="73" t="s">
        <v>364</v>
      </c>
      <c r="G86" s="74" t="s">
        <v>112</v>
      </c>
      <c r="H86" s="75">
        <v>4</v>
      </c>
      <c r="I86" s="76">
        <v>1</v>
      </c>
      <c r="J86" s="96">
        <f>1</f>
        <v>1</v>
      </c>
      <c r="K86" s="77">
        <f>634.93</f>
        <v>634.92999999999995</v>
      </c>
      <c r="L86" s="77"/>
      <c r="M86" s="78">
        <f t="shared" si="4"/>
        <v>634.92999999999995</v>
      </c>
      <c r="N86" s="100">
        <f>4+1</f>
        <v>5</v>
      </c>
      <c r="O86" s="81">
        <f>15124.53+2065.75</f>
        <v>17190.28</v>
      </c>
      <c r="P86" s="81"/>
      <c r="Q86" s="12">
        <f t="shared" si="3"/>
        <v>17190.28</v>
      </c>
      <c r="R86" s="141"/>
    </row>
    <row r="87" spans="1:18" s="13" customFormat="1" ht="15.75" x14ac:dyDescent="0.25">
      <c r="A87" s="10"/>
      <c r="B87" s="25" t="s">
        <v>60</v>
      </c>
      <c r="C87" s="1" t="s">
        <v>17</v>
      </c>
      <c r="D87" s="120"/>
      <c r="E87" s="3" t="s">
        <v>20</v>
      </c>
      <c r="F87" s="73" t="s">
        <v>479</v>
      </c>
      <c r="G87" s="11" t="s">
        <v>114</v>
      </c>
      <c r="H87" s="1">
        <v>3</v>
      </c>
      <c r="I87" s="49"/>
      <c r="J87" s="51"/>
      <c r="K87" s="40"/>
      <c r="L87" s="40"/>
      <c r="M87" s="38">
        <f t="shared" si="4"/>
        <v>0</v>
      </c>
      <c r="N87" s="41">
        <v>7</v>
      </c>
      <c r="O87" s="31">
        <v>6259.4</v>
      </c>
      <c r="P87" s="31">
        <f>2945.6</f>
        <v>2945.6</v>
      </c>
      <c r="Q87" s="79">
        <f t="shared" si="3"/>
        <v>3313.7999999999997</v>
      </c>
    </row>
    <row r="88" spans="1:18" s="13" customFormat="1" ht="15.75" x14ac:dyDescent="0.25">
      <c r="A88" s="10"/>
      <c r="B88" s="25" t="s">
        <v>493</v>
      </c>
      <c r="C88" s="1" t="s">
        <v>17</v>
      </c>
      <c r="D88" s="120"/>
      <c r="E88" s="3" t="s">
        <v>20</v>
      </c>
      <c r="F88" s="73" t="s">
        <v>496</v>
      </c>
      <c r="G88" s="11" t="s">
        <v>112</v>
      </c>
      <c r="H88" s="1">
        <v>2</v>
      </c>
      <c r="I88" s="49"/>
      <c r="J88" s="51"/>
      <c r="K88" s="40"/>
      <c r="L88" s="40"/>
      <c r="M88" s="38"/>
      <c r="N88" s="41"/>
      <c r="O88" s="31"/>
      <c r="P88" s="31"/>
      <c r="Q88" s="79"/>
    </row>
    <row r="89" spans="1:18" s="15" customFormat="1" ht="15.75" x14ac:dyDescent="0.25">
      <c r="A89" s="14"/>
      <c r="B89" s="28" t="s">
        <v>61</v>
      </c>
      <c r="C89" s="1" t="s">
        <v>17</v>
      </c>
      <c r="D89" s="120"/>
      <c r="E89" s="3" t="s">
        <v>20</v>
      </c>
      <c r="F89" s="73" t="s">
        <v>363</v>
      </c>
      <c r="G89" s="74" t="s">
        <v>112</v>
      </c>
      <c r="H89" s="75"/>
      <c r="I89" s="76"/>
      <c r="J89" s="96"/>
      <c r="K89" s="77"/>
      <c r="L89" s="77"/>
      <c r="M89" s="78">
        <f t="shared" si="4"/>
        <v>0</v>
      </c>
      <c r="N89" s="100"/>
      <c r="O89" s="81"/>
      <c r="P89" s="81"/>
      <c r="Q89" s="12">
        <f t="shared" si="3"/>
        <v>0</v>
      </c>
      <c r="R89" s="141"/>
    </row>
    <row r="90" spans="1:18" s="15" customFormat="1" ht="15.75" x14ac:dyDescent="0.25">
      <c r="A90" s="14"/>
      <c r="B90" s="26" t="s">
        <v>61</v>
      </c>
      <c r="C90" s="1" t="s">
        <v>17</v>
      </c>
      <c r="D90" s="120"/>
      <c r="E90" s="3" t="s">
        <v>20</v>
      </c>
      <c r="F90" s="73" t="s">
        <v>121</v>
      </c>
      <c r="G90" s="11" t="s">
        <v>114</v>
      </c>
      <c r="H90" s="1"/>
      <c r="I90" s="49"/>
      <c r="J90" s="51"/>
      <c r="K90" s="40"/>
      <c r="L90" s="40"/>
      <c r="M90" s="38">
        <f t="shared" si="4"/>
        <v>0</v>
      </c>
      <c r="N90" s="42"/>
      <c r="O90" s="31"/>
      <c r="P90" s="31"/>
      <c r="Q90" s="79">
        <f t="shared" si="3"/>
        <v>0</v>
      </c>
    </row>
    <row r="91" spans="1:18" s="15" customFormat="1" ht="15.75" x14ac:dyDescent="0.25">
      <c r="A91" s="14"/>
      <c r="B91" s="20" t="s">
        <v>306</v>
      </c>
      <c r="C91" s="1" t="s">
        <v>17</v>
      </c>
      <c r="D91" s="120"/>
      <c r="E91" s="3" t="s">
        <v>35</v>
      </c>
      <c r="F91" s="73" t="s">
        <v>365</v>
      </c>
      <c r="G91" s="11" t="s">
        <v>112</v>
      </c>
      <c r="H91" s="1">
        <v>12</v>
      </c>
      <c r="I91" s="58">
        <v>3</v>
      </c>
      <c r="J91" s="51">
        <f>1+2</f>
        <v>3</v>
      </c>
      <c r="K91" s="40">
        <f>1045.98+2658.7</f>
        <v>3704.68</v>
      </c>
      <c r="L91" s="40"/>
      <c r="M91" s="78">
        <f t="shared" si="4"/>
        <v>3704.68</v>
      </c>
      <c r="N91" s="39">
        <f>7+2+2</f>
        <v>11</v>
      </c>
      <c r="O91" s="31">
        <f>2313.84+6162.57+2330.32</f>
        <v>10806.73</v>
      </c>
      <c r="P91" s="31">
        <f>2313.84</f>
        <v>2313.84</v>
      </c>
      <c r="Q91" s="12">
        <f t="shared" si="3"/>
        <v>8492.89</v>
      </c>
      <c r="R91" s="141"/>
    </row>
    <row r="92" spans="1:18" s="13" customFormat="1" ht="15.75" x14ac:dyDescent="0.25">
      <c r="A92" s="10"/>
      <c r="B92" s="22" t="s">
        <v>306</v>
      </c>
      <c r="C92" s="1" t="s">
        <v>17</v>
      </c>
      <c r="D92" s="120"/>
      <c r="E92" s="3" t="s">
        <v>27</v>
      </c>
      <c r="F92" s="73" t="s">
        <v>421</v>
      </c>
      <c r="G92" s="11" t="s">
        <v>117</v>
      </c>
      <c r="H92" s="1">
        <v>2</v>
      </c>
      <c r="I92" s="49"/>
      <c r="J92" s="46"/>
      <c r="K92" s="40"/>
      <c r="L92" s="40"/>
      <c r="M92" s="78">
        <f>K92-L92</f>
        <v>0</v>
      </c>
      <c r="N92" s="41"/>
      <c r="O92" s="40"/>
      <c r="P92" s="40"/>
      <c r="Q92" s="79">
        <f>O92-P92</f>
        <v>0</v>
      </c>
    </row>
    <row r="93" spans="1:18" s="13" customFormat="1" ht="15.75" x14ac:dyDescent="0.25">
      <c r="A93" s="10"/>
      <c r="B93" s="27" t="s">
        <v>62</v>
      </c>
      <c r="C93" s="1" t="s">
        <v>17</v>
      </c>
      <c r="D93" s="120"/>
      <c r="E93" s="3" t="s">
        <v>35</v>
      </c>
      <c r="F93" s="73" t="s">
        <v>366</v>
      </c>
      <c r="G93" s="74" t="s">
        <v>112</v>
      </c>
      <c r="H93" s="75">
        <v>7</v>
      </c>
      <c r="I93" s="76">
        <v>3</v>
      </c>
      <c r="J93" s="96">
        <f>1</f>
        <v>1</v>
      </c>
      <c r="K93" s="77">
        <f>3613.4</f>
        <v>3613.4</v>
      </c>
      <c r="L93" s="77"/>
      <c r="M93" s="38">
        <f t="shared" si="4"/>
        <v>3613.4</v>
      </c>
      <c r="N93" s="100">
        <f>6+2+1</f>
        <v>9</v>
      </c>
      <c r="O93" s="81">
        <f>19511.33+1270.93+3979.74</f>
        <v>24762</v>
      </c>
      <c r="P93" s="81"/>
      <c r="Q93" s="79">
        <f t="shared" si="3"/>
        <v>24762</v>
      </c>
      <c r="R93" s="141"/>
    </row>
    <row r="94" spans="1:18" s="13" customFormat="1" ht="15.75" x14ac:dyDescent="0.25">
      <c r="A94" s="10"/>
      <c r="B94" s="25" t="s">
        <v>62</v>
      </c>
      <c r="C94" s="1" t="s">
        <v>17</v>
      </c>
      <c r="D94" s="120"/>
      <c r="E94" s="3" t="s">
        <v>35</v>
      </c>
      <c r="F94" s="73" t="s">
        <v>428</v>
      </c>
      <c r="G94" s="11" t="s">
        <v>117</v>
      </c>
      <c r="H94" s="1">
        <v>1</v>
      </c>
      <c r="I94" s="49"/>
      <c r="J94" s="46"/>
      <c r="K94" s="40"/>
      <c r="L94" s="40"/>
      <c r="M94" s="78">
        <f t="shared" si="4"/>
        <v>0</v>
      </c>
      <c r="N94" s="41">
        <f>7</f>
        <v>7</v>
      </c>
      <c r="O94" s="31">
        <v>17217.2</v>
      </c>
      <c r="P94" s="31"/>
      <c r="Q94" s="12">
        <f t="shared" si="3"/>
        <v>17217.2</v>
      </c>
    </row>
    <row r="95" spans="1:18" s="13" customFormat="1" ht="15.75" x14ac:dyDescent="0.25">
      <c r="A95" s="10"/>
      <c r="B95" s="25" t="s">
        <v>63</v>
      </c>
      <c r="C95" s="1" t="s">
        <v>64</v>
      </c>
      <c r="D95" s="120" t="s">
        <v>65</v>
      </c>
      <c r="E95" s="3" t="s">
        <v>20</v>
      </c>
      <c r="F95" s="73" t="s">
        <v>480</v>
      </c>
      <c r="G95" s="11" t="s">
        <v>114</v>
      </c>
      <c r="H95" s="1"/>
      <c r="I95" s="49"/>
      <c r="J95" s="51"/>
      <c r="K95" s="40"/>
      <c r="L95" s="40"/>
      <c r="M95" s="38">
        <f t="shared" si="4"/>
        <v>0</v>
      </c>
      <c r="N95" s="41"/>
      <c r="O95" s="31"/>
      <c r="P95" s="31"/>
      <c r="Q95" s="79">
        <f t="shared" si="3"/>
        <v>0</v>
      </c>
    </row>
    <row r="96" spans="1:18" s="13" customFormat="1" ht="15.75" x14ac:dyDescent="0.25">
      <c r="A96" s="10"/>
      <c r="B96" s="27" t="s">
        <v>155</v>
      </c>
      <c r="C96" s="1" t="s">
        <v>17</v>
      </c>
      <c r="D96" s="120"/>
      <c r="E96" s="3" t="s">
        <v>20</v>
      </c>
      <c r="F96" s="73" t="s">
        <v>367</v>
      </c>
      <c r="G96" s="74" t="s">
        <v>112</v>
      </c>
      <c r="H96" s="75">
        <v>4</v>
      </c>
      <c r="I96" s="82">
        <v>1</v>
      </c>
      <c r="J96" s="96">
        <f>1</f>
        <v>1</v>
      </c>
      <c r="K96" s="77">
        <f>3117.56</f>
        <v>3117.56</v>
      </c>
      <c r="L96" s="77"/>
      <c r="M96" s="78">
        <f t="shared" si="4"/>
        <v>3117.56</v>
      </c>
      <c r="N96" s="100">
        <f>1+1</f>
        <v>2</v>
      </c>
      <c r="O96" s="81">
        <f>1798.06</f>
        <v>1798.06</v>
      </c>
      <c r="P96" s="81"/>
      <c r="Q96" s="12">
        <f t="shared" si="3"/>
        <v>1798.06</v>
      </c>
      <c r="R96" s="141"/>
    </row>
    <row r="97" spans="1:19" s="13" customFormat="1" ht="15.75" x14ac:dyDescent="0.25">
      <c r="A97" s="10"/>
      <c r="B97" s="25" t="s">
        <v>155</v>
      </c>
      <c r="C97" s="1" t="s">
        <v>17</v>
      </c>
      <c r="D97" s="120"/>
      <c r="E97" s="3" t="s">
        <v>20</v>
      </c>
      <c r="F97" s="73" t="s">
        <v>459</v>
      </c>
      <c r="G97" s="11" t="s">
        <v>114</v>
      </c>
      <c r="H97" s="1">
        <v>4</v>
      </c>
      <c r="I97" s="49"/>
      <c r="J97" s="51"/>
      <c r="K97" s="40"/>
      <c r="L97" s="40"/>
      <c r="M97" s="38">
        <f t="shared" si="4"/>
        <v>0</v>
      </c>
      <c r="N97" s="41">
        <v>13</v>
      </c>
      <c r="O97" s="31">
        <v>17392.43</v>
      </c>
      <c r="P97" s="31">
        <f>3369.8</f>
        <v>3369.8</v>
      </c>
      <c r="Q97" s="79">
        <f t="shared" si="3"/>
        <v>14022.630000000001</v>
      </c>
    </row>
    <row r="98" spans="1:19" s="13" customFormat="1" ht="15.75" x14ac:dyDescent="0.25">
      <c r="A98" s="10"/>
      <c r="B98" s="30" t="s">
        <v>66</v>
      </c>
      <c r="C98" s="1" t="s">
        <v>17</v>
      </c>
      <c r="D98" s="120"/>
      <c r="E98" s="3" t="s">
        <v>21</v>
      </c>
      <c r="F98" s="73" t="s">
        <v>368</v>
      </c>
      <c r="G98" s="74" t="s">
        <v>112</v>
      </c>
      <c r="H98" s="75">
        <v>7</v>
      </c>
      <c r="I98" s="76">
        <v>4</v>
      </c>
      <c r="J98" s="96">
        <f>1+3</f>
        <v>4</v>
      </c>
      <c r="K98" s="77">
        <f>1045.98+4309.04+3820.12</f>
        <v>9175.14</v>
      </c>
      <c r="L98" s="77"/>
      <c r="M98" s="78">
        <f t="shared" si="4"/>
        <v>9175.14</v>
      </c>
      <c r="N98" s="100">
        <f>6+3+8+7+1+1</f>
        <v>26</v>
      </c>
      <c r="O98" s="81">
        <f>11911.17+23136+18060.17+1977.84</f>
        <v>55085.179999999993</v>
      </c>
      <c r="P98" s="81"/>
      <c r="Q98" s="12">
        <f t="shared" si="3"/>
        <v>55085.179999999993</v>
      </c>
      <c r="R98" s="141"/>
    </row>
    <row r="99" spans="1:19" s="13" customFormat="1" ht="15.75" x14ac:dyDescent="0.25">
      <c r="A99" s="10"/>
      <c r="B99" s="24" t="s">
        <v>66</v>
      </c>
      <c r="C99" s="1" t="s">
        <v>17</v>
      </c>
      <c r="D99" s="120"/>
      <c r="E99" s="3" t="s">
        <v>21</v>
      </c>
      <c r="F99" s="73" t="s">
        <v>439</v>
      </c>
      <c r="G99" s="11" t="s">
        <v>118</v>
      </c>
      <c r="H99" s="1">
        <v>2</v>
      </c>
      <c r="I99" s="49"/>
      <c r="J99" s="46"/>
      <c r="K99" s="40"/>
      <c r="L99" s="40"/>
      <c r="M99" s="38">
        <f t="shared" si="4"/>
        <v>0</v>
      </c>
      <c r="N99" s="41">
        <v>11</v>
      </c>
      <c r="O99" s="31">
        <v>37672.49</v>
      </c>
      <c r="P99" s="31"/>
      <c r="Q99" s="79">
        <f t="shared" si="3"/>
        <v>37672.49</v>
      </c>
    </row>
    <row r="100" spans="1:19" s="13" customFormat="1" ht="15.75" x14ac:dyDescent="0.25">
      <c r="A100" s="10"/>
      <c r="B100" s="62" t="s">
        <v>137</v>
      </c>
      <c r="C100" s="1" t="s">
        <v>17</v>
      </c>
      <c r="D100" s="120"/>
      <c r="E100" s="17" t="s">
        <v>35</v>
      </c>
      <c r="F100" s="73" t="s">
        <v>369</v>
      </c>
      <c r="G100" s="74" t="s">
        <v>112</v>
      </c>
      <c r="H100" s="75">
        <v>9</v>
      </c>
      <c r="I100" s="76">
        <v>1</v>
      </c>
      <c r="J100" s="96"/>
      <c r="K100" s="77">
        <f>504.26</f>
        <v>504.26</v>
      </c>
      <c r="L100" s="77"/>
      <c r="M100" s="78">
        <f t="shared" si="4"/>
        <v>504.26</v>
      </c>
      <c r="N100" s="100">
        <f>5+1</f>
        <v>6</v>
      </c>
      <c r="O100" s="81">
        <f>2617.36+422.62</f>
        <v>3039.98</v>
      </c>
      <c r="P100" s="81"/>
      <c r="Q100" s="12">
        <f t="shared" si="3"/>
        <v>3039.98</v>
      </c>
      <c r="R100" s="141"/>
    </row>
    <row r="101" spans="1:19" s="13" customFormat="1" ht="15.75" x14ac:dyDescent="0.25">
      <c r="A101" s="10"/>
      <c r="B101" s="22" t="s">
        <v>137</v>
      </c>
      <c r="C101" s="1" t="s">
        <v>17</v>
      </c>
      <c r="D101" s="120"/>
      <c r="E101" s="17" t="s">
        <v>35</v>
      </c>
      <c r="F101" s="73" t="s">
        <v>429</v>
      </c>
      <c r="G101" s="11" t="s">
        <v>117</v>
      </c>
      <c r="H101" s="1"/>
      <c r="I101" s="49"/>
      <c r="J101" s="51"/>
      <c r="K101" s="37"/>
      <c r="L101" s="37"/>
      <c r="M101" s="78">
        <f t="shared" si="4"/>
        <v>0</v>
      </c>
      <c r="N101" s="39">
        <v>1</v>
      </c>
      <c r="O101" s="31">
        <v>7299.8</v>
      </c>
      <c r="P101" s="31"/>
      <c r="Q101" s="79">
        <f t="shared" si="3"/>
        <v>7299.8</v>
      </c>
    </row>
    <row r="102" spans="1:19" s="13" customFormat="1" ht="15.75" x14ac:dyDescent="0.25">
      <c r="A102" s="10"/>
      <c r="B102" s="30" t="s">
        <v>67</v>
      </c>
      <c r="C102" s="1" t="s">
        <v>17</v>
      </c>
      <c r="D102" s="120"/>
      <c r="E102" s="17" t="s">
        <v>21</v>
      </c>
      <c r="F102" s="73" t="s">
        <v>370</v>
      </c>
      <c r="G102" s="74" t="s">
        <v>112</v>
      </c>
      <c r="H102" s="75">
        <v>7</v>
      </c>
      <c r="I102" s="76">
        <v>2</v>
      </c>
      <c r="J102" s="96">
        <f>2+1</f>
        <v>3</v>
      </c>
      <c r="K102" s="77">
        <f>3319.85</f>
        <v>3319.85</v>
      </c>
      <c r="L102" s="77"/>
      <c r="M102" s="38">
        <f t="shared" si="4"/>
        <v>3319.85</v>
      </c>
      <c r="N102" s="100">
        <f>4+9+4+4</f>
        <v>21</v>
      </c>
      <c r="O102" s="81">
        <f>29696.65+38129.03+13567.9+20687.05</f>
        <v>102080.62999999999</v>
      </c>
      <c r="P102" s="81"/>
      <c r="Q102" s="12">
        <f t="shared" si="3"/>
        <v>102080.62999999999</v>
      </c>
      <c r="R102" s="141"/>
    </row>
    <row r="103" spans="1:19" s="13" customFormat="1" ht="15.75" x14ac:dyDescent="0.25">
      <c r="A103" s="10"/>
      <c r="B103" s="24" t="s">
        <v>67</v>
      </c>
      <c r="C103" s="1" t="s">
        <v>17</v>
      </c>
      <c r="D103" s="120"/>
      <c r="E103" s="17" t="s">
        <v>21</v>
      </c>
      <c r="F103" s="73" t="s">
        <v>440</v>
      </c>
      <c r="G103" s="11" t="s">
        <v>118</v>
      </c>
      <c r="H103" s="1">
        <v>5</v>
      </c>
      <c r="I103" s="49"/>
      <c r="J103" s="46"/>
      <c r="K103" s="40"/>
      <c r="L103" s="40"/>
      <c r="M103" s="78">
        <f t="shared" si="4"/>
        <v>0</v>
      </c>
      <c r="N103" s="41">
        <v>6</v>
      </c>
      <c r="O103" s="31">
        <v>25515.51</v>
      </c>
      <c r="P103" s="31"/>
      <c r="Q103" s="79">
        <f t="shared" si="3"/>
        <v>25515.51</v>
      </c>
    </row>
    <row r="104" spans="1:19" s="13" customFormat="1" ht="15.75" x14ac:dyDescent="0.25">
      <c r="A104" s="10"/>
      <c r="B104" s="30" t="s">
        <v>68</v>
      </c>
      <c r="C104" s="1" t="s">
        <v>17</v>
      </c>
      <c r="D104" s="120"/>
      <c r="E104" s="17" t="s">
        <v>32</v>
      </c>
      <c r="F104" s="73" t="s">
        <v>371</v>
      </c>
      <c r="G104" s="74" t="s">
        <v>112</v>
      </c>
      <c r="H104" s="75">
        <v>8</v>
      </c>
      <c r="I104" s="76">
        <v>2</v>
      </c>
      <c r="J104" s="96">
        <f>2</f>
        <v>2</v>
      </c>
      <c r="K104" s="77">
        <f>1128.59</f>
        <v>1128.5899999999999</v>
      </c>
      <c r="L104" s="77"/>
      <c r="M104" s="38">
        <f t="shared" si="4"/>
        <v>1128.5899999999999</v>
      </c>
      <c r="N104" s="100">
        <f>6+5+1</f>
        <v>12</v>
      </c>
      <c r="O104" s="81">
        <f>7813.73+8523.5+1452.28</f>
        <v>17789.509999999998</v>
      </c>
      <c r="P104" s="81">
        <f>7813.73</f>
        <v>7813.73</v>
      </c>
      <c r="Q104" s="12">
        <f t="shared" si="3"/>
        <v>9975.7799999999988</v>
      </c>
      <c r="R104" s="141"/>
    </row>
    <row r="105" spans="1:19" s="13" customFormat="1" ht="15.75" x14ac:dyDescent="0.25">
      <c r="A105" s="10"/>
      <c r="B105" s="24" t="s">
        <v>68</v>
      </c>
      <c r="C105" s="1" t="s">
        <v>17</v>
      </c>
      <c r="D105" s="120"/>
      <c r="E105" s="17" t="s">
        <v>32</v>
      </c>
      <c r="F105" s="73" t="s">
        <v>430</v>
      </c>
      <c r="G105" s="8" t="s">
        <v>117</v>
      </c>
      <c r="H105" s="1"/>
      <c r="I105" s="49"/>
      <c r="J105" s="46"/>
      <c r="K105" s="40"/>
      <c r="L105" s="40"/>
      <c r="M105" s="78">
        <f t="shared" si="4"/>
        <v>0</v>
      </c>
      <c r="N105" s="41"/>
      <c r="O105" s="40"/>
      <c r="P105" s="40"/>
      <c r="Q105" s="79">
        <f t="shared" si="3"/>
        <v>0</v>
      </c>
    </row>
    <row r="106" spans="1:19" s="15" customFormat="1" ht="15.75" x14ac:dyDescent="0.25">
      <c r="A106" s="14"/>
      <c r="B106" s="28" t="s">
        <v>69</v>
      </c>
      <c r="C106" s="1" t="s">
        <v>17</v>
      </c>
      <c r="D106" s="120"/>
      <c r="E106" s="3" t="s">
        <v>20</v>
      </c>
      <c r="F106" s="73" t="s">
        <v>372</v>
      </c>
      <c r="G106" s="74" t="s">
        <v>112</v>
      </c>
      <c r="H106" s="75">
        <v>3</v>
      </c>
      <c r="I106" s="76"/>
      <c r="J106" s="96"/>
      <c r="K106" s="77"/>
      <c r="L106" s="77"/>
      <c r="M106" s="38">
        <f t="shared" si="4"/>
        <v>0</v>
      </c>
      <c r="N106" s="100">
        <f>3+2+1</f>
        <v>6</v>
      </c>
      <c r="O106" s="77">
        <f>7210.31+3647.96+1306.28</f>
        <v>12164.550000000001</v>
      </c>
      <c r="P106" s="77"/>
      <c r="Q106" s="12">
        <f t="shared" si="3"/>
        <v>12164.550000000001</v>
      </c>
      <c r="R106" s="141"/>
    </row>
    <row r="107" spans="1:19" s="13" customFormat="1" ht="15.75" x14ac:dyDescent="0.25">
      <c r="A107" s="10"/>
      <c r="B107" s="62" t="s">
        <v>70</v>
      </c>
      <c r="C107" s="1" t="s">
        <v>17</v>
      </c>
      <c r="D107" s="120"/>
      <c r="E107" s="3" t="s">
        <v>20</v>
      </c>
      <c r="F107" s="73" t="s">
        <v>373</v>
      </c>
      <c r="G107" s="74" t="s">
        <v>112</v>
      </c>
      <c r="H107" s="75">
        <v>5</v>
      </c>
      <c r="I107" s="76"/>
      <c r="J107" s="96"/>
      <c r="K107" s="77"/>
      <c r="L107" s="77"/>
      <c r="M107" s="78">
        <f t="shared" si="4"/>
        <v>0</v>
      </c>
      <c r="N107" s="100">
        <f>2+3</f>
        <v>5</v>
      </c>
      <c r="O107" s="81">
        <f>3534.95+5004.97</f>
        <v>8539.92</v>
      </c>
      <c r="P107" s="81"/>
      <c r="Q107" s="79">
        <f t="shared" si="3"/>
        <v>8539.92</v>
      </c>
      <c r="R107" s="141"/>
    </row>
    <row r="108" spans="1:19" s="13" customFormat="1" ht="15.75" x14ac:dyDescent="0.25">
      <c r="A108" s="10"/>
      <c r="B108" s="22" t="s">
        <v>70</v>
      </c>
      <c r="C108" s="1" t="s">
        <v>17</v>
      </c>
      <c r="D108" s="120"/>
      <c r="E108" s="3" t="s">
        <v>20</v>
      </c>
      <c r="F108" s="73" t="s">
        <v>460</v>
      </c>
      <c r="G108" s="11" t="s">
        <v>114</v>
      </c>
      <c r="H108" s="1">
        <v>10</v>
      </c>
      <c r="I108" s="49"/>
      <c r="J108" s="51"/>
      <c r="K108" s="40"/>
      <c r="L108" s="40"/>
      <c r="M108" s="38">
        <f t="shared" si="4"/>
        <v>0</v>
      </c>
      <c r="N108" s="41">
        <v>23</v>
      </c>
      <c r="O108" s="31">
        <v>36457.769999999997</v>
      </c>
      <c r="P108" s="31">
        <f>2945.6</f>
        <v>2945.6</v>
      </c>
      <c r="Q108" s="12">
        <f t="shared" si="3"/>
        <v>33512.17</v>
      </c>
    </row>
    <row r="109" spans="1:19" s="15" customFormat="1" ht="15.75" x14ac:dyDescent="0.25">
      <c r="A109" s="14"/>
      <c r="B109" s="80" t="s">
        <v>71</v>
      </c>
      <c r="C109" s="1" t="s">
        <v>17</v>
      </c>
      <c r="D109" s="120"/>
      <c r="E109" s="3" t="s">
        <v>32</v>
      </c>
      <c r="F109" s="73" t="s">
        <v>374</v>
      </c>
      <c r="G109" s="74" t="s">
        <v>112</v>
      </c>
      <c r="H109" s="75">
        <v>8</v>
      </c>
      <c r="I109" s="76">
        <v>3</v>
      </c>
      <c r="J109" s="96">
        <f>3</f>
        <v>3</v>
      </c>
      <c r="K109" s="77">
        <f>1536.8</f>
        <v>1536.8</v>
      </c>
      <c r="L109" s="77"/>
      <c r="M109" s="78">
        <f t="shared" si="4"/>
        <v>1536.8</v>
      </c>
      <c r="N109" s="100">
        <f>3+2</f>
        <v>5</v>
      </c>
      <c r="O109" s="81">
        <f>9567.93+3616.67</f>
        <v>13184.6</v>
      </c>
      <c r="P109" s="81">
        <f>9567.93</f>
        <v>9567.93</v>
      </c>
      <c r="Q109" s="79">
        <f t="shared" si="3"/>
        <v>3616.67</v>
      </c>
      <c r="R109" s="141"/>
      <c r="S109" s="36"/>
    </row>
    <row r="110" spans="1:19" s="15" customFormat="1" ht="15.75" x14ac:dyDescent="0.25">
      <c r="A110" s="14"/>
      <c r="B110" s="23" t="s">
        <v>71</v>
      </c>
      <c r="C110" s="1" t="s">
        <v>17</v>
      </c>
      <c r="D110" s="120"/>
      <c r="E110" s="3" t="s">
        <v>32</v>
      </c>
      <c r="F110" s="73" t="s">
        <v>431</v>
      </c>
      <c r="G110" s="11" t="s">
        <v>115</v>
      </c>
      <c r="H110" s="1">
        <v>5</v>
      </c>
      <c r="I110" s="48"/>
      <c r="J110" s="45"/>
      <c r="K110" s="40"/>
      <c r="L110" s="40"/>
      <c r="M110" s="38">
        <f t="shared" si="4"/>
        <v>0</v>
      </c>
      <c r="N110" s="39">
        <f>5</f>
        <v>5</v>
      </c>
      <c r="O110" s="40">
        <v>6595.5</v>
      </c>
      <c r="P110" s="40"/>
      <c r="Q110" s="12">
        <f t="shared" si="3"/>
        <v>6595.5</v>
      </c>
    </row>
    <row r="111" spans="1:19" s="13" customFormat="1" ht="15.75" x14ac:dyDescent="0.25">
      <c r="A111" s="10"/>
      <c r="B111" s="62" t="s">
        <v>319</v>
      </c>
      <c r="C111" s="1" t="s">
        <v>17</v>
      </c>
      <c r="D111" s="120"/>
      <c r="E111" s="3" t="s">
        <v>20</v>
      </c>
      <c r="F111" s="73" t="s">
        <v>375</v>
      </c>
      <c r="G111" s="74" t="s">
        <v>112</v>
      </c>
      <c r="H111" s="75">
        <v>9</v>
      </c>
      <c r="I111" s="76">
        <v>6</v>
      </c>
      <c r="J111" s="96">
        <f>2+1+4</f>
        <v>7</v>
      </c>
      <c r="K111" s="77">
        <f>710.77+1523.35+6753.23</f>
        <v>8987.3499999999985</v>
      </c>
      <c r="L111" s="77"/>
      <c r="M111" s="78">
        <f>K111-L111</f>
        <v>8987.3499999999985</v>
      </c>
      <c r="N111" s="100">
        <f>3+1+2</f>
        <v>6</v>
      </c>
      <c r="O111" s="77">
        <f>13419.94+726.71+2846.77</f>
        <v>16993.420000000002</v>
      </c>
      <c r="P111" s="77">
        <f>13419.94</f>
        <v>13419.94</v>
      </c>
      <c r="Q111" s="79">
        <f>O111-P111</f>
        <v>3573.4800000000014</v>
      </c>
      <c r="R111" s="141"/>
    </row>
    <row r="112" spans="1:19" s="15" customFormat="1" ht="15.75" x14ac:dyDescent="0.25">
      <c r="A112" s="14"/>
      <c r="B112" s="62" t="s">
        <v>150</v>
      </c>
      <c r="C112" s="1" t="s">
        <v>17</v>
      </c>
      <c r="D112" s="120"/>
      <c r="E112" s="3" t="s">
        <v>35</v>
      </c>
      <c r="F112" s="73" t="s">
        <v>376</v>
      </c>
      <c r="G112" s="74" t="s">
        <v>112</v>
      </c>
      <c r="H112" s="75">
        <v>9</v>
      </c>
      <c r="I112" s="76">
        <v>2</v>
      </c>
      <c r="J112" s="97">
        <f>1+1</f>
        <v>2</v>
      </c>
      <c r="K112" s="77">
        <f>1343.65+384.2</f>
        <v>1727.8500000000001</v>
      </c>
      <c r="L112" s="77"/>
      <c r="M112" s="78">
        <f t="shared" si="4"/>
        <v>1727.8500000000001</v>
      </c>
      <c r="N112" s="114">
        <f>8+1+1+2</f>
        <v>12</v>
      </c>
      <c r="O112" s="77">
        <f>5997.32+3719.39+3054.34+13138.17</f>
        <v>25909.22</v>
      </c>
      <c r="P112" s="81">
        <f>3885.22</f>
        <v>3885.22</v>
      </c>
      <c r="Q112" s="79">
        <f t="shared" si="3"/>
        <v>22024</v>
      </c>
      <c r="R112" s="141"/>
    </row>
    <row r="113" spans="1:18" s="15" customFormat="1" ht="15.75" x14ac:dyDescent="0.25">
      <c r="A113" s="14"/>
      <c r="B113" s="50" t="s">
        <v>150</v>
      </c>
      <c r="C113" s="1" t="s">
        <v>17</v>
      </c>
      <c r="D113" s="120"/>
      <c r="E113" s="3" t="s">
        <v>32</v>
      </c>
      <c r="F113" s="73" t="s">
        <v>487</v>
      </c>
      <c r="G113" s="11" t="s">
        <v>117</v>
      </c>
      <c r="H113" s="1"/>
      <c r="I113" s="48"/>
      <c r="J113" s="45"/>
      <c r="K113" s="40"/>
      <c r="L113" s="37"/>
      <c r="M113" s="38">
        <f t="shared" si="4"/>
        <v>0</v>
      </c>
      <c r="N113" s="42">
        <v>1</v>
      </c>
      <c r="O113" s="40">
        <v>4226.2</v>
      </c>
      <c r="P113" s="40"/>
      <c r="Q113" s="12">
        <f t="shared" si="3"/>
        <v>4226.2</v>
      </c>
    </row>
    <row r="114" spans="1:18" s="13" customFormat="1" ht="15.75" x14ac:dyDescent="0.25">
      <c r="A114" s="10"/>
      <c r="B114" s="30" t="s">
        <v>72</v>
      </c>
      <c r="C114" s="1" t="s">
        <v>17</v>
      </c>
      <c r="D114" s="120"/>
      <c r="E114" s="3" t="s">
        <v>21</v>
      </c>
      <c r="F114" s="73" t="s">
        <v>377</v>
      </c>
      <c r="G114" s="74" t="s">
        <v>112</v>
      </c>
      <c r="H114" s="75">
        <v>8</v>
      </c>
      <c r="I114" s="76">
        <v>1</v>
      </c>
      <c r="J114" s="96">
        <f>1+1</f>
        <v>2</v>
      </c>
      <c r="K114" s="77">
        <f>633.93+1415.78</f>
        <v>2049.71</v>
      </c>
      <c r="L114" s="77"/>
      <c r="M114" s="78">
        <f t="shared" si="4"/>
        <v>2049.71</v>
      </c>
      <c r="N114" s="100">
        <f>1+3+1</f>
        <v>5</v>
      </c>
      <c r="O114" s="81">
        <f>1950.74+10237.13+6595.95</f>
        <v>18783.82</v>
      </c>
      <c r="P114" s="81"/>
      <c r="Q114" s="79">
        <f t="shared" si="3"/>
        <v>18783.82</v>
      </c>
      <c r="R114" s="141"/>
    </row>
    <row r="115" spans="1:18" s="13" customFormat="1" ht="15.75" x14ac:dyDescent="0.25">
      <c r="A115" s="10"/>
      <c r="B115" s="24" t="s">
        <v>72</v>
      </c>
      <c r="C115" s="1" t="s">
        <v>17</v>
      </c>
      <c r="D115" s="120"/>
      <c r="E115" s="3" t="s">
        <v>21</v>
      </c>
      <c r="F115" s="73" t="s">
        <v>441</v>
      </c>
      <c r="G115" s="11" t="s">
        <v>118</v>
      </c>
      <c r="H115" s="1">
        <v>5</v>
      </c>
      <c r="I115" s="49"/>
      <c r="J115" s="46"/>
      <c r="K115" s="40"/>
      <c r="L115" s="40"/>
      <c r="M115" s="38">
        <f t="shared" si="4"/>
        <v>0</v>
      </c>
      <c r="N115" s="41">
        <v>7</v>
      </c>
      <c r="O115" s="31">
        <v>30209.03</v>
      </c>
      <c r="P115" s="31"/>
      <c r="Q115" s="12">
        <f t="shared" si="3"/>
        <v>30209.03</v>
      </c>
    </row>
    <row r="116" spans="1:18" s="15" customFormat="1" ht="15.75" x14ac:dyDescent="0.25">
      <c r="A116" s="14"/>
      <c r="B116" s="84" t="s">
        <v>73</v>
      </c>
      <c r="C116" s="1" t="s">
        <v>17</v>
      </c>
      <c r="D116" s="120"/>
      <c r="E116" s="3" t="s">
        <v>74</v>
      </c>
      <c r="F116" s="73" t="s">
        <v>378</v>
      </c>
      <c r="G116" s="74" t="s">
        <v>112</v>
      </c>
      <c r="H116" s="75">
        <v>14</v>
      </c>
      <c r="I116" s="76">
        <v>9</v>
      </c>
      <c r="J116" s="96">
        <f>9</f>
        <v>9</v>
      </c>
      <c r="K116" s="77">
        <f>6305.33</f>
        <v>6305.33</v>
      </c>
      <c r="L116" s="77"/>
      <c r="M116" s="78">
        <f t="shared" si="4"/>
        <v>6305.33</v>
      </c>
      <c r="N116" s="100">
        <f>5+3</f>
        <v>8</v>
      </c>
      <c r="O116" s="81">
        <f>5416.39+9506.99</f>
        <v>14923.380000000001</v>
      </c>
      <c r="P116" s="81"/>
      <c r="Q116" s="79">
        <f t="shared" si="3"/>
        <v>14923.380000000001</v>
      </c>
      <c r="R116" s="141"/>
    </row>
    <row r="117" spans="1:18" s="15" customFormat="1" ht="15.75" x14ac:dyDescent="0.25">
      <c r="A117" s="14"/>
      <c r="B117" s="29" t="s">
        <v>73</v>
      </c>
      <c r="C117" s="1" t="s">
        <v>17</v>
      </c>
      <c r="D117" s="120"/>
      <c r="E117" s="3" t="s">
        <v>74</v>
      </c>
      <c r="F117" s="73" t="s">
        <v>282</v>
      </c>
      <c r="G117" s="11" t="s">
        <v>114</v>
      </c>
      <c r="H117" s="1"/>
      <c r="I117" s="49"/>
      <c r="J117" s="51"/>
      <c r="K117" s="40"/>
      <c r="L117" s="40"/>
      <c r="M117" s="38">
        <f t="shared" si="4"/>
        <v>0</v>
      </c>
      <c r="N117" s="42">
        <v>1</v>
      </c>
      <c r="O117" s="31"/>
      <c r="P117" s="31"/>
      <c r="Q117" s="12">
        <f t="shared" si="3"/>
        <v>0</v>
      </c>
    </row>
    <row r="118" spans="1:18" s="13" customFormat="1" ht="15.75" x14ac:dyDescent="0.25">
      <c r="A118" s="10"/>
      <c r="B118" s="30" t="s">
        <v>135</v>
      </c>
      <c r="C118" s="1" t="s">
        <v>17</v>
      </c>
      <c r="D118" s="120"/>
      <c r="E118" s="17" t="s">
        <v>35</v>
      </c>
      <c r="F118" s="73" t="s">
        <v>379</v>
      </c>
      <c r="G118" s="74" t="s">
        <v>112</v>
      </c>
      <c r="H118" s="75">
        <v>9</v>
      </c>
      <c r="I118" s="76">
        <v>1</v>
      </c>
      <c r="J118" s="96">
        <f>1</f>
        <v>1</v>
      </c>
      <c r="K118" s="77">
        <v>697.32</v>
      </c>
      <c r="L118" s="77"/>
      <c r="M118" s="38">
        <f t="shared" si="4"/>
        <v>697.32</v>
      </c>
      <c r="N118" s="100">
        <f>2+5+1+2</f>
        <v>10</v>
      </c>
      <c r="O118" s="81">
        <v>6432.89</v>
      </c>
      <c r="P118" s="81"/>
      <c r="Q118" s="12">
        <f t="shared" si="3"/>
        <v>6432.89</v>
      </c>
      <c r="R118" s="141"/>
    </row>
    <row r="119" spans="1:18" s="13" customFormat="1" ht="15.75" x14ac:dyDescent="0.25">
      <c r="A119" s="10"/>
      <c r="B119" s="24" t="s">
        <v>135</v>
      </c>
      <c r="C119" s="1" t="s">
        <v>17</v>
      </c>
      <c r="D119" s="120"/>
      <c r="E119" s="17" t="s">
        <v>35</v>
      </c>
      <c r="F119" s="73" t="s">
        <v>432</v>
      </c>
      <c r="G119" s="11" t="s">
        <v>115</v>
      </c>
      <c r="H119" s="1"/>
      <c r="I119" s="49"/>
      <c r="J119" s="46"/>
      <c r="K119" s="40"/>
      <c r="L119" s="40"/>
      <c r="M119" s="78">
        <f t="shared" si="4"/>
        <v>0</v>
      </c>
      <c r="N119" s="41"/>
      <c r="O119" s="31"/>
      <c r="P119" s="31"/>
      <c r="Q119" s="79">
        <f t="shared" si="3"/>
        <v>0</v>
      </c>
    </row>
    <row r="120" spans="1:18" s="13" customFormat="1" ht="15.75" x14ac:dyDescent="0.25">
      <c r="A120" s="10"/>
      <c r="B120" s="30" t="s">
        <v>145</v>
      </c>
      <c r="C120" s="1" t="s">
        <v>17</v>
      </c>
      <c r="D120" s="120"/>
      <c r="E120" s="17" t="s">
        <v>20</v>
      </c>
      <c r="F120" s="73" t="s">
        <v>380</v>
      </c>
      <c r="G120" s="74" t="s">
        <v>112</v>
      </c>
      <c r="H120" s="75">
        <v>2</v>
      </c>
      <c r="I120" s="82">
        <v>1</v>
      </c>
      <c r="J120" s="96">
        <f>2</f>
        <v>2</v>
      </c>
      <c r="K120" s="77">
        <f>5169.72+1100</f>
        <v>6269.72</v>
      </c>
      <c r="L120" s="77"/>
      <c r="M120" s="38">
        <f t="shared" si="4"/>
        <v>6269.72</v>
      </c>
      <c r="N120" s="100">
        <f>1+1+2</f>
        <v>4</v>
      </c>
      <c r="O120" s="81">
        <f>5120.23+3915.15+1114.12</f>
        <v>10149.5</v>
      </c>
      <c r="P120" s="81"/>
      <c r="Q120" s="12">
        <f t="shared" si="3"/>
        <v>10149.5</v>
      </c>
      <c r="R120" s="141"/>
    </row>
    <row r="121" spans="1:18" s="13" customFormat="1" ht="15.75" x14ac:dyDescent="0.25">
      <c r="A121" s="10"/>
      <c r="B121" s="24" t="s">
        <v>145</v>
      </c>
      <c r="C121" s="1" t="s">
        <v>17</v>
      </c>
      <c r="D121" s="120"/>
      <c r="E121" s="17" t="s">
        <v>20</v>
      </c>
      <c r="F121" s="73" t="s">
        <v>461</v>
      </c>
      <c r="G121" s="11" t="s">
        <v>114</v>
      </c>
      <c r="H121" s="1"/>
      <c r="I121" s="49"/>
      <c r="J121" s="51"/>
      <c r="K121" s="40"/>
      <c r="L121" s="40"/>
      <c r="M121" s="78">
        <f t="shared" si="4"/>
        <v>0</v>
      </c>
      <c r="N121" s="41">
        <v>9</v>
      </c>
      <c r="O121" s="31">
        <v>19379.400000000001</v>
      </c>
      <c r="P121" s="31">
        <f>2633.4</f>
        <v>2633.4</v>
      </c>
      <c r="Q121" s="79">
        <f t="shared" si="3"/>
        <v>16746</v>
      </c>
    </row>
    <row r="122" spans="1:18" s="13" customFormat="1" ht="15.75" x14ac:dyDescent="0.25">
      <c r="A122" s="10"/>
      <c r="B122" s="62" t="s">
        <v>76</v>
      </c>
      <c r="C122" s="1" t="s">
        <v>17</v>
      </c>
      <c r="D122" s="120"/>
      <c r="E122" s="3" t="s">
        <v>20</v>
      </c>
      <c r="F122" s="73" t="s">
        <v>381</v>
      </c>
      <c r="G122" s="74" t="s">
        <v>112</v>
      </c>
      <c r="H122" s="75">
        <v>12</v>
      </c>
      <c r="I122" s="76">
        <v>7</v>
      </c>
      <c r="J122" s="96">
        <f>1+6</f>
        <v>7</v>
      </c>
      <c r="K122" s="77">
        <f>6556.06+2806.39</f>
        <v>9362.4500000000007</v>
      </c>
      <c r="L122" s="77"/>
      <c r="M122" s="38">
        <f t="shared" si="4"/>
        <v>9362.4500000000007</v>
      </c>
      <c r="N122" s="100">
        <f>5+6</f>
        <v>11</v>
      </c>
      <c r="O122" s="81">
        <f>11527.9+19846.52+1011.91+9641</f>
        <v>42027.33</v>
      </c>
      <c r="P122" s="81"/>
      <c r="Q122" s="12">
        <f t="shared" si="3"/>
        <v>42027.33</v>
      </c>
      <c r="R122" s="141"/>
    </row>
    <row r="123" spans="1:18" s="13" customFormat="1" ht="15.75" x14ac:dyDescent="0.25">
      <c r="A123" s="10"/>
      <c r="B123" s="22" t="s">
        <v>76</v>
      </c>
      <c r="C123" s="1" t="s">
        <v>17</v>
      </c>
      <c r="D123" s="120"/>
      <c r="E123" s="3" t="s">
        <v>20</v>
      </c>
      <c r="F123" s="73" t="s">
        <v>462</v>
      </c>
      <c r="G123" s="11" t="s">
        <v>114</v>
      </c>
      <c r="H123" s="1">
        <v>4</v>
      </c>
      <c r="I123" s="49"/>
      <c r="J123" s="51"/>
      <c r="K123" s="40"/>
      <c r="L123" s="40"/>
      <c r="M123" s="78">
        <f t="shared" si="4"/>
        <v>0</v>
      </c>
      <c r="N123" s="41">
        <v>7</v>
      </c>
      <c r="O123" s="31">
        <v>17927.759999999998</v>
      </c>
      <c r="P123" s="31">
        <f>3649.9</f>
        <v>3649.9</v>
      </c>
      <c r="Q123" s="79">
        <f t="shared" si="3"/>
        <v>14277.859999999999</v>
      </c>
    </row>
    <row r="124" spans="1:18" s="13" customFormat="1" ht="15.75" x14ac:dyDescent="0.25">
      <c r="A124" s="10"/>
      <c r="B124" s="30" t="s">
        <v>77</v>
      </c>
      <c r="C124" s="1" t="s">
        <v>17</v>
      </c>
      <c r="D124" s="120"/>
      <c r="E124" s="3" t="s">
        <v>32</v>
      </c>
      <c r="F124" s="73" t="s">
        <v>388</v>
      </c>
      <c r="G124" s="74" t="s">
        <v>112</v>
      </c>
      <c r="H124" s="75">
        <v>4</v>
      </c>
      <c r="I124" s="76">
        <v>2</v>
      </c>
      <c r="J124" s="96">
        <f>2</f>
        <v>2</v>
      </c>
      <c r="K124" s="77">
        <f>2440.63</f>
        <v>2440.63</v>
      </c>
      <c r="L124" s="77"/>
      <c r="M124" s="38">
        <f t="shared" si="4"/>
        <v>2440.63</v>
      </c>
      <c r="N124" s="100">
        <f>5+2+3</f>
        <v>10</v>
      </c>
      <c r="O124" s="81">
        <f>11716.73+6848.82+4046.18</f>
        <v>22611.73</v>
      </c>
      <c r="P124" s="81">
        <f>11716.73</f>
        <v>11716.73</v>
      </c>
      <c r="Q124" s="12">
        <f t="shared" si="3"/>
        <v>10895</v>
      </c>
      <c r="R124" s="141"/>
    </row>
    <row r="125" spans="1:18" s="13" customFormat="1" ht="15.75" x14ac:dyDescent="0.25">
      <c r="A125" s="10"/>
      <c r="B125" s="24" t="s">
        <v>77</v>
      </c>
      <c r="C125" s="1" t="s">
        <v>17</v>
      </c>
      <c r="D125" s="120"/>
      <c r="E125" s="3" t="s">
        <v>32</v>
      </c>
      <c r="F125" s="73" t="s">
        <v>433</v>
      </c>
      <c r="G125" s="11" t="s">
        <v>117</v>
      </c>
      <c r="H125" s="1">
        <v>1</v>
      </c>
      <c r="I125" s="49"/>
      <c r="J125" s="46"/>
      <c r="K125" s="40"/>
      <c r="L125" s="40"/>
      <c r="M125" s="78">
        <f t="shared" si="4"/>
        <v>0</v>
      </c>
      <c r="N125" s="41">
        <v>5</v>
      </c>
      <c r="O125" s="31">
        <v>15666.81</v>
      </c>
      <c r="P125" s="31"/>
      <c r="Q125" s="79">
        <f t="shared" si="3"/>
        <v>15666.81</v>
      </c>
    </row>
    <row r="126" spans="1:18" s="13" customFormat="1" ht="15.75" x14ac:dyDescent="0.25">
      <c r="A126" s="10"/>
      <c r="B126" s="24" t="s">
        <v>321</v>
      </c>
      <c r="C126" s="1" t="s">
        <v>17</v>
      </c>
      <c r="D126" s="120"/>
      <c r="E126" s="3" t="s">
        <v>21</v>
      </c>
      <c r="F126" s="73" t="s">
        <v>489</v>
      </c>
      <c r="G126" s="11" t="s">
        <v>112</v>
      </c>
      <c r="H126" s="1">
        <v>1</v>
      </c>
      <c r="I126" s="49"/>
      <c r="J126" s="46"/>
      <c r="K126" s="40"/>
      <c r="L126" s="40"/>
      <c r="M126" s="78"/>
      <c r="N126" s="41"/>
      <c r="O126" s="31"/>
      <c r="P126" s="31"/>
      <c r="Q126" s="79"/>
      <c r="R126" s="141"/>
    </row>
    <row r="127" spans="1:18" s="13" customFormat="1" ht="31.5" x14ac:dyDescent="0.25">
      <c r="A127" s="10"/>
      <c r="B127" s="62" t="s">
        <v>79</v>
      </c>
      <c r="C127" s="1" t="s">
        <v>304</v>
      </c>
      <c r="D127" s="120" t="s">
        <v>385</v>
      </c>
      <c r="E127" s="3" t="s">
        <v>18</v>
      </c>
      <c r="F127" s="73" t="s">
        <v>389</v>
      </c>
      <c r="G127" s="74" t="s">
        <v>112</v>
      </c>
      <c r="H127" s="75">
        <v>5</v>
      </c>
      <c r="I127" s="76">
        <v>1</v>
      </c>
      <c r="J127" s="96"/>
      <c r="K127" s="77">
        <f>2091.97</f>
        <v>2091.9699999999998</v>
      </c>
      <c r="L127" s="77"/>
      <c r="M127" s="38">
        <f t="shared" si="4"/>
        <v>2091.9699999999998</v>
      </c>
      <c r="N127" s="100">
        <f>2+2</f>
        <v>4</v>
      </c>
      <c r="O127" s="81">
        <f>1547.4+4166.12+7835.61</f>
        <v>13549.130000000001</v>
      </c>
      <c r="P127" s="81"/>
      <c r="Q127" s="12">
        <f t="shared" si="3"/>
        <v>13549.130000000001</v>
      </c>
      <c r="R127" s="141"/>
    </row>
    <row r="128" spans="1:18" s="13" customFormat="1" ht="31.5" x14ac:dyDescent="0.25">
      <c r="A128" s="10"/>
      <c r="B128" s="22" t="s">
        <v>79</v>
      </c>
      <c r="C128" s="1" t="s">
        <v>304</v>
      </c>
      <c r="D128" s="120" t="s">
        <v>475</v>
      </c>
      <c r="E128" s="3" t="s">
        <v>18</v>
      </c>
      <c r="F128" s="73" t="s">
        <v>329</v>
      </c>
      <c r="G128" s="11" t="s">
        <v>113</v>
      </c>
      <c r="H128" s="1">
        <v>13</v>
      </c>
      <c r="I128" s="53">
        <v>1</v>
      </c>
      <c r="J128" s="127">
        <v>1</v>
      </c>
      <c r="K128" s="31">
        <v>1268</v>
      </c>
      <c r="L128" s="31"/>
      <c r="M128" s="78">
        <f t="shared" si="4"/>
        <v>1268</v>
      </c>
      <c r="N128" s="41">
        <v>6</v>
      </c>
      <c r="O128" s="31">
        <v>31483</v>
      </c>
      <c r="P128" s="31"/>
      <c r="Q128" s="79">
        <f t="shared" si="3"/>
        <v>31483</v>
      </c>
    </row>
    <row r="129" spans="1:18" s="13" customFormat="1" ht="15.75" x14ac:dyDescent="0.25">
      <c r="A129" s="10"/>
      <c r="B129" s="62" t="s">
        <v>151</v>
      </c>
      <c r="C129" s="1" t="s">
        <v>17</v>
      </c>
      <c r="D129" s="120"/>
      <c r="E129" s="3" t="s">
        <v>32</v>
      </c>
      <c r="F129" s="73" t="s">
        <v>390</v>
      </c>
      <c r="G129" s="74" t="s">
        <v>112</v>
      </c>
      <c r="H129" s="75">
        <v>14</v>
      </c>
      <c r="I129" s="82">
        <v>3</v>
      </c>
      <c r="J129" s="96">
        <f>1</f>
        <v>1</v>
      </c>
      <c r="K129" s="81">
        <f>2317</f>
        <v>2317</v>
      </c>
      <c r="L129" s="81"/>
      <c r="M129" s="38">
        <f t="shared" si="4"/>
        <v>2317</v>
      </c>
      <c r="N129" s="100">
        <f>9+3</f>
        <v>12</v>
      </c>
      <c r="O129" s="81">
        <f>10726.94+18822.65+5703.53</f>
        <v>35253.120000000003</v>
      </c>
      <c r="P129" s="81">
        <f>10726.94</f>
        <v>10726.94</v>
      </c>
      <c r="Q129" s="12">
        <f t="shared" si="3"/>
        <v>24526.18</v>
      </c>
      <c r="R129" s="141"/>
    </row>
    <row r="130" spans="1:18" s="13" customFormat="1" ht="15.75" x14ac:dyDescent="0.25">
      <c r="A130" s="10"/>
      <c r="B130" s="22" t="s">
        <v>151</v>
      </c>
      <c r="C130" s="1" t="s">
        <v>17</v>
      </c>
      <c r="D130" s="120"/>
      <c r="E130" s="3" t="s">
        <v>32</v>
      </c>
      <c r="F130" s="73" t="s">
        <v>434</v>
      </c>
      <c r="G130" s="11" t="s">
        <v>117</v>
      </c>
      <c r="H130" s="1">
        <v>4</v>
      </c>
      <c r="I130" s="49"/>
      <c r="J130" s="46"/>
      <c r="K130" s="40"/>
      <c r="L130" s="40"/>
      <c r="M130" s="78">
        <f t="shared" si="4"/>
        <v>0</v>
      </c>
      <c r="N130" s="41">
        <v>10</v>
      </c>
      <c r="O130" s="31">
        <v>14253.2</v>
      </c>
      <c r="P130" s="31"/>
      <c r="Q130" s="79">
        <f t="shared" si="3"/>
        <v>14253.2</v>
      </c>
    </row>
    <row r="131" spans="1:18" s="13" customFormat="1" ht="15.75" x14ac:dyDescent="0.25">
      <c r="A131" s="10"/>
      <c r="B131" s="62" t="s">
        <v>80</v>
      </c>
      <c r="C131" s="1" t="s">
        <v>17</v>
      </c>
      <c r="D131" s="120"/>
      <c r="E131" s="3" t="s">
        <v>81</v>
      </c>
      <c r="F131" s="73" t="s">
        <v>417</v>
      </c>
      <c r="G131" s="74" t="s">
        <v>112</v>
      </c>
      <c r="H131" s="75"/>
      <c r="I131" s="76"/>
      <c r="J131" s="96"/>
      <c r="K131" s="77"/>
      <c r="L131" s="77"/>
      <c r="M131" s="38">
        <f t="shared" si="4"/>
        <v>0</v>
      </c>
      <c r="N131" s="100">
        <f>2</f>
        <v>2</v>
      </c>
      <c r="O131" s="81">
        <f>3040.94</f>
        <v>3040.94</v>
      </c>
      <c r="P131" s="81"/>
      <c r="Q131" s="12">
        <f t="shared" si="3"/>
        <v>3040.94</v>
      </c>
      <c r="R131" s="141"/>
    </row>
    <row r="132" spans="1:18" s="13" customFormat="1" ht="15.75" x14ac:dyDescent="0.25">
      <c r="A132" s="10"/>
      <c r="B132" s="22" t="s">
        <v>80</v>
      </c>
      <c r="C132" s="1" t="s">
        <v>17</v>
      </c>
      <c r="D132" s="120"/>
      <c r="E132" s="3" t="s">
        <v>81</v>
      </c>
      <c r="F132" s="73" t="s">
        <v>285</v>
      </c>
      <c r="G132" s="11" t="s">
        <v>114</v>
      </c>
      <c r="H132" s="1"/>
      <c r="I132" s="49"/>
      <c r="J132" s="51"/>
      <c r="K132" s="40"/>
      <c r="L132" s="40"/>
      <c r="M132" s="78">
        <f t="shared" si="4"/>
        <v>0</v>
      </c>
      <c r="N132" s="41">
        <v>15</v>
      </c>
      <c r="O132" s="31">
        <f>21200.04</f>
        <v>21200.04</v>
      </c>
      <c r="P132" s="31">
        <f>4610.4</f>
        <v>4610.3999999999996</v>
      </c>
      <c r="Q132" s="79">
        <f t="shared" si="3"/>
        <v>16589.64</v>
      </c>
    </row>
    <row r="133" spans="1:18" s="13" customFormat="1" ht="15.75" x14ac:dyDescent="0.25">
      <c r="A133" s="10"/>
      <c r="B133" s="30" t="s">
        <v>82</v>
      </c>
      <c r="C133" s="1" t="s">
        <v>17</v>
      </c>
      <c r="D133" s="120"/>
      <c r="E133" s="3" t="s">
        <v>20</v>
      </c>
      <c r="F133" s="73" t="s">
        <v>394</v>
      </c>
      <c r="G133" s="74" t="s">
        <v>112</v>
      </c>
      <c r="H133" s="75">
        <v>5</v>
      </c>
      <c r="I133" s="76"/>
      <c r="J133" s="96"/>
      <c r="K133" s="77"/>
      <c r="L133" s="77"/>
      <c r="M133" s="38">
        <f t="shared" si="4"/>
        <v>0</v>
      </c>
      <c r="N133" s="100">
        <f>3+5</f>
        <v>8</v>
      </c>
      <c r="O133" s="81">
        <f>5975.84+23579.15</f>
        <v>29554.99</v>
      </c>
      <c r="P133" s="81"/>
      <c r="Q133" s="12">
        <f t="shared" si="3"/>
        <v>29554.99</v>
      </c>
      <c r="R133" s="141"/>
    </row>
    <row r="134" spans="1:18" s="13" customFormat="1" ht="15.75" x14ac:dyDescent="0.25">
      <c r="A134" s="10"/>
      <c r="B134" s="24" t="s">
        <v>82</v>
      </c>
      <c r="C134" s="1" t="s">
        <v>17</v>
      </c>
      <c r="D134" s="120"/>
      <c r="E134" s="3" t="s">
        <v>20</v>
      </c>
      <c r="F134" s="73" t="s">
        <v>463</v>
      </c>
      <c r="G134" s="11" t="s">
        <v>114</v>
      </c>
      <c r="H134" s="1">
        <v>8</v>
      </c>
      <c r="I134" s="49"/>
      <c r="J134" s="51"/>
      <c r="K134" s="40"/>
      <c r="L134" s="40"/>
      <c r="M134" s="78">
        <f t="shared" si="4"/>
        <v>0</v>
      </c>
      <c r="N134" s="41">
        <v>7</v>
      </c>
      <c r="O134" s="31">
        <v>10757.8</v>
      </c>
      <c r="P134" s="31">
        <f>4314.3</f>
        <v>4314.3</v>
      </c>
      <c r="Q134" s="79">
        <f t="shared" si="3"/>
        <v>6443.4999999999991</v>
      </c>
    </row>
    <row r="135" spans="1:18" s="13" customFormat="1" ht="15.75" x14ac:dyDescent="0.25">
      <c r="A135" s="10"/>
      <c r="B135" s="24" t="s">
        <v>309</v>
      </c>
      <c r="C135" s="1"/>
      <c r="D135" s="120"/>
      <c r="E135" s="3" t="s">
        <v>20</v>
      </c>
      <c r="F135" s="73" t="s">
        <v>391</v>
      </c>
      <c r="G135" s="11" t="s">
        <v>112</v>
      </c>
      <c r="H135" s="1">
        <v>9</v>
      </c>
      <c r="I135" s="58">
        <v>1</v>
      </c>
      <c r="J135" s="51">
        <f>1</f>
        <v>1</v>
      </c>
      <c r="K135" s="40">
        <f>3606.1</f>
        <v>3606.1</v>
      </c>
      <c r="L135" s="40"/>
      <c r="M135" s="38">
        <f t="shared" si="4"/>
        <v>3606.1</v>
      </c>
      <c r="N135" s="41">
        <f>1+5+1</f>
        <v>7</v>
      </c>
      <c r="O135" s="31">
        <f>3088.97+13147.65+1267.86</f>
        <v>17504.48</v>
      </c>
      <c r="P135" s="31"/>
      <c r="Q135" s="79"/>
      <c r="R135" s="141"/>
    </row>
    <row r="136" spans="1:18" s="13" customFormat="1" ht="15.75" x14ac:dyDescent="0.25">
      <c r="A136" s="10"/>
      <c r="B136" s="30" t="s">
        <v>152</v>
      </c>
      <c r="C136" s="1" t="s">
        <v>17</v>
      </c>
      <c r="D136" s="120"/>
      <c r="E136" s="3" t="s">
        <v>35</v>
      </c>
      <c r="F136" s="73" t="s">
        <v>392</v>
      </c>
      <c r="G136" s="74" t="s">
        <v>112</v>
      </c>
      <c r="H136" s="75">
        <v>7</v>
      </c>
      <c r="I136" s="76">
        <v>2</v>
      </c>
      <c r="J136" s="96">
        <f>1+1</f>
        <v>2</v>
      </c>
      <c r="K136" s="77">
        <f>403.41+845.24</f>
        <v>1248.6500000000001</v>
      </c>
      <c r="L136" s="77"/>
      <c r="M136" s="38">
        <f t="shared" si="4"/>
        <v>1248.6500000000001</v>
      </c>
      <c r="N136" s="100">
        <f>2+2+2+1</f>
        <v>7</v>
      </c>
      <c r="O136" s="81">
        <f>1690.48+3050.26+3661.61+4648.82+1267.86</f>
        <v>14319.03</v>
      </c>
      <c r="P136" s="81">
        <f>1690.4</f>
        <v>1690.4</v>
      </c>
      <c r="Q136" s="12">
        <f t="shared" si="3"/>
        <v>12628.630000000001</v>
      </c>
      <c r="R136" s="141"/>
    </row>
    <row r="137" spans="1:18" s="13" customFormat="1" ht="15.75" x14ac:dyDescent="0.25">
      <c r="A137" s="10"/>
      <c r="B137" s="24" t="s">
        <v>152</v>
      </c>
      <c r="C137" s="1" t="s">
        <v>17</v>
      </c>
      <c r="D137" s="120"/>
      <c r="E137" s="3" t="s">
        <v>32</v>
      </c>
      <c r="F137" s="73"/>
      <c r="G137" s="11" t="s">
        <v>117</v>
      </c>
      <c r="H137" s="1"/>
      <c r="I137" s="49"/>
      <c r="J137" s="46"/>
      <c r="K137" s="40"/>
      <c r="L137" s="40"/>
      <c r="M137" s="78">
        <f t="shared" si="4"/>
        <v>0</v>
      </c>
      <c r="N137" s="41"/>
      <c r="O137" s="31"/>
      <c r="P137" s="31"/>
      <c r="Q137" s="79">
        <f t="shared" si="3"/>
        <v>0</v>
      </c>
    </row>
    <row r="138" spans="1:18" s="13" customFormat="1" ht="15.75" x14ac:dyDescent="0.25">
      <c r="A138" s="10"/>
      <c r="B138" s="30" t="s">
        <v>83</v>
      </c>
      <c r="C138" s="1" t="s">
        <v>17</v>
      </c>
      <c r="D138" s="120"/>
      <c r="E138" s="3" t="s">
        <v>20</v>
      </c>
      <c r="F138" s="73" t="s">
        <v>393</v>
      </c>
      <c r="G138" s="74" t="s">
        <v>112</v>
      </c>
      <c r="H138" s="75">
        <v>7</v>
      </c>
      <c r="I138" s="76">
        <v>2</v>
      </c>
      <c r="J138" s="96">
        <f>1+1</f>
        <v>2</v>
      </c>
      <c r="K138" s="77">
        <f>768.4</f>
        <v>768.4</v>
      </c>
      <c r="L138" s="77"/>
      <c r="M138" s="38">
        <f t="shared" si="4"/>
        <v>768.4</v>
      </c>
      <c r="N138" s="100">
        <f>1+2</f>
        <v>3</v>
      </c>
      <c r="O138" s="81">
        <f>5837.09+1922.92</f>
        <v>7760.01</v>
      </c>
      <c r="P138" s="81"/>
      <c r="Q138" s="12">
        <f t="shared" si="3"/>
        <v>7760.01</v>
      </c>
      <c r="R138" s="141"/>
    </row>
    <row r="139" spans="1:18" s="13" customFormat="1" ht="15.75" x14ac:dyDescent="0.25">
      <c r="A139" s="10"/>
      <c r="B139" s="24" t="s">
        <v>83</v>
      </c>
      <c r="C139" s="1" t="s">
        <v>17</v>
      </c>
      <c r="D139" s="120"/>
      <c r="E139" s="3" t="s">
        <v>20</v>
      </c>
      <c r="F139" s="73" t="s">
        <v>464</v>
      </c>
      <c r="G139" s="11" t="s">
        <v>114</v>
      </c>
      <c r="H139" s="1">
        <v>5</v>
      </c>
      <c r="I139" s="49"/>
      <c r="J139" s="51"/>
      <c r="K139" s="40"/>
      <c r="L139" s="40"/>
      <c r="M139" s="78">
        <f t="shared" si="4"/>
        <v>0</v>
      </c>
      <c r="N139" s="41">
        <v>22</v>
      </c>
      <c r="O139" s="31">
        <v>43871.3</v>
      </c>
      <c r="P139" s="31">
        <f>3649.9</f>
        <v>3649.9</v>
      </c>
      <c r="Q139" s="79">
        <f t="shared" si="3"/>
        <v>40221.4</v>
      </c>
    </row>
    <row r="140" spans="1:18" s="13" customFormat="1" ht="15.75" x14ac:dyDescent="0.25">
      <c r="A140" s="10"/>
      <c r="B140" s="24" t="s">
        <v>310</v>
      </c>
      <c r="C140" s="1"/>
      <c r="D140" s="120"/>
      <c r="E140" s="3" t="s">
        <v>20</v>
      </c>
      <c r="F140" s="73"/>
      <c r="G140" s="11" t="s">
        <v>114</v>
      </c>
      <c r="H140" s="1"/>
      <c r="I140" s="49"/>
      <c r="J140" s="51"/>
      <c r="K140" s="40"/>
      <c r="L140" s="40"/>
      <c r="M140" s="78"/>
      <c r="N140" s="41"/>
      <c r="O140" s="31"/>
      <c r="P140" s="31"/>
      <c r="Q140" s="79"/>
    </row>
    <row r="141" spans="1:18" s="13" customFormat="1" ht="15.75" x14ac:dyDescent="0.25">
      <c r="A141" s="10"/>
      <c r="B141" s="30" t="s">
        <v>84</v>
      </c>
      <c r="C141" s="1"/>
      <c r="D141" s="120"/>
      <c r="E141" s="3" t="s">
        <v>20</v>
      </c>
      <c r="F141" s="73" t="s">
        <v>287</v>
      </c>
      <c r="G141" s="11" t="s">
        <v>114</v>
      </c>
      <c r="H141" s="1"/>
      <c r="I141" s="49"/>
      <c r="J141" s="51"/>
      <c r="K141" s="40"/>
      <c r="L141" s="40"/>
      <c r="M141" s="38">
        <f t="shared" si="4"/>
        <v>0</v>
      </c>
      <c r="N141" s="41"/>
      <c r="O141" s="31"/>
      <c r="P141" s="31"/>
      <c r="Q141" s="12">
        <f t="shared" si="3"/>
        <v>0</v>
      </c>
    </row>
    <row r="142" spans="1:18" s="13" customFormat="1" ht="47.25" x14ac:dyDescent="0.25">
      <c r="A142" s="10"/>
      <c r="B142" s="30" t="s">
        <v>85</v>
      </c>
      <c r="C142" s="1" t="s">
        <v>304</v>
      </c>
      <c r="D142" s="120" t="s">
        <v>415</v>
      </c>
      <c r="E142" s="3" t="s">
        <v>20</v>
      </c>
      <c r="F142" s="73" t="s">
        <v>395</v>
      </c>
      <c r="G142" s="74" t="s">
        <v>112</v>
      </c>
      <c r="H142" s="75">
        <v>4</v>
      </c>
      <c r="I142" s="76"/>
      <c r="J142" s="96"/>
      <c r="K142" s="77"/>
      <c r="L142" s="77"/>
      <c r="M142" s="38">
        <f t="shared" si="4"/>
        <v>0</v>
      </c>
      <c r="N142" s="100"/>
      <c r="O142" s="81"/>
      <c r="P142" s="81"/>
      <c r="Q142" s="79">
        <f t="shared" si="3"/>
        <v>0</v>
      </c>
      <c r="R142" s="141"/>
    </row>
    <row r="143" spans="1:18" s="13" customFormat="1" ht="15.75" x14ac:dyDescent="0.25">
      <c r="A143" s="10"/>
      <c r="B143" s="27" t="s">
        <v>86</v>
      </c>
      <c r="C143" s="1" t="s">
        <v>17</v>
      </c>
      <c r="D143" s="120"/>
      <c r="E143" s="17" t="s">
        <v>20</v>
      </c>
      <c r="F143" s="73" t="s">
        <v>396</v>
      </c>
      <c r="G143" s="74" t="s">
        <v>112</v>
      </c>
      <c r="H143" s="75">
        <v>5</v>
      </c>
      <c r="I143" s="76">
        <v>1</v>
      </c>
      <c r="J143" s="96">
        <f>1</f>
        <v>1</v>
      </c>
      <c r="K143" s="77">
        <f>950.9</f>
        <v>950.9</v>
      </c>
      <c r="L143" s="77"/>
      <c r="M143" s="38">
        <f t="shared" si="4"/>
        <v>950.9</v>
      </c>
      <c r="N143" s="100">
        <f>15+4</f>
        <v>19</v>
      </c>
      <c r="O143" s="81">
        <f>30236.61+18366.75</f>
        <v>48603.360000000001</v>
      </c>
      <c r="P143" s="81"/>
      <c r="Q143" s="12">
        <f t="shared" si="3"/>
        <v>48603.360000000001</v>
      </c>
      <c r="R143" s="141"/>
    </row>
    <row r="144" spans="1:18" s="13" customFormat="1" ht="15.75" x14ac:dyDescent="0.25">
      <c r="A144" s="10"/>
      <c r="B144" s="25" t="s">
        <v>86</v>
      </c>
      <c r="C144" s="1" t="s">
        <v>17</v>
      </c>
      <c r="D144" s="120"/>
      <c r="E144" s="17" t="s">
        <v>20</v>
      </c>
      <c r="F144" s="73" t="s">
        <v>465</v>
      </c>
      <c r="G144" s="11" t="s">
        <v>114</v>
      </c>
      <c r="H144" s="1"/>
      <c r="I144" s="49"/>
      <c r="J144" s="51"/>
      <c r="K144" s="40"/>
      <c r="L144" s="40"/>
      <c r="M144" s="78">
        <f t="shared" si="4"/>
        <v>0</v>
      </c>
      <c r="N144" s="41">
        <v>3</v>
      </c>
      <c r="O144" s="31"/>
      <c r="P144" s="31"/>
      <c r="Q144" s="79">
        <f t="shared" si="3"/>
        <v>0</v>
      </c>
    </row>
    <row r="145" spans="1:18" s="13" customFormat="1" ht="15.75" x14ac:dyDescent="0.25">
      <c r="A145" s="10"/>
      <c r="B145" s="62" t="s">
        <v>87</v>
      </c>
      <c r="C145" s="1" t="s">
        <v>17</v>
      </c>
      <c r="D145" s="120"/>
      <c r="E145" s="17" t="s">
        <v>78</v>
      </c>
      <c r="F145" s="73" t="s">
        <v>142</v>
      </c>
      <c r="G145" s="74" t="s">
        <v>112</v>
      </c>
      <c r="H145" s="75"/>
      <c r="I145" s="76"/>
      <c r="J145" s="96"/>
      <c r="K145" s="77"/>
      <c r="L145" s="77"/>
      <c r="M145" s="38">
        <f t="shared" si="4"/>
        <v>0</v>
      </c>
      <c r="N145" s="100"/>
      <c r="O145" s="81"/>
      <c r="P145" s="81"/>
      <c r="Q145" s="12">
        <f t="shared" si="3"/>
        <v>0</v>
      </c>
      <c r="R145" s="141"/>
    </row>
    <row r="146" spans="1:18" s="13" customFormat="1" ht="15.75" x14ac:dyDescent="0.25">
      <c r="A146" s="10"/>
      <c r="B146" s="62" t="s">
        <v>312</v>
      </c>
      <c r="C146" s="1" t="s">
        <v>17</v>
      </c>
      <c r="D146" s="120"/>
      <c r="E146" s="17" t="s">
        <v>20</v>
      </c>
      <c r="F146" s="73" t="s">
        <v>320</v>
      </c>
      <c r="G146" s="74" t="s">
        <v>112</v>
      </c>
      <c r="H146" s="75">
        <v>7</v>
      </c>
      <c r="I146" s="76">
        <v>1</v>
      </c>
      <c r="J146" s="96">
        <f>1</f>
        <v>1</v>
      </c>
      <c r="K146" s="77">
        <f>3319.49</f>
        <v>3319.49</v>
      </c>
      <c r="L146" s="77"/>
      <c r="M146" s="38"/>
      <c r="N146" s="100">
        <f>5+6</f>
        <v>11</v>
      </c>
      <c r="O146" s="81">
        <f>4226.2+6627.45</f>
        <v>10853.65</v>
      </c>
      <c r="P146" s="81"/>
      <c r="Q146" s="12"/>
      <c r="R146" s="141"/>
    </row>
    <row r="147" spans="1:18" s="13" customFormat="1" ht="15.75" x14ac:dyDescent="0.25">
      <c r="A147" s="10"/>
      <c r="B147" s="62" t="s">
        <v>494</v>
      </c>
      <c r="C147" s="1" t="s">
        <v>17</v>
      </c>
      <c r="D147" s="120"/>
      <c r="E147" s="17" t="s">
        <v>20</v>
      </c>
      <c r="F147" s="73" t="s">
        <v>497</v>
      </c>
      <c r="G147" s="74" t="s">
        <v>112</v>
      </c>
      <c r="H147" s="75">
        <v>2</v>
      </c>
      <c r="I147" s="76"/>
      <c r="J147" s="96"/>
      <c r="K147" s="77"/>
      <c r="L147" s="77"/>
      <c r="M147" s="38"/>
      <c r="N147" s="100"/>
      <c r="O147" s="81"/>
      <c r="P147" s="81"/>
      <c r="Q147" s="12"/>
      <c r="R147" s="141"/>
    </row>
    <row r="148" spans="1:18" s="13" customFormat="1" ht="15.75" x14ac:dyDescent="0.25">
      <c r="A148" s="10"/>
      <c r="B148" s="62" t="s">
        <v>494</v>
      </c>
      <c r="C148" s="1"/>
      <c r="D148" s="120"/>
      <c r="E148" s="17"/>
      <c r="F148" s="73"/>
      <c r="G148" s="74" t="s">
        <v>114</v>
      </c>
      <c r="H148" s="75">
        <v>1</v>
      </c>
      <c r="I148" s="76"/>
      <c r="J148" s="96"/>
      <c r="K148" s="77"/>
      <c r="L148" s="77"/>
      <c r="M148" s="38"/>
      <c r="N148" s="100"/>
      <c r="O148" s="81"/>
      <c r="P148" s="81"/>
      <c r="Q148" s="12"/>
      <c r="R148" s="141"/>
    </row>
    <row r="149" spans="1:18" s="13" customFormat="1" ht="15.75" x14ac:dyDescent="0.25">
      <c r="A149" s="10"/>
      <c r="B149" s="30" t="s">
        <v>88</v>
      </c>
      <c r="C149" s="1" t="s">
        <v>17</v>
      </c>
      <c r="D149" s="120"/>
      <c r="E149" s="3" t="s">
        <v>89</v>
      </c>
      <c r="F149" s="73" t="s">
        <v>397</v>
      </c>
      <c r="G149" s="74" t="s">
        <v>112</v>
      </c>
      <c r="H149" s="75">
        <v>4</v>
      </c>
      <c r="I149" s="76"/>
      <c r="J149" s="96"/>
      <c r="K149" s="77">
        <f>4226.2</f>
        <v>4226.2</v>
      </c>
      <c r="L149" s="77"/>
      <c r="M149" s="38">
        <f t="shared" si="4"/>
        <v>4226.2</v>
      </c>
      <c r="N149" s="100">
        <f>4+1+3+1+2+2</f>
        <v>13</v>
      </c>
      <c r="O149" s="81">
        <f>11967.83+2831.55+10544.37+9418.99+3799.13</f>
        <v>38561.869999999995</v>
      </c>
      <c r="P149" s="81"/>
      <c r="Q149" s="79">
        <f t="shared" ref="Q149:Q191" si="5">O149-P149</f>
        <v>38561.869999999995</v>
      </c>
      <c r="R149" s="141"/>
    </row>
    <row r="150" spans="1:18" s="13" customFormat="1" ht="15.75" x14ac:dyDescent="0.25">
      <c r="A150" s="10"/>
      <c r="B150" s="24" t="s">
        <v>88</v>
      </c>
      <c r="C150" s="1" t="s">
        <v>17</v>
      </c>
      <c r="D150" s="120"/>
      <c r="E150" s="3" t="s">
        <v>89</v>
      </c>
      <c r="F150" s="73" t="s">
        <v>442</v>
      </c>
      <c r="G150" s="11" t="s">
        <v>118</v>
      </c>
      <c r="H150" s="1">
        <v>1</v>
      </c>
      <c r="I150" s="49"/>
      <c r="J150" s="46"/>
      <c r="K150" s="40"/>
      <c r="L150" s="40"/>
      <c r="M150" s="38">
        <f t="shared" si="4"/>
        <v>0</v>
      </c>
      <c r="N150" s="41">
        <v>2</v>
      </c>
      <c r="O150" s="31">
        <v>8523.52</v>
      </c>
      <c r="P150" s="31"/>
      <c r="Q150" s="12">
        <f t="shared" si="5"/>
        <v>8523.52</v>
      </c>
    </row>
    <row r="151" spans="1:18" s="13" customFormat="1" ht="15.75" x14ac:dyDescent="0.25">
      <c r="A151" s="10"/>
      <c r="B151" s="30" t="s">
        <v>90</v>
      </c>
      <c r="C151" s="1" t="s">
        <v>17</v>
      </c>
      <c r="D151" s="120"/>
      <c r="E151" s="17" t="s">
        <v>20</v>
      </c>
      <c r="F151" s="73" t="s">
        <v>398</v>
      </c>
      <c r="G151" s="74" t="s">
        <v>112</v>
      </c>
      <c r="H151" s="75">
        <v>3</v>
      </c>
      <c r="I151" s="76"/>
      <c r="J151" s="96"/>
      <c r="K151" s="77"/>
      <c r="L151" s="77"/>
      <c r="M151" s="38">
        <f t="shared" si="4"/>
        <v>0</v>
      </c>
      <c r="N151" s="100">
        <f>1</f>
        <v>1</v>
      </c>
      <c r="O151" s="81">
        <f>2122.67</f>
        <v>2122.67</v>
      </c>
      <c r="P151" s="81"/>
      <c r="Q151" s="79">
        <f t="shared" si="5"/>
        <v>2122.67</v>
      </c>
      <c r="R151" s="141"/>
    </row>
    <row r="152" spans="1:18" s="13" customFormat="1" ht="15.75" x14ac:dyDescent="0.25">
      <c r="A152" s="10"/>
      <c r="B152" s="24" t="s">
        <v>90</v>
      </c>
      <c r="C152" s="1" t="s">
        <v>17</v>
      </c>
      <c r="D152" s="120"/>
      <c r="E152" s="17" t="s">
        <v>20</v>
      </c>
      <c r="F152" s="73" t="s">
        <v>466</v>
      </c>
      <c r="G152" s="11" t="s">
        <v>114</v>
      </c>
      <c r="H152" s="1">
        <v>4</v>
      </c>
      <c r="I152" s="49"/>
      <c r="J152" s="51"/>
      <c r="K152" s="40"/>
      <c r="L152" s="40"/>
      <c r="M152" s="78">
        <f t="shared" si="4"/>
        <v>0</v>
      </c>
      <c r="N152" s="41">
        <v>15</v>
      </c>
      <c r="O152" s="31">
        <f>31793</f>
        <v>31793</v>
      </c>
      <c r="P152" s="31">
        <f>3682</f>
        <v>3682</v>
      </c>
      <c r="Q152" s="12">
        <f t="shared" si="5"/>
        <v>28111</v>
      </c>
    </row>
    <row r="153" spans="1:18" s="13" customFormat="1" ht="15.75" x14ac:dyDescent="0.25">
      <c r="A153" s="10"/>
      <c r="B153" s="30" t="s">
        <v>91</v>
      </c>
      <c r="C153" s="1" t="s">
        <v>17</v>
      </c>
      <c r="D153" s="120"/>
      <c r="E153" s="17" t="s">
        <v>20</v>
      </c>
      <c r="F153" s="73" t="s">
        <v>399</v>
      </c>
      <c r="G153" s="74" t="s">
        <v>112</v>
      </c>
      <c r="H153" s="75"/>
      <c r="I153" s="76"/>
      <c r="J153" s="96"/>
      <c r="K153" s="77"/>
      <c r="L153" s="77"/>
      <c r="M153" s="38">
        <f t="shared" si="4"/>
        <v>0</v>
      </c>
      <c r="N153" s="100"/>
      <c r="O153" s="81"/>
      <c r="P153" s="81"/>
      <c r="Q153" s="79">
        <f t="shared" si="5"/>
        <v>0</v>
      </c>
      <c r="R153" s="141"/>
    </row>
    <row r="154" spans="1:18" s="13" customFormat="1" ht="15.75" x14ac:dyDescent="0.25">
      <c r="A154" s="10"/>
      <c r="B154" s="22" t="s">
        <v>138</v>
      </c>
      <c r="C154" s="1" t="s">
        <v>17</v>
      </c>
      <c r="D154" s="120"/>
      <c r="E154" s="17" t="s">
        <v>20</v>
      </c>
      <c r="F154" s="73" t="s">
        <v>467</v>
      </c>
      <c r="G154" s="11" t="s">
        <v>114</v>
      </c>
      <c r="H154" s="1">
        <v>2</v>
      </c>
      <c r="I154" s="49"/>
      <c r="J154" s="51"/>
      <c r="K154" s="37"/>
      <c r="L154" s="37"/>
      <c r="M154" s="78">
        <f t="shared" si="4"/>
        <v>0</v>
      </c>
      <c r="N154" s="39">
        <v>4</v>
      </c>
      <c r="O154" s="31">
        <v>1841</v>
      </c>
      <c r="P154" s="31"/>
      <c r="Q154" s="12">
        <f t="shared" si="5"/>
        <v>1841</v>
      </c>
    </row>
    <row r="155" spans="1:18" s="13" customFormat="1" ht="15.75" x14ac:dyDescent="0.25">
      <c r="A155" s="10"/>
      <c r="B155" s="62" t="s">
        <v>138</v>
      </c>
      <c r="C155" s="1" t="s">
        <v>17</v>
      </c>
      <c r="D155" s="120"/>
      <c r="E155" s="17" t="s">
        <v>20</v>
      </c>
      <c r="F155" s="73" t="s">
        <v>400</v>
      </c>
      <c r="G155" s="74" t="s">
        <v>112</v>
      </c>
      <c r="H155" s="75">
        <v>4</v>
      </c>
      <c r="I155" s="82"/>
      <c r="J155" s="96"/>
      <c r="K155" s="77"/>
      <c r="L155" s="77"/>
      <c r="M155" s="38">
        <f t="shared" si="4"/>
        <v>0</v>
      </c>
      <c r="N155" s="100">
        <f>5</f>
        <v>5</v>
      </c>
      <c r="O155" s="81">
        <v>8995.8700000000008</v>
      </c>
      <c r="P155" s="81"/>
      <c r="Q155" s="79">
        <f t="shared" si="5"/>
        <v>8995.8700000000008</v>
      </c>
      <c r="R155" s="141"/>
    </row>
    <row r="156" spans="1:18" s="13" customFormat="1" ht="15.75" x14ac:dyDescent="0.25">
      <c r="A156" s="10"/>
      <c r="B156" s="62" t="s">
        <v>157</v>
      </c>
      <c r="C156" s="1" t="s">
        <v>17</v>
      </c>
      <c r="D156" s="120"/>
      <c r="E156" s="17" t="s">
        <v>20</v>
      </c>
      <c r="F156" s="73" t="s">
        <v>401</v>
      </c>
      <c r="G156" s="74" t="s">
        <v>112</v>
      </c>
      <c r="H156" s="75">
        <v>3</v>
      </c>
      <c r="I156" s="82"/>
      <c r="J156" s="96"/>
      <c r="K156" s="77"/>
      <c r="L156" s="77"/>
      <c r="M156" s="38">
        <f t="shared" ref="M156:M190" si="6">K156-L156</f>
        <v>0</v>
      </c>
      <c r="N156" s="100"/>
      <c r="O156" s="81"/>
      <c r="P156" s="81"/>
      <c r="Q156" s="12">
        <f t="shared" si="5"/>
        <v>0</v>
      </c>
      <c r="R156" s="141"/>
    </row>
    <row r="157" spans="1:18" s="13" customFormat="1" ht="15.75" x14ac:dyDescent="0.25">
      <c r="A157" s="10"/>
      <c r="B157" s="22" t="s">
        <v>157</v>
      </c>
      <c r="C157" s="1" t="s">
        <v>17</v>
      </c>
      <c r="D157" s="120"/>
      <c r="E157" s="17" t="s">
        <v>20</v>
      </c>
      <c r="F157" s="73"/>
      <c r="G157" s="11" t="s">
        <v>114</v>
      </c>
      <c r="H157" s="1"/>
      <c r="I157" s="49"/>
      <c r="J157" s="51"/>
      <c r="K157" s="37"/>
      <c r="L157" s="37"/>
      <c r="M157" s="38">
        <f t="shared" si="6"/>
        <v>0</v>
      </c>
      <c r="N157" s="39"/>
      <c r="O157" s="31"/>
      <c r="P157" s="31"/>
      <c r="Q157" s="79">
        <f t="shared" si="5"/>
        <v>0</v>
      </c>
    </row>
    <row r="158" spans="1:18" s="15" customFormat="1" ht="15.75" x14ac:dyDescent="0.25">
      <c r="A158" s="14"/>
      <c r="B158" s="80" t="s">
        <v>92</v>
      </c>
      <c r="C158" s="1" t="s">
        <v>17</v>
      </c>
      <c r="D158" s="120"/>
      <c r="E158" s="17" t="s">
        <v>20</v>
      </c>
      <c r="F158" s="73" t="s">
        <v>402</v>
      </c>
      <c r="G158" s="74" t="s">
        <v>112</v>
      </c>
      <c r="H158" s="75">
        <v>2</v>
      </c>
      <c r="I158" s="76"/>
      <c r="J158" s="96"/>
      <c r="K158" s="77"/>
      <c r="L158" s="77"/>
      <c r="M158" s="38">
        <f t="shared" si="6"/>
        <v>0</v>
      </c>
      <c r="N158" s="100">
        <f>4+1</f>
        <v>5</v>
      </c>
      <c r="O158" s="81">
        <f>12624.74+2697.06</f>
        <v>15321.8</v>
      </c>
      <c r="P158" s="81">
        <f>12624.74</f>
        <v>12624.74</v>
      </c>
      <c r="Q158" s="12">
        <f t="shared" si="5"/>
        <v>2697.0599999999995</v>
      </c>
      <c r="R158" s="141"/>
    </row>
    <row r="159" spans="1:18" s="15" customFormat="1" ht="15.75" x14ac:dyDescent="0.25">
      <c r="A159" s="14"/>
      <c r="B159" s="23" t="s">
        <v>92</v>
      </c>
      <c r="C159" s="1" t="s">
        <v>17</v>
      </c>
      <c r="D159" s="120"/>
      <c r="E159" s="17" t="s">
        <v>20</v>
      </c>
      <c r="F159" s="73" t="s">
        <v>129</v>
      </c>
      <c r="G159" s="11" t="s">
        <v>114</v>
      </c>
      <c r="H159" s="1"/>
      <c r="I159" s="49"/>
      <c r="J159" s="51"/>
      <c r="K159" s="40"/>
      <c r="L159" s="40"/>
      <c r="M159" s="38">
        <f t="shared" si="6"/>
        <v>0</v>
      </c>
      <c r="N159" s="39"/>
      <c r="O159" s="31"/>
      <c r="P159" s="31"/>
      <c r="Q159" s="79">
        <f t="shared" si="5"/>
        <v>0</v>
      </c>
    </row>
    <row r="160" spans="1:18" s="13" customFormat="1" ht="15.75" x14ac:dyDescent="0.25">
      <c r="A160" s="10"/>
      <c r="B160" s="30" t="s">
        <v>93</v>
      </c>
      <c r="C160" s="1" t="s">
        <v>17</v>
      </c>
      <c r="D160" s="120"/>
      <c r="E160" s="3" t="s">
        <v>94</v>
      </c>
      <c r="F160" s="73" t="s">
        <v>403</v>
      </c>
      <c r="G160" s="74" t="s">
        <v>112</v>
      </c>
      <c r="H160" s="75">
        <v>7</v>
      </c>
      <c r="I160" s="76">
        <v>2</v>
      </c>
      <c r="J160" s="96">
        <f>2</f>
        <v>2</v>
      </c>
      <c r="K160" s="77">
        <f>2362.84</f>
        <v>2362.84</v>
      </c>
      <c r="L160" s="77"/>
      <c r="M160" s="38">
        <f t="shared" si="6"/>
        <v>2362.84</v>
      </c>
      <c r="N160" s="100">
        <f>3+8</f>
        <v>11</v>
      </c>
      <c r="O160" s="81">
        <f>20117.75</f>
        <v>20117.75</v>
      </c>
      <c r="P160" s="81"/>
      <c r="Q160" s="12">
        <f t="shared" si="5"/>
        <v>20117.75</v>
      </c>
      <c r="R160" s="141"/>
    </row>
    <row r="161" spans="1:18" s="13" customFormat="1" ht="15.75" x14ac:dyDescent="0.25">
      <c r="A161" s="10"/>
      <c r="B161" s="24" t="s">
        <v>93</v>
      </c>
      <c r="C161" s="1" t="s">
        <v>17</v>
      </c>
      <c r="D161" s="120"/>
      <c r="E161" s="3" t="s">
        <v>94</v>
      </c>
      <c r="F161" s="73" t="s">
        <v>130</v>
      </c>
      <c r="G161" s="11" t="s">
        <v>114</v>
      </c>
      <c r="H161" s="1"/>
      <c r="I161" s="49"/>
      <c r="J161" s="51"/>
      <c r="K161" s="40"/>
      <c r="L161" s="77"/>
      <c r="M161" s="38">
        <f t="shared" si="6"/>
        <v>0</v>
      </c>
      <c r="N161" s="41"/>
      <c r="O161" s="31"/>
      <c r="P161" s="31"/>
      <c r="Q161" s="79">
        <f t="shared" si="5"/>
        <v>0</v>
      </c>
    </row>
    <row r="162" spans="1:18" s="13" customFormat="1" ht="15.75" x14ac:dyDescent="0.25">
      <c r="A162" s="10"/>
      <c r="B162" s="24" t="s">
        <v>93</v>
      </c>
      <c r="C162" s="1" t="s">
        <v>17</v>
      </c>
      <c r="D162" s="120"/>
      <c r="E162" s="3" t="s">
        <v>94</v>
      </c>
      <c r="F162" s="73" t="s">
        <v>240</v>
      </c>
      <c r="G162" s="11" t="s">
        <v>118</v>
      </c>
      <c r="H162" s="1"/>
      <c r="I162" s="49"/>
      <c r="J162" s="46"/>
      <c r="K162" s="40"/>
      <c r="L162" s="40"/>
      <c r="M162" s="78">
        <f t="shared" si="6"/>
        <v>0</v>
      </c>
      <c r="N162" s="41"/>
      <c r="O162" s="31"/>
      <c r="P162" s="31"/>
      <c r="Q162" s="12">
        <f t="shared" si="5"/>
        <v>0</v>
      </c>
    </row>
    <row r="163" spans="1:18" s="13" customFormat="1" ht="15.75" x14ac:dyDescent="0.25">
      <c r="A163" s="10"/>
      <c r="B163" s="30" t="s">
        <v>95</v>
      </c>
      <c r="C163" s="1" t="s">
        <v>17</v>
      </c>
      <c r="D163" s="120"/>
      <c r="E163" s="17" t="s">
        <v>20</v>
      </c>
      <c r="F163" s="73" t="s">
        <v>404</v>
      </c>
      <c r="G163" s="74" t="s">
        <v>112</v>
      </c>
      <c r="H163" s="75">
        <v>5</v>
      </c>
      <c r="I163" s="76">
        <v>1</v>
      </c>
      <c r="J163" s="96">
        <f>1</f>
        <v>1</v>
      </c>
      <c r="K163" s="77">
        <f>1061.35</f>
        <v>1061.3499999999999</v>
      </c>
      <c r="L163" s="77"/>
      <c r="M163" s="38">
        <f t="shared" si="6"/>
        <v>1061.3499999999999</v>
      </c>
      <c r="N163" s="100">
        <f>1+6</f>
        <v>7</v>
      </c>
      <c r="O163" s="81">
        <f>11603.82+7559.28</f>
        <v>19163.099999999999</v>
      </c>
      <c r="P163" s="81"/>
      <c r="Q163" s="79">
        <f t="shared" si="5"/>
        <v>19163.099999999999</v>
      </c>
      <c r="R163" s="141"/>
    </row>
    <row r="164" spans="1:18" s="13" customFormat="1" ht="15.75" x14ac:dyDescent="0.25">
      <c r="A164" s="10"/>
      <c r="B164" s="24" t="s">
        <v>95</v>
      </c>
      <c r="C164" s="1" t="s">
        <v>17</v>
      </c>
      <c r="D164" s="120"/>
      <c r="E164" s="17" t="s">
        <v>20</v>
      </c>
      <c r="F164" s="73" t="s">
        <v>291</v>
      </c>
      <c r="G164" s="11" t="s">
        <v>114</v>
      </c>
      <c r="H164" s="1">
        <v>1</v>
      </c>
      <c r="I164" s="49"/>
      <c r="J164" s="51"/>
      <c r="K164" s="40"/>
      <c r="L164" s="40"/>
      <c r="M164" s="78">
        <f t="shared" si="6"/>
        <v>0</v>
      </c>
      <c r="N164" s="41"/>
      <c r="O164" s="31"/>
      <c r="P164" s="31"/>
      <c r="Q164" s="12">
        <f t="shared" si="5"/>
        <v>0</v>
      </c>
    </row>
    <row r="165" spans="1:18" s="13" customFormat="1" ht="15.75" x14ac:dyDescent="0.25">
      <c r="A165" s="10"/>
      <c r="B165" s="30" t="s">
        <v>96</v>
      </c>
      <c r="C165" s="1" t="s">
        <v>17</v>
      </c>
      <c r="D165" s="120"/>
      <c r="E165" s="17" t="s">
        <v>97</v>
      </c>
      <c r="F165" s="73" t="s">
        <v>405</v>
      </c>
      <c r="G165" s="74" t="s">
        <v>112</v>
      </c>
      <c r="H165" s="75">
        <v>1</v>
      </c>
      <c r="I165" s="76"/>
      <c r="J165" s="96"/>
      <c r="K165" s="77"/>
      <c r="L165" s="77"/>
      <c r="M165" s="38">
        <f t="shared" si="6"/>
        <v>0</v>
      </c>
      <c r="N165" s="103">
        <f>1</f>
        <v>1</v>
      </c>
      <c r="O165" s="77">
        <f>1742.31</f>
        <v>1742.31</v>
      </c>
      <c r="P165" s="77"/>
      <c r="Q165" s="79">
        <f t="shared" si="5"/>
        <v>1742.31</v>
      </c>
      <c r="R165" s="141"/>
    </row>
    <row r="166" spans="1:18" s="13" customFormat="1" ht="15.75" x14ac:dyDescent="0.25">
      <c r="A166" s="10"/>
      <c r="B166" s="24" t="s">
        <v>96</v>
      </c>
      <c r="C166" s="1" t="s">
        <v>17</v>
      </c>
      <c r="D166" s="120"/>
      <c r="E166" s="17" t="s">
        <v>97</v>
      </c>
      <c r="F166" s="73" t="s">
        <v>468</v>
      </c>
      <c r="G166" s="11" t="s">
        <v>114</v>
      </c>
      <c r="H166" s="1">
        <v>1</v>
      </c>
      <c r="I166" s="49"/>
      <c r="J166" s="51"/>
      <c r="K166" s="40"/>
      <c r="L166" s="40"/>
      <c r="M166" s="78">
        <f t="shared" si="6"/>
        <v>0</v>
      </c>
      <c r="N166" s="41">
        <v>2</v>
      </c>
      <c r="O166" s="31"/>
      <c r="P166" s="31"/>
      <c r="Q166" s="12">
        <f t="shared" si="5"/>
        <v>0</v>
      </c>
    </row>
    <row r="167" spans="1:18" s="13" customFormat="1" ht="15.75" x14ac:dyDescent="0.25">
      <c r="A167" s="10"/>
      <c r="B167" s="30" t="s">
        <v>98</v>
      </c>
      <c r="C167" s="1" t="s">
        <v>17</v>
      </c>
      <c r="D167" s="120"/>
      <c r="E167" s="17" t="s">
        <v>35</v>
      </c>
      <c r="F167" s="73" t="s">
        <v>406</v>
      </c>
      <c r="G167" s="74" t="s">
        <v>112</v>
      </c>
      <c r="H167" s="75">
        <v>8</v>
      </c>
      <c r="I167" s="76">
        <v>2</v>
      </c>
      <c r="J167" s="96">
        <f>1</f>
        <v>1</v>
      </c>
      <c r="K167" s="77">
        <f>845.24+1764.25</f>
        <v>2609.4899999999998</v>
      </c>
      <c r="L167" s="77"/>
      <c r="M167" s="38">
        <f t="shared" si="6"/>
        <v>2609.4899999999998</v>
      </c>
      <c r="N167" s="100">
        <f>9+1+1+4</f>
        <v>15</v>
      </c>
      <c r="O167" s="81">
        <f>17007.01+2697.06+1267.86+31709.38+5331.44</f>
        <v>58012.75</v>
      </c>
      <c r="P167" s="81"/>
      <c r="Q167" s="79">
        <f t="shared" si="5"/>
        <v>58012.75</v>
      </c>
      <c r="R167" s="141"/>
    </row>
    <row r="168" spans="1:18" s="13" customFormat="1" ht="15.75" x14ac:dyDescent="0.25">
      <c r="A168" s="10"/>
      <c r="B168" s="24" t="s">
        <v>98</v>
      </c>
      <c r="C168" s="1" t="s">
        <v>17</v>
      </c>
      <c r="D168" s="120"/>
      <c r="E168" s="17" t="s">
        <v>35</v>
      </c>
      <c r="F168" s="73" t="s">
        <v>435</v>
      </c>
      <c r="G168" s="8" t="s">
        <v>117</v>
      </c>
      <c r="H168" s="1">
        <v>2</v>
      </c>
      <c r="I168" s="49"/>
      <c r="J168" s="46"/>
      <c r="K168" s="40"/>
      <c r="L168" s="40"/>
      <c r="M168" s="78">
        <f t="shared" si="6"/>
        <v>0</v>
      </c>
      <c r="N168" s="41">
        <f>4</f>
        <v>4</v>
      </c>
      <c r="O168" s="40">
        <v>10721.75</v>
      </c>
      <c r="P168" s="40"/>
      <c r="Q168" s="12">
        <f t="shared" si="5"/>
        <v>10721.75</v>
      </c>
    </row>
    <row r="169" spans="1:18" s="13" customFormat="1" ht="15.75" x14ac:dyDescent="0.25">
      <c r="A169" s="10"/>
      <c r="B169" s="24" t="s">
        <v>488</v>
      </c>
      <c r="C169" s="1" t="s">
        <v>17</v>
      </c>
      <c r="D169" s="120"/>
      <c r="E169" s="17" t="s">
        <v>97</v>
      </c>
      <c r="F169" s="73" t="s">
        <v>498</v>
      </c>
      <c r="G169" s="8" t="s">
        <v>112</v>
      </c>
      <c r="H169" s="1">
        <v>3</v>
      </c>
      <c r="I169" s="49"/>
      <c r="J169" s="46"/>
      <c r="K169" s="40"/>
      <c r="L169" s="40"/>
      <c r="M169" s="78"/>
      <c r="N169" s="41"/>
      <c r="O169" s="40"/>
      <c r="P169" s="40"/>
      <c r="Q169" s="12"/>
    </row>
    <row r="170" spans="1:18" s="15" customFormat="1" ht="15.75" x14ac:dyDescent="0.25">
      <c r="A170" s="14"/>
      <c r="B170" s="84" t="s">
        <v>99</v>
      </c>
      <c r="C170" s="1" t="s">
        <v>17</v>
      </c>
      <c r="D170" s="120"/>
      <c r="E170" s="3" t="s">
        <v>32</v>
      </c>
      <c r="F170" s="73" t="s">
        <v>418</v>
      </c>
      <c r="G170" s="74" t="s">
        <v>112</v>
      </c>
      <c r="H170" s="75"/>
      <c r="I170" s="76"/>
      <c r="J170" s="96"/>
      <c r="K170" s="77"/>
      <c r="L170" s="77"/>
      <c r="M170" s="38">
        <f t="shared" si="6"/>
        <v>0</v>
      </c>
      <c r="N170" s="100"/>
      <c r="O170" s="81"/>
      <c r="P170" s="81"/>
      <c r="Q170" s="79">
        <f t="shared" si="5"/>
        <v>0</v>
      </c>
      <c r="R170" s="141"/>
    </row>
    <row r="171" spans="1:18" s="15" customFormat="1" ht="15.75" x14ac:dyDescent="0.25">
      <c r="A171" s="14"/>
      <c r="B171" s="29" t="s">
        <v>99</v>
      </c>
      <c r="C171" s="1" t="s">
        <v>17</v>
      </c>
      <c r="D171" s="120"/>
      <c r="E171" s="3" t="s">
        <v>32</v>
      </c>
      <c r="F171" s="73" t="s">
        <v>423</v>
      </c>
      <c r="G171" s="8" t="s">
        <v>117</v>
      </c>
      <c r="H171" s="1"/>
      <c r="I171" s="49"/>
      <c r="J171" s="51"/>
      <c r="K171" s="40"/>
      <c r="L171" s="40"/>
      <c r="M171" s="78">
        <f t="shared" si="6"/>
        <v>0</v>
      </c>
      <c r="N171" s="39"/>
      <c r="O171" s="40"/>
      <c r="P171" s="40"/>
      <c r="Q171" s="12">
        <f t="shared" si="5"/>
        <v>0</v>
      </c>
    </row>
    <row r="172" spans="1:18" s="15" customFormat="1" ht="31.5" x14ac:dyDescent="0.25">
      <c r="A172" s="14"/>
      <c r="B172" s="30" t="s">
        <v>144</v>
      </c>
      <c r="C172" s="1" t="s">
        <v>304</v>
      </c>
      <c r="D172" s="120" t="s">
        <v>313</v>
      </c>
      <c r="E172" s="17" t="s">
        <v>97</v>
      </c>
      <c r="F172" s="73" t="s">
        <v>407</v>
      </c>
      <c r="G172" s="66" t="s">
        <v>112</v>
      </c>
      <c r="H172" s="75">
        <v>5</v>
      </c>
      <c r="I172" s="76">
        <v>4</v>
      </c>
      <c r="J172" s="98">
        <f>2+2+1</f>
        <v>5</v>
      </c>
      <c r="K172" s="77">
        <f>950.9+1449.39+2272.32</f>
        <v>4672.6100000000006</v>
      </c>
      <c r="L172" s="77"/>
      <c r="M172" s="38">
        <f t="shared" si="6"/>
        <v>4672.6100000000006</v>
      </c>
      <c r="N172" s="100">
        <f>3+2+1</f>
        <v>6</v>
      </c>
      <c r="O172" s="77">
        <f>5020.57+5566.06+2694.94</f>
        <v>13281.570000000002</v>
      </c>
      <c r="P172" s="77"/>
      <c r="Q172" s="79">
        <f t="shared" si="5"/>
        <v>13281.570000000002</v>
      </c>
      <c r="R172" s="141"/>
    </row>
    <row r="173" spans="1:18" s="15" customFormat="1" ht="15.75" x14ac:dyDescent="0.25">
      <c r="A173" s="14"/>
      <c r="B173" s="30" t="s">
        <v>488</v>
      </c>
      <c r="C173" s="1"/>
      <c r="D173" s="120"/>
      <c r="E173" s="17"/>
      <c r="F173" s="73"/>
      <c r="G173" s="66" t="s">
        <v>114</v>
      </c>
      <c r="H173" s="75">
        <v>5</v>
      </c>
      <c r="I173" s="76"/>
      <c r="J173" s="98"/>
      <c r="K173" s="77"/>
      <c r="L173" s="77"/>
      <c r="M173" s="38"/>
      <c r="N173" s="100"/>
      <c r="O173" s="77"/>
      <c r="P173" s="77"/>
      <c r="Q173" s="79"/>
    </row>
    <row r="174" spans="1:18" s="15" customFormat="1" ht="15.75" x14ac:dyDescent="0.25">
      <c r="A174" s="14"/>
      <c r="B174" s="30" t="s">
        <v>488</v>
      </c>
      <c r="C174" s="1"/>
      <c r="D174" s="120"/>
      <c r="E174" s="17"/>
      <c r="F174" s="73"/>
      <c r="G174" s="66" t="s">
        <v>113</v>
      </c>
      <c r="H174" s="75">
        <v>1</v>
      </c>
      <c r="I174" s="76"/>
      <c r="J174" s="98"/>
      <c r="K174" s="77"/>
      <c r="L174" s="77"/>
      <c r="M174" s="38"/>
      <c r="N174" s="100"/>
      <c r="O174" s="77"/>
      <c r="P174" s="77"/>
      <c r="Q174" s="79"/>
    </row>
    <row r="175" spans="1:18" s="15" customFormat="1" ht="31.5" x14ac:dyDescent="0.25">
      <c r="A175" s="14"/>
      <c r="B175" s="34" t="s">
        <v>144</v>
      </c>
      <c r="C175" s="1" t="s">
        <v>446</v>
      </c>
      <c r="D175" s="120" t="s">
        <v>313</v>
      </c>
      <c r="E175" s="3" t="s">
        <v>20</v>
      </c>
      <c r="F175" s="73" t="s">
        <v>485</v>
      </c>
      <c r="G175" s="8" t="s">
        <v>114</v>
      </c>
      <c r="H175" s="1">
        <v>6</v>
      </c>
      <c r="I175" s="49">
        <v>1</v>
      </c>
      <c r="J175" s="51">
        <v>1</v>
      </c>
      <c r="K175" s="40"/>
      <c r="L175" s="40"/>
      <c r="M175" s="78">
        <f t="shared" si="6"/>
        <v>0</v>
      </c>
      <c r="N175" s="42">
        <v>17</v>
      </c>
      <c r="O175" s="31">
        <f>10845.7</f>
        <v>10845.7</v>
      </c>
      <c r="P175" s="31">
        <f>3738</f>
        <v>3738</v>
      </c>
      <c r="Q175" s="12">
        <f t="shared" si="5"/>
        <v>7107.7000000000007</v>
      </c>
    </row>
    <row r="176" spans="1:18" s="21" customFormat="1" ht="47.25" x14ac:dyDescent="0.25">
      <c r="A176" s="1"/>
      <c r="B176" s="30" t="s">
        <v>100</v>
      </c>
      <c r="C176" s="1" t="s">
        <v>304</v>
      </c>
      <c r="D176" s="120" t="s">
        <v>416</v>
      </c>
      <c r="E176" s="17" t="s">
        <v>20</v>
      </c>
      <c r="F176" s="73" t="s">
        <v>408</v>
      </c>
      <c r="G176" s="27" t="s">
        <v>112</v>
      </c>
      <c r="H176" s="75">
        <v>6</v>
      </c>
      <c r="I176" s="76"/>
      <c r="J176" s="98"/>
      <c r="K176" s="86"/>
      <c r="L176" s="86"/>
      <c r="M176" s="38">
        <f t="shared" si="6"/>
        <v>0</v>
      </c>
      <c r="N176" s="100">
        <f>1</f>
        <v>1</v>
      </c>
      <c r="O176" s="87">
        <f>10770.58</f>
        <v>10770.58</v>
      </c>
      <c r="P176" s="87"/>
      <c r="Q176" s="79">
        <f t="shared" si="5"/>
        <v>10770.58</v>
      </c>
      <c r="R176" s="141"/>
    </row>
    <row r="177" spans="1:18" s="21" customFormat="1" ht="47.25" x14ac:dyDescent="0.25">
      <c r="A177" s="1"/>
      <c r="B177" s="24" t="s">
        <v>100</v>
      </c>
      <c r="C177" s="18" t="s">
        <v>125</v>
      </c>
      <c r="D177" s="120" t="s">
        <v>126</v>
      </c>
      <c r="E177" s="17" t="s">
        <v>20</v>
      </c>
      <c r="F177" s="73" t="s">
        <v>486</v>
      </c>
      <c r="G177" s="20" t="s">
        <v>114</v>
      </c>
      <c r="H177" s="1">
        <v>7</v>
      </c>
      <c r="I177" s="53"/>
      <c r="J177" s="52"/>
      <c r="K177" s="55"/>
      <c r="L177" s="55"/>
      <c r="M177" s="78">
        <f t="shared" si="6"/>
        <v>0</v>
      </c>
      <c r="N177" s="41"/>
      <c r="O177" s="54"/>
      <c r="P177" s="54"/>
      <c r="Q177" s="12">
        <f t="shared" si="5"/>
        <v>0</v>
      </c>
    </row>
    <row r="178" spans="1:18" s="13" customFormat="1" ht="15.75" x14ac:dyDescent="0.25">
      <c r="A178" s="10"/>
      <c r="B178" s="62" t="s">
        <v>101</v>
      </c>
      <c r="C178" s="1" t="s">
        <v>17</v>
      </c>
      <c r="D178" s="120"/>
      <c r="E178" s="17" t="s">
        <v>20</v>
      </c>
      <c r="F178" s="73" t="s">
        <v>409</v>
      </c>
      <c r="G178" s="74" t="s">
        <v>112</v>
      </c>
      <c r="H178" s="75">
        <v>4</v>
      </c>
      <c r="I178" s="76"/>
      <c r="J178" s="96"/>
      <c r="K178" s="77"/>
      <c r="L178" s="77"/>
      <c r="M178" s="38">
        <f t="shared" si="6"/>
        <v>0</v>
      </c>
      <c r="N178" s="100">
        <f>5</f>
        <v>5</v>
      </c>
      <c r="O178" s="81">
        <f>6288.07</f>
        <v>6288.07</v>
      </c>
      <c r="P178" s="81"/>
      <c r="Q178" s="79">
        <f t="shared" si="5"/>
        <v>6288.07</v>
      </c>
      <c r="R178" s="141"/>
    </row>
    <row r="179" spans="1:18" s="13" customFormat="1" ht="15.75" x14ac:dyDescent="0.25">
      <c r="A179" s="10"/>
      <c r="B179" s="62" t="s">
        <v>146</v>
      </c>
      <c r="C179" s="1" t="s">
        <v>17</v>
      </c>
      <c r="D179" s="120"/>
      <c r="E179" s="17" t="s">
        <v>20</v>
      </c>
      <c r="F179" s="73" t="s">
        <v>410</v>
      </c>
      <c r="G179" s="74" t="s">
        <v>112</v>
      </c>
      <c r="H179" s="75">
        <v>4</v>
      </c>
      <c r="I179" s="76">
        <v>4</v>
      </c>
      <c r="J179" s="96">
        <f>4+1</f>
        <v>5</v>
      </c>
      <c r="K179" s="77">
        <f>4610.77+1568.98</f>
        <v>6179.75</v>
      </c>
      <c r="L179" s="77"/>
      <c r="M179" s="38">
        <f t="shared" si="6"/>
        <v>6179.75</v>
      </c>
      <c r="N179" s="100">
        <f>5+1+1</f>
        <v>7</v>
      </c>
      <c r="O179" s="81">
        <f>13579.06+1287.07+2636.18</f>
        <v>17502.309999999998</v>
      </c>
      <c r="P179" s="81"/>
      <c r="Q179" s="12">
        <f t="shared" si="5"/>
        <v>17502.309999999998</v>
      </c>
      <c r="R179" s="141"/>
    </row>
    <row r="180" spans="1:18" s="13" customFormat="1" ht="15.75" x14ac:dyDescent="0.25">
      <c r="A180" s="10"/>
      <c r="B180" s="22" t="s">
        <v>146</v>
      </c>
      <c r="C180" s="1" t="s">
        <v>17</v>
      </c>
      <c r="D180" s="120"/>
      <c r="E180" s="3" t="s">
        <v>21</v>
      </c>
      <c r="F180" s="73" t="s">
        <v>443</v>
      </c>
      <c r="G180" s="11" t="s">
        <v>118</v>
      </c>
      <c r="H180" s="1">
        <v>3</v>
      </c>
      <c r="I180" s="47"/>
      <c r="J180" s="51"/>
      <c r="K180" s="37"/>
      <c r="L180" s="37"/>
      <c r="M180" s="38">
        <f t="shared" si="6"/>
        <v>0</v>
      </c>
      <c r="N180" s="39">
        <v>3</v>
      </c>
      <c r="O180" s="31">
        <v>3035.18</v>
      </c>
      <c r="P180" s="31"/>
      <c r="Q180" s="79">
        <f t="shared" si="5"/>
        <v>3035.18</v>
      </c>
    </row>
    <row r="181" spans="1:18" s="13" customFormat="1" ht="15.75" x14ac:dyDescent="0.25">
      <c r="A181" s="10"/>
      <c r="B181" s="27" t="s">
        <v>102</v>
      </c>
      <c r="C181" s="1" t="s">
        <v>17</v>
      </c>
      <c r="D181" s="120"/>
      <c r="E181" s="17" t="s">
        <v>20</v>
      </c>
      <c r="F181" s="73" t="s">
        <v>411</v>
      </c>
      <c r="G181" s="74" t="s">
        <v>112</v>
      </c>
      <c r="H181" s="75">
        <v>6</v>
      </c>
      <c r="I181" s="76">
        <v>1</v>
      </c>
      <c r="J181" s="96">
        <f>1</f>
        <v>1</v>
      </c>
      <c r="K181" s="77">
        <f>845.24</f>
        <v>845.24</v>
      </c>
      <c r="L181" s="77"/>
      <c r="M181" s="38">
        <f t="shared" si="6"/>
        <v>845.24</v>
      </c>
      <c r="N181" s="100">
        <f>3</f>
        <v>3</v>
      </c>
      <c r="O181" s="81">
        <f>7808.21</f>
        <v>7808.21</v>
      </c>
      <c r="P181" s="81"/>
      <c r="Q181" s="12">
        <f t="shared" si="5"/>
        <v>7808.21</v>
      </c>
      <c r="R181" s="141"/>
    </row>
    <row r="182" spans="1:18" s="13" customFormat="1" ht="15.75" x14ac:dyDescent="0.25">
      <c r="A182" s="10"/>
      <c r="B182" s="25" t="s">
        <v>102</v>
      </c>
      <c r="C182" s="1" t="s">
        <v>17</v>
      </c>
      <c r="D182" s="120"/>
      <c r="E182" s="17" t="s">
        <v>20</v>
      </c>
      <c r="F182" s="73" t="s">
        <v>469</v>
      </c>
      <c r="G182" s="11" t="s">
        <v>114</v>
      </c>
      <c r="H182" s="1">
        <v>2</v>
      </c>
      <c r="I182" s="58"/>
      <c r="J182" s="51"/>
      <c r="K182" s="40"/>
      <c r="L182" s="40"/>
      <c r="M182" s="38">
        <f t="shared" si="6"/>
        <v>0</v>
      </c>
      <c r="N182" s="41">
        <v>7</v>
      </c>
      <c r="O182" s="31">
        <f>7604.1</f>
        <v>7604.1</v>
      </c>
      <c r="P182" s="31">
        <f>3129.7</f>
        <v>3129.7</v>
      </c>
      <c r="Q182" s="79">
        <f t="shared" si="5"/>
        <v>4474.4000000000005</v>
      </c>
    </row>
    <row r="183" spans="1:18" s="13" customFormat="1" ht="15.75" x14ac:dyDescent="0.25">
      <c r="A183" s="10"/>
      <c r="B183" s="27" t="s">
        <v>103</v>
      </c>
      <c r="C183" s="1" t="s">
        <v>17</v>
      </c>
      <c r="D183" s="120"/>
      <c r="E183" s="3" t="s">
        <v>20</v>
      </c>
      <c r="F183" s="73" t="s">
        <v>412</v>
      </c>
      <c r="G183" s="74" t="s">
        <v>112</v>
      </c>
      <c r="H183" s="75">
        <v>5</v>
      </c>
      <c r="I183" s="76"/>
      <c r="J183" s="96"/>
      <c r="K183" s="77"/>
      <c r="L183" s="77"/>
      <c r="M183" s="38">
        <f t="shared" si="6"/>
        <v>0</v>
      </c>
      <c r="N183" s="100">
        <f>7</f>
        <v>7</v>
      </c>
      <c r="O183" s="77">
        <f>20193.14</f>
        <v>20193.14</v>
      </c>
      <c r="P183" s="81"/>
      <c r="Q183" s="12">
        <f t="shared" si="5"/>
        <v>20193.14</v>
      </c>
      <c r="R183" s="141"/>
    </row>
    <row r="184" spans="1:18" s="13" customFormat="1" ht="15.75" x14ac:dyDescent="0.25">
      <c r="A184" s="10"/>
      <c r="B184" s="25" t="s">
        <v>103</v>
      </c>
      <c r="C184" s="1" t="s">
        <v>17</v>
      </c>
      <c r="D184" s="120"/>
      <c r="E184" s="3" t="s">
        <v>20</v>
      </c>
      <c r="F184" s="73" t="s">
        <v>470</v>
      </c>
      <c r="G184" s="11" t="s">
        <v>114</v>
      </c>
      <c r="H184" s="1">
        <v>3</v>
      </c>
      <c r="I184" s="49"/>
      <c r="J184" s="51"/>
      <c r="K184" s="40"/>
      <c r="L184" s="40"/>
      <c r="M184" s="38">
        <f t="shared" si="6"/>
        <v>0</v>
      </c>
      <c r="N184" s="41">
        <v>3</v>
      </c>
      <c r="O184" s="31">
        <f>8510.89</f>
        <v>8510.89</v>
      </c>
      <c r="P184" s="31">
        <f>3380.96</f>
        <v>3380.96</v>
      </c>
      <c r="Q184" s="79">
        <f t="shared" si="5"/>
        <v>5129.9299999999994</v>
      </c>
    </row>
    <row r="185" spans="1:18" s="15" customFormat="1" ht="15.75" x14ac:dyDescent="0.25">
      <c r="A185" s="14"/>
      <c r="B185" s="28" t="s">
        <v>104</v>
      </c>
      <c r="C185" s="1" t="s">
        <v>17</v>
      </c>
      <c r="D185" s="120"/>
      <c r="E185" s="3" t="s">
        <v>20</v>
      </c>
      <c r="F185" s="73" t="s">
        <v>413</v>
      </c>
      <c r="G185" s="74" t="s">
        <v>112</v>
      </c>
      <c r="H185" s="75">
        <v>5</v>
      </c>
      <c r="I185" s="76">
        <v>3</v>
      </c>
      <c r="J185" s="96">
        <f>3</f>
        <v>3</v>
      </c>
      <c r="K185" s="77">
        <f>5112.82</f>
        <v>5112.82</v>
      </c>
      <c r="L185" s="77"/>
      <c r="M185" s="38">
        <f t="shared" si="6"/>
        <v>5112.82</v>
      </c>
      <c r="N185" s="100">
        <f>4</f>
        <v>4</v>
      </c>
      <c r="O185" s="81">
        <f>7087.22</f>
        <v>7087.22</v>
      </c>
      <c r="P185" s="81"/>
      <c r="Q185" s="12">
        <f t="shared" si="5"/>
        <v>7087.22</v>
      </c>
      <c r="R185" s="141"/>
    </row>
    <row r="186" spans="1:18" s="15" customFormat="1" ht="15.75" x14ac:dyDescent="0.25">
      <c r="A186" s="14"/>
      <c r="B186" s="26" t="s">
        <v>104</v>
      </c>
      <c r="C186" s="1" t="s">
        <v>17</v>
      </c>
      <c r="D186" s="120"/>
      <c r="E186" s="3" t="s">
        <v>20</v>
      </c>
      <c r="F186" s="73" t="s">
        <v>471</v>
      </c>
      <c r="G186" s="11" t="s">
        <v>114</v>
      </c>
      <c r="H186" s="1">
        <v>15</v>
      </c>
      <c r="I186" s="49"/>
      <c r="J186" s="51"/>
      <c r="K186" s="40"/>
      <c r="L186" s="40"/>
      <c r="M186" s="38">
        <f t="shared" si="6"/>
        <v>0</v>
      </c>
      <c r="N186" s="39">
        <v>12</v>
      </c>
      <c r="O186" s="31">
        <f>8717.37</f>
        <v>8717.3700000000008</v>
      </c>
      <c r="P186" s="31">
        <v>3338.57</v>
      </c>
      <c r="Q186" s="79">
        <f t="shared" si="5"/>
        <v>5378.8000000000011</v>
      </c>
    </row>
    <row r="187" spans="1:18" s="13" customFormat="1" ht="15.75" x14ac:dyDescent="0.25">
      <c r="A187" s="10"/>
      <c r="B187" s="30" t="s">
        <v>105</v>
      </c>
      <c r="C187" s="1" t="s">
        <v>17</v>
      </c>
      <c r="D187" s="120"/>
      <c r="E187" s="17" t="s">
        <v>35</v>
      </c>
      <c r="F187" s="73" t="s">
        <v>419</v>
      </c>
      <c r="G187" s="74" t="s">
        <v>112</v>
      </c>
      <c r="H187" s="75"/>
      <c r="I187" s="76"/>
      <c r="J187" s="96"/>
      <c r="K187" s="77"/>
      <c r="L187" s="77"/>
      <c r="M187" s="38">
        <f t="shared" si="6"/>
        <v>0</v>
      </c>
      <c r="N187" s="100"/>
      <c r="O187" s="81"/>
      <c r="P187" s="81"/>
      <c r="Q187" s="12">
        <f t="shared" si="5"/>
        <v>0</v>
      </c>
      <c r="R187" s="141"/>
    </row>
    <row r="188" spans="1:18" s="13" customFormat="1" ht="15.75" x14ac:dyDescent="0.25">
      <c r="A188" s="10"/>
      <c r="B188" s="30" t="s">
        <v>26</v>
      </c>
      <c r="C188" s="1" t="s">
        <v>17</v>
      </c>
      <c r="D188" s="120"/>
      <c r="E188" s="3" t="s">
        <v>32</v>
      </c>
      <c r="F188" s="73" t="s">
        <v>246</v>
      </c>
      <c r="G188" s="74" t="s">
        <v>117</v>
      </c>
      <c r="H188" s="75"/>
      <c r="I188" s="76"/>
      <c r="J188" s="96"/>
      <c r="K188" s="77"/>
      <c r="L188" s="77"/>
      <c r="M188" s="78">
        <f t="shared" si="6"/>
        <v>0</v>
      </c>
      <c r="N188" s="100">
        <v>3</v>
      </c>
      <c r="O188" s="81">
        <v>3774.05</v>
      </c>
      <c r="P188" s="81"/>
      <c r="Q188" s="12">
        <f t="shared" si="5"/>
        <v>3774.05</v>
      </c>
    </row>
    <row r="189" spans="1:18" s="13" customFormat="1" ht="15.75" x14ac:dyDescent="0.25">
      <c r="A189" s="10"/>
      <c r="B189" s="24" t="s">
        <v>105</v>
      </c>
      <c r="C189" s="1" t="s">
        <v>17</v>
      </c>
      <c r="D189" s="120"/>
      <c r="E189" s="17" t="s">
        <v>35</v>
      </c>
      <c r="F189" s="73" t="s">
        <v>436</v>
      </c>
      <c r="G189" s="11" t="s">
        <v>117</v>
      </c>
      <c r="H189" s="1"/>
      <c r="I189" s="47"/>
      <c r="J189" s="46"/>
      <c r="K189" s="40"/>
      <c r="L189" s="40"/>
      <c r="M189" s="38">
        <f t="shared" si="6"/>
        <v>0</v>
      </c>
      <c r="N189" s="41"/>
      <c r="O189" s="31"/>
      <c r="P189" s="31"/>
      <c r="Q189" s="79">
        <f t="shared" si="5"/>
        <v>0</v>
      </c>
    </row>
    <row r="190" spans="1:18" s="13" customFormat="1" ht="15.75" x14ac:dyDescent="0.25">
      <c r="A190" s="10"/>
      <c r="B190" s="62" t="s">
        <v>106</v>
      </c>
      <c r="C190" s="1" t="s">
        <v>17</v>
      </c>
      <c r="D190" s="2"/>
      <c r="E190" s="17" t="s">
        <v>20</v>
      </c>
      <c r="F190" s="73" t="s">
        <v>414</v>
      </c>
      <c r="G190" s="74" t="s">
        <v>112</v>
      </c>
      <c r="H190" s="75">
        <v>5</v>
      </c>
      <c r="I190" s="76"/>
      <c r="J190" s="96"/>
      <c r="K190" s="77"/>
      <c r="L190" s="77"/>
      <c r="M190" s="38">
        <f t="shared" si="6"/>
        <v>0</v>
      </c>
      <c r="N190" s="100">
        <f>3</f>
        <v>3</v>
      </c>
      <c r="O190" s="81">
        <f>15956.85</f>
        <v>15956.85</v>
      </c>
      <c r="P190" s="81"/>
      <c r="Q190" s="12">
        <f t="shared" si="5"/>
        <v>15956.85</v>
      </c>
      <c r="R190" s="141"/>
    </row>
    <row r="191" spans="1:18" ht="15.75" x14ac:dyDescent="0.25">
      <c r="A191" s="7"/>
      <c r="B191" s="32"/>
      <c r="C191" s="107"/>
      <c r="D191" s="33"/>
      <c r="E191" s="33"/>
      <c r="F191" s="73"/>
      <c r="G191" s="8" t="s">
        <v>131</v>
      </c>
      <c r="H191" s="106">
        <f t="shared" ref="H191:P191" si="7">SUM(H10:H190)</f>
        <v>747</v>
      </c>
      <c r="I191" s="59">
        <f t="shared" si="7"/>
        <v>150</v>
      </c>
      <c r="J191" s="43">
        <f t="shared" si="7"/>
        <v>145</v>
      </c>
      <c r="K191" s="56">
        <f t="shared" si="7"/>
        <v>195697.83000000002</v>
      </c>
      <c r="L191" s="56">
        <f t="shared" si="7"/>
        <v>0</v>
      </c>
      <c r="M191" s="44">
        <f>K191-L191</f>
        <v>195697.83000000002</v>
      </c>
      <c r="N191" s="43">
        <f t="shared" si="7"/>
        <v>1029</v>
      </c>
      <c r="O191" s="57">
        <f t="shared" si="7"/>
        <v>2501442.96</v>
      </c>
      <c r="P191" s="57">
        <f t="shared" si="7"/>
        <v>301890.3600000001</v>
      </c>
      <c r="Q191" s="79">
        <f t="shared" si="5"/>
        <v>2199552.5999999996</v>
      </c>
      <c r="R191" s="129"/>
    </row>
    <row r="192" spans="1:18" x14ac:dyDescent="0.25">
      <c r="K192" s="91" t="s">
        <v>305</v>
      </c>
    </row>
    <row r="193" spans="2:17" ht="45" x14ac:dyDescent="0.25">
      <c r="B193" s="89" t="s">
        <v>316</v>
      </c>
      <c r="F193" s="104" t="s">
        <v>317</v>
      </c>
      <c r="M193" s="142"/>
      <c r="Q193" s="133"/>
    </row>
  </sheetData>
  <mergeCells count="7">
    <mergeCell ref="O1:Q1"/>
    <mergeCell ref="A3:Q3"/>
    <mergeCell ref="A4:Q4"/>
    <mergeCell ref="A5:Q5"/>
    <mergeCell ref="B7:G7"/>
    <mergeCell ref="H7:M7"/>
    <mergeCell ref="N7:Q7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93"/>
  <sheetViews>
    <sheetView zoomScale="84" zoomScaleNormal="84" workbookViewId="0">
      <selection sqref="A1:XFD1048576"/>
    </sheetView>
  </sheetViews>
  <sheetFormatPr defaultRowHeight="15" x14ac:dyDescent="0.25"/>
  <cols>
    <col min="1" max="1" width="1.85546875" style="6" customWidth="1"/>
    <col min="2" max="2" width="36.7109375" style="88" customWidth="1"/>
    <col min="3" max="3" width="6.5703125" style="19" customWidth="1"/>
    <col min="4" max="4" width="17.42578125" style="19" customWidth="1"/>
    <col min="5" max="5" width="19" style="19" customWidth="1"/>
    <col min="6" max="6" width="18.140625" style="89" customWidth="1"/>
    <col min="7" max="7" width="21.42578125" style="89" customWidth="1"/>
    <col min="8" max="8" width="11.85546875" style="90" customWidth="1"/>
    <col min="9" max="9" width="10.7109375" style="90" customWidth="1"/>
    <col min="10" max="10" width="7.85546875" style="99" customWidth="1"/>
    <col min="11" max="11" width="11.7109375" style="91" customWidth="1"/>
    <col min="12" max="13" width="15.7109375" style="91" customWidth="1"/>
    <col min="14" max="14" width="10.7109375" style="99" customWidth="1"/>
    <col min="15" max="15" width="11.85546875" style="92" customWidth="1"/>
    <col min="16" max="16" width="15.7109375" style="92" customWidth="1"/>
    <col min="17" max="17" width="18.28515625" style="92" customWidth="1"/>
    <col min="18" max="18" width="11.7109375" style="6" customWidth="1"/>
    <col min="19" max="19" width="9.42578125" style="6" customWidth="1"/>
    <col min="20" max="21" width="9.140625" style="6" customWidth="1"/>
    <col min="22" max="16384" width="9.140625" style="6"/>
  </cols>
  <sheetData>
    <row r="1" spans="1:18" s="105" customFormat="1" x14ac:dyDescent="0.25">
      <c r="B1" s="60"/>
      <c r="C1" s="4"/>
      <c r="D1" s="4"/>
      <c r="E1" s="4"/>
      <c r="F1" s="63"/>
      <c r="G1" s="63"/>
      <c r="H1" s="64"/>
      <c r="I1" s="64"/>
      <c r="J1" s="93"/>
      <c r="K1" s="65"/>
      <c r="L1" s="65"/>
      <c r="M1" s="65"/>
      <c r="N1" s="93"/>
      <c r="O1" s="362" t="s">
        <v>15</v>
      </c>
      <c r="P1" s="362"/>
      <c r="Q1" s="362"/>
    </row>
    <row r="2" spans="1:18" s="105" customFormat="1" x14ac:dyDescent="0.25">
      <c r="A2" s="7"/>
      <c r="B2" s="147"/>
      <c r="C2" s="107"/>
      <c r="D2" s="107"/>
      <c r="E2" s="107"/>
      <c r="F2" s="66"/>
      <c r="G2" s="66"/>
      <c r="H2" s="146"/>
      <c r="I2" s="146"/>
      <c r="J2" s="94"/>
      <c r="K2" s="67"/>
      <c r="L2" s="67"/>
      <c r="M2" s="67"/>
      <c r="N2" s="94"/>
      <c r="O2" s="68"/>
      <c r="P2" s="68"/>
      <c r="Q2" s="68"/>
    </row>
    <row r="3" spans="1:18" s="105" customFormat="1" x14ac:dyDescent="0.25">
      <c r="A3" s="363" t="s">
        <v>318</v>
      </c>
      <c r="B3" s="364"/>
      <c r="C3" s="363"/>
      <c r="D3" s="363"/>
      <c r="E3" s="363"/>
      <c r="F3" s="364"/>
      <c r="G3" s="364"/>
      <c r="H3" s="365"/>
      <c r="I3" s="366"/>
      <c r="J3" s="367"/>
      <c r="K3" s="364"/>
      <c r="L3" s="364"/>
      <c r="M3" s="364"/>
      <c r="N3" s="364"/>
      <c r="O3" s="364"/>
      <c r="P3" s="364"/>
      <c r="Q3" s="364"/>
    </row>
    <row r="4" spans="1:18" s="105" customFormat="1" x14ac:dyDescent="0.25">
      <c r="A4" s="368">
        <v>43549</v>
      </c>
      <c r="B4" s="369"/>
      <c r="C4" s="370"/>
      <c r="D4" s="370"/>
      <c r="E4" s="370"/>
      <c r="F4" s="369"/>
      <c r="G4" s="369"/>
      <c r="H4" s="371"/>
      <c r="I4" s="372"/>
      <c r="J4" s="373"/>
      <c r="K4" s="369"/>
      <c r="L4" s="369"/>
      <c r="M4" s="369"/>
      <c r="N4" s="369"/>
      <c r="O4" s="369"/>
      <c r="P4" s="369"/>
      <c r="Q4" s="369"/>
    </row>
    <row r="5" spans="1:18" s="105" customFormat="1" x14ac:dyDescent="0.25">
      <c r="A5" s="374" t="s">
        <v>14</v>
      </c>
      <c r="B5" s="367"/>
      <c r="C5" s="374"/>
      <c r="D5" s="374"/>
      <c r="E5" s="374"/>
      <c r="F5" s="367"/>
      <c r="G5" s="367"/>
      <c r="H5" s="366"/>
      <c r="I5" s="366"/>
      <c r="J5" s="367"/>
      <c r="K5" s="367"/>
      <c r="L5" s="367"/>
      <c r="M5" s="367"/>
      <c r="N5" s="367"/>
      <c r="O5" s="367"/>
      <c r="P5" s="367"/>
      <c r="Q5" s="367"/>
    </row>
    <row r="6" spans="1:18" s="105" customFormat="1" x14ac:dyDescent="0.25">
      <c r="A6" s="7"/>
      <c r="B6" s="147"/>
      <c r="C6" s="107"/>
      <c r="D6" s="107"/>
      <c r="E6" s="107"/>
      <c r="F6" s="66"/>
      <c r="G6" s="66"/>
      <c r="H6" s="146"/>
      <c r="I6" s="146"/>
      <c r="J6" s="94"/>
      <c r="K6" s="67"/>
      <c r="L6" s="67"/>
      <c r="M6" s="67"/>
      <c r="N6" s="94"/>
      <c r="O6" s="68"/>
      <c r="P6" s="68"/>
      <c r="Q6" s="68"/>
    </row>
    <row r="7" spans="1:18" x14ac:dyDescent="0.25">
      <c r="A7" s="5" t="s">
        <v>0</v>
      </c>
      <c r="B7" s="364" t="s">
        <v>10</v>
      </c>
      <c r="C7" s="375"/>
      <c r="D7" s="375"/>
      <c r="E7" s="375"/>
      <c r="F7" s="364"/>
      <c r="G7" s="364"/>
      <c r="H7" s="365" t="s">
        <v>472</v>
      </c>
      <c r="I7" s="366"/>
      <c r="J7" s="367"/>
      <c r="K7" s="364"/>
      <c r="L7" s="364"/>
      <c r="M7" s="364"/>
      <c r="N7" s="364" t="s">
        <v>132</v>
      </c>
      <c r="O7" s="364"/>
      <c r="P7" s="364"/>
      <c r="Q7" s="364"/>
    </row>
    <row r="8" spans="1:18" ht="195" x14ac:dyDescent="0.25">
      <c r="A8" s="5"/>
      <c r="B8" s="147" t="s">
        <v>4</v>
      </c>
      <c r="C8" s="107" t="s">
        <v>1</v>
      </c>
      <c r="D8" s="107" t="s">
        <v>3</v>
      </c>
      <c r="E8" s="107" t="s">
        <v>2</v>
      </c>
      <c r="F8" s="122" t="s">
        <v>6</v>
      </c>
      <c r="G8" s="66" t="s">
        <v>5</v>
      </c>
      <c r="H8" s="147" t="s">
        <v>7</v>
      </c>
      <c r="I8" s="147" t="s">
        <v>8</v>
      </c>
      <c r="J8" s="94" t="s">
        <v>9</v>
      </c>
      <c r="K8" s="67" t="s">
        <v>11</v>
      </c>
      <c r="L8" s="67" t="s">
        <v>12</v>
      </c>
      <c r="M8" s="67" t="s">
        <v>13</v>
      </c>
      <c r="N8" s="94" t="s">
        <v>9</v>
      </c>
      <c r="O8" s="68" t="s">
        <v>11</v>
      </c>
      <c r="P8" s="68" t="s">
        <v>12</v>
      </c>
      <c r="Q8" s="68" t="s">
        <v>13</v>
      </c>
    </row>
    <row r="9" spans="1:18" x14ac:dyDescent="0.25">
      <c r="A9" s="9">
        <v>1</v>
      </c>
      <c r="B9" s="61">
        <f>A9+1</f>
        <v>2</v>
      </c>
      <c r="C9" s="9">
        <f t="shared" ref="C9:Q9" si="0">B9+1</f>
        <v>3</v>
      </c>
      <c r="D9" s="9">
        <f t="shared" si="0"/>
        <v>4</v>
      </c>
      <c r="E9" s="9">
        <f t="shared" si="0"/>
        <v>5</v>
      </c>
      <c r="F9" s="69">
        <f t="shared" si="0"/>
        <v>6</v>
      </c>
      <c r="G9" s="69">
        <f t="shared" si="0"/>
        <v>7</v>
      </c>
      <c r="H9" s="70">
        <f t="shared" si="0"/>
        <v>8</v>
      </c>
      <c r="I9" s="70">
        <f t="shared" si="0"/>
        <v>9</v>
      </c>
      <c r="J9" s="95">
        <f t="shared" si="0"/>
        <v>10</v>
      </c>
      <c r="K9" s="71">
        <f t="shared" si="0"/>
        <v>11</v>
      </c>
      <c r="L9" s="71">
        <f t="shared" si="0"/>
        <v>12</v>
      </c>
      <c r="M9" s="71">
        <f t="shared" si="0"/>
        <v>13</v>
      </c>
      <c r="N9" s="95">
        <f t="shared" si="0"/>
        <v>14</v>
      </c>
      <c r="O9" s="72">
        <f t="shared" si="0"/>
        <v>15</v>
      </c>
      <c r="P9" s="72">
        <f t="shared" si="0"/>
        <v>16</v>
      </c>
      <c r="Q9" s="72">
        <f t="shared" si="0"/>
        <v>17</v>
      </c>
    </row>
    <row r="10" spans="1:18" s="13" customFormat="1" ht="31.5" x14ac:dyDescent="0.25">
      <c r="A10" s="10"/>
      <c r="B10" s="62" t="s">
        <v>16</v>
      </c>
      <c r="C10" s="1" t="s">
        <v>304</v>
      </c>
      <c r="D10" s="120" t="s">
        <v>315</v>
      </c>
      <c r="E10" s="3" t="s">
        <v>18</v>
      </c>
      <c r="F10" s="73" t="s">
        <v>322</v>
      </c>
      <c r="G10" s="74" t="s">
        <v>112</v>
      </c>
      <c r="H10" s="75">
        <v>5</v>
      </c>
      <c r="I10" s="76"/>
      <c r="J10" s="96">
        <f>2</f>
        <v>2</v>
      </c>
      <c r="K10" s="77">
        <f>4792.51</f>
        <v>4792.51</v>
      </c>
      <c r="L10" s="77"/>
      <c r="M10" s="78">
        <f>K10-L10</f>
        <v>4792.51</v>
      </c>
      <c r="N10" s="100">
        <f>2+5</f>
        <v>7</v>
      </c>
      <c r="O10" s="77">
        <f>9108.77</f>
        <v>9108.77</v>
      </c>
      <c r="P10" s="77"/>
      <c r="Q10" s="79">
        <f>O10-P10</f>
        <v>9108.77</v>
      </c>
      <c r="R10" s="141"/>
    </row>
    <row r="11" spans="1:18" s="13" customFormat="1" ht="31.5" x14ac:dyDescent="0.25">
      <c r="A11" s="10"/>
      <c r="B11" s="22" t="s">
        <v>16</v>
      </c>
      <c r="C11" s="1" t="s">
        <v>304</v>
      </c>
      <c r="D11" s="120" t="s">
        <v>315</v>
      </c>
      <c r="E11" s="3" t="s">
        <v>18</v>
      </c>
      <c r="F11" s="73" t="s">
        <v>322</v>
      </c>
      <c r="G11" s="11" t="s">
        <v>116</v>
      </c>
      <c r="H11" s="1">
        <v>2</v>
      </c>
      <c r="I11" s="49"/>
      <c r="J11" s="46"/>
      <c r="K11" s="31"/>
      <c r="L11" s="31"/>
      <c r="M11" s="38">
        <f t="shared" ref="M11:M82" si="1">K11-L11</f>
        <v>0</v>
      </c>
      <c r="N11" s="41"/>
      <c r="O11" s="31">
        <v>2945</v>
      </c>
      <c r="P11" s="31">
        <v>2945</v>
      </c>
      <c r="Q11" s="12">
        <f t="shared" ref="Q11:Q77" si="2">O11-P11</f>
        <v>0</v>
      </c>
    </row>
    <row r="12" spans="1:18" s="13" customFormat="1" ht="15.75" x14ac:dyDescent="0.25">
      <c r="A12" s="10"/>
      <c r="B12" s="22" t="s">
        <v>490</v>
      </c>
      <c r="C12" s="1"/>
      <c r="D12" s="120"/>
      <c r="E12" s="3"/>
      <c r="F12" s="73"/>
      <c r="G12" s="11" t="s">
        <v>112</v>
      </c>
      <c r="H12" s="1">
        <v>2</v>
      </c>
      <c r="I12" s="49"/>
      <c r="J12" s="46"/>
      <c r="K12" s="31"/>
      <c r="L12" s="31"/>
      <c r="M12" s="38"/>
      <c r="N12" s="41"/>
      <c r="O12" s="31"/>
      <c r="P12" s="31"/>
      <c r="Q12" s="12"/>
    </row>
    <row r="13" spans="1:18" s="15" customFormat="1" ht="15.75" x14ac:dyDescent="0.25">
      <c r="A13" s="14"/>
      <c r="B13" s="80" t="s">
        <v>19</v>
      </c>
      <c r="C13" s="1" t="s">
        <v>17</v>
      </c>
      <c r="D13" s="120"/>
      <c r="E13" s="3" t="s">
        <v>20</v>
      </c>
      <c r="F13" s="73" t="s">
        <v>323</v>
      </c>
      <c r="G13" s="74" t="s">
        <v>112</v>
      </c>
      <c r="H13" s="75">
        <v>7</v>
      </c>
      <c r="I13" s="76">
        <v>3</v>
      </c>
      <c r="J13" s="96">
        <f>1+2+5</f>
        <v>8</v>
      </c>
      <c r="K13" s="77">
        <f>422.62+4792.51</f>
        <v>5215.13</v>
      </c>
      <c r="L13" s="77"/>
      <c r="M13" s="78">
        <f t="shared" si="1"/>
        <v>5215.13</v>
      </c>
      <c r="N13" s="100">
        <f>8</f>
        <v>8</v>
      </c>
      <c r="O13" s="81">
        <v>6459.36</v>
      </c>
      <c r="P13" s="81"/>
      <c r="Q13" s="79">
        <f t="shared" si="2"/>
        <v>6459.36</v>
      </c>
      <c r="R13" s="141"/>
    </row>
    <row r="14" spans="1:18" s="15" customFormat="1" ht="15.75" x14ac:dyDescent="0.25">
      <c r="A14" s="14"/>
      <c r="B14" s="23" t="s">
        <v>19</v>
      </c>
      <c r="C14" s="1" t="s">
        <v>17</v>
      </c>
      <c r="D14" s="120"/>
      <c r="E14" s="3" t="s">
        <v>20</v>
      </c>
      <c r="F14" s="73" t="s">
        <v>451</v>
      </c>
      <c r="G14" s="11" t="s">
        <v>114</v>
      </c>
      <c r="H14" s="1">
        <v>2</v>
      </c>
      <c r="I14" s="49">
        <v>1</v>
      </c>
      <c r="J14" s="51">
        <v>1</v>
      </c>
      <c r="K14" s="40"/>
      <c r="L14" s="40"/>
      <c r="M14" s="38">
        <f t="shared" si="1"/>
        <v>0</v>
      </c>
      <c r="N14" s="42">
        <v>7</v>
      </c>
      <c r="O14" s="31">
        <v>3818</v>
      </c>
      <c r="P14" s="31">
        <v>3818</v>
      </c>
      <c r="Q14" s="12">
        <f t="shared" si="2"/>
        <v>0</v>
      </c>
    </row>
    <row r="15" spans="1:18" s="15" customFormat="1" ht="15.75" x14ac:dyDescent="0.25">
      <c r="A15" s="14"/>
      <c r="B15" s="62" t="s">
        <v>153</v>
      </c>
      <c r="C15" s="1" t="s">
        <v>17</v>
      </c>
      <c r="D15" s="120"/>
      <c r="E15" s="3" t="s">
        <v>20</v>
      </c>
      <c r="F15" s="73" t="s">
        <v>324</v>
      </c>
      <c r="G15" s="74" t="s">
        <v>112</v>
      </c>
      <c r="H15" s="75">
        <v>3</v>
      </c>
      <c r="I15" s="82">
        <v>1</v>
      </c>
      <c r="J15" s="96">
        <f>1+1+2</f>
        <v>4</v>
      </c>
      <c r="K15" s="77">
        <f>950.9+2451.87</f>
        <v>3402.77</v>
      </c>
      <c r="L15" s="77"/>
      <c r="M15" s="78">
        <f t="shared" si="1"/>
        <v>3402.77</v>
      </c>
      <c r="N15" s="114">
        <f>1+2+1+2</f>
        <v>6</v>
      </c>
      <c r="O15" s="81">
        <f>422.62+945.61+2484.69</f>
        <v>3852.92</v>
      </c>
      <c r="P15" s="81">
        <f>422.62</f>
        <v>422.62</v>
      </c>
      <c r="Q15" s="79">
        <f t="shared" si="2"/>
        <v>3430.3</v>
      </c>
      <c r="R15" s="141"/>
    </row>
    <row r="16" spans="1:18" s="15" customFormat="1" ht="15.75" x14ac:dyDescent="0.25">
      <c r="A16" s="14"/>
      <c r="B16" s="50" t="s">
        <v>153</v>
      </c>
      <c r="C16" s="1" t="s">
        <v>17</v>
      </c>
      <c r="D16" s="120"/>
      <c r="E16" s="3" t="s">
        <v>20</v>
      </c>
      <c r="F16" s="73" t="s">
        <v>452</v>
      </c>
      <c r="G16" s="11" t="s">
        <v>114</v>
      </c>
      <c r="H16" s="1">
        <v>1</v>
      </c>
      <c r="I16" s="49">
        <v>1</v>
      </c>
      <c r="J16" s="51">
        <v>1</v>
      </c>
      <c r="K16" s="40"/>
      <c r="L16" s="40"/>
      <c r="M16" s="38">
        <f t="shared" si="1"/>
        <v>0</v>
      </c>
      <c r="N16" s="42">
        <v>5</v>
      </c>
      <c r="O16" s="31">
        <v>13319</v>
      </c>
      <c r="P16" s="31">
        <v>8516.5</v>
      </c>
      <c r="Q16" s="12">
        <f t="shared" si="2"/>
        <v>4802.5</v>
      </c>
    </row>
    <row r="17" spans="1:18" s="13" customFormat="1" ht="15.75" x14ac:dyDescent="0.25">
      <c r="A17" s="10"/>
      <c r="B17" s="30" t="s">
        <v>22</v>
      </c>
      <c r="C17" s="1" t="s">
        <v>17</v>
      </c>
      <c r="D17" s="120"/>
      <c r="E17" s="3" t="s">
        <v>23</v>
      </c>
      <c r="F17" s="73" t="s">
        <v>325</v>
      </c>
      <c r="G17" s="74" t="s">
        <v>112</v>
      </c>
      <c r="H17" s="75">
        <v>5</v>
      </c>
      <c r="I17" s="76">
        <v>1</v>
      </c>
      <c r="J17" s="96">
        <f>1</f>
        <v>1</v>
      </c>
      <c r="K17" s="77">
        <f>2698.64</f>
        <v>2698.64</v>
      </c>
      <c r="L17" s="77"/>
      <c r="M17" s="78">
        <f t="shared" si="1"/>
        <v>2698.64</v>
      </c>
      <c r="N17" s="100">
        <f>14+3</f>
        <v>17</v>
      </c>
      <c r="O17" s="81">
        <f>22716.4+4171.06</f>
        <v>26887.460000000003</v>
      </c>
      <c r="P17" s="81"/>
      <c r="Q17" s="79">
        <f t="shared" si="2"/>
        <v>26887.460000000003</v>
      </c>
      <c r="R17" s="141"/>
    </row>
    <row r="18" spans="1:18" s="13" customFormat="1" ht="15.75" x14ac:dyDescent="0.25">
      <c r="A18" s="10"/>
      <c r="B18" s="24" t="s">
        <v>154</v>
      </c>
      <c r="C18" s="1" t="s">
        <v>17</v>
      </c>
      <c r="D18" s="120"/>
      <c r="E18" s="3" t="s">
        <v>20</v>
      </c>
      <c r="F18" s="73" t="s">
        <v>453</v>
      </c>
      <c r="G18" s="11" t="s">
        <v>114</v>
      </c>
      <c r="H18" s="1">
        <v>7</v>
      </c>
      <c r="I18" s="47"/>
      <c r="J18" s="51"/>
      <c r="K18" s="37"/>
      <c r="L18" s="37"/>
      <c r="M18" s="38">
        <f t="shared" si="1"/>
        <v>0</v>
      </c>
      <c r="N18" s="39">
        <v>5</v>
      </c>
      <c r="O18" s="31">
        <v>5603</v>
      </c>
      <c r="P18" s="31">
        <v>5603</v>
      </c>
      <c r="Q18" s="12">
        <f t="shared" si="2"/>
        <v>0</v>
      </c>
    </row>
    <row r="19" spans="1:18" s="13" customFormat="1" ht="15.75" x14ac:dyDescent="0.25">
      <c r="A19" s="10"/>
      <c r="B19" s="30" t="s">
        <v>154</v>
      </c>
      <c r="C19" s="1" t="s">
        <v>17</v>
      </c>
      <c r="D19" s="120"/>
      <c r="E19" s="3" t="s">
        <v>20</v>
      </c>
      <c r="F19" s="73" t="s">
        <v>326</v>
      </c>
      <c r="G19" s="74" t="s">
        <v>112</v>
      </c>
      <c r="H19" s="75">
        <v>9</v>
      </c>
      <c r="I19" s="76">
        <v>5</v>
      </c>
      <c r="J19" s="96">
        <f>1+1+2+2</f>
        <v>6</v>
      </c>
      <c r="K19" s="77">
        <f>950.9</f>
        <v>950.9</v>
      </c>
      <c r="L19" s="77"/>
      <c r="M19" s="78">
        <f t="shared" si="1"/>
        <v>950.9</v>
      </c>
      <c r="N19" s="100">
        <f>6+3</f>
        <v>9</v>
      </c>
      <c r="O19" s="128">
        <f>6681.33+7017+1523.5</f>
        <v>15221.83</v>
      </c>
      <c r="P19" s="81">
        <f>8477.51</f>
        <v>8477.51</v>
      </c>
      <c r="Q19" s="79">
        <f t="shared" si="2"/>
        <v>6744.32</v>
      </c>
      <c r="R19" s="141"/>
    </row>
    <row r="20" spans="1:18" s="13" customFormat="1" ht="15.75" x14ac:dyDescent="0.25">
      <c r="A20" s="10"/>
      <c r="B20" s="62" t="s">
        <v>24</v>
      </c>
      <c r="C20" s="1" t="s">
        <v>17</v>
      </c>
      <c r="D20" s="120"/>
      <c r="E20" s="3" t="s">
        <v>20</v>
      </c>
      <c r="F20" s="73" t="s">
        <v>327</v>
      </c>
      <c r="G20" s="74" t="s">
        <v>112</v>
      </c>
      <c r="H20" s="75">
        <v>1</v>
      </c>
      <c r="I20" s="76"/>
      <c r="J20" s="96"/>
      <c r="K20" s="77"/>
      <c r="L20" s="77"/>
      <c r="M20" s="38">
        <f t="shared" si="1"/>
        <v>0</v>
      </c>
      <c r="N20" s="100">
        <f>1</f>
        <v>1</v>
      </c>
      <c r="O20" s="81">
        <f>576.3</f>
        <v>576.29999999999995</v>
      </c>
      <c r="P20" s="81"/>
      <c r="Q20" s="12">
        <f t="shared" si="2"/>
        <v>576.29999999999995</v>
      </c>
      <c r="R20" s="141"/>
    </row>
    <row r="21" spans="1:18" s="13" customFormat="1" ht="15.75" x14ac:dyDescent="0.25">
      <c r="A21" s="10"/>
      <c r="B21" s="22" t="s">
        <v>24</v>
      </c>
      <c r="C21" s="1" t="s">
        <v>17</v>
      </c>
      <c r="D21" s="120"/>
      <c r="E21" s="3" t="s">
        <v>20</v>
      </c>
      <c r="F21" s="73" t="s">
        <v>454</v>
      </c>
      <c r="G21" s="11" t="s">
        <v>114</v>
      </c>
      <c r="H21" s="1">
        <v>5</v>
      </c>
      <c r="I21" s="49"/>
      <c r="J21" s="51"/>
      <c r="K21" s="40"/>
      <c r="L21" s="40"/>
      <c r="M21" s="78">
        <f t="shared" si="1"/>
        <v>0</v>
      </c>
      <c r="N21" s="41">
        <v>7</v>
      </c>
      <c r="O21" s="31">
        <v>14635.6</v>
      </c>
      <c r="P21" s="31">
        <v>9413</v>
      </c>
      <c r="Q21" s="79">
        <f t="shared" si="2"/>
        <v>5222.6000000000004</v>
      </c>
    </row>
    <row r="22" spans="1:18" s="13" customFormat="1" ht="15.75" x14ac:dyDescent="0.25">
      <c r="A22" s="10"/>
      <c r="B22" s="62" t="s">
        <v>25</v>
      </c>
      <c r="C22" s="1" t="s">
        <v>17</v>
      </c>
      <c r="D22" s="120"/>
      <c r="E22" s="3" t="s">
        <v>20</v>
      </c>
      <c r="F22" s="73" t="s">
        <v>328</v>
      </c>
      <c r="G22" s="74" t="s">
        <v>112</v>
      </c>
      <c r="H22" s="75">
        <v>3</v>
      </c>
      <c r="I22" s="76">
        <v>1</v>
      </c>
      <c r="J22" s="96">
        <f>1</f>
        <v>1</v>
      </c>
      <c r="K22" s="77">
        <v>1743.31</v>
      </c>
      <c r="L22" s="77"/>
      <c r="M22" s="38">
        <f t="shared" si="1"/>
        <v>1743.31</v>
      </c>
      <c r="N22" s="100">
        <f>6</f>
        <v>6</v>
      </c>
      <c r="O22" s="81">
        <v>14526.7</v>
      </c>
      <c r="P22" s="81"/>
      <c r="Q22" s="12">
        <f t="shared" si="2"/>
        <v>14526.7</v>
      </c>
      <c r="R22" s="141"/>
    </row>
    <row r="23" spans="1:18" s="13" customFormat="1" ht="15.75" x14ac:dyDescent="0.25">
      <c r="A23" s="10"/>
      <c r="B23" s="22" t="s">
        <v>25</v>
      </c>
      <c r="C23" s="1" t="s">
        <v>17</v>
      </c>
      <c r="D23" s="120"/>
      <c r="E23" s="3" t="s">
        <v>20</v>
      </c>
      <c r="F23" s="73" t="s">
        <v>455</v>
      </c>
      <c r="G23" s="11" t="s">
        <v>114</v>
      </c>
      <c r="H23" s="1"/>
      <c r="I23" s="49"/>
      <c r="J23" s="51"/>
      <c r="K23" s="40"/>
      <c r="L23" s="40"/>
      <c r="M23" s="78">
        <f t="shared" si="1"/>
        <v>0</v>
      </c>
      <c r="N23" s="41">
        <v>2</v>
      </c>
      <c r="O23" s="31">
        <v>4146.2</v>
      </c>
      <c r="P23" s="31">
        <f>4146.2</f>
        <v>4146.2</v>
      </c>
      <c r="Q23" s="79">
        <f t="shared" si="2"/>
        <v>0</v>
      </c>
    </row>
    <row r="24" spans="1:18" s="13" customFormat="1" ht="15.75" x14ac:dyDescent="0.25">
      <c r="A24" s="10"/>
      <c r="B24" s="62" t="s">
        <v>26</v>
      </c>
      <c r="C24" s="1" t="s">
        <v>17</v>
      </c>
      <c r="D24" s="120"/>
      <c r="E24" s="3" t="s">
        <v>27</v>
      </c>
      <c r="F24" s="73" t="s">
        <v>329</v>
      </c>
      <c r="G24" s="74" t="s">
        <v>112</v>
      </c>
      <c r="H24" s="75">
        <v>5</v>
      </c>
      <c r="I24" s="76">
        <v>2</v>
      </c>
      <c r="J24" s="96">
        <f>2</f>
        <v>2</v>
      </c>
      <c r="K24" s="77">
        <f>845.24</f>
        <v>845.24</v>
      </c>
      <c r="L24" s="77"/>
      <c r="M24" s="38">
        <f t="shared" si="1"/>
        <v>845.24</v>
      </c>
      <c r="N24" s="100">
        <f>6+1</f>
        <v>7</v>
      </c>
      <c r="O24" s="81">
        <f>17838.53+2535.75</f>
        <v>20374.28</v>
      </c>
      <c r="P24" s="81">
        <v>14149.86</v>
      </c>
      <c r="Q24" s="12">
        <f t="shared" si="2"/>
        <v>6224.4199999999983</v>
      </c>
      <c r="R24" s="141"/>
    </row>
    <row r="25" spans="1:18" s="15" customFormat="1" ht="15.75" x14ac:dyDescent="0.25">
      <c r="A25" s="14"/>
      <c r="B25" s="80" t="s">
        <v>28</v>
      </c>
      <c r="C25" s="1" t="s">
        <v>17</v>
      </c>
      <c r="D25" s="120"/>
      <c r="E25" s="17" t="s">
        <v>29</v>
      </c>
      <c r="F25" s="73" t="s">
        <v>330</v>
      </c>
      <c r="G25" s="74" t="s">
        <v>112</v>
      </c>
      <c r="H25" s="75">
        <v>2</v>
      </c>
      <c r="I25" s="76"/>
      <c r="J25" s="96"/>
      <c r="K25" s="77"/>
      <c r="L25" s="77"/>
      <c r="M25" s="38">
        <f t="shared" si="1"/>
        <v>0</v>
      </c>
      <c r="N25" s="100">
        <f>3+2+4</f>
        <v>9</v>
      </c>
      <c r="O25" s="81">
        <f>5310.83+4630.52+14679.01</f>
        <v>24620.36</v>
      </c>
      <c r="P25" s="81"/>
      <c r="Q25" s="12">
        <f t="shared" si="2"/>
        <v>24620.36</v>
      </c>
      <c r="R25" s="141"/>
    </row>
    <row r="26" spans="1:18" s="15" customFormat="1" ht="15.75" x14ac:dyDescent="0.25">
      <c r="A26" s="14"/>
      <c r="B26" s="23" t="s">
        <v>28</v>
      </c>
      <c r="C26" s="1" t="s">
        <v>17</v>
      </c>
      <c r="D26" s="120"/>
      <c r="E26" s="17" t="s">
        <v>29</v>
      </c>
      <c r="F26" s="73" t="s">
        <v>420</v>
      </c>
      <c r="G26" s="8" t="s">
        <v>117</v>
      </c>
      <c r="H26" s="1">
        <v>1</v>
      </c>
      <c r="I26" s="48"/>
      <c r="J26" s="45"/>
      <c r="K26" s="40"/>
      <c r="L26" s="40"/>
      <c r="M26" s="78">
        <f t="shared" si="1"/>
        <v>0</v>
      </c>
      <c r="N26" s="42">
        <v>1</v>
      </c>
      <c r="O26" s="31"/>
      <c r="P26" s="31"/>
      <c r="Q26" s="79">
        <f t="shared" si="2"/>
        <v>0</v>
      </c>
    </row>
    <row r="27" spans="1:18" s="13" customFormat="1" ht="15.75" x14ac:dyDescent="0.25">
      <c r="A27" s="10"/>
      <c r="B27" s="27" t="s">
        <v>30</v>
      </c>
      <c r="C27" s="1" t="s">
        <v>17</v>
      </c>
      <c r="D27" s="120"/>
      <c r="E27" s="17" t="s">
        <v>21</v>
      </c>
      <c r="F27" s="73" t="s">
        <v>333</v>
      </c>
      <c r="G27" s="74" t="s">
        <v>112</v>
      </c>
      <c r="H27" s="75">
        <v>8</v>
      </c>
      <c r="I27" s="76">
        <v>4</v>
      </c>
      <c r="J27" s="96">
        <f>3+1</f>
        <v>4</v>
      </c>
      <c r="K27" s="77">
        <f>2399.78+806.82</f>
        <v>3206.6000000000004</v>
      </c>
      <c r="L27" s="77"/>
      <c r="M27" s="38">
        <f t="shared" si="1"/>
        <v>3206.6000000000004</v>
      </c>
      <c r="N27" s="100">
        <f>9+1</f>
        <v>10</v>
      </c>
      <c r="O27" s="81">
        <f>39871.99+5530.04</f>
        <v>45402.03</v>
      </c>
      <c r="P27" s="81"/>
      <c r="Q27" s="12">
        <f t="shared" si="2"/>
        <v>45402.03</v>
      </c>
      <c r="R27" s="141"/>
    </row>
    <row r="28" spans="1:18" s="13" customFormat="1" ht="15.75" x14ac:dyDescent="0.25">
      <c r="A28" s="10"/>
      <c r="B28" s="27" t="s">
        <v>491</v>
      </c>
      <c r="C28" s="1" t="s">
        <v>17</v>
      </c>
      <c r="D28" s="120"/>
      <c r="E28" s="3" t="s">
        <v>20</v>
      </c>
      <c r="F28" s="73" t="s">
        <v>495</v>
      </c>
      <c r="G28" s="74" t="s">
        <v>112</v>
      </c>
      <c r="H28" s="75">
        <v>2</v>
      </c>
      <c r="I28" s="76"/>
      <c r="J28" s="96"/>
      <c r="K28" s="77"/>
      <c r="L28" s="77"/>
      <c r="M28" s="38"/>
      <c r="N28" s="100"/>
      <c r="O28" s="81"/>
      <c r="P28" s="81"/>
      <c r="Q28" s="12"/>
      <c r="R28" s="141"/>
    </row>
    <row r="29" spans="1:18" s="13" customFormat="1" ht="15.75" x14ac:dyDescent="0.25">
      <c r="A29" s="10"/>
      <c r="B29" s="30" t="s">
        <v>31</v>
      </c>
      <c r="C29" s="1" t="s">
        <v>17</v>
      </c>
      <c r="D29" s="120"/>
      <c r="E29" s="3" t="s">
        <v>32</v>
      </c>
      <c r="F29" s="73" t="s">
        <v>331</v>
      </c>
      <c r="G29" s="74" t="s">
        <v>112</v>
      </c>
      <c r="H29" s="75">
        <v>4</v>
      </c>
      <c r="I29" s="76">
        <v>1</v>
      </c>
      <c r="J29" s="96">
        <f>1</f>
        <v>1</v>
      </c>
      <c r="K29" s="77">
        <f>633.93</f>
        <v>633.92999999999995</v>
      </c>
      <c r="L29" s="77"/>
      <c r="M29" s="78">
        <f t="shared" si="1"/>
        <v>633.92999999999995</v>
      </c>
      <c r="N29" s="100">
        <f>1+3+3</f>
        <v>7</v>
      </c>
      <c r="O29" s="81">
        <f>2299.8+15239.58+6152.75</f>
        <v>23692.13</v>
      </c>
      <c r="P29" s="81">
        <f>2299.8</f>
        <v>2299.8000000000002</v>
      </c>
      <c r="Q29" s="79">
        <f t="shared" si="2"/>
        <v>21392.33</v>
      </c>
      <c r="R29" s="141"/>
    </row>
    <row r="30" spans="1:18" s="13" customFormat="1" ht="15.75" x14ac:dyDescent="0.25">
      <c r="A30" s="10"/>
      <c r="B30" s="24" t="s">
        <v>31</v>
      </c>
      <c r="C30" s="1" t="s">
        <v>17</v>
      </c>
      <c r="D30" s="120"/>
      <c r="E30" s="3" t="s">
        <v>32</v>
      </c>
      <c r="F30" s="73" t="s">
        <v>422</v>
      </c>
      <c r="G30" s="8" t="s">
        <v>117</v>
      </c>
      <c r="H30" s="1">
        <v>7</v>
      </c>
      <c r="I30" s="49">
        <v>1</v>
      </c>
      <c r="J30" s="46">
        <v>1</v>
      </c>
      <c r="K30" s="40">
        <v>2344.3000000000002</v>
      </c>
      <c r="L30" s="40"/>
      <c r="M30" s="38">
        <f t="shared" si="1"/>
        <v>2344.3000000000002</v>
      </c>
      <c r="N30" s="41">
        <v>6</v>
      </c>
      <c r="O30" s="40">
        <v>12150.4</v>
      </c>
      <c r="P30" s="40"/>
      <c r="Q30" s="12">
        <f t="shared" si="2"/>
        <v>12150.4</v>
      </c>
    </row>
    <row r="31" spans="1:18" s="15" customFormat="1" ht="15.75" x14ac:dyDescent="0.25">
      <c r="A31" s="14"/>
      <c r="B31" s="80" t="s">
        <v>33</v>
      </c>
      <c r="C31" s="1" t="s">
        <v>17</v>
      </c>
      <c r="D31" s="120"/>
      <c r="E31" s="145" t="s">
        <v>20</v>
      </c>
      <c r="F31" s="73" t="s">
        <v>332</v>
      </c>
      <c r="G31" s="74" t="s">
        <v>112</v>
      </c>
      <c r="H31" s="75">
        <v>4</v>
      </c>
      <c r="I31" s="76"/>
      <c r="J31" s="96">
        <f>1</f>
        <v>1</v>
      </c>
      <c r="K31" s="77"/>
      <c r="L31" s="77"/>
      <c r="M31" s="78">
        <f t="shared" si="1"/>
        <v>0</v>
      </c>
      <c r="N31" s="100">
        <f>2+1+1</f>
        <v>4</v>
      </c>
      <c r="O31" s="81">
        <f>845.24+1613.64</f>
        <v>2458.88</v>
      </c>
      <c r="P31" s="81">
        <f>1613.64</f>
        <v>1613.64</v>
      </c>
      <c r="Q31" s="79">
        <f t="shared" si="2"/>
        <v>845.24</v>
      </c>
      <c r="R31" s="141"/>
    </row>
    <row r="32" spans="1:18" s="15" customFormat="1" ht="15.75" x14ac:dyDescent="0.25">
      <c r="A32" s="14"/>
      <c r="B32" s="23" t="s">
        <v>33</v>
      </c>
      <c r="C32" s="1" t="s">
        <v>17</v>
      </c>
      <c r="D32" s="120"/>
      <c r="E32" s="3" t="s">
        <v>20</v>
      </c>
      <c r="F32" s="73" t="s">
        <v>481</v>
      </c>
      <c r="G32" s="11" t="s">
        <v>114</v>
      </c>
      <c r="H32" s="1">
        <v>1</v>
      </c>
      <c r="I32" s="49"/>
      <c r="J32" s="51"/>
      <c r="K32" s="40"/>
      <c r="L32" s="40"/>
      <c r="M32" s="38">
        <f t="shared" si="1"/>
        <v>0</v>
      </c>
      <c r="N32" s="42">
        <v>12</v>
      </c>
      <c r="O32" s="31">
        <v>13071.87</v>
      </c>
      <c r="P32" s="31">
        <v>13071.87</v>
      </c>
      <c r="Q32" s="12">
        <f t="shared" si="2"/>
        <v>0</v>
      </c>
    </row>
    <row r="33" spans="1:18" s="15" customFormat="1" ht="15.75" x14ac:dyDescent="0.25">
      <c r="A33" s="14"/>
      <c r="B33" s="62" t="s">
        <v>147</v>
      </c>
      <c r="C33" s="1" t="s">
        <v>17</v>
      </c>
      <c r="D33" s="120"/>
      <c r="E33" s="3" t="s">
        <v>29</v>
      </c>
      <c r="F33" s="73" t="s">
        <v>334</v>
      </c>
      <c r="G33" s="74" t="s">
        <v>112</v>
      </c>
      <c r="H33" s="75">
        <v>2</v>
      </c>
      <c r="I33" s="102"/>
      <c r="J33" s="97">
        <f>1</f>
        <v>1</v>
      </c>
      <c r="K33" s="77"/>
      <c r="L33" s="77"/>
      <c r="M33" s="78">
        <f t="shared" si="1"/>
        <v>0</v>
      </c>
      <c r="N33" s="114">
        <f>1+1</f>
        <v>2</v>
      </c>
      <c r="O33" s="81">
        <f>1394.65</f>
        <v>1394.65</v>
      </c>
      <c r="P33" s="81">
        <f>1394.65</f>
        <v>1394.65</v>
      </c>
      <c r="Q33" s="79">
        <f t="shared" si="2"/>
        <v>0</v>
      </c>
      <c r="R33" s="141"/>
    </row>
    <row r="34" spans="1:18" s="15" customFormat="1" ht="15.75" x14ac:dyDescent="0.25">
      <c r="A34" s="14"/>
      <c r="B34" s="50" t="s">
        <v>147</v>
      </c>
      <c r="C34" s="1" t="s">
        <v>17</v>
      </c>
      <c r="D34" s="120"/>
      <c r="E34" s="3" t="s">
        <v>29</v>
      </c>
      <c r="F34" s="73" t="s">
        <v>423</v>
      </c>
      <c r="G34" s="11" t="s">
        <v>117</v>
      </c>
      <c r="H34" s="1">
        <v>3</v>
      </c>
      <c r="I34" s="48">
        <v>2</v>
      </c>
      <c r="J34" s="45">
        <v>2</v>
      </c>
      <c r="K34" s="40"/>
      <c r="L34" s="40"/>
      <c r="M34" s="38">
        <f t="shared" si="1"/>
        <v>0</v>
      </c>
      <c r="N34" s="42">
        <f>2</f>
        <v>2</v>
      </c>
      <c r="O34" s="31">
        <v>3361.75</v>
      </c>
      <c r="P34" s="31"/>
      <c r="Q34" s="12">
        <f t="shared" si="2"/>
        <v>3361.75</v>
      </c>
    </row>
    <row r="35" spans="1:18" s="13" customFormat="1" ht="15.75" x14ac:dyDescent="0.25">
      <c r="A35" s="10"/>
      <c r="B35" s="62" t="s">
        <v>34</v>
      </c>
      <c r="C35" s="1" t="s">
        <v>17</v>
      </c>
      <c r="D35" s="120"/>
      <c r="E35" s="17" t="s">
        <v>35</v>
      </c>
      <c r="F35" s="73" t="s">
        <v>335</v>
      </c>
      <c r="G35" s="74" t="s">
        <v>112</v>
      </c>
      <c r="H35" s="75">
        <v>9</v>
      </c>
      <c r="I35" s="76">
        <v>4</v>
      </c>
      <c r="J35" s="96">
        <f>4</f>
        <v>4</v>
      </c>
      <c r="K35" s="77">
        <f>8288.4</f>
        <v>8288.4</v>
      </c>
      <c r="L35" s="77"/>
      <c r="M35" s="78">
        <f t="shared" si="1"/>
        <v>8288.4</v>
      </c>
      <c r="N35" s="100">
        <f>4+4+6+1+3</f>
        <v>18</v>
      </c>
      <c r="O35" s="81">
        <f>23915.04+21171.88+6399.1</f>
        <v>51486.02</v>
      </c>
      <c r="P35" s="81">
        <f>28915.04</f>
        <v>28915.040000000001</v>
      </c>
      <c r="Q35" s="79">
        <f t="shared" si="2"/>
        <v>22570.979999999996</v>
      </c>
      <c r="R35" s="141"/>
    </row>
    <row r="36" spans="1:18" s="13" customFormat="1" ht="15.75" x14ac:dyDescent="0.25">
      <c r="A36" s="10"/>
      <c r="B36" s="22" t="s">
        <v>34</v>
      </c>
      <c r="C36" s="1" t="s">
        <v>17</v>
      </c>
      <c r="D36" s="120"/>
      <c r="E36" s="17" t="s">
        <v>35</v>
      </c>
      <c r="F36" s="73" t="s">
        <v>424</v>
      </c>
      <c r="G36" s="8" t="s">
        <v>117</v>
      </c>
      <c r="H36" s="1">
        <v>1</v>
      </c>
      <c r="I36" s="49"/>
      <c r="J36" s="46"/>
      <c r="K36" s="40"/>
      <c r="L36" s="40"/>
      <c r="M36" s="38">
        <f t="shared" si="1"/>
        <v>0</v>
      </c>
      <c r="N36" s="41">
        <v>2</v>
      </c>
      <c r="O36" s="31">
        <v>5570.9</v>
      </c>
      <c r="P36" s="31"/>
      <c r="Q36" s="12">
        <f t="shared" si="2"/>
        <v>5570.9</v>
      </c>
    </row>
    <row r="37" spans="1:18" s="13" customFormat="1" ht="15.75" x14ac:dyDescent="0.25">
      <c r="A37" s="10"/>
      <c r="B37" s="27" t="s">
        <v>36</v>
      </c>
      <c r="C37" s="1" t="s">
        <v>17</v>
      </c>
      <c r="D37" s="120"/>
      <c r="E37" s="17" t="s">
        <v>32</v>
      </c>
      <c r="F37" s="73" t="s">
        <v>336</v>
      </c>
      <c r="G37" s="74" t="s">
        <v>112</v>
      </c>
      <c r="H37" s="75">
        <v>5</v>
      </c>
      <c r="I37" s="76">
        <v>1</v>
      </c>
      <c r="J37" s="96">
        <f>1</f>
        <v>1</v>
      </c>
      <c r="K37" s="77">
        <f>2091.97</f>
        <v>2091.9699999999998</v>
      </c>
      <c r="L37" s="77"/>
      <c r="M37" s="78">
        <f t="shared" si="1"/>
        <v>2091.9699999999998</v>
      </c>
      <c r="N37" s="100">
        <f>4+2+5</f>
        <v>11</v>
      </c>
      <c r="O37" s="81">
        <f>26828.22+3116.2+14162</f>
        <v>44106.42</v>
      </c>
      <c r="P37" s="81">
        <f>8144.95</f>
        <v>8144.95</v>
      </c>
      <c r="Q37" s="79">
        <f t="shared" si="2"/>
        <v>35961.47</v>
      </c>
      <c r="R37" s="141"/>
    </row>
    <row r="38" spans="1:18" s="13" customFormat="1" ht="15.75" x14ac:dyDescent="0.25">
      <c r="A38" s="10"/>
      <c r="B38" s="27" t="s">
        <v>38</v>
      </c>
      <c r="C38" s="1" t="s">
        <v>17</v>
      </c>
      <c r="D38" s="120"/>
      <c r="E38" s="3" t="s">
        <v>20</v>
      </c>
      <c r="F38" s="73" t="s">
        <v>338</v>
      </c>
      <c r="G38" s="74" t="s">
        <v>112</v>
      </c>
      <c r="H38" s="75">
        <v>18</v>
      </c>
      <c r="I38" s="76">
        <v>5</v>
      </c>
      <c r="J38" s="96">
        <f>5+9</f>
        <v>14</v>
      </c>
      <c r="K38" s="77">
        <f>4427.07</f>
        <v>4427.07</v>
      </c>
      <c r="L38" s="77"/>
      <c r="M38" s="78">
        <f t="shared" si="1"/>
        <v>4427.07</v>
      </c>
      <c r="N38" s="100">
        <f>1+14+2</f>
        <v>17</v>
      </c>
      <c r="O38" s="81">
        <f>34449.99+27363.78</f>
        <v>61813.77</v>
      </c>
      <c r="P38" s="81">
        <f>34449.99</f>
        <v>34449.99</v>
      </c>
      <c r="Q38" s="79">
        <f t="shared" si="2"/>
        <v>27363.78</v>
      </c>
      <c r="R38" s="141"/>
    </row>
    <row r="39" spans="1:18" s="13" customFormat="1" ht="15.75" x14ac:dyDescent="0.25">
      <c r="A39" s="10"/>
      <c r="B39" s="25" t="s">
        <v>38</v>
      </c>
      <c r="C39" s="1" t="s">
        <v>17</v>
      </c>
      <c r="D39" s="120"/>
      <c r="E39" s="3" t="s">
        <v>20</v>
      </c>
      <c r="F39" s="73" t="s">
        <v>268</v>
      </c>
      <c r="G39" s="11" t="s">
        <v>114</v>
      </c>
      <c r="H39" s="1"/>
      <c r="I39" s="49"/>
      <c r="J39" s="51"/>
      <c r="K39" s="40"/>
      <c r="L39" s="40"/>
      <c r="M39" s="38">
        <f t="shared" si="1"/>
        <v>0</v>
      </c>
      <c r="N39" s="41"/>
      <c r="O39" s="31"/>
      <c r="P39" s="31"/>
      <c r="Q39" s="12">
        <f t="shared" si="2"/>
        <v>0</v>
      </c>
    </row>
    <row r="40" spans="1:18" s="13" customFormat="1" ht="15.75" x14ac:dyDescent="0.25">
      <c r="A40" s="10"/>
      <c r="B40" s="25" t="s">
        <v>38</v>
      </c>
      <c r="C40" s="1" t="s">
        <v>17</v>
      </c>
      <c r="D40" s="120"/>
      <c r="E40" s="3" t="s">
        <v>18</v>
      </c>
      <c r="F40" s="73" t="s">
        <v>324</v>
      </c>
      <c r="G40" s="11" t="s">
        <v>116</v>
      </c>
      <c r="H40" s="1">
        <v>3</v>
      </c>
      <c r="I40" s="49"/>
      <c r="J40" s="51"/>
      <c r="K40" s="40"/>
      <c r="L40" s="40"/>
      <c r="M40" s="38">
        <f t="shared" si="1"/>
        <v>0</v>
      </c>
      <c r="N40" s="41"/>
      <c r="O40" s="31"/>
      <c r="P40" s="31"/>
      <c r="Q40" s="12">
        <f t="shared" si="2"/>
        <v>0</v>
      </c>
    </row>
    <row r="41" spans="1:18" s="13" customFormat="1" ht="15.75" x14ac:dyDescent="0.25">
      <c r="A41" s="10"/>
      <c r="B41" s="22" t="s">
        <v>39</v>
      </c>
      <c r="C41" s="1" t="s">
        <v>17</v>
      </c>
      <c r="D41" s="120"/>
      <c r="E41" s="3" t="s">
        <v>20</v>
      </c>
      <c r="F41" s="73" t="s">
        <v>269</v>
      </c>
      <c r="G41" s="11" t="s">
        <v>114</v>
      </c>
      <c r="H41" s="1"/>
      <c r="I41" s="49"/>
      <c r="J41" s="51"/>
      <c r="K41" s="40"/>
      <c r="L41" s="40"/>
      <c r="M41" s="38">
        <f t="shared" si="1"/>
        <v>0</v>
      </c>
      <c r="N41" s="41"/>
      <c r="O41" s="31"/>
      <c r="P41" s="31"/>
      <c r="Q41" s="12">
        <f t="shared" si="2"/>
        <v>0</v>
      </c>
    </row>
    <row r="42" spans="1:18" s="13" customFormat="1" ht="15.75" x14ac:dyDescent="0.25">
      <c r="A42" s="10"/>
      <c r="B42" s="27" t="s">
        <v>40</v>
      </c>
      <c r="C42" s="1" t="s">
        <v>17</v>
      </c>
      <c r="D42" s="120"/>
      <c r="E42" s="17" t="s">
        <v>41</v>
      </c>
      <c r="F42" s="73" t="s">
        <v>339</v>
      </c>
      <c r="G42" s="74" t="s">
        <v>112</v>
      </c>
      <c r="H42" s="75">
        <v>10</v>
      </c>
      <c r="I42" s="76">
        <v>2</v>
      </c>
      <c r="J42" s="96">
        <f>1+1+3</f>
        <v>5</v>
      </c>
      <c r="K42" s="77">
        <f>1045.98</f>
        <v>1045.98</v>
      </c>
      <c r="L42" s="77"/>
      <c r="M42" s="78">
        <f t="shared" si="1"/>
        <v>1045.98</v>
      </c>
      <c r="N42" s="100">
        <f>3+13+6</f>
        <v>22</v>
      </c>
      <c r="O42" s="81">
        <f>17269.31+39990.78+16582.12</f>
        <v>73842.209999999992</v>
      </c>
      <c r="P42" s="81">
        <f>17269.31</f>
        <v>17269.310000000001</v>
      </c>
      <c r="Q42" s="79">
        <f t="shared" si="2"/>
        <v>56572.899999999994</v>
      </c>
      <c r="R42" s="141"/>
    </row>
    <row r="43" spans="1:18" s="13" customFormat="1" ht="15.75" x14ac:dyDescent="0.25">
      <c r="A43" s="10"/>
      <c r="B43" s="25" t="s">
        <v>40</v>
      </c>
      <c r="C43" s="1" t="s">
        <v>17</v>
      </c>
      <c r="D43" s="120"/>
      <c r="E43" s="17" t="s">
        <v>41</v>
      </c>
      <c r="F43" s="73" t="s">
        <v>482</v>
      </c>
      <c r="G43" s="11" t="s">
        <v>114</v>
      </c>
      <c r="H43" s="1"/>
      <c r="I43" s="49"/>
      <c r="J43" s="51"/>
      <c r="K43" s="40"/>
      <c r="L43" s="40"/>
      <c r="M43" s="38">
        <f t="shared" si="1"/>
        <v>0</v>
      </c>
      <c r="N43" s="41">
        <v>1</v>
      </c>
      <c r="O43" s="31">
        <v>3073.6</v>
      </c>
      <c r="P43" s="31">
        <f>3073.6</f>
        <v>3073.6</v>
      </c>
      <c r="Q43" s="12">
        <f t="shared" si="2"/>
        <v>0</v>
      </c>
    </row>
    <row r="44" spans="1:18" s="13" customFormat="1" ht="15.75" x14ac:dyDescent="0.25">
      <c r="A44" s="10"/>
      <c r="B44" s="27" t="s">
        <v>148</v>
      </c>
      <c r="C44" s="1" t="s">
        <v>17</v>
      </c>
      <c r="D44" s="120"/>
      <c r="E44" s="3" t="s">
        <v>20</v>
      </c>
      <c r="F44" s="73" t="s">
        <v>340</v>
      </c>
      <c r="G44" s="74" t="s">
        <v>112</v>
      </c>
      <c r="H44" s="75">
        <v>7</v>
      </c>
      <c r="I44" s="82">
        <v>1</v>
      </c>
      <c r="J44" s="96">
        <f>1</f>
        <v>1</v>
      </c>
      <c r="K44" s="77">
        <f>537.88</f>
        <v>537.88</v>
      </c>
      <c r="L44" s="77"/>
      <c r="M44" s="78">
        <f t="shared" si="1"/>
        <v>537.88</v>
      </c>
      <c r="N44" s="100">
        <f>6+5+3</f>
        <v>14</v>
      </c>
      <c r="O44" s="81">
        <f>9370.6+9456.38+8868.69</f>
        <v>27695.67</v>
      </c>
      <c r="P44" s="81">
        <f>9370.6</f>
        <v>9370.6</v>
      </c>
      <c r="Q44" s="79">
        <f t="shared" si="2"/>
        <v>18325.07</v>
      </c>
      <c r="R44" s="141"/>
    </row>
    <row r="45" spans="1:18" s="13" customFormat="1" ht="15.75" x14ac:dyDescent="0.25">
      <c r="A45" s="10"/>
      <c r="B45" s="25" t="s">
        <v>148</v>
      </c>
      <c r="C45" s="1" t="s">
        <v>17</v>
      </c>
      <c r="D45" s="120"/>
      <c r="E45" s="17" t="s">
        <v>32</v>
      </c>
      <c r="F45" s="73" t="s">
        <v>425</v>
      </c>
      <c r="G45" s="11" t="s">
        <v>117</v>
      </c>
      <c r="H45" s="1">
        <v>4</v>
      </c>
      <c r="I45" s="49"/>
      <c r="J45" s="46"/>
      <c r="K45" s="40"/>
      <c r="L45" s="40"/>
      <c r="M45" s="38">
        <f t="shared" si="1"/>
        <v>0</v>
      </c>
      <c r="N45" s="41">
        <v>2</v>
      </c>
      <c r="O45" s="31">
        <v>7472.69</v>
      </c>
      <c r="P45" s="31"/>
      <c r="Q45" s="12">
        <f t="shared" si="2"/>
        <v>7472.69</v>
      </c>
    </row>
    <row r="46" spans="1:18" s="13" customFormat="1" ht="15.75" x14ac:dyDescent="0.25">
      <c r="A46" s="10"/>
      <c r="B46" s="30" t="s">
        <v>42</v>
      </c>
      <c r="C46" s="1" t="s">
        <v>17</v>
      </c>
      <c r="D46" s="120"/>
      <c r="E46" s="3" t="s">
        <v>23</v>
      </c>
      <c r="F46" s="73" t="s">
        <v>341</v>
      </c>
      <c r="G46" s="74" t="s">
        <v>112</v>
      </c>
      <c r="H46" s="75">
        <v>10</v>
      </c>
      <c r="I46" s="76">
        <v>4</v>
      </c>
      <c r="J46" s="96">
        <f>5</f>
        <v>5</v>
      </c>
      <c r="K46" s="77">
        <f>7156.22</f>
        <v>7156.22</v>
      </c>
      <c r="L46" s="77"/>
      <c r="M46" s="78">
        <f t="shared" si="1"/>
        <v>7156.22</v>
      </c>
      <c r="N46" s="100">
        <f>4+6+9+2</f>
        <v>21</v>
      </c>
      <c r="O46" s="81">
        <f>5364.2+26170.88+2849.25</f>
        <v>34384.33</v>
      </c>
      <c r="P46" s="81">
        <f>5364.2</f>
        <v>5364.2</v>
      </c>
      <c r="Q46" s="79">
        <f t="shared" si="2"/>
        <v>29020.13</v>
      </c>
      <c r="R46" s="141"/>
    </row>
    <row r="47" spans="1:18" s="13" customFormat="1" ht="15.75" x14ac:dyDescent="0.25">
      <c r="A47" s="10"/>
      <c r="B47" s="24" t="s">
        <v>42</v>
      </c>
      <c r="C47" s="1" t="s">
        <v>17</v>
      </c>
      <c r="D47" s="120"/>
      <c r="E47" s="3" t="s">
        <v>23</v>
      </c>
      <c r="F47" s="73" t="s">
        <v>437</v>
      </c>
      <c r="G47" s="11" t="s">
        <v>118</v>
      </c>
      <c r="H47" s="1">
        <v>2</v>
      </c>
      <c r="I47" s="49"/>
      <c r="J47" s="46"/>
      <c r="K47" s="40"/>
      <c r="L47" s="40"/>
      <c r="M47" s="38">
        <f t="shared" si="1"/>
        <v>0</v>
      </c>
      <c r="N47" s="41"/>
      <c r="O47" s="31">
        <v>4226.2</v>
      </c>
      <c r="P47" s="31">
        <v>4226.2</v>
      </c>
      <c r="Q47" s="12">
        <f t="shared" si="2"/>
        <v>0</v>
      </c>
    </row>
    <row r="48" spans="1:18" s="13" customFormat="1" ht="15.75" x14ac:dyDescent="0.25">
      <c r="A48" s="10"/>
      <c r="B48" s="30" t="s">
        <v>173</v>
      </c>
      <c r="C48" s="1" t="s">
        <v>17</v>
      </c>
      <c r="D48" s="120"/>
      <c r="E48" s="11" t="s">
        <v>118</v>
      </c>
      <c r="F48" s="73" t="s">
        <v>342</v>
      </c>
      <c r="G48" s="74" t="s">
        <v>112</v>
      </c>
      <c r="H48" s="75">
        <v>4</v>
      </c>
      <c r="I48" s="76">
        <v>4</v>
      </c>
      <c r="J48" s="96">
        <f>1+2+1</f>
        <v>4</v>
      </c>
      <c r="K48" s="77">
        <f>6833.76+696.36</f>
        <v>7530.12</v>
      </c>
      <c r="L48" s="77"/>
      <c r="M48" s="78">
        <f t="shared" si="1"/>
        <v>7530.12</v>
      </c>
      <c r="N48" s="100">
        <f>4+2</f>
        <v>6</v>
      </c>
      <c r="O48" s="81">
        <f>5931.9+4183.92+3158.95</f>
        <v>13274.77</v>
      </c>
      <c r="P48" s="81">
        <f>5931.9</f>
        <v>5931.9</v>
      </c>
      <c r="Q48" s="79">
        <f t="shared" si="2"/>
        <v>7342.8700000000008</v>
      </c>
      <c r="R48" s="141"/>
    </row>
    <row r="49" spans="1:18" s="13" customFormat="1" ht="15.75" x14ac:dyDescent="0.25">
      <c r="A49" s="10"/>
      <c r="B49" s="22" t="s">
        <v>143</v>
      </c>
      <c r="C49" s="1" t="s">
        <v>64</v>
      </c>
      <c r="D49" s="120" t="s">
        <v>444</v>
      </c>
      <c r="E49" s="3" t="s">
        <v>20</v>
      </c>
      <c r="F49" s="73" t="s">
        <v>445</v>
      </c>
      <c r="G49" s="11" t="s">
        <v>114</v>
      </c>
      <c r="H49" s="1">
        <v>6</v>
      </c>
      <c r="I49" s="47"/>
      <c r="J49" s="51"/>
      <c r="K49" s="37"/>
      <c r="L49" s="37"/>
      <c r="M49" s="78">
        <f t="shared" si="1"/>
        <v>0</v>
      </c>
      <c r="N49" s="39">
        <v>11</v>
      </c>
      <c r="O49" s="31">
        <v>13367.1</v>
      </c>
      <c r="P49" s="31">
        <v>12078.4</v>
      </c>
      <c r="Q49" s="79">
        <f t="shared" si="2"/>
        <v>1288.7000000000007</v>
      </c>
    </row>
    <row r="50" spans="1:18" s="13" customFormat="1" ht="15.75" x14ac:dyDescent="0.25">
      <c r="A50" s="10"/>
      <c r="B50" s="24" t="s">
        <v>158</v>
      </c>
      <c r="C50" s="1" t="s">
        <v>17</v>
      </c>
      <c r="D50" s="120"/>
      <c r="E50" s="17" t="s">
        <v>32</v>
      </c>
      <c r="F50" s="73" t="s">
        <v>426</v>
      </c>
      <c r="G50" s="11" t="s">
        <v>117</v>
      </c>
      <c r="H50" s="1">
        <v>5</v>
      </c>
      <c r="I50" s="47">
        <v>1</v>
      </c>
      <c r="J50" s="51">
        <v>1</v>
      </c>
      <c r="K50" s="37"/>
      <c r="L50" s="37"/>
      <c r="M50" s="38">
        <f t="shared" si="1"/>
        <v>0</v>
      </c>
      <c r="N50" s="39">
        <v>4</v>
      </c>
      <c r="O50" s="31">
        <v>9789.2000000000007</v>
      </c>
      <c r="P50" s="31"/>
      <c r="Q50" s="12">
        <f t="shared" si="2"/>
        <v>9789.2000000000007</v>
      </c>
    </row>
    <row r="51" spans="1:18" s="15" customFormat="1" ht="15.75" x14ac:dyDescent="0.25">
      <c r="A51" s="14"/>
      <c r="B51" s="80" t="s">
        <v>43</v>
      </c>
      <c r="C51" s="1" t="s">
        <v>17</v>
      </c>
      <c r="D51" s="120"/>
      <c r="E51" s="3" t="s">
        <v>18</v>
      </c>
      <c r="F51" s="73" t="s">
        <v>344</v>
      </c>
      <c r="G51" s="74" t="s">
        <v>112</v>
      </c>
      <c r="H51" s="75">
        <v>12</v>
      </c>
      <c r="I51" s="76">
        <v>3</v>
      </c>
      <c r="J51" s="96">
        <f>1+2</f>
        <v>3</v>
      </c>
      <c r="K51" s="77"/>
      <c r="L51" s="77"/>
      <c r="M51" s="78">
        <f t="shared" si="1"/>
        <v>0</v>
      </c>
      <c r="N51" s="100">
        <f>1+5+4</f>
        <v>10</v>
      </c>
      <c r="O51" s="81">
        <f>1223.8+3810.29+4959.02+10043.87</f>
        <v>20036.980000000003</v>
      </c>
      <c r="P51" s="81">
        <f>1223.8</f>
        <v>1223.8</v>
      </c>
      <c r="Q51" s="79">
        <f t="shared" si="2"/>
        <v>18813.180000000004</v>
      </c>
      <c r="R51" s="141"/>
    </row>
    <row r="52" spans="1:18" s="15" customFormat="1" ht="31.5" x14ac:dyDescent="0.25">
      <c r="A52" s="14"/>
      <c r="B52" s="22" t="s">
        <v>43</v>
      </c>
      <c r="C52" s="1" t="s">
        <v>304</v>
      </c>
      <c r="D52" s="120" t="s">
        <v>473</v>
      </c>
      <c r="E52" s="3" t="s">
        <v>18</v>
      </c>
      <c r="F52" s="73" t="s">
        <v>323</v>
      </c>
      <c r="G52" s="11" t="s">
        <v>113</v>
      </c>
      <c r="H52" s="1">
        <v>7</v>
      </c>
      <c r="I52" s="126">
        <v>4</v>
      </c>
      <c r="J52" s="125">
        <v>4</v>
      </c>
      <c r="K52" s="40">
        <v>5071</v>
      </c>
      <c r="L52" s="40"/>
      <c r="M52" s="38">
        <f t="shared" si="1"/>
        <v>5071</v>
      </c>
      <c r="N52" s="39">
        <v>9</v>
      </c>
      <c r="O52" s="31">
        <v>8937</v>
      </c>
      <c r="P52" s="31">
        <v>2655</v>
      </c>
      <c r="Q52" s="12">
        <f t="shared" si="2"/>
        <v>6282</v>
      </c>
    </row>
    <row r="53" spans="1:18" s="13" customFormat="1" ht="15.75" x14ac:dyDescent="0.25">
      <c r="A53" s="10"/>
      <c r="B53" s="30" t="s">
        <v>44</v>
      </c>
      <c r="C53" s="1" t="s">
        <v>17</v>
      </c>
      <c r="D53" s="120"/>
      <c r="E53" s="3" t="s">
        <v>20</v>
      </c>
      <c r="F53" s="73" t="s">
        <v>345</v>
      </c>
      <c r="G53" s="74" t="s">
        <v>112</v>
      </c>
      <c r="H53" s="75">
        <v>6</v>
      </c>
      <c r="I53" s="76">
        <v>4</v>
      </c>
      <c r="J53" s="96">
        <f>1+1+1+4</f>
        <v>7</v>
      </c>
      <c r="K53" s="77">
        <f>2422.38+1267.86</f>
        <v>3690.24</v>
      </c>
      <c r="L53" s="77"/>
      <c r="M53" s="78">
        <f t="shared" si="1"/>
        <v>3690.24</v>
      </c>
      <c r="N53" s="100">
        <f>1+11</f>
        <v>12</v>
      </c>
      <c r="O53" s="81">
        <f>421.62+4603.39+10559.77</f>
        <v>15584.78</v>
      </c>
      <c r="P53" s="81"/>
      <c r="Q53" s="79">
        <f t="shared" si="2"/>
        <v>15584.78</v>
      </c>
      <c r="R53" s="141"/>
    </row>
    <row r="54" spans="1:18" s="13" customFormat="1" ht="15.75" x14ac:dyDescent="0.25">
      <c r="A54" s="10"/>
      <c r="B54" s="24" t="s">
        <v>44</v>
      </c>
      <c r="C54" s="1" t="s">
        <v>17</v>
      </c>
      <c r="D54" s="120"/>
      <c r="E54" s="3" t="s">
        <v>20</v>
      </c>
      <c r="F54" s="73" t="s">
        <v>483</v>
      </c>
      <c r="G54" s="11" t="s">
        <v>114</v>
      </c>
      <c r="H54" s="1"/>
      <c r="I54" s="49"/>
      <c r="J54" s="51"/>
      <c r="K54" s="40"/>
      <c r="L54" s="40"/>
      <c r="M54" s="78">
        <f t="shared" si="1"/>
        <v>0</v>
      </c>
      <c r="N54" s="41">
        <v>2</v>
      </c>
      <c r="O54" s="31"/>
      <c r="P54" s="31"/>
      <c r="Q54" s="12">
        <f t="shared" si="2"/>
        <v>0</v>
      </c>
    </row>
    <row r="55" spans="1:18" s="13" customFormat="1" ht="15.75" x14ac:dyDescent="0.25">
      <c r="A55" s="10"/>
      <c r="B55" s="24" t="s">
        <v>492</v>
      </c>
      <c r="C55" s="1" t="s">
        <v>17</v>
      </c>
      <c r="D55" s="120"/>
      <c r="E55" s="3" t="s">
        <v>20</v>
      </c>
      <c r="F55" s="73" t="s">
        <v>499</v>
      </c>
      <c r="G55" s="11" t="s">
        <v>112</v>
      </c>
      <c r="H55" s="1">
        <v>2</v>
      </c>
      <c r="I55" s="49"/>
      <c r="J55" s="51"/>
      <c r="K55" s="40"/>
      <c r="L55" s="40"/>
      <c r="M55" s="78"/>
      <c r="N55" s="41"/>
      <c r="O55" s="31"/>
      <c r="P55" s="31"/>
      <c r="Q55" s="12"/>
    </row>
    <row r="56" spans="1:18" s="13" customFormat="1" ht="15.75" x14ac:dyDescent="0.25">
      <c r="A56" s="10"/>
      <c r="B56" s="27" t="s">
        <v>45</v>
      </c>
      <c r="C56" s="1" t="s">
        <v>17</v>
      </c>
      <c r="D56" s="120"/>
      <c r="E56" s="3" t="s">
        <v>20</v>
      </c>
      <c r="F56" s="73" t="s">
        <v>346</v>
      </c>
      <c r="G56" s="74" t="s">
        <v>112</v>
      </c>
      <c r="H56" s="75"/>
      <c r="I56" s="76"/>
      <c r="J56" s="96"/>
      <c r="K56" s="77"/>
      <c r="L56" s="77"/>
      <c r="M56" s="38">
        <f t="shared" si="1"/>
        <v>0</v>
      </c>
      <c r="N56" s="100">
        <f>1</f>
        <v>1</v>
      </c>
      <c r="O56" s="81">
        <f>17995.91+2729.8</f>
        <v>20725.71</v>
      </c>
      <c r="P56" s="81"/>
      <c r="Q56" s="79">
        <f t="shared" si="2"/>
        <v>20725.71</v>
      </c>
      <c r="R56" s="141"/>
    </row>
    <row r="57" spans="1:18" s="13" customFormat="1" ht="15.75" x14ac:dyDescent="0.25">
      <c r="A57" s="10"/>
      <c r="B57" s="25" t="s">
        <v>45</v>
      </c>
      <c r="C57" s="1" t="s">
        <v>17</v>
      </c>
      <c r="D57" s="120"/>
      <c r="E57" s="3" t="s">
        <v>20</v>
      </c>
      <c r="F57" s="73" t="s">
        <v>484</v>
      </c>
      <c r="G57" s="11" t="s">
        <v>114</v>
      </c>
      <c r="H57" s="1"/>
      <c r="I57" s="49"/>
      <c r="J57" s="51"/>
      <c r="K57" s="40"/>
      <c r="L57" s="40"/>
      <c r="M57" s="78">
        <f t="shared" si="1"/>
        <v>0</v>
      </c>
      <c r="N57" s="41"/>
      <c r="O57" s="31"/>
      <c r="P57" s="31"/>
      <c r="Q57" s="12">
        <f t="shared" si="2"/>
        <v>0</v>
      </c>
    </row>
    <row r="58" spans="1:18" s="15" customFormat="1" ht="15.75" x14ac:dyDescent="0.25">
      <c r="A58" s="14"/>
      <c r="B58" s="28" t="s">
        <v>46</v>
      </c>
      <c r="C58" s="1" t="s">
        <v>17</v>
      </c>
      <c r="D58" s="120"/>
      <c r="E58" s="3" t="s">
        <v>20</v>
      </c>
      <c r="F58" s="73" t="s">
        <v>347</v>
      </c>
      <c r="G58" s="74" t="s">
        <v>112</v>
      </c>
      <c r="H58" s="75">
        <v>5</v>
      </c>
      <c r="I58" s="76">
        <v>1</v>
      </c>
      <c r="J58" s="96">
        <f>1+2</f>
        <v>3</v>
      </c>
      <c r="K58" s="77">
        <f>1045.98</f>
        <v>1045.98</v>
      </c>
      <c r="L58" s="77"/>
      <c r="M58" s="38">
        <f t="shared" si="1"/>
        <v>1045.98</v>
      </c>
      <c r="N58" s="100">
        <f>4+4</f>
        <v>8</v>
      </c>
      <c r="O58" s="81">
        <f>10759.2</f>
        <v>10759.2</v>
      </c>
      <c r="P58" s="81"/>
      <c r="Q58" s="79">
        <f t="shared" si="2"/>
        <v>10759.2</v>
      </c>
      <c r="R58" s="141"/>
    </row>
    <row r="59" spans="1:18" s="15" customFormat="1" ht="15.75" x14ac:dyDescent="0.25">
      <c r="A59" s="14"/>
      <c r="B59" s="26" t="s">
        <v>46</v>
      </c>
      <c r="C59" s="1" t="s">
        <v>17</v>
      </c>
      <c r="D59" s="120"/>
      <c r="E59" s="3" t="s">
        <v>20</v>
      </c>
      <c r="F59" s="73" t="s">
        <v>273</v>
      </c>
      <c r="G59" s="11" t="s">
        <v>114</v>
      </c>
      <c r="H59" s="1">
        <v>1</v>
      </c>
      <c r="I59" s="49"/>
      <c r="J59" s="51"/>
      <c r="K59" s="40"/>
      <c r="L59" s="40"/>
      <c r="M59" s="78">
        <f t="shared" si="1"/>
        <v>0</v>
      </c>
      <c r="N59" s="42">
        <v>2</v>
      </c>
      <c r="O59" s="31">
        <v>8068.2</v>
      </c>
      <c r="P59" s="31">
        <f>4034.1</f>
        <v>4034.1</v>
      </c>
      <c r="Q59" s="12">
        <f t="shared" si="2"/>
        <v>4034.1</v>
      </c>
    </row>
    <row r="60" spans="1:18" s="13" customFormat="1" ht="47.25" x14ac:dyDescent="0.25">
      <c r="A60" s="10"/>
      <c r="B60" s="30" t="s">
        <v>47</v>
      </c>
      <c r="C60" s="1" t="s">
        <v>304</v>
      </c>
      <c r="D60" s="120" t="s">
        <v>474</v>
      </c>
      <c r="E60" s="3" t="s">
        <v>18</v>
      </c>
      <c r="F60" s="73" t="s">
        <v>348</v>
      </c>
      <c r="G60" s="74" t="s">
        <v>112</v>
      </c>
      <c r="H60" s="75">
        <v>10</v>
      </c>
      <c r="I60" s="76">
        <v>3</v>
      </c>
      <c r="J60" s="96">
        <f>1+1+3</f>
        <v>5</v>
      </c>
      <c r="K60" s="77">
        <f>1129.78+866.14</f>
        <v>1995.92</v>
      </c>
      <c r="L60" s="77"/>
      <c r="M60" s="38">
        <f t="shared" si="1"/>
        <v>1995.92</v>
      </c>
      <c r="N60" s="100">
        <f>7+3+4+10+6+1</f>
        <v>31</v>
      </c>
      <c r="O60" s="81">
        <f>8477.51+15159.83+14079.46+15414.2+17995.91</f>
        <v>71126.91</v>
      </c>
      <c r="P60" s="81">
        <f>8477.51</f>
        <v>8477.51</v>
      </c>
      <c r="Q60" s="79">
        <f t="shared" si="2"/>
        <v>62649.4</v>
      </c>
      <c r="R60" s="141"/>
    </row>
    <row r="61" spans="1:18" s="13" customFormat="1" ht="47.25" x14ac:dyDescent="0.25">
      <c r="A61" s="10"/>
      <c r="B61" s="22" t="s">
        <v>120</v>
      </c>
      <c r="C61" s="1" t="s">
        <v>304</v>
      </c>
      <c r="D61" s="120" t="s">
        <v>474</v>
      </c>
      <c r="E61" s="3" t="s">
        <v>18</v>
      </c>
      <c r="F61" s="73" t="s">
        <v>334</v>
      </c>
      <c r="G61" s="11" t="s">
        <v>116</v>
      </c>
      <c r="H61" s="1">
        <v>14</v>
      </c>
      <c r="I61" s="53">
        <v>3</v>
      </c>
      <c r="J61" s="127">
        <v>3</v>
      </c>
      <c r="K61" s="40">
        <v>3170</v>
      </c>
      <c r="L61" s="40"/>
      <c r="M61" s="78">
        <f t="shared" si="1"/>
        <v>3170</v>
      </c>
      <c r="N61" s="41">
        <v>3</v>
      </c>
      <c r="O61" s="31">
        <v>27965</v>
      </c>
      <c r="P61" s="31">
        <v>13238</v>
      </c>
      <c r="Q61" s="12">
        <f t="shared" si="2"/>
        <v>14727</v>
      </c>
    </row>
    <row r="62" spans="1:18" s="13" customFormat="1" ht="15.75" x14ac:dyDescent="0.25">
      <c r="A62" s="10"/>
      <c r="B62" s="30" t="s">
        <v>134</v>
      </c>
      <c r="C62" s="1" t="s">
        <v>17</v>
      </c>
      <c r="D62" s="120"/>
      <c r="E62" s="3" t="s">
        <v>20</v>
      </c>
      <c r="F62" s="73" t="s">
        <v>349</v>
      </c>
      <c r="G62" s="74" t="s">
        <v>112</v>
      </c>
      <c r="H62" s="75">
        <v>7</v>
      </c>
      <c r="I62" s="76">
        <v>2</v>
      </c>
      <c r="J62" s="96">
        <f>1+4</f>
        <v>5</v>
      </c>
      <c r="K62" s="77">
        <f>7301.48+1473.89</f>
        <v>8775.369999999999</v>
      </c>
      <c r="L62" s="77"/>
      <c r="M62" s="38">
        <f t="shared" si="1"/>
        <v>8775.369999999999</v>
      </c>
      <c r="N62" s="100">
        <f>4+1</f>
        <v>5</v>
      </c>
      <c r="O62" s="81">
        <f>5020.05+3215.31+12312.39</f>
        <v>20547.75</v>
      </c>
      <c r="P62" s="81"/>
      <c r="Q62" s="79">
        <f t="shared" si="2"/>
        <v>20547.75</v>
      </c>
      <c r="R62" s="141"/>
    </row>
    <row r="63" spans="1:18" s="13" customFormat="1" ht="15.75" x14ac:dyDescent="0.25">
      <c r="A63" s="10"/>
      <c r="B63" s="24" t="s">
        <v>134</v>
      </c>
      <c r="C63" s="1" t="s">
        <v>17</v>
      </c>
      <c r="D63" s="120"/>
      <c r="E63" s="3" t="s">
        <v>20</v>
      </c>
      <c r="F63" s="73" t="s">
        <v>456</v>
      </c>
      <c r="G63" s="11" t="s">
        <v>114</v>
      </c>
      <c r="H63" s="1">
        <v>12</v>
      </c>
      <c r="I63" s="49"/>
      <c r="J63" s="51"/>
      <c r="K63" s="40"/>
      <c r="L63" s="40"/>
      <c r="M63" s="78">
        <f t="shared" si="1"/>
        <v>0</v>
      </c>
      <c r="N63" s="41">
        <v>19</v>
      </c>
      <c r="O63" s="31">
        <v>16425.57</v>
      </c>
      <c r="P63" s="31">
        <v>16425.57</v>
      </c>
      <c r="Q63" s="12">
        <f t="shared" si="2"/>
        <v>0</v>
      </c>
    </row>
    <row r="64" spans="1:18" s="13" customFormat="1" ht="15.75" x14ac:dyDescent="0.25">
      <c r="A64" s="10"/>
      <c r="B64" s="62" t="s">
        <v>48</v>
      </c>
      <c r="C64" s="1" t="s">
        <v>17</v>
      </c>
      <c r="D64" s="120"/>
      <c r="E64" s="3" t="s">
        <v>20</v>
      </c>
      <c r="F64" s="73" t="s">
        <v>350</v>
      </c>
      <c r="G64" s="74" t="s">
        <v>112</v>
      </c>
      <c r="H64" s="75">
        <v>5</v>
      </c>
      <c r="I64" s="76">
        <v>2</v>
      </c>
      <c r="J64" s="96">
        <f>1</f>
        <v>1</v>
      </c>
      <c r="K64" s="77">
        <f>4805.96</f>
        <v>4805.96</v>
      </c>
      <c r="L64" s="77"/>
      <c r="M64" s="38">
        <f t="shared" si="1"/>
        <v>4805.96</v>
      </c>
      <c r="N64" s="100">
        <f>2+1</f>
        <v>3</v>
      </c>
      <c r="O64" s="81">
        <f>23174.33+2535.72+11633.02</f>
        <v>37343.070000000007</v>
      </c>
      <c r="P64" s="81"/>
      <c r="Q64" s="79">
        <f t="shared" si="2"/>
        <v>37343.070000000007</v>
      </c>
      <c r="R64" s="141"/>
    </row>
    <row r="65" spans="1:18" s="13" customFormat="1" ht="15.75" x14ac:dyDescent="0.25">
      <c r="A65" s="10"/>
      <c r="B65" s="62" t="s">
        <v>49</v>
      </c>
      <c r="C65" s="1" t="s">
        <v>17</v>
      </c>
      <c r="D65" s="120"/>
      <c r="E65" s="3" t="s">
        <v>50</v>
      </c>
      <c r="F65" s="73" t="s">
        <v>351</v>
      </c>
      <c r="G65" s="74" t="s">
        <v>112</v>
      </c>
      <c r="H65" s="75">
        <v>7</v>
      </c>
      <c r="I65" s="76"/>
      <c r="J65" s="96"/>
      <c r="K65" s="77"/>
      <c r="L65" s="77"/>
      <c r="M65" s="78">
        <f t="shared" si="1"/>
        <v>0</v>
      </c>
      <c r="N65" s="100">
        <f>5+1+3</f>
        <v>9</v>
      </c>
      <c r="O65" s="81">
        <f>7374+1806.93+7275.53+4666.9</f>
        <v>21123.360000000001</v>
      </c>
      <c r="P65" s="81">
        <f>7374</f>
        <v>7374</v>
      </c>
      <c r="Q65" s="12">
        <f t="shared" si="2"/>
        <v>13749.36</v>
      </c>
      <c r="R65" s="141"/>
    </row>
    <row r="66" spans="1:18" s="13" customFormat="1" ht="15.75" x14ac:dyDescent="0.25">
      <c r="A66" s="10"/>
      <c r="B66" s="22" t="s">
        <v>49</v>
      </c>
      <c r="C66" s="1" t="s">
        <v>17</v>
      </c>
      <c r="D66" s="120"/>
      <c r="E66" s="3" t="s">
        <v>50</v>
      </c>
      <c r="F66" s="73" t="s">
        <v>427</v>
      </c>
      <c r="G66" s="11" t="s">
        <v>115</v>
      </c>
      <c r="H66" s="1">
        <v>4</v>
      </c>
      <c r="I66" s="49">
        <v>1</v>
      </c>
      <c r="J66" s="46">
        <v>1</v>
      </c>
      <c r="K66" s="40"/>
      <c r="L66" s="40"/>
      <c r="M66" s="38">
        <f t="shared" si="1"/>
        <v>0</v>
      </c>
      <c r="N66" s="41">
        <v>7</v>
      </c>
      <c r="O66" s="31">
        <v>9893.2000000000007</v>
      </c>
      <c r="P66" s="31">
        <v>4898.6000000000004</v>
      </c>
      <c r="Q66" s="79">
        <f t="shared" si="2"/>
        <v>4994.6000000000004</v>
      </c>
    </row>
    <row r="67" spans="1:18" s="13" customFormat="1" ht="15.75" x14ac:dyDescent="0.25">
      <c r="A67" s="10"/>
      <c r="B67" s="27" t="s">
        <v>51</v>
      </c>
      <c r="C67" s="1" t="s">
        <v>17</v>
      </c>
      <c r="D67" s="120"/>
      <c r="E67" s="3" t="s">
        <v>20</v>
      </c>
      <c r="F67" s="73" t="s">
        <v>186</v>
      </c>
      <c r="G67" s="74" t="s">
        <v>112</v>
      </c>
      <c r="H67" s="75"/>
      <c r="I67" s="76"/>
      <c r="J67" s="96"/>
      <c r="K67" s="77"/>
      <c r="L67" s="77"/>
      <c r="M67" s="78">
        <f t="shared" si="1"/>
        <v>0</v>
      </c>
      <c r="N67" s="100">
        <f>1</f>
        <v>1</v>
      </c>
      <c r="O67" s="81">
        <v>2451.87</v>
      </c>
      <c r="P67" s="81">
        <f>2451.87</f>
        <v>2451.87</v>
      </c>
      <c r="Q67" s="12">
        <f t="shared" si="2"/>
        <v>0</v>
      </c>
      <c r="R67" s="141"/>
    </row>
    <row r="68" spans="1:18" s="13" customFormat="1" ht="15.75" x14ac:dyDescent="0.25">
      <c r="A68" s="10"/>
      <c r="B68" s="27" t="s">
        <v>51</v>
      </c>
      <c r="C68" s="1" t="s">
        <v>17</v>
      </c>
      <c r="D68" s="120"/>
      <c r="E68" s="3" t="s">
        <v>20</v>
      </c>
      <c r="F68" s="73" t="s">
        <v>276</v>
      </c>
      <c r="G68" s="11" t="s">
        <v>114</v>
      </c>
      <c r="H68" s="1"/>
      <c r="I68" s="49"/>
      <c r="J68" s="51"/>
      <c r="K68" s="40"/>
      <c r="L68" s="40"/>
      <c r="M68" s="38">
        <f t="shared" si="1"/>
        <v>0</v>
      </c>
      <c r="N68" s="41">
        <v>3</v>
      </c>
      <c r="O68" s="31">
        <v>6763.6</v>
      </c>
      <c r="P68" s="31">
        <v>6763.6</v>
      </c>
      <c r="Q68" s="79">
        <f t="shared" si="2"/>
        <v>0</v>
      </c>
    </row>
    <row r="69" spans="1:18" s="13" customFormat="1" ht="15.75" x14ac:dyDescent="0.25">
      <c r="A69" s="10"/>
      <c r="B69" s="62" t="s">
        <v>52</v>
      </c>
      <c r="C69" s="1" t="s">
        <v>17</v>
      </c>
      <c r="D69" s="120"/>
      <c r="E69" s="3" t="s">
        <v>20</v>
      </c>
      <c r="F69" s="73" t="s">
        <v>352</v>
      </c>
      <c r="G69" s="74" t="s">
        <v>112</v>
      </c>
      <c r="H69" s="75">
        <v>3</v>
      </c>
      <c r="I69" s="76"/>
      <c r="J69" s="96"/>
      <c r="K69" s="77"/>
      <c r="L69" s="77"/>
      <c r="M69" s="78">
        <f t="shared" si="1"/>
        <v>0</v>
      </c>
      <c r="N69" s="100">
        <f>4+3+1+1</f>
        <v>9</v>
      </c>
      <c r="O69" s="81">
        <f>5977.15+48296.91+7596.86+1061.83</f>
        <v>62932.750000000007</v>
      </c>
      <c r="P69" s="81">
        <f>48296.91</f>
        <v>48296.91</v>
      </c>
      <c r="Q69" s="12">
        <f t="shared" si="2"/>
        <v>14635.840000000004</v>
      </c>
      <c r="R69" s="141"/>
    </row>
    <row r="70" spans="1:18" s="13" customFormat="1" ht="15.75" x14ac:dyDescent="0.25">
      <c r="A70" s="10"/>
      <c r="B70" s="22" t="s">
        <v>52</v>
      </c>
      <c r="C70" s="1" t="s">
        <v>17</v>
      </c>
      <c r="D70" s="120"/>
      <c r="E70" s="3" t="s">
        <v>20</v>
      </c>
      <c r="F70" s="73" t="s">
        <v>457</v>
      </c>
      <c r="G70" s="11" t="s">
        <v>114</v>
      </c>
      <c r="H70" s="1">
        <v>4</v>
      </c>
      <c r="I70" s="49"/>
      <c r="J70" s="51"/>
      <c r="K70" s="40"/>
      <c r="L70" s="40"/>
      <c r="M70" s="38">
        <f t="shared" si="1"/>
        <v>0</v>
      </c>
      <c r="N70" s="41">
        <v>12</v>
      </c>
      <c r="O70" s="31">
        <v>19664.86</v>
      </c>
      <c r="P70" s="31">
        <v>11388.46</v>
      </c>
      <c r="Q70" s="79">
        <f t="shared" si="2"/>
        <v>8276.4000000000015</v>
      </c>
    </row>
    <row r="71" spans="1:18" s="13" customFormat="1" ht="15.75" x14ac:dyDescent="0.25">
      <c r="A71" s="10"/>
      <c r="B71" s="27" t="s">
        <v>53</v>
      </c>
      <c r="C71" s="1" t="s">
        <v>17</v>
      </c>
      <c r="D71" s="120"/>
      <c r="E71" s="3" t="s">
        <v>20</v>
      </c>
      <c r="F71" s="73" t="s">
        <v>353</v>
      </c>
      <c r="G71" s="74" t="s">
        <v>112</v>
      </c>
      <c r="H71" s="75">
        <v>5</v>
      </c>
      <c r="I71" s="76"/>
      <c r="J71" s="96"/>
      <c r="K71" s="77"/>
      <c r="L71" s="77"/>
      <c r="M71" s="78">
        <f>K71-L71</f>
        <v>0</v>
      </c>
      <c r="N71" s="100">
        <f>1+2+2</f>
        <v>5</v>
      </c>
      <c r="O71" s="81">
        <f>1743.3+3921.71+422.62</f>
        <v>6087.63</v>
      </c>
      <c r="P71" s="81">
        <f>422.62</f>
        <v>422.62</v>
      </c>
      <c r="Q71" s="12">
        <f t="shared" si="2"/>
        <v>5665.01</v>
      </c>
      <c r="R71" s="141"/>
    </row>
    <row r="72" spans="1:18" s="13" customFormat="1" ht="15.75" x14ac:dyDescent="0.25">
      <c r="A72" s="10"/>
      <c r="B72" s="27" t="s">
        <v>149</v>
      </c>
      <c r="C72" s="1" t="s">
        <v>17</v>
      </c>
      <c r="D72" s="120"/>
      <c r="E72" s="3" t="s">
        <v>383</v>
      </c>
      <c r="F72" s="73" t="s">
        <v>354</v>
      </c>
      <c r="G72" s="74" t="s">
        <v>112</v>
      </c>
      <c r="H72" s="75">
        <v>12</v>
      </c>
      <c r="I72" s="76"/>
      <c r="J72" s="96"/>
      <c r="K72" s="77"/>
      <c r="L72" s="77"/>
      <c r="M72" s="38">
        <f t="shared" si="1"/>
        <v>0</v>
      </c>
      <c r="N72" s="100">
        <f>2+2</f>
        <v>4</v>
      </c>
      <c r="O72" s="81">
        <f>3676.8+3431.65</f>
        <v>7108.4500000000007</v>
      </c>
      <c r="P72" s="81"/>
      <c r="Q72" s="79">
        <f t="shared" si="2"/>
        <v>7108.4500000000007</v>
      </c>
      <c r="R72" s="141"/>
    </row>
    <row r="73" spans="1:18" s="13" customFormat="1" ht="15.75" x14ac:dyDescent="0.25">
      <c r="A73" s="10"/>
      <c r="B73" s="25" t="s">
        <v>149</v>
      </c>
      <c r="C73" s="1" t="s">
        <v>17</v>
      </c>
      <c r="D73" s="120"/>
      <c r="E73" s="3" t="s">
        <v>383</v>
      </c>
      <c r="F73" s="73" t="s">
        <v>438</v>
      </c>
      <c r="G73" s="11" t="s">
        <v>118</v>
      </c>
      <c r="H73" s="1">
        <v>3</v>
      </c>
      <c r="I73" s="47"/>
      <c r="J73" s="51"/>
      <c r="K73" s="37"/>
      <c r="L73" s="37"/>
      <c r="M73" s="78">
        <f t="shared" si="1"/>
        <v>0</v>
      </c>
      <c r="N73" s="39">
        <v>3</v>
      </c>
      <c r="O73" s="31">
        <v>4994.6000000000004</v>
      </c>
      <c r="P73" s="31">
        <v>2689.4</v>
      </c>
      <c r="Q73" s="12">
        <f t="shared" si="2"/>
        <v>2305.2000000000003</v>
      </c>
    </row>
    <row r="74" spans="1:18" s="13" customFormat="1" ht="15.75" x14ac:dyDescent="0.25">
      <c r="A74" s="10"/>
      <c r="B74" s="62" t="s">
        <v>107</v>
      </c>
      <c r="C74" s="1" t="s">
        <v>17</v>
      </c>
      <c r="D74" s="120"/>
      <c r="E74" s="17" t="s">
        <v>20</v>
      </c>
      <c r="F74" s="73" t="s">
        <v>355</v>
      </c>
      <c r="G74" s="74" t="s">
        <v>112</v>
      </c>
      <c r="H74" s="75">
        <v>4</v>
      </c>
      <c r="I74" s="76"/>
      <c r="J74" s="96">
        <f>1</f>
        <v>1</v>
      </c>
      <c r="K74" s="77">
        <f>666.63</f>
        <v>666.63</v>
      </c>
      <c r="L74" s="77"/>
      <c r="M74" s="38">
        <f t="shared" si="1"/>
        <v>666.63</v>
      </c>
      <c r="N74" s="100">
        <f>2+6</f>
        <v>8</v>
      </c>
      <c r="O74" s="81">
        <f>7612.92+18804.48+9163.33</f>
        <v>35580.730000000003</v>
      </c>
      <c r="P74" s="81">
        <f>7612.92</f>
        <v>7612.92</v>
      </c>
      <c r="Q74" s="79">
        <f t="shared" si="2"/>
        <v>27967.810000000005</v>
      </c>
      <c r="R74" s="141"/>
    </row>
    <row r="75" spans="1:18" s="13" customFormat="1" ht="15.75" x14ac:dyDescent="0.25">
      <c r="A75" s="10"/>
      <c r="B75" s="30" t="s">
        <v>54</v>
      </c>
      <c r="C75" s="1" t="s">
        <v>17</v>
      </c>
      <c r="D75" s="120"/>
      <c r="E75" s="17" t="s">
        <v>20</v>
      </c>
      <c r="F75" s="73" t="s">
        <v>356</v>
      </c>
      <c r="G75" s="74" t="s">
        <v>112</v>
      </c>
      <c r="H75" s="75"/>
      <c r="I75" s="76"/>
      <c r="J75" s="96"/>
      <c r="K75" s="77"/>
      <c r="L75" s="77"/>
      <c r="M75" s="38">
        <f t="shared" si="1"/>
        <v>0</v>
      </c>
      <c r="N75" s="100">
        <f>4</f>
        <v>4</v>
      </c>
      <c r="O75" s="81">
        <f>17895.28</f>
        <v>17895.28</v>
      </c>
      <c r="P75" s="81"/>
      <c r="Q75" s="79">
        <f t="shared" si="2"/>
        <v>17895.28</v>
      </c>
      <c r="R75" s="141"/>
    </row>
    <row r="76" spans="1:18" s="13" customFormat="1" ht="31.5" x14ac:dyDescent="0.25">
      <c r="A76" s="10"/>
      <c r="B76" s="27" t="s">
        <v>55</v>
      </c>
      <c r="C76" s="1" t="s">
        <v>304</v>
      </c>
      <c r="D76" s="120" t="s">
        <v>387</v>
      </c>
      <c r="E76" s="3" t="s">
        <v>20</v>
      </c>
      <c r="F76" s="73" t="s">
        <v>357</v>
      </c>
      <c r="G76" s="74" t="s">
        <v>112</v>
      </c>
      <c r="H76" s="75">
        <v>8</v>
      </c>
      <c r="I76" s="76">
        <v>2</v>
      </c>
      <c r="J76" s="96"/>
      <c r="K76" s="77">
        <f>1267.86</f>
        <v>1267.8599999999999</v>
      </c>
      <c r="L76" s="77"/>
      <c r="M76" s="78">
        <f t="shared" si="1"/>
        <v>1267.8599999999999</v>
      </c>
      <c r="N76" s="100">
        <f>2+1+2</f>
        <v>5</v>
      </c>
      <c r="O76" s="81">
        <f>34854.19+2113.1+6430.67</f>
        <v>43397.96</v>
      </c>
      <c r="P76" s="81">
        <f>34854.19</f>
        <v>34854.19</v>
      </c>
      <c r="Q76" s="12">
        <f t="shared" si="2"/>
        <v>8543.7699999999968</v>
      </c>
      <c r="R76" s="141"/>
    </row>
    <row r="77" spans="1:18" s="13" customFormat="1" ht="31.5" x14ac:dyDescent="0.25">
      <c r="A77" s="10"/>
      <c r="B77" s="62" t="s">
        <v>56</v>
      </c>
      <c r="C77" s="1" t="s">
        <v>17</v>
      </c>
      <c r="D77" s="120" t="s">
        <v>386</v>
      </c>
      <c r="E77" s="3" t="s">
        <v>18</v>
      </c>
      <c r="F77" s="73" t="s">
        <v>358</v>
      </c>
      <c r="G77" s="74" t="s">
        <v>112</v>
      </c>
      <c r="H77" s="75">
        <v>2</v>
      </c>
      <c r="I77" s="76">
        <v>1</v>
      </c>
      <c r="J77" s="96">
        <f>1</f>
        <v>1</v>
      </c>
      <c r="K77" s="77">
        <f>678.11</f>
        <v>678.11</v>
      </c>
      <c r="L77" s="77"/>
      <c r="M77" s="38">
        <f t="shared" si="1"/>
        <v>678.11</v>
      </c>
      <c r="N77" s="100"/>
      <c r="O77" s="81"/>
      <c r="P77" s="81"/>
      <c r="Q77" s="79">
        <f t="shared" si="2"/>
        <v>0</v>
      </c>
      <c r="R77" s="141"/>
    </row>
    <row r="78" spans="1:18" s="13" customFormat="1" ht="31.5" x14ac:dyDescent="0.25">
      <c r="A78" s="10"/>
      <c r="B78" s="22" t="s">
        <v>56</v>
      </c>
      <c r="C78" s="1" t="s">
        <v>304</v>
      </c>
      <c r="D78" s="120" t="s">
        <v>386</v>
      </c>
      <c r="E78" s="3" t="s">
        <v>18</v>
      </c>
      <c r="F78" s="73" t="s">
        <v>476</v>
      </c>
      <c r="G78" s="11" t="s">
        <v>113</v>
      </c>
      <c r="H78" s="1">
        <v>1</v>
      </c>
      <c r="I78" s="49">
        <v>1</v>
      </c>
      <c r="J78" s="46">
        <v>1</v>
      </c>
      <c r="K78" s="40"/>
      <c r="L78" s="40"/>
      <c r="M78" s="78">
        <f t="shared" si="1"/>
        <v>0</v>
      </c>
      <c r="N78" s="41"/>
      <c r="O78" s="31">
        <v>7612</v>
      </c>
      <c r="P78" s="31">
        <v>1657</v>
      </c>
      <c r="Q78" s="12">
        <f t="shared" ref="Q78:Q145" si="3">O78-P78</f>
        <v>5955</v>
      </c>
    </row>
    <row r="79" spans="1:18" s="13" customFormat="1" ht="15.75" x14ac:dyDescent="0.25">
      <c r="A79" s="10"/>
      <c r="B79" s="62" t="s">
        <v>156</v>
      </c>
      <c r="C79" s="1" t="s">
        <v>304</v>
      </c>
      <c r="D79" s="120"/>
      <c r="E79" s="3" t="s">
        <v>20</v>
      </c>
      <c r="F79" s="73" t="s">
        <v>359</v>
      </c>
      <c r="G79" s="74" t="s">
        <v>112</v>
      </c>
      <c r="H79" s="75">
        <v>3</v>
      </c>
      <c r="I79" s="76"/>
      <c r="J79" s="96"/>
      <c r="K79" s="77"/>
      <c r="L79" s="77"/>
      <c r="M79" s="38">
        <f t="shared" si="1"/>
        <v>0</v>
      </c>
      <c r="N79" s="100">
        <f>3</f>
        <v>3</v>
      </c>
      <c r="O79" s="81">
        <f>5488.54+2398.37</f>
        <v>7886.91</v>
      </c>
      <c r="P79" s="81"/>
      <c r="Q79" s="79">
        <f t="shared" si="3"/>
        <v>7886.91</v>
      </c>
      <c r="R79" s="141"/>
    </row>
    <row r="80" spans="1:18" s="15" customFormat="1" ht="15.75" x14ac:dyDescent="0.25">
      <c r="A80" s="14"/>
      <c r="B80" s="80" t="s">
        <v>57</v>
      </c>
      <c r="C80" s="1" t="s">
        <v>17</v>
      </c>
      <c r="D80" s="120"/>
      <c r="E80" s="3" t="s">
        <v>20</v>
      </c>
      <c r="F80" s="73" t="s">
        <v>360</v>
      </c>
      <c r="G80" s="74" t="s">
        <v>112</v>
      </c>
      <c r="H80" s="75">
        <v>3</v>
      </c>
      <c r="I80" s="76"/>
      <c r="J80" s="96">
        <f>2</f>
        <v>2</v>
      </c>
      <c r="K80" s="77"/>
      <c r="L80" s="77"/>
      <c r="M80" s="78">
        <f t="shared" si="1"/>
        <v>0</v>
      </c>
      <c r="N80" s="100">
        <f>2+1</f>
        <v>3</v>
      </c>
      <c r="O80" s="81">
        <f>2745.3</f>
        <v>2745.3</v>
      </c>
      <c r="P80" s="81"/>
      <c r="Q80" s="12">
        <f t="shared" si="3"/>
        <v>2745.3</v>
      </c>
      <c r="R80" s="141"/>
    </row>
    <row r="81" spans="1:18" s="15" customFormat="1" ht="15.75" x14ac:dyDescent="0.25">
      <c r="A81" s="14"/>
      <c r="B81" s="23" t="s">
        <v>57</v>
      </c>
      <c r="C81" s="1" t="s">
        <v>17</v>
      </c>
      <c r="D81" s="120"/>
      <c r="E81" s="3" t="s">
        <v>20</v>
      </c>
      <c r="F81" s="73" t="s">
        <v>458</v>
      </c>
      <c r="G81" s="11" t="s">
        <v>114</v>
      </c>
      <c r="H81" s="1">
        <v>11</v>
      </c>
      <c r="I81" s="49">
        <v>1</v>
      </c>
      <c r="J81" s="51">
        <v>1</v>
      </c>
      <c r="K81" s="40"/>
      <c r="L81" s="40"/>
      <c r="M81" s="38">
        <f t="shared" si="1"/>
        <v>0</v>
      </c>
      <c r="N81" s="42">
        <v>7</v>
      </c>
      <c r="O81" s="31">
        <v>5825.46</v>
      </c>
      <c r="P81" s="31">
        <v>5825.46</v>
      </c>
      <c r="Q81" s="79">
        <f t="shared" si="3"/>
        <v>0</v>
      </c>
    </row>
    <row r="82" spans="1:18" s="13" customFormat="1" ht="15.75" x14ac:dyDescent="0.25">
      <c r="A82" s="10"/>
      <c r="B82" s="62" t="s">
        <v>58</v>
      </c>
      <c r="C82" s="1" t="s">
        <v>17</v>
      </c>
      <c r="D82" s="120"/>
      <c r="E82" s="3" t="s">
        <v>20</v>
      </c>
      <c r="F82" s="73" t="s">
        <v>361</v>
      </c>
      <c r="G82" s="74" t="s">
        <v>112</v>
      </c>
      <c r="H82" s="75">
        <v>1</v>
      </c>
      <c r="I82" s="76"/>
      <c r="J82" s="96"/>
      <c r="K82" s="77"/>
      <c r="L82" s="77"/>
      <c r="M82" s="78">
        <f t="shared" si="1"/>
        <v>0</v>
      </c>
      <c r="N82" s="100">
        <f>1+1+3</f>
        <v>5</v>
      </c>
      <c r="O82" s="81">
        <f>9196.24+2480.78</f>
        <v>11677.02</v>
      </c>
      <c r="P82" s="81"/>
      <c r="Q82" s="12">
        <f t="shared" si="3"/>
        <v>11677.02</v>
      </c>
      <c r="R82" s="141"/>
    </row>
    <row r="83" spans="1:18" s="13" customFormat="1" ht="15.75" x14ac:dyDescent="0.25">
      <c r="A83" s="10"/>
      <c r="B83" s="22" t="s">
        <v>58</v>
      </c>
      <c r="C83" s="1" t="s">
        <v>17</v>
      </c>
      <c r="D83" s="120"/>
      <c r="E83" s="3" t="s">
        <v>20</v>
      </c>
      <c r="F83" s="73" t="s">
        <v>478</v>
      </c>
      <c r="G83" s="11" t="s">
        <v>114</v>
      </c>
      <c r="H83" s="1">
        <v>2</v>
      </c>
      <c r="I83" s="49"/>
      <c r="J83" s="51"/>
      <c r="K83" s="40"/>
      <c r="L83" s="40"/>
      <c r="M83" s="38">
        <f t="shared" ref="M83:M155" si="4">K83-L83</f>
        <v>0</v>
      </c>
      <c r="N83" s="41">
        <v>15</v>
      </c>
      <c r="O83" s="31">
        <v>23095.57</v>
      </c>
      <c r="P83" s="31">
        <v>16615.25</v>
      </c>
      <c r="Q83" s="79">
        <f t="shared" si="3"/>
        <v>6480.32</v>
      </c>
    </row>
    <row r="84" spans="1:18" s="13" customFormat="1" ht="15.75" x14ac:dyDescent="0.25">
      <c r="A84" s="10"/>
      <c r="B84" s="62" t="s">
        <v>59</v>
      </c>
      <c r="C84" s="1" t="s">
        <v>17</v>
      </c>
      <c r="D84" s="120"/>
      <c r="E84" s="3" t="s">
        <v>20</v>
      </c>
      <c r="F84" s="73" t="s">
        <v>362</v>
      </c>
      <c r="G84" s="74" t="s">
        <v>112</v>
      </c>
      <c r="H84" s="75">
        <v>3</v>
      </c>
      <c r="I84" s="76">
        <v>3</v>
      </c>
      <c r="J84" s="96">
        <f>1+1+1</f>
        <v>3</v>
      </c>
      <c r="K84" s="77">
        <f>403.41</f>
        <v>403.41</v>
      </c>
      <c r="L84" s="77"/>
      <c r="M84" s="78">
        <f t="shared" si="4"/>
        <v>403.41</v>
      </c>
      <c r="N84" s="100">
        <f>1+2+2+1</f>
        <v>6</v>
      </c>
      <c r="O84" s="81">
        <f>6646.05+1267.86+979.71</f>
        <v>8893.619999999999</v>
      </c>
      <c r="P84" s="81">
        <f>2353.23</f>
        <v>2353.23</v>
      </c>
      <c r="Q84" s="12">
        <f t="shared" si="3"/>
        <v>6540.3899999999994</v>
      </c>
      <c r="R84" s="141"/>
    </row>
    <row r="85" spans="1:18" s="13" customFormat="1" ht="15.75" x14ac:dyDescent="0.25">
      <c r="A85" s="10"/>
      <c r="B85" s="22" t="s">
        <v>59</v>
      </c>
      <c r="C85" s="1" t="s">
        <v>17</v>
      </c>
      <c r="D85" s="120"/>
      <c r="E85" s="3" t="s">
        <v>20</v>
      </c>
      <c r="F85" s="73" t="s">
        <v>128</v>
      </c>
      <c r="G85" s="11" t="s">
        <v>114</v>
      </c>
      <c r="H85" s="1"/>
      <c r="I85" s="49"/>
      <c r="J85" s="51"/>
      <c r="K85" s="40"/>
      <c r="L85" s="40"/>
      <c r="M85" s="38">
        <f t="shared" si="4"/>
        <v>0</v>
      </c>
      <c r="N85" s="41"/>
      <c r="O85" s="31"/>
      <c r="P85" s="31"/>
      <c r="Q85" s="79">
        <f t="shared" si="3"/>
        <v>0</v>
      </c>
    </row>
    <row r="86" spans="1:18" s="13" customFormat="1" ht="15.75" x14ac:dyDescent="0.25">
      <c r="A86" s="10"/>
      <c r="B86" s="27" t="s">
        <v>60</v>
      </c>
      <c r="C86" s="1" t="s">
        <v>17</v>
      </c>
      <c r="D86" s="120"/>
      <c r="E86" s="3" t="s">
        <v>20</v>
      </c>
      <c r="F86" s="73" t="s">
        <v>364</v>
      </c>
      <c r="G86" s="74" t="s">
        <v>112</v>
      </c>
      <c r="H86" s="75">
        <v>4</v>
      </c>
      <c r="I86" s="76">
        <v>1</v>
      </c>
      <c r="J86" s="96">
        <f>1</f>
        <v>1</v>
      </c>
      <c r="K86" s="77">
        <f>634.93</f>
        <v>634.92999999999995</v>
      </c>
      <c r="L86" s="77"/>
      <c r="M86" s="78">
        <f t="shared" si="4"/>
        <v>634.92999999999995</v>
      </c>
      <c r="N86" s="100">
        <f>4+1</f>
        <v>5</v>
      </c>
      <c r="O86" s="81">
        <f>15124.53+2065.75</f>
        <v>17190.28</v>
      </c>
      <c r="P86" s="81"/>
      <c r="Q86" s="12">
        <f t="shared" si="3"/>
        <v>17190.28</v>
      </c>
      <c r="R86" s="141"/>
    </row>
    <row r="87" spans="1:18" s="13" customFormat="1" ht="15.75" x14ac:dyDescent="0.25">
      <c r="A87" s="10"/>
      <c r="B87" s="25" t="s">
        <v>60</v>
      </c>
      <c r="C87" s="1" t="s">
        <v>17</v>
      </c>
      <c r="D87" s="120"/>
      <c r="E87" s="3" t="s">
        <v>20</v>
      </c>
      <c r="F87" s="73" t="s">
        <v>479</v>
      </c>
      <c r="G87" s="11" t="s">
        <v>114</v>
      </c>
      <c r="H87" s="1">
        <v>3</v>
      </c>
      <c r="I87" s="49"/>
      <c r="J87" s="51"/>
      <c r="K87" s="40"/>
      <c r="L87" s="40"/>
      <c r="M87" s="38">
        <f t="shared" si="4"/>
        <v>0</v>
      </c>
      <c r="N87" s="41">
        <v>7</v>
      </c>
      <c r="O87" s="31">
        <v>6259.4</v>
      </c>
      <c r="P87" s="31">
        <v>6259.4</v>
      </c>
      <c r="Q87" s="79">
        <f t="shared" si="3"/>
        <v>0</v>
      </c>
    </row>
    <row r="88" spans="1:18" s="13" customFormat="1" ht="15.75" x14ac:dyDescent="0.25">
      <c r="A88" s="10"/>
      <c r="B88" s="25" t="s">
        <v>493</v>
      </c>
      <c r="C88" s="1" t="s">
        <v>17</v>
      </c>
      <c r="D88" s="120"/>
      <c r="E88" s="3" t="s">
        <v>20</v>
      </c>
      <c r="F88" s="73" t="s">
        <v>496</v>
      </c>
      <c r="G88" s="11" t="s">
        <v>112</v>
      </c>
      <c r="H88" s="1">
        <v>2</v>
      </c>
      <c r="I88" s="49"/>
      <c r="J88" s="51"/>
      <c r="K88" s="40"/>
      <c r="L88" s="40"/>
      <c r="M88" s="38"/>
      <c r="N88" s="41"/>
      <c r="O88" s="31"/>
      <c r="P88" s="31"/>
      <c r="Q88" s="79"/>
    </row>
    <row r="89" spans="1:18" s="15" customFormat="1" ht="15.75" x14ac:dyDescent="0.25">
      <c r="A89" s="14"/>
      <c r="B89" s="28" t="s">
        <v>61</v>
      </c>
      <c r="C89" s="1" t="s">
        <v>17</v>
      </c>
      <c r="D89" s="120"/>
      <c r="E89" s="3" t="s">
        <v>20</v>
      </c>
      <c r="F89" s="73" t="s">
        <v>363</v>
      </c>
      <c r="G89" s="74" t="s">
        <v>112</v>
      </c>
      <c r="H89" s="75"/>
      <c r="I89" s="76"/>
      <c r="J89" s="96"/>
      <c r="K89" s="77"/>
      <c r="L89" s="77"/>
      <c r="M89" s="78">
        <f t="shared" si="4"/>
        <v>0</v>
      </c>
      <c r="N89" s="100"/>
      <c r="O89" s="81"/>
      <c r="P89" s="81"/>
      <c r="Q89" s="12">
        <f t="shared" si="3"/>
        <v>0</v>
      </c>
      <c r="R89" s="141"/>
    </row>
    <row r="90" spans="1:18" s="15" customFormat="1" ht="15.75" x14ac:dyDescent="0.25">
      <c r="A90" s="14"/>
      <c r="B90" s="26" t="s">
        <v>61</v>
      </c>
      <c r="C90" s="1" t="s">
        <v>17</v>
      </c>
      <c r="D90" s="120"/>
      <c r="E90" s="3" t="s">
        <v>20</v>
      </c>
      <c r="F90" s="73" t="s">
        <v>121</v>
      </c>
      <c r="G90" s="11" t="s">
        <v>114</v>
      </c>
      <c r="H90" s="1"/>
      <c r="I90" s="49"/>
      <c r="J90" s="51"/>
      <c r="K90" s="40"/>
      <c r="L90" s="40"/>
      <c r="M90" s="38">
        <f t="shared" si="4"/>
        <v>0</v>
      </c>
      <c r="N90" s="42"/>
      <c r="O90" s="31"/>
      <c r="P90" s="31"/>
      <c r="Q90" s="79">
        <f t="shared" si="3"/>
        <v>0</v>
      </c>
    </row>
    <row r="91" spans="1:18" s="15" customFormat="1" ht="15.75" x14ac:dyDescent="0.25">
      <c r="A91" s="14"/>
      <c r="B91" s="20" t="s">
        <v>306</v>
      </c>
      <c r="C91" s="1" t="s">
        <v>17</v>
      </c>
      <c r="D91" s="120"/>
      <c r="E91" s="3" t="s">
        <v>35</v>
      </c>
      <c r="F91" s="73" t="s">
        <v>365</v>
      </c>
      <c r="G91" s="11" t="s">
        <v>112</v>
      </c>
      <c r="H91" s="1">
        <v>12</v>
      </c>
      <c r="I91" s="58">
        <v>3</v>
      </c>
      <c r="J91" s="51">
        <f>1+2+1</f>
        <v>4</v>
      </c>
      <c r="K91" s="40">
        <f>1045.98+2658.7</f>
        <v>3704.68</v>
      </c>
      <c r="L91" s="40"/>
      <c r="M91" s="78">
        <f t="shared" si="4"/>
        <v>3704.68</v>
      </c>
      <c r="N91" s="39">
        <f>7+2+2</f>
        <v>11</v>
      </c>
      <c r="O91" s="31">
        <f>2313.84+6162.57+2330.32</f>
        <v>10806.73</v>
      </c>
      <c r="P91" s="31">
        <f>2313.84</f>
        <v>2313.84</v>
      </c>
      <c r="Q91" s="12">
        <f t="shared" si="3"/>
        <v>8492.89</v>
      </c>
      <c r="R91" s="141"/>
    </row>
    <row r="92" spans="1:18" s="13" customFormat="1" ht="15.75" x14ac:dyDescent="0.25">
      <c r="A92" s="10"/>
      <c r="B92" s="22" t="s">
        <v>306</v>
      </c>
      <c r="C92" s="1" t="s">
        <v>17</v>
      </c>
      <c r="D92" s="120"/>
      <c r="E92" s="3" t="s">
        <v>27</v>
      </c>
      <c r="F92" s="73" t="s">
        <v>421</v>
      </c>
      <c r="G92" s="11" t="s">
        <v>117</v>
      </c>
      <c r="H92" s="1">
        <v>2</v>
      </c>
      <c r="I92" s="49"/>
      <c r="J92" s="46"/>
      <c r="K92" s="40"/>
      <c r="L92" s="40"/>
      <c r="M92" s="78">
        <f>K92-L92</f>
        <v>0</v>
      </c>
      <c r="N92" s="41"/>
      <c r="O92" s="40"/>
      <c r="P92" s="40"/>
      <c r="Q92" s="79">
        <f>O92-P92</f>
        <v>0</v>
      </c>
    </row>
    <row r="93" spans="1:18" s="13" customFormat="1" ht="15.75" x14ac:dyDescent="0.25">
      <c r="A93" s="10"/>
      <c r="B93" s="27" t="s">
        <v>62</v>
      </c>
      <c r="C93" s="1" t="s">
        <v>17</v>
      </c>
      <c r="D93" s="120"/>
      <c r="E93" s="3" t="s">
        <v>35</v>
      </c>
      <c r="F93" s="73" t="s">
        <v>366</v>
      </c>
      <c r="G93" s="74" t="s">
        <v>112</v>
      </c>
      <c r="H93" s="75">
        <v>7</v>
      </c>
      <c r="I93" s="76">
        <v>3</v>
      </c>
      <c r="J93" s="96">
        <f>1</f>
        <v>1</v>
      </c>
      <c r="K93" s="77">
        <f>3613.4</f>
        <v>3613.4</v>
      </c>
      <c r="L93" s="77"/>
      <c r="M93" s="38">
        <f t="shared" si="4"/>
        <v>3613.4</v>
      </c>
      <c r="N93" s="100">
        <f>6+2+1</f>
        <v>9</v>
      </c>
      <c r="O93" s="81">
        <f>19511.33+1270.93+3979.74</f>
        <v>24762</v>
      </c>
      <c r="P93" s="81"/>
      <c r="Q93" s="79">
        <f t="shared" si="3"/>
        <v>24762</v>
      </c>
      <c r="R93" s="141"/>
    </row>
    <row r="94" spans="1:18" s="13" customFormat="1" ht="15.75" x14ac:dyDescent="0.25">
      <c r="A94" s="10"/>
      <c r="B94" s="25" t="s">
        <v>62</v>
      </c>
      <c r="C94" s="1" t="s">
        <v>17</v>
      </c>
      <c r="D94" s="120"/>
      <c r="E94" s="3" t="s">
        <v>35</v>
      </c>
      <c r="F94" s="73" t="s">
        <v>428</v>
      </c>
      <c r="G94" s="11" t="s">
        <v>117</v>
      </c>
      <c r="H94" s="1">
        <v>1</v>
      </c>
      <c r="I94" s="49"/>
      <c r="J94" s="46"/>
      <c r="K94" s="40"/>
      <c r="L94" s="40"/>
      <c r="M94" s="78">
        <f t="shared" si="4"/>
        <v>0</v>
      </c>
      <c r="N94" s="41">
        <v>8</v>
      </c>
      <c r="O94" s="31">
        <v>17217.2</v>
      </c>
      <c r="P94" s="31"/>
      <c r="Q94" s="12">
        <f t="shared" si="3"/>
        <v>17217.2</v>
      </c>
    </row>
    <row r="95" spans="1:18" s="13" customFormat="1" ht="15.75" x14ac:dyDescent="0.25">
      <c r="A95" s="10"/>
      <c r="B95" s="25" t="s">
        <v>63</v>
      </c>
      <c r="C95" s="1" t="s">
        <v>64</v>
      </c>
      <c r="D95" s="120" t="s">
        <v>65</v>
      </c>
      <c r="E95" s="3" t="s">
        <v>20</v>
      </c>
      <c r="F95" s="73" t="s">
        <v>480</v>
      </c>
      <c r="G95" s="11" t="s">
        <v>114</v>
      </c>
      <c r="H95" s="1"/>
      <c r="I95" s="49"/>
      <c r="J95" s="51"/>
      <c r="K95" s="40"/>
      <c r="L95" s="40"/>
      <c r="M95" s="38">
        <f t="shared" si="4"/>
        <v>0</v>
      </c>
      <c r="N95" s="41"/>
      <c r="O95" s="31"/>
      <c r="P95" s="31"/>
      <c r="Q95" s="79">
        <f t="shared" si="3"/>
        <v>0</v>
      </c>
    </row>
    <row r="96" spans="1:18" s="13" customFormat="1" ht="15.75" x14ac:dyDescent="0.25">
      <c r="A96" s="10"/>
      <c r="B96" s="27" t="s">
        <v>155</v>
      </c>
      <c r="C96" s="1" t="s">
        <v>17</v>
      </c>
      <c r="D96" s="120"/>
      <c r="E96" s="3" t="s">
        <v>20</v>
      </c>
      <c r="F96" s="73" t="s">
        <v>367</v>
      </c>
      <c r="G96" s="74" t="s">
        <v>112</v>
      </c>
      <c r="H96" s="75">
        <v>4</v>
      </c>
      <c r="I96" s="82">
        <v>1</v>
      </c>
      <c r="J96" s="96">
        <f>1</f>
        <v>1</v>
      </c>
      <c r="K96" s="77">
        <f>3117.56</f>
        <v>3117.56</v>
      </c>
      <c r="L96" s="77"/>
      <c r="M96" s="78">
        <f t="shared" si="4"/>
        <v>3117.56</v>
      </c>
      <c r="N96" s="100">
        <f>1+1+1</f>
        <v>3</v>
      </c>
      <c r="O96" s="81">
        <f>1798.06</f>
        <v>1798.06</v>
      </c>
      <c r="P96" s="81"/>
      <c r="Q96" s="12">
        <f t="shared" si="3"/>
        <v>1798.06</v>
      </c>
      <c r="R96" s="141"/>
    </row>
    <row r="97" spans="1:19" s="13" customFormat="1" ht="15.75" x14ac:dyDescent="0.25">
      <c r="A97" s="10"/>
      <c r="B97" s="25" t="s">
        <v>155</v>
      </c>
      <c r="C97" s="1" t="s">
        <v>17</v>
      </c>
      <c r="D97" s="120"/>
      <c r="E97" s="3" t="s">
        <v>20</v>
      </c>
      <c r="F97" s="73" t="s">
        <v>459</v>
      </c>
      <c r="G97" s="11" t="s">
        <v>114</v>
      </c>
      <c r="H97" s="1">
        <v>4</v>
      </c>
      <c r="I97" s="49"/>
      <c r="J97" s="51"/>
      <c r="K97" s="40"/>
      <c r="L97" s="40"/>
      <c r="M97" s="38">
        <f t="shared" si="4"/>
        <v>0</v>
      </c>
      <c r="N97" s="41">
        <v>13</v>
      </c>
      <c r="O97" s="31">
        <v>17392.43</v>
      </c>
      <c r="P97" s="31">
        <v>17392.43</v>
      </c>
      <c r="Q97" s="79">
        <f t="shared" si="3"/>
        <v>0</v>
      </c>
    </row>
    <row r="98" spans="1:19" s="13" customFormat="1" ht="15.75" x14ac:dyDescent="0.25">
      <c r="A98" s="10"/>
      <c r="B98" s="30" t="s">
        <v>66</v>
      </c>
      <c r="C98" s="1" t="s">
        <v>17</v>
      </c>
      <c r="D98" s="120"/>
      <c r="E98" s="3" t="s">
        <v>21</v>
      </c>
      <c r="F98" s="73" t="s">
        <v>368</v>
      </c>
      <c r="G98" s="74" t="s">
        <v>112</v>
      </c>
      <c r="H98" s="75">
        <v>7</v>
      </c>
      <c r="I98" s="76">
        <v>4</v>
      </c>
      <c r="J98" s="96">
        <f>1+3</f>
        <v>4</v>
      </c>
      <c r="K98" s="77">
        <f>1045.98+4309.04+3820.12</f>
        <v>9175.14</v>
      </c>
      <c r="L98" s="77"/>
      <c r="M98" s="78">
        <f t="shared" si="4"/>
        <v>9175.14</v>
      </c>
      <c r="N98" s="100">
        <f>6+3+8+7+1+1</f>
        <v>26</v>
      </c>
      <c r="O98" s="81">
        <f>11911.17+23136+18060.17+1977.84</f>
        <v>55085.179999999993</v>
      </c>
      <c r="P98" s="81"/>
      <c r="Q98" s="12">
        <f t="shared" si="3"/>
        <v>55085.179999999993</v>
      </c>
      <c r="R98" s="141"/>
    </row>
    <row r="99" spans="1:19" s="13" customFormat="1" ht="15.75" x14ac:dyDescent="0.25">
      <c r="A99" s="10"/>
      <c r="B99" s="24" t="s">
        <v>66</v>
      </c>
      <c r="C99" s="1" t="s">
        <v>17</v>
      </c>
      <c r="D99" s="120"/>
      <c r="E99" s="3" t="s">
        <v>21</v>
      </c>
      <c r="F99" s="73" t="s">
        <v>439</v>
      </c>
      <c r="G99" s="11" t="s">
        <v>118</v>
      </c>
      <c r="H99" s="1">
        <v>2</v>
      </c>
      <c r="I99" s="49"/>
      <c r="J99" s="46"/>
      <c r="K99" s="40"/>
      <c r="L99" s="40"/>
      <c r="M99" s="38">
        <f t="shared" si="4"/>
        <v>0</v>
      </c>
      <c r="N99" s="41">
        <v>12</v>
      </c>
      <c r="O99" s="31">
        <v>37672.49</v>
      </c>
      <c r="P99" s="31">
        <v>4471.3599999999997</v>
      </c>
      <c r="Q99" s="79">
        <f t="shared" si="3"/>
        <v>33201.129999999997</v>
      </c>
    </row>
    <row r="100" spans="1:19" s="13" customFormat="1" ht="15.75" x14ac:dyDescent="0.25">
      <c r="A100" s="10"/>
      <c r="B100" s="62" t="s">
        <v>137</v>
      </c>
      <c r="C100" s="1" t="s">
        <v>17</v>
      </c>
      <c r="D100" s="120"/>
      <c r="E100" s="17" t="s">
        <v>35</v>
      </c>
      <c r="F100" s="73" t="s">
        <v>369</v>
      </c>
      <c r="G100" s="74" t="s">
        <v>112</v>
      </c>
      <c r="H100" s="75">
        <v>9</v>
      </c>
      <c r="I100" s="76">
        <v>1</v>
      </c>
      <c r="J100" s="96">
        <f>3</f>
        <v>3</v>
      </c>
      <c r="K100" s="77">
        <f>504.26</f>
        <v>504.26</v>
      </c>
      <c r="L100" s="77"/>
      <c r="M100" s="78">
        <f t="shared" si="4"/>
        <v>504.26</v>
      </c>
      <c r="N100" s="100">
        <f>5+1+1</f>
        <v>7</v>
      </c>
      <c r="O100" s="81">
        <f>2617.36+422.62</f>
        <v>3039.98</v>
      </c>
      <c r="P100" s="81">
        <f>2617.36</f>
        <v>2617.36</v>
      </c>
      <c r="Q100" s="12">
        <f t="shared" si="3"/>
        <v>422.61999999999989</v>
      </c>
      <c r="R100" s="141"/>
    </row>
    <row r="101" spans="1:19" s="13" customFormat="1" ht="15.75" x14ac:dyDescent="0.25">
      <c r="A101" s="10"/>
      <c r="B101" s="22" t="s">
        <v>137</v>
      </c>
      <c r="C101" s="1" t="s">
        <v>17</v>
      </c>
      <c r="D101" s="120"/>
      <c r="E101" s="17" t="s">
        <v>35</v>
      </c>
      <c r="F101" s="73" t="s">
        <v>429</v>
      </c>
      <c r="G101" s="11" t="s">
        <v>117</v>
      </c>
      <c r="H101" s="1"/>
      <c r="I101" s="49"/>
      <c r="J101" s="51"/>
      <c r="K101" s="37"/>
      <c r="L101" s="37"/>
      <c r="M101" s="78">
        <f t="shared" si="4"/>
        <v>0</v>
      </c>
      <c r="N101" s="39">
        <v>1</v>
      </c>
      <c r="O101" s="31">
        <v>7299.8</v>
      </c>
      <c r="P101" s="31"/>
      <c r="Q101" s="79">
        <f t="shared" si="3"/>
        <v>7299.8</v>
      </c>
    </row>
    <row r="102" spans="1:19" s="13" customFormat="1" ht="15.75" x14ac:dyDescent="0.25">
      <c r="A102" s="10"/>
      <c r="B102" s="30" t="s">
        <v>67</v>
      </c>
      <c r="C102" s="1" t="s">
        <v>17</v>
      </c>
      <c r="D102" s="120"/>
      <c r="E102" s="17" t="s">
        <v>21</v>
      </c>
      <c r="F102" s="73" t="s">
        <v>370</v>
      </c>
      <c r="G102" s="74" t="s">
        <v>112</v>
      </c>
      <c r="H102" s="75">
        <v>7</v>
      </c>
      <c r="I102" s="76">
        <v>2</v>
      </c>
      <c r="J102" s="96">
        <f>2+1</f>
        <v>3</v>
      </c>
      <c r="K102" s="77">
        <f>3319.85</f>
        <v>3319.85</v>
      </c>
      <c r="L102" s="77"/>
      <c r="M102" s="38">
        <f t="shared" si="4"/>
        <v>3319.85</v>
      </c>
      <c r="N102" s="100">
        <f>4+9+4+4</f>
        <v>21</v>
      </c>
      <c r="O102" s="81">
        <f>29696.65+38129.03+13567.9+20687.05</f>
        <v>102080.62999999999</v>
      </c>
      <c r="P102" s="81">
        <f>34696.65</f>
        <v>34696.65</v>
      </c>
      <c r="Q102" s="12">
        <f t="shared" si="3"/>
        <v>67383.979999999981</v>
      </c>
      <c r="R102" s="141"/>
    </row>
    <row r="103" spans="1:19" s="13" customFormat="1" ht="15.75" x14ac:dyDescent="0.25">
      <c r="A103" s="10"/>
      <c r="B103" s="24" t="s">
        <v>67</v>
      </c>
      <c r="C103" s="1" t="s">
        <v>17</v>
      </c>
      <c r="D103" s="120"/>
      <c r="E103" s="17" t="s">
        <v>21</v>
      </c>
      <c r="F103" s="73" t="s">
        <v>440</v>
      </c>
      <c r="G103" s="11" t="s">
        <v>118</v>
      </c>
      <c r="H103" s="1">
        <v>5</v>
      </c>
      <c r="I103" s="49"/>
      <c r="J103" s="46"/>
      <c r="K103" s="40"/>
      <c r="L103" s="40"/>
      <c r="M103" s="78">
        <f t="shared" si="4"/>
        <v>0</v>
      </c>
      <c r="N103" s="41">
        <v>7</v>
      </c>
      <c r="O103" s="31">
        <v>25515.51</v>
      </c>
      <c r="P103" s="31">
        <v>4866.6000000000004</v>
      </c>
      <c r="Q103" s="79">
        <f t="shared" si="3"/>
        <v>20648.909999999996</v>
      </c>
    </row>
    <row r="104" spans="1:19" s="13" customFormat="1" ht="15.75" x14ac:dyDescent="0.25">
      <c r="A104" s="10"/>
      <c r="B104" s="30" t="s">
        <v>68</v>
      </c>
      <c r="C104" s="1" t="s">
        <v>17</v>
      </c>
      <c r="D104" s="120"/>
      <c r="E104" s="17" t="s">
        <v>32</v>
      </c>
      <c r="F104" s="73" t="s">
        <v>371</v>
      </c>
      <c r="G104" s="74" t="s">
        <v>112</v>
      </c>
      <c r="H104" s="75">
        <v>8</v>
      </c>
      <c r="I104" s="76">
        <v>2</v>
      </c>
      <c r="J104" s="96">
        <f>2</f>
        <v>2</v>
      </c>
      <c r="K104" s="77">
        <f>1128.59</f>
        <v>1128.5899999999999</v>
      </c>
      <c r="L104" s="77"/>
      <c r="M104" s="38">
        <f t="shared" si="4"/>
        <v>1128.5899999999999</v>
      </c>
      <c r="N104" s="100">
        <f>6+5+1</f>
        <v>12</v>
      </c>
      <c r="O104" s="81">
        <f>7813.73+8523.5+1452.28</f>
        <v>17789.509999999998</v>
      </c>
      <c r="P104" s="81">
        <f>7813.73</f>
        <v>7813.73</v>
      </c>
      <c r="Q104" s="12">
        <f t="shared" si="3"/>
        <v>9975.7799999999988</v>
      </c>
      <c r="R104" s="141"/>
    </row>
    <row r="105" spans="1:19" s="13" customFormat="1" ht="15.75" x14ac:dyDescent="0.25">
      <c r="A105" s="10"/>
      <c r="B105" s="24" t="s">
        <v>68</v>
      </c>
      <c r="C105" s="1" t="s">
        <v>17</v>
      </c>
      <c r="D105" s="120"/>
      <c r="E105" s="17" t="s">
        <v>32</v>
      </c>
      <c r="F105" s="73" t="s">
        <v>430</v>
      </c>
      <c r="G105" s="8" t="s">
        <v>117</v>
      </c>
      <c r="H105" s="1"/>
      <c r="I105" s="49"/>
      <c r="J105" s="46"/>
      <c r="K105" s="40"/>
      <c r="L105" s="40"/>
      <c r="M105" s="78">
        <f t="shared" si="4"/>
        <v>0</v>
      </c>
      <c r="N105" s="41"/>
      <c r="O105" s="40"/>
      <c r="P105" s="40"/>
      <c r="Q105" s="79">
        <f t="shared" si="3"/>
        <v>0</v>
      </c>
    </row>
    <row r="106" spans="1:19" s="15" customFormat="1" ht="15.75" x14ac:dyDescent="0.25">
      <c r="A106" s="14"/>
      <c r="B106" s="28" t="s">
        <v>69</v>
      </c>
      <c r="C106" s="1" t="s">
        <v>17</v>
      </c>
      <c r="D106" s="120"/>
      <c r="E106" s="3" t="s">
        <v>20</v>
      </c>
      <c r="F106" s="73" t="s">
        <v>372</v>
      </c>
      <c r="G106" s="74" t="s">
        <v>112</v>
      </c>
      <c r="H106" s="75">
        <v>3</v>
      </c>
      <c r="I106" s="76"/>
      <c r="J106" s="96"/>
      <c r="K106" s="77"/>
      <c r="L106" s="77"/>
      <c r="M106" s="38">
        <f t="shared" si="4"/>
        <v>0</v>
      </c>
      <c r="N106" s="100">
        <f>3+2+1</f>
        <v>6</v>
      </c>
      <c r="O106" s="77">
        <f>7210.31+3647.96+1306.28</f>
        <v>12164.550000000001</v>
      </c>
      <c r="P106" s="77">
        <f>7201.31</f>
        <v>7201.31</v>
      </c>
      <c r="Q106" s="12">
        <f t="shared" si="3"/>
        <v>4963.2400000000007</v>
      </c>
      <c r="R106" s="141"/>
    </row>
    <row r="107" spans="1:19" s="13" customFormat="1" ht="15.75" x14ac:dyDescent="0.25">
      <c r="A107" s="10"/>
      <c r="B107" s="62" t="s">
        <v>70</v>
      </c>
      <c r="C107" s="1" t="s">
        <v>17</v>
      </c>
      <c r="D107" s="120"/>
      <c r="E107" s="3" t="s">
        <v>20</v>
      </c>
      <c r="F107" s="73" t="s">
        <v>373</v>
      </c>
      <c r="G107" s="74" t="s">
        <v>112</v>
      </c>
      <c r="H107" s="75">
        <v>5</v>
      </c>
      <c r="I107" s="76"/>
      <c r="J107" s="96">
        <f>2</f>
        <v>2</v>
      </c>
      <c r="K107" s="77"/>
      <c r="L107" s="77"/>
      <c r="M107" s="78">
        <f t="shared" si="4"/>
        <v>0</v>
      </c>
      <c r="N107" s="100">
        <f>2+3+4</f>
        <v>9</v>
      </c>
      <c r="O107" s="81">
        <f>3534.95+5004.97</f>
        <v>8539.92</v>
      </c>
      <c r="P107" s="81">
        <f>3534.95</f>
        <v>3534.95</v>
      </c>
      <c r="Q107" s="79">
        <f t="shared" si="3"/>
        <v>5004.97</v>
      </c>
      <c r="R107" s="141"/>
    </row>
    <row r="108" spans="1:19" s="13" customFormat="1" ht="15.75" x14ac:dyDescent="0.25">
      <c r="A108" s="10"/>
      <c r="B108" s="22" t="s">
        <v>70</v>
      </c>
      <c r="C108" s="1" t="s">
        <v>17</v>
      </c>
      <c r="D108" s="120"/>
      <c r="E108" s="3" t="s">
        <v>20</v>
      </c>
      <c r="F108" s="73" t="s">
        <v>460</v>
      </c>
      <c r="G108" s="11" t="s">
        <v>114</v>
      </c>
      <c r="H108" s="1">
        <v>10</v>
      </c>
      <c r="I108" s="49"/>
      <c r="J108" s="51"/>
      <c r="K108" s="40"/>
      <c r="L108" s="40"/>
      <c r="M108" s="38">
        <f t="shared" si="4"/>
        <v>0</v>
      </c>
      <c r="N108" s="41">
        <v>23</v>
      </c>
      <c r="O108" s="31">
        <v>36457.769999999997</v>
      </c>
      <c r="P108" s="31">
        <v>29350.07</v>
      </c>
      <c r="Q108" s="12">
        <f t="shared" si="3"/>
        <v>7107.6999999999971</v>
      </c>
    </row>
    <row r="109" spans="1:19" s="15" customFormat="1" ht="15.75" x14ac:dyDescent="0.25">
      <c r="A109" s="14"/>
      <c r="B109" s="80" t="s">
        <v>71</v>
      </c>
      <c r="C109" s="1" t="s">
        <v>17</v>
      </c>
      <c r="D109" s="120"/>
      <c r="E109" s="3" t="s">
        <v>32</v>
      </c>
      <c r="F109" s="73" t="s">
        <v>374</v>
      </c>
      <c r="G109" s="74" t="s">
        <v>112</v>
      </c>
      <c r="H109" s="75">
        <v>8</v>
      </c>
      <c r="I109" s="76">
        <v>3</v>
      </c>
      <c r="J109" s="96">
        <f>3</f>
        <v>3</v>
      </c>
      <c r="K109" s="77">
        <f>1536.8</f>
        <v>1536.8</v>
      </c>
      <c r="L109" s="77"/>
      <c r="M109" s="78">
        <f t="shared" si="4"/>
        <v>1536.8</v>
      </c>
      <c r="N109" s="100">
        <f>3+2</f>
        <v>5</v>
      </c>
      <c r="O109" s="81">
        <f>9567.93+3616.67</f>
        <v>13184.6</v>
      </c>
      <c r="P109" s="81">
        <f>9567.93</f>
        <v>9567.93</v>
      </c>
      <c r="Q109" s="79">
        <f t="shared" si="3"/>
        <v>3616.67</v>
      </c>
      <c r="R109" s="141"/>
      <c r="S109" s="36"/>
    </row>
    <row r="110" spans="1:19" s="15" customFormat="1" ht="15.75" x14ac:dyDescent="0.25">
      <c r="A110" s="14"/>
      <c r="B110" s="23" t="s">
        <v>71</v>
      </c>
      <c r="C110" s="1" t="s">
        <v>17</v>
      </c>
      <c r="D110" s="120"/>
      <c r="E110" s="3" t="s">
        <v>32</v>
      </c>
      <c r="F110" s="73" t="s">
        <v>431</v>
      </c>
      <c r="G110" s="11" t="s">
        <v>115</v>
      </c>
      <c r="H110" s="1">
        <v>5</v>
      </c>
      <c r="I110" s="48">
        <v>2</v>
      </c>
      <c r="J110" s="45">
        <v>2</v>
      </c>
      <c r="K110" s="40"/>
      <c r="L110" s="40"/>
      <c r="M110" s="38">
        <f t="shared" si="4"/>
        <v>0</v>
      </c>
      <c r="N110" s="39">
        <f>5</f>
        <v>5</v>
      </c>
      <c r="O110" s="40">
        <v>6595.5</v>
      </c>
      <c r="P110" s="40">
        <v>2945.6</v>
      </c>
      <c r="Q110" s="12">
        <f t="shared" si="3"/>
        <v>3649.9</v>
      </c>
    </row>
    <row r="111" spans="1:19" s="13" customFormat="1" ht="15.75" x14ac:dyDescent="0.25">
      <c r="A111" s="10"/>
      <c r="B111" s="62" t="s">
        <v>319</v>
      </c>
      <c r="C111" s="1" t="s">
        <v>17</v>
      </c>
      <c r="D111" s="120"/>
      <c r="E111" s="3" t="s">
        <v>20</v>
      </c>
      <c r="F111" s="73" t="s">
        <v>375</v>
      </c>
      <c r="G111" s="74" t="s">
        <v>112</v>
      </c>
      <c r="H111" s="75">
        <v>9</v>
      </c>
      <c r="I111" s="76">
        <v>6</v>
      </c>
      <c r="J111" s="96">
        <f>2+1+4</f>
        <v>7</v>
      </c>
      <c r="K111" s="77">
        <f>710.77+1523.35+6753.23</f>
        <v>8987.3499999999985</v>
      </c>
      <c r="L111" s="77"/>
      <c r="M111" s="78">
        <f>K111-L111</f>
        <v>8987.3499999999985</v>
      </c>
      <c r="N111" s="100">
        <f>3+1+2</f>
        <v>6</v>
      </c>
      <c r="O111" s="77">
        <f>13419.94+726.71+2846.77</f>
        <v>16993.420000000002</v>
      </c>
      <c r="P111" s="77">
        <f>13419.94</f>
        <v>13419.94</v>
      </c>
      <c r="Q111" s="79">
        <f>O111-P111</f>
        <v>3573.4800000000014</v>
      </c>
      <c r="R111" s="141"/>
    </row>
    <row r="112" spans="1:19" s="15" customFormat="1" ht="15.75" x14ac:dyDescent="0.25">
      <c r="A112" s="14"/>
      <c r="B112" s="62" t="s">
        <v>150</v>
      </c>
      <c r="C112" s="1" t="s">
        <v>17</v>
      </c>
      <c r="D112" s="120"/>
      <c r="E112" s="3" t="s">
        <v>35</v>
      </c>
      <c r="F112" s="73" t="s">
        <v>376</v>
      </c>
      <c r="G112" s="74" t="s">
        <v>112</v>
      </c>
      <c r="H112" s="75">
        <v>9</v>
      </c>
      <c r="I112" s="76">
        <v>2</v>
      </c>
      <c r="J112" s="97">
        <f>1+1</f>
        <v>2</v>
      </c>
      <c r="K112" s="77">
        <f>1343.65+384.2</f>
        <v>1727.8500000000001</v>
      </c>
      <c r="L112" s="77"/>
      <c r="M112" s="78">
        <f t="shared" si="4"/>
        <v>1727.8500000000001</v>
      </c>
      <c r="N112" s="114">
        <f>8+1+1+2</f>
        <v>12</v>
      </c>
      <c r="O112" s="77">
        <f>5997.32+3719.39+3054.34+13138.17</f>
        <v>25909.22</v>
      </c>
      <c r="P112" s="81">
        <f>3885.22</f>
        <v>3885.22</v>
      </c>
      <c r="Q112" s="79">
        <f t="shared" si="3"/>
        <v>22024</v>
      </c>
      <c r="R112" s="141"/>
    </row>
    <row r="113" spans="1:18" s="15" customFormat="1" ht="15.75" x14ac:dyDescent="0.25">
      <c r="A113" s="14"/>
      <c r="B113" s="50" t="s">
        <v>150</v>
      </c>
      <c r="C113" s="1" t="s">
        <v>17</v>
      </c>
      <c r="D113" s="120"/>
      <c r="E113" s="3" t="s">
        <v>32</v>
      </c>
      <c r="F113" s="73" t="s">
        <v>487</v>
      </c>
      <c r="G113" s="11" t="s">
        <v>117</v>
      </c>
      <c r="H113" s="1"/>
      <c r="I113" s="48"/>
      <c r="J113" s="45"/>
      <c r="K113" s="40"/>
      <c r="L113" s="37"/>
      <c r="M113" s="38">
        <f t="shared" si="4"/>
        <v>0</v>
      </c>
      <c r="N113" s="42">
        <v>1</v>
      </c>
      <c r="O113" s="40">
        <v>4226.2</v>
      </c>
      <c r="P113" s="40"/>
      <c r="Q113" s="12">
        <f t="shared" si="3"/>
        <v>4226.2</v>
      </c>
    </row>
    <row r="114" spans="1:18" s="13" customFormat="1" ht="15.75" x14ac:dyDescent="0.25">
      <c r="A114" s="10"/>
      <c r="B114" s="30" t="s">
        <v>72</v>
      </c>
      <c r="C114" s="1" t="s">
        <v>17</v>
      </c>
      <c r="D114" s="120"/>
      <c r="E114" s="3" t="s">
        <v>21</v>
      </c>
      <c r="F114" s="73" t="s">
        <v>377</v>
      </c>
      <c r="G114" s="74" t="s">
        <v>112</v>
      </c>
      <c r="H114" s="75">
        <v>8</v>
      </c>
      <c r="I114" s="76">
        <v>1</v>
      </c>
      <c r="J114" s="96">
        <f>1+1</f>
        <v>2</v>
      </c>
      <c r="K114" s="77">
        <f>633.93+1415.78</f>
        <v>2049.71</v>
      </c>
      <c r="L114" s="77"/>
      <c r="M114" s="78">
        <f t="shared" si="4"/>
        <v>2049.71</v>
      </c>
      <c r="N114" s="100">
        <f>1+3+1</f>
        <v>5</v>
      </c>
      <c r="O114" s="81">
        <f>1950.74+10237.13+6595.95</f>
        <v>18783.82</v>
      </c>
      <c r="P114" s="81">
        <f>1951.74</f>
        <v>1951.74</v>
      </c>
      <c r="Q114" s="79">
        <f t="shared" si="3"/>
        <v>16832.079999999998</v>
      </c>
      <c r="R114" s="141"/>
    </row>
    <row r="115" spans="1:18" s="13" customFormat="1" ht="15.75" x14ac:dyDescent="0.25">
      <c r="A115" s="10"/>
      <c r="B115" s="24" t="s">
        <v>72</v>
      </c>
      <c r="C115" s="1" t="s">
        <v>17</v>
      </c>
      <c r="D115" s="120"/>
      <c r="E115" s="3" t="s">
        <v>21</v>
      </c>
      <c r="F115" s="73" t="s">
        <v>441</v>
      </c>
      <c r="G115" s="11" t="s">
        <v>118</v>
      </c>
      <c r="H115" s="1">
        <v>5</v>
      </c>
      <c r="I115" s="49"/>
      <c r="J115" s="46"/>
      <c r="K115" s="40"/>
      <c r="L115" s="40"/>
      <c r="M115" s="38">
        <f t="shared" si="4"/>
        <v>0</v>
      </c>
      <c r="N115" s="41">
        <v>8</v>
      </c>
      <c r="O115" s="31">
        <v>30209.03</v>
      </c>
      <c r="P115" s="31">
        <v>2328.87</v>
      </c>
      <c r="Q115" s="12">
        <f t="shared" si="3"/>
        <v>27880.16</v>
      </c>
    </row>
    <row r="116" spans="1:18" s="15" customFormat="1" ht="15.75" x14ac:dyDescent="0.25">
      <c r="A116" s="14"/>
      <c r="B116" s="84" t="s">
        <v>73</v>
      </c>
      <c r="C116" s="1" t="s">
        <v>17</v>
      </c>
      <c r="D116" s="120"/>
      <c r="E116" s="3" t="s">
        <v>74</v>
      </c>
      <c r="F116" s="73" t="s">
        <v>378</v>
      </c>
      <c r="G116" s="74" t="s">
        <v>112</v>
      </c>
      <c r="H116" s="75">
        <v>14</v>
      </c>
      <c r="I116" s="76">
        <v>9</v>
      </c>
      <c r="J116" s="96">
        <f>9</f>
        <v>9</v>
      </c>
      <c r="K116" s="77">
        <f>6305.33</f>
        <v>6305.33</v>
      </c>
      <c r="L116" s="77"/>
      <c r="M116" s="78">
        <f t="shared" si="4"/>
        <v>6305.33</v>
      </c>
      <c r="N116" s="100">
        <f>5+3</f>
        <v>8</v>
      </c>
      <c r="O116" s="81">
        <f>5416.39+9506.99</f>
        <v>14923.380000000001</v>
      </c>
      <c r="P116" s="81"/>
      <c r="Q116" s="79">
        <f t="shared" si="3"/>
        <v>14923.380000000001</v>
      </c>
      <c r="R116" s="141"/>
    </row>
    <row r="117" spans="1:18" s="15" customFormat="1" ht="15.75" x14ac:dyDescent="0.25">
      <c r="A117" s="14"/>
      <c r="B117" s="29" t="s">
        <v>73</v>
      </c>
      <c r="C117" s="1" t="s">
        <v>17</v>
      </c>
      <c r="D117" s="120"/>
      <c r="E117" s="3" t="s">
        <v>74</v>
      </c>
      <c r="F117" s="73" t="s">
        <v>282</v>
      </c>
      <c r="G117" s="11" t="s">
        <v>114</v>
      </c>
      <c r="H117" s="1"/>
      <c r="I117" s="49"/>
      <c r="J117" s="51"/>
      <c r="K117" s="40"/>
      <c r="L117" s="40"/>
      <c r="M117" s="38">
        <f t="shared" si="4"/>
        <v>0</v>
      </c>
      <c r="N117" s="42">
        <v>1</v>
      </c>
      <c r="O117" s="31"/>
      <c r="P117" s="31"/>
      <c r="Q117" s="12">
        <f t="shared" si="3"/>
        <v>0</v>
      </c>
    </row>
    <row r="118" spans="1:18" s="13" customFormat="1" ht="15.75" x14ac:dyDescent="0.25">
      <c r="A118" s="10"/>
      <c r="B118" s="30" t="s">
        <v>135</v>
      </c>
      <c r="C118" s="1" t="s">
        <v>17</v>
      </c>
      <c r="D118" s="120"/>
      <c r="E118" s="17" t="s">
        <v>35</v>
      </c>
      <c r="F118" s="73" t="s">
        <v>379</v>
      </c>
      <c r="G118" s="74" t="s">
        <v>112</v>
      </c>
      <c r="H118" s="75">
        <v>9</v>
      </c>
      <c r="I118" s="76">
        <v>1</v>
      </c>
      <c r="J118" s="96">
        <f>1+6</f>
        <v>7</v>
      </c>
      <c r="K118" s="77">
        <v>697.32</v>
      </c>
      <c r="L118" s="77"/>
      <c r="M118" s="38">
        <f t="shared" si="4"/>
        <v>697.32</v>
      </c>
      <c r="N118" s="100">
        <f>2+5+1+2+2</f>
        <v>12</v>
      </c>
      <c r="O118" s="81">
        <v>6432.89</v>
      </c>
      <c r="P118" s="81"/>
      <c r="Q118" s="12">
        <f t="shared" si="3"/>
        <v>6432.89</v>
      </c>
      <c r="R118" s="141"/>
    </row>
    <row r="119" spans="1:18" s="13" customFormat="1" ht="15.75" x14ac:dyDescent="0.25">
      <c r="A119" s="10"/>
      <c r="B119" s="24" t="s">
        <v>135</v>
      </c>
      <c r="C119" s="1" t="s">
        <v>17</v>
      </c>
      <c r="D119" s="120"/>
      <c r="E119" s="17" t="s">
        <v>35</v>
      </c>
      <c r="F119" s="73" t="s">
        <v>432</v>
      </c>
      <c r="G119" s="11" t="s">
        <v>115</v>
      </c>
      <c r="H119" s="1"/>
      <c r="I119" s="49"/>
      <c r="J119" s="46"/>
      <c r="K119" s="40"/>
      <c r="L119" s="40"/>
      <c r="M119" s="78">
        <f t="shared" si="4"/>
        <v>0</v>
      </c>
      <c r="N119" s="41"/>
      <c r="O119" s="31"/>
      <c r="P119" s="31"/>
      <c r="Q119" s="79">
        <f t="shared" si="3"/>
        <v>0</v>
      </c>
    </row>
    <row r="120" spans="1:18" s="13" customFormat="1" ht="15.75" x14ac:dyDescent="0.25">
      <c r="A120" s="10"/>
      <c r="B120" s="30" t="s">
        <v>145</v>
      </c>
      <c r="C120" s="1" t="s">
        <v>17</v>
      </c>
      <c r="D120" s="120"/>
      <c r="E120" s="17" t="s">
        <v>20</v>
      </c>
      <c r="F120" s="73" t="s">
        <v>380</v>
      </c>
      <c r="G120" s="74" t="s">
        <v>112</v>
      </c>
      <c r="H120" s="75">
        <v>2</v>
      </c>
      <c r="I120" s="82">
        <v>1</v>
      </c>
      <c r="J120" s="96">
        <f>2</f>
        <v>2</v>
      </c>
      <c r="K120" s="77">
        <f>5169.72+1100</f>
        <v>6269.72</v>
      </c>
      <c r="L120" s="77"/>
      <c r="M120" s="38">
        <f t="shared" si="4"/>
        <v>6269.72</v>
      </c>
      <c r="N120" s="100">
        <f>1+1+2</f>
        <v>4</v>
      </c>
      <c r="O120" s="81">
        <f>5120.23+3915.15+1114.12</f>
        <v>10149.5</v>
      </c>
      <c r="P120" s="81">
        <f>5120.23</f>
        <v>5120.2299999999996</v>
      </c>
      <c r="Q120" s="12">
        <f t="shared" si="3"/>
        <v>5029.2700000000004</v>
      </c>
      <c r="R120" s="141"/>
    </row>
    <row r="121" spans="1:18" s="13" customFormat="1" ht="15.75" x14ac:dyDescent="0.25">
      <c r="A121" s="10"/>
      <c r="B121" s="24" t="s">
        <v>145</v>
      </c>
      <c r="C121" s="1" t="s">
        <v>17</v>
      </c>
      <c r="D121" s="120"/>
      <c r="E121" s="17" t="s">
        <v>20</v>
      </c>
      <c r="F121" s="73" t="s">
        <v>461</v>
      </c>
      <c r="G121" s="11" t="s">
        <v>114</v>
      </c>
      <c r="H121" s="1"/>
      <c r="I121" s="49"/>
      <c r="J121" s="51"/>
      <c r="K121" s="40"/>
      <c r="L121" s="40"/>
      <c r="M121" s="78">
        <f t="shared" si="4"/>
        <v>0</v>
      </c>
      <c r="N121" s="41">
        <v>9</v>
      </c>
      <c r="O121" s="31">
        <v>19379.400000000001</v>
      </c>
      <c r="P121" s="31">
        <v>13232.2</v>
      </c>
      <c r="Q121" s="79">
        <f t="shared" si="3"/>
        <v>6147.2000000000007</v>
      </c>
    </row>
    <row r="122" spans="1:18" s="13" customFormat="1" ht="15.75" x14ac:dyDescent="0.25">
      <c r="A122" s="10"/>
      <c r="B122" s="62" t="s">
        <v>76</v>
      </c>
      <c r="C122" s="1" t="s">
        <v>17</v>
      </c>
      <c r="D122" s="120"/>
      <c r="E122" s="3" t="s">
        <v>20</v>
      </c>
      <c r="F122" s="73" t="s">
        <v>381</v>
      </c>
      <c r="G122" s="74" t="s">
        <v>112</v>
      </c>
      <c r="H122" s="75">
        <v>12</v>
      </c>
      <c r="I122" s="76">
        <v>7</v>
      </c>
      <c r="J122" s="96">
        <f>1+6+3</f>
        <v>10</v>
      </c>
      <c r="K122" s="77">
        <f>6556.06+2806.39</f>
        <v>9362.4500000000007</v>
      </c>
      <c r="L122" s="77"/>
      <c r="M122" s="38">
        <f t="shared" si="4"/>
        <v>9362.4500000000007</v>
      </c>
      <c r="N122" s="100">
        <f>5+6+2</f>
        <v>13</v>
      </c>
      <c r="O122" s="81">
        <f>11527.9+19846.52+1011.91+9641</f>
        <v>42027.33</v>
      </c>
      <c r="P122" s="81"/>
      <c r="Q122" s="12">
        <f t="shared" si="3"/>
        <v>42027.33</v>
      </c>
      <c r="R122" s="141"/>
    </row>
    <row r="123" spans="1:18" s="13" customFormat="1" ht="15.75" x14ac:dyDescent="0.25">
      <c r="A123" s="10"/>
      <c r="B123" s="22" t="s">
        <v>76</v>
      </c>
      <c r="C123" s="1" t="s">
        <v>17</v>
      </c>
      <c r="D123" s="120"/>
      <c r="E123" s="3" t="s">
        <v>20</v>
      </c>
      <c r="F123" s="73" t="s">
        <v>462</v>
      </c>
      <c r="G123" s="11" t="s">
        <v>114</v>
      </c>
      <c r="H123" s="1">
        <v>4</v>
      </c>
      <c r="I123" s="49"/>
      <c r="J123" s="51"/>
      <c r="K123" s="40"/>
      <c r="L123" s="40"/>
      <c r="M123" s="78">
        <f t="shared" si="4"/>
        <v>0</v>
      </c>
      <c r="N123" s="41">
        <v>7</v>
      </c>
      <c r="O123" s="31">
        <v>17927.759999999998</v>
      </c>
      <c r="P123" s="31">
        <v>8706.9599999999991</v>
      </c>
      <c r="Q123" s="79">
        <f t="shared" si="3"/>
        <v>9220.7999999999993</v>
      </c>
    </row>
    <row r="124" spans="1:18" s="13" customFormat="1" ht="15.75" x14ac:dyDescent="0.25">
      <c r="A124" s="10"/>
      <c r="B124" s="30" t="s">
        <v>77</v>
      </c>
      <c r="C124" s="1" t="s">
        <v>17</v>
      </c>
      <c r="D124" s="120"/>
      <c r="E124" s="3" t="s">
        <v>32</v>
      </c>
      <c r="F124" s="73" t="s">
        <v>388</v>
      </c>
      <c r="G124" s="74" t="s">
        <v>112</v>
      </c>
      <c r="H124" s="75">
        <v>4</v>
      </c>
      <c r="I124" s="76">
        <v>2</v>
      </c>
      <c r="J124" s="96">
        <f>2</f>
        <v>2</v>
      </c>
      <c r="K124" s="77">
        <f>2440.63</f>
        <v>2440.63</v>
      </c>
      <c r="L124" s="77"/>
      <c r="M124" s="38">
        <f t="shared" si="4"/>
        <v>2440.63</v>
      </c>
      <c r="N124" s="100">
        <f>5+2+3</f>
        <v>10</v>
      </c>
      <c r="O124" s="81">
        <f>11716.73+6848.82+4046.18</f>
        <v>22611.73</v>
      </c>
      <c r="P124" s="81">
        <f>11716.73</f>
        <v>11716.73</v>
      </c>
      <c r="Q124" s="12">
        <f t="shared" si="3"/>
        <v>10895</v>
      </c>
      <c r="R124" s="141"/>
    </row>
    <row r="125" spans="1:18" s="13" customFormat="1" ht="15.75" x14ac:dyDescent="0.25">
      <c r="A125" s="10"/>
      <c r="B125" s="24" t="s">
        <v>77</v>
      </c>
      <c r="C125" s="1" t="s">
        <v>17</v>
      </c>
      <c r="D125" s="120"/>
      <c r="E125" s="3" t="s">
        <v>32</v>
      </c>
      <c r="F125" s="73" t="s">
        <v>433</v>
      </c>
      <c r="G125" s="11" t="s">
        <v>117</v>
      </c>
      <c r="H125" s="1">
        <v>1</v>
      </c>
      <c r="I125" s="49"/>
      <c r="J125" s="46"/>
      <c r="K125" s="40"/>
      <c r="L125" s="40"/>
      <c r="M125" s="78">
        <f t="shared" si="4"/>
        <v>0</v>
      </c>
      <c r="N125" s="41">
        <v>5</v>
      </c>
      <c r="O125" s="31">
        <v>15666.81</v>
      </c>
      <c r="P125" s="31">
        <v>11248.51</v>
      </c>
      <c r="Q125" s="79">
        <f t="shared" si="3"/>
        <v>4418.2999999999993</v>
      </c>
    </row>
    <row r="126" spans="1:18" s="13" customFormat="1" ht="15.75" x14ac:dyDescent="0.25">
      <c r="A126" s="10"/>
      <c r="B126" s="24" t="s">
        <v>321</v>
      </c>
      <c r="C126" s="1" t="s">
        <v>17</v>
      </c>
      <c r="D126" s="120"/>
      <c r="E126" s="3" t="s">
        <v>21</v>
      </c>
      <c r="F126" s="73" t="s">
        <v>489</v>
      </c>
      <c r="G126" s="11" t="s">
        <v>112</v>
      </c>
      <c r="H126" s="1">
        <v>1</v>
      </c>
      <c r="I126" s="49"/>
      <c r="J126" s="46"/>
      <c r="K126" s="40"/>
      <c r="L126" s="40"/>
      <c r="M126" s="78"/>
      <c r="N126" s="41"/>
      <c r="O126" s="31"/>
      <c r="P126" s="31"/>
      <c r="Q126" s="79"/>
      <c r="R126" s="141"/>
    </row>
    <row r="127" spans="1:18" s="13" customFormat="1" ht="31.5" x14ac:dyDescent="0.25">
      <c r="A127" s="10"/>
      <c r="B127" s="62" t="s">
        <v>79</v>
      </c>
      <c r="C127" s="1" t="s">
        <v>304</v>
      </c>
      <c r="D127" s="120" t="s">
        <v>385</v>
      </c>
      <c r="E127" s="3" t="s">
        <v>18</v>
      </c>
      <c r="F127" s="73" t="s">
        <v>389</v>
      </c>
      <c r="G127" s="74" t="s">
        <v>112</v>
      </c>
      <c r="H127" s="75">
        <v>5</v>
      </c>
      <c r="I127" s="76">
        <v>1</v>
      </c>
      <c r="J127" s="96"/>
      <c r="K127" s="77">
        <f>2091.97</f>
        <v>2091.9699999999998</v>
      </c>
      <c r="L127" s="77"/>
      <c r="M127" s="38">
        <f t="shared" si="4"/>
        <v>2091.9699999999998</v>
      </c>
      <c r="N127" s="100">
        <f>2+2+1</f>
        <v>5</v>
      </c>
      <c r="O127" s="81">
        <f>1547.4+4166.12+7835.61</f>
        <v>13549.130000000001</v>
      </c>
      <c r="P127" s="81"/>
      <c r="Q127" s="12">
        <f t="shared" si="3"/>
        <v>13549.130000000001</v>
      </c>
      <c r="R127" s="141"/>
    </row>
    <row r="128" spans="1:18" s="13" customFormat="1" ht="31.5" x14ac:dyDescent="0.25">
      <c r="A128" s="10"/>
      <c r="B128" s="22" t="s">
        <v>79</v>
      </c>
      <c r="C128" s="1" t="s">
        <v>304</v>
      </c>
      <c r="D128" s="120" t="s">
        <v>475</v>
      </c>
      <c r="E128" s="3" t="s">
        <v>18</v>
      </c>
      <c r="F128" s="73" t="s">
        <v>329</v>
      </c>
      <c r="G128" s="11" t="s">
        <v>113</v>
      </c>
      <c r="H128" s="1">
        <v>13</v>
      </c>
      <c r="I128" s="53">
        <v>1</v>
      </c>
      <c r="J128" s="127">
        <v>1</v>
      </c>
      <c r="K128" s="31">
        <v>1268</v>
      </c>
      <c r="L128" s="31"/>
      <c r="M128" s="78">
        <f t="shared" si="4"/>
        <v>1268</v>
      </c>
      <c r="N128" s="41">
        <v>6</v>
      </c>
      <c r="O128" s="31">
        <v>31483</v>
      </c>
      <c r="P128" s="31">
        <v>9505</v>
      </c>
      <c r="Q128" s="79">
        <f t="shared" si="3"/>
        <v>21978</v>
      </c>
    </row>
    <row r="129" spans="1:18" s="13" customFormat="1" ht="15.75" x14ac:dyDescent="0.25">
      <c r="A129" s="10"/>
      <c r="B129" s="62" t="s">
        <v>151</v>
      </c>
      <c r="C129" s="1" t="s">
        <v>17</v>
      </c>
      <c r="D129" s="120"/>
      <c r="E129" s="3" t="s">
        <v>32</v>
      </c>
      <c r="F129" s="73" t="s">
        <v>390</v>
      </c>
      <c r="G129" s="74" t="s">
        <v>112</v>
      </c>
      <c r="H129" s="75">
        <v>14</v>
      </c>
      <c r="I129" s="82">
        <v>3</v>
      </c>
      <c r="J129" s="96">
        <f>1</f>
        <v>1</v>
      </c>
      <c r="K129" s="81">
        <f>2317</f>
        <v>2317</v>
      </c>
      <c r="L129" s="81"/>
      <c r="M129" s="38">
        <f t="shared" si="4"/>
        <v>2317</v>
      </c>
      <c r="N129" s="100">
        <f>9+3</f>
        <v>12</v>
      </c>
      <c r="O129" s="81">
        <f>10726.94+18822.65+5703.53</f>
        <v>35253.120000000003</v>
      </c>
      <c r="P129" s="81">
        <f>10726.94</f>
        <v>10726.94</v>
      </c>
      <c r="Q129" s="12">
        <f t="shared" si="3"/>
        <v>24526.18</v>
      </c>
      <c r="R129" s="141"/>
    </row>
    <row r="130" spans="1:18" s="13" customFormat="1" ht="15.75" x14ac:dyDescent="0.25">
      <c r="A130" s="10"/>
      <c r="B130" s="22" t="s">
        <v>151</v>
      </c>
      <c r="C130" s="1" t="s">
        <v>17</v>
      </c>
      <c r="D130" s="120"/>
      <c r="E130" s="3" t="s">
        <v>32</v>
      </c>
      <c r="F130" s="73" t="s">
        <v>434</v>
      </c>
      <c r="G130" s="11" t="s">
        <v>117</v>
      </c>
      <c r="H130" s="1">
        <v>4</v>
      </c>
      <c r="I130" s="49"/>
      <c r="J130" s="46"/>
      <c r="K130" s="40"/>
      <c r="L130" s="40"/>
      <c r="M130" s="78">
        <f t="shared" si="4"/>
        <v>0</v>
      </c>
      <c r="N130" s="41">
        <v>11</v>
      </c>
      <c r="O130" s="31">
        <v>14253.2</v>
      </c>
      <c r="P130" s="31">
        <v>7133.24</v>
      </c>
      <c r="Q130" s="79">
        <f t="shared" si="3"/>
        <v>7119.9600000000009</v>
      </c>
    </row>
    <row r="131" spans="1:18" s="13" customFormat="1" ht="15.75" x14ac:dyDescent="0.25">
      <c r="A131" s="10"/>
      <c r="B131" s="62" t="s">
        <v>80</v>
      </c>
      <c r="C131" s="1" t="s">
        <v>17</v>
      </c>
      <c r="D131" s="120"/>
      <c r="E131" s="3" t="s">
        <v>81</v>
      </c>
      <c r="F131" s="73" t="s">
        <v>417</v>
      </c>
      <c r="G131" s="74" t="s">
        <v>112</v>
      </c>
      <c r="H131" s="75"/>
      <c r="I131" s="76"/>
      <c r="J131" s="96"/>
      <c r="K131" s="77"/>
      <c r="L131" s="77"/>
      <c r="M131" s="38">
        <f t="shared" si="4"/>
        <v>0</v>
      </c>
      <c r="N131" s="100">
        <f>2</f>
        <v>2</v>
      </c>
      <c r="O131" s="81">
        <f>3040.94</f>
        <v>3040.94</v>
      </c>
      <c r="P131" s="81"/>
      <c r="Q131" s="12">
        <f t="shared" si="3"/>
        <v>3040.94</v>
      </c>
      <c r="R131" s="141"/>
    </row>
    <row r="132" spans="1:18" s="13" customFormat="1" ht="15.75" x14ac:dyDescent="0.25">
      <c r="A132" s="10"/>
      <c r="B132" s="22" t="s">
        <v>80</v>
      </c>
      <c r="C132" s="1" t="s">
        <v>17</v>
      </c>
      <c r="D132" s="120"/>
      <c r="E132" s="3" t="s">
        <v>81</v>
      </c>
      <c r="F132" s="73" t="s">
        <v>285</v>
      </c>
      <c r="G132" s="11" t="s">
        <v>114</v>
      </c>
      <c r="H132" s="1"/>
      <c r="I132" s="49"/>
      <c r="J132" s="51"/>
      <c r="K132" s="40"/>
      <c r="L132" s="40"/>
      <c r="M132" s="78">
        <f t="shared" si="4"/>
        <v>0</v>
      </c>
      <c r="N132" s="41">
        <v>15</v>
      </c>
      <c r="O132" s="31">
        <f>21200.04</f>
        <v>21200.04</v>
      </c>
      <c r="P132" s="31">
        <v>16128.6</v>
      </c>
      <c r="Q132" s="79">
        <f t="shared" si="3"/>
        <v>5071.4400000000005</v>
      </c>
    </row>
    <row r="133" spans="1:18" s="13" customFormat="1" ht="15.75" x14ac:dyDescent="0.25">
      <c r="A133" s="10"/>
      <c r="B133" s="30" t="s">
        <v>82</v>
      </c>
      <c r="C133" s="1" t="s">
        <v>17</v>
      </c>
      <c r="D133" s="120"/>
      <c r="E133" s="3" t="s">
        <v>20</v>
      </c>
      <c r="F133" s="73" t="s">
        <v>394</v>
      </c>
      <c r="G133" s="74" t="s">
        <v>112</v>
      </c>
      <c r="H133" s="75">
        <v>5</v>
      </c>
      <c r="I133" s="76"/>
      <c r="J133" s="96"/>
      <c r="K133" s="77"/>
      <c r="L133" s="77"/>
      <c r="M133" s="38">
        <f t="shared" si="4"/>
        <v>0</v>
      </c>
      <c r="N133" s="100">
        <f>3+5</f>
        <v>8</v>
      </c>
      <c r="O133" s="81">
        <f>5975.84+23579.15</f>
        <v>29554.99</v>
      </c>
      <c r="P133" s="81">
        <f>15975.84</f>
        <v>15975.84</v>
      </c>
      <c r="Q133" s="12">
        <f t="shared" si="3"/>
        <v>13579.150000000001</v>
      </c>
      <c r="R133" s="141"/>
    </row>
    <row r="134" spans="1:18" s="13" customFormat="1" ht="15.75" x14ac:dyDescent="0.25">
      <c r="A134" s="10"/>
      <c r="B134" s="24" t="s">
        <v>82</v>
      </c>
      <c r="C134" s="1" t="s">
        <v>17</v>
      </c>
      <c r="D134" s="120"/>
      <c r="E134" s="3" t="s">
        <v>20</v>
      </c>
      <c r="F134" s="73" t="s">
        <v>463</v>
      </c>
      <c r="G134" s="11" t="s">
        <v>114</v>
      </c>
      <c r="H134" s="1">
        <v>8</v>
      </c>
      <c r="I134" s="49"/>
      <c r="J134" s="51"/>
      <c r="K134" s="40"/>
      <c r="L134" s="40"/>
      <c r="M134" s="78">
        <f t="shared" si="4"/>
        <v>0</v>
      </c>
      <c r="N134" s="41">
        <v>7</v>
      </c>
      <c r="O134" s="31">
        <v>10757.8</v>
      </c>
      <c r="P134" s="31">
        <f>4314.3</f>
        <v>4314.3</v>
      </c>
      <c r="Q134" s="79">
        <f t="shared" si="3"/>
        <v>6443.4999999999991</v>
      </c>
    </row>
    <row r="135" spans="1:18" s="13" customFormat="1" ht="15.75" x14ac:dyDescent="0.25">
      <c r="A135" s="10"/>
      <c r="B135" s="24" t="s">
        <v>309</v>
      </c>
      <c r="C135" s="1"/>
      <c r="D135" s="120"/>
      <c r="E135" s="3" t="s">
        <v>20</v>
      </c>
      <c r="F135" s="73" t="s">
        <v>391</v>
      </c>
      <c r="G135" s="11" t="s">
        <v>112</v>
      </c>
      <c r="H135" s="1">
        <v>9</v>
      </c>
      <c r="I135" s="58">
        <v>1</v>
      </c>
      <c r="J135" s="51">
        <f>1</f>
        <v>1</v>
      </c>
      <c r="K135" s="40">
        <f>3606.1</f>
        <v>3606.1</v>
      </c>
      <c r="L135" s="40"/>
      <c r="M135" s="38">
        <f t="shared" si="4"/>
        <v>3606.1</v>
      </c>
      <c r="N135" s="41">
        <f>1+5+1</f>
        <v>7</v>
      </c>
      <c r="O135" s="31">
        <f>3088.97+13147.65+1267.86</f>
        <v>17504.48</v>
      </c>
      <c r="P135" s="31">
        <f>3088.97</f>
        <v>3088.97</v>
      </c>
      <c r="Q135" s="79"/>
      <c r="R135" s="141"/>
    </row>
    <row r="136" spans="1:18" s="13" customFormat="1" ht="15.75" x14ac:dyDescent="0.25">
      <c r="A136" s="10"/>
      <c r="B136" s="30" t="s">
        <v>152</v>
      </c>
      <c r="C136" s="1" t="s">
        <v>17</v>
      </c>
      <c r="D136" s="120"/>
      <c r="E136" s="3" t="s">
        <v>35</v>
      </c>
      <c r="F136" s="73" t="s">
        <v>392</v>
      </c>
      <c r="G136" s="74" t="s">
        <v>112</v>
      </c>
      <c r="H136" s="75">
        <v>7</v>
      </c>
      <c r="I136" s="76">
        <v>2</v>
      </c>
      <c r="J136" s="96">
        <f>1+1</f>
        <v>2</v>
      </c>
      <c r="K136" s="77">
        <f>403.41+845.24</f>
        <v>1248.6500000000001</v>
      </c>
      <c r="L136" s="77"/>
      <c r="M136" s="38">
        <f t="shared" si="4"/>
        <v>1248.6500000000001</v>
      </c>
      <c r="N136" s="100">
        <f>2+2+2+1</f>
        <v>7</v>
      </c>
      <c r="O136" s="81">
        <f>1690.48+3050.26+3661.61+4648.82+1267.86</f>
        <v>14319.03</v>
      </c>
      <c r="P136" s="81">
        <f>1690.4</f>
        <v>1690.4</v>
      </c>
      <c r="Q136" s="12">
        <f t="shared" si="3"/>
        <v>12628.630000000001</v>
      </c>
      <c r="R136" s="141"/>
    </row>
    <row r="137" spans="1:18" s="13" customFormat="1" ht="15.75" x14ac:dyDescent="0.25">
      <c r="A137" s="10"/>
      <c r="B137" s="24" t="s">
        <v>152</v>
      </c>
      <c r="C137" s="1" t="s">
        <v>17</v>
      </c>
      <c r="D137" s="120"/>
      <c r="E137" s="3" t="s">
        <v>32</v>
      </c>
      <c r="F137" s="73"/>
      <c r="G137" s="11" t="s">
        <v>117</v>
      </c>
      <c r="H137" s="1"/>
      <c r="I137" s="49"/>
      <c r="J137" s="46"/>
      <c r="K137" s="40"/>
      <c r="L137" s="40"/>
      <c r="M137" s="78">
        <f t="shared" si="4"/>
        <v>0</v>
      </c>
      <c r="N137" s="41"/>
      <c r="O137" s="31"/>
      <c r="P137" s="31"/>
      <c r="Q137" s="79">
        <f t="shared" si="3"/>
        <v>0</v>
      </c>
    </row>
    <row r="138" spans="1:18" s="13" customFormat="1" ht="15.75" x14ac:dyDescent="0.25">
      <c r="A138" s="10"/>
      <c r="B138" s="30" t="s">
        <v>83</v>
      </c>
      <c r="C138" s="1" t="s">
        <v>17</v>
      </c>
      <c r="D138" s="120"/>
      <c r="E138" s="3" t="s">
        <v>20</v>
      </c>
      <c r="F138" s="73" t="s">
        <v>393</v>
      </c>
      <c r="G138" s="74" t="s">
        <v>112</v>
      </c>
      <c r="H138" s="75">
        <v>7</v>
      </c>
      <c r="I138" s="76">
        <v>2</v>
      </c>
      <c r="J138" s="96">
        <f>1+1+2</f>
        <v>4</v>
      </c>
      <c r="K138" s="77">
        <f>768.4</f>
        <v>768.4</v>
      </c>
      <c r="L138" s="77"/>
      <c r="M138" s="38">
        <f t="shared" si="4"/>
        <v>768.4</v>
      </c>
      <c r="N138" s="100">
        <f>1+2+1</f>
        <v>4</v>
      </c>
      <c r="O138" s="81">
        <f>5837.09+1922.92</f>
        <v>7760.01</v>
      </c>
      <c r="P138" s="81"/>
      <c r="Q138" s="12">
        <f t="shared" si="3"/>
        <v>7760.01</v>
      </c>
      <c r="R138" s="141"/>
    </row>
    <row r="139" spans="1:18" s="13" customFormat="1" ht="15.75" x14ac:dyDescent="0.25">
      <c r="A139" s="10"/>
      <c r="B139" s="24" t="s">
        <v>83</v>
      </c>
      <c r="C139" s="1" t="s">
        <v>17</v>
      </c>
      <c r="D139" s="120"/>
      <c r="E139" s="3" t="s">
        <v>20</v>
      </c>
      <c r="F139" s="73" t="s">
        <v>464</v>
      </c>
      <c r="G139" s="11" t="s">
        <v>114</v>
      </c>
      <c r="H139" s="1">
        <v>5</v>
      </c>
      <c r="I139" s="49"/>
      <c r="J139" s="51"/>
      <c r="K139" s="40"/>
      <c r="L139" s="40"/>
      <c r="M139" s="78">
        <f t="shared" si="4"/>
        <v>0</v>
      </c>
      <c r="N139" s="41">
        <v>22</v>
      </c>
      <c r="O139" s="31">
        <v>43871.3</v>
      </c>
      <c r="P139" s="31">
        <v>34650.5</v>
      </c>
      <c r="Q139" s="79">
        <f t="shared" si="3"/>
        <v>9220.8000000000029</v>
      </c>
    </row>
    <row r="140" spans="1:18" s="13" customFormat="1" ht="15.75" x14ac:dyDescent="0.25">
      <c r="A140" s="10"/>
      <c r="B140" s="24" t="s">
        <v>310</v>
      </c>
      <c r="C140" s="1"/>
      <c r="D140" s="120"/>
      <c r="E140" s="3" t="s">
        <v>20</v>
      </c>
      <c r="F140" s="73"/>
      <c r="G140" s="11" t="s">
        <v>114</v>
      </c>
      <c r="H140" s="1"/>
      <c r="I140" s="49"/>
      <c r="J140" s="51"/>
      <c r="K140" s="40"/>
      <c r="L140" s="40"/>
      <c r="M140" s="78"/>
      <c r="N140" s="41"/>
      <c r="O140" s="31"/>
      <c r="P140" s="31"/>
      <c r="Q140" s="79"/>
    </row>
    <row r="141" spans="1:18" s="13" customFormat="1" ht="15.75" x14ac:dyDescent="0.25">
      <c r="A141" s="10"/>
      <c r="B141" s="30" t="s">
        <v>84</v>
      </c>
      <c r="C141" s="1"/>
      <c r="D141" s="120"/>
      <c r="E141" s="3" t="s">
        <v>20</v>
      </c>
      <c r="F141" s="73" t="s">
        <v>287</v>
      </c>
      <c r="G141" s="11" t="s">
        <v>114</v>
      </c>
      <c r="H141" s="1"/>
      <c r="I141" s="49"/>
      <c r="J141" s="51"/>
      <c r="K141" s="40"/>
      <c r="L141" s="40"/>
      <c r="M141" s="38">
        <f t="shared" si="4"/>
        <v>0</v>
      </c>
      <c r="N141" s="41"/>
      <c r="O141" s="31"/>
      <c r="P141" s="31"/>
      <c r="Q141" s="12">
        <f t="shared" si="3"/>
        <v>0</v>
      </c>
    </row>
    <row r="142" spans="1:18" s="13" customFormat="1" ht="47.25" x14ac:dyDescent="0.25">
      <c r="A142" s="10"/>
      <c r="B142" s="30" t="s">
        <v>85</v>
      </c>
      <c r="C142" s="1" t="s">
        <v>304</v>
      </c>
      <c r="D142" s="120" t="s">
        <v>415</v>
      </c>
      <c r="E142" s="3" t="s">
        <v>20</v>
      </c>
      <c r="F142" s="73" t="s">
        <v>395</v>
      </c>
      <c r="G142" s="74" t="s">
        <v>112</v>
      </c>
      <c r="H142" s="75">
        <v>4</v>
      </c>
      <c r="I142" s="76"/>
      <c r="J142" s="96"/>
      <c r="K142" s="77"/>
      <c r="L142" s="77"/>
      <c r="M142" s="38">
        <f t="shared" si="4"/>
        <v>0</v>
      </c>
      <c r="N142" s="100"/>
      <c r="O142" s="81"/>
      <c r="P142" s="81"/>
      <c r="Q142" s="79">
        <f t="shared" si="3"/>
        <v>0</v>
      </c>
      <c r="R142" s="141"/>
    </row>
    <row r="143" spans="1:18" s="13" customFormat="1" ht="15.75" x14ac:dyDescent="0.25">
      <c r="A143" s="10"/>
      <c r="B143" s="27" t="s">
        <v>86</v>
      </c>
      <c r="C143" s="1" t="s">
        <v>17</v>
      </c>
      <c r="D143" s="120"/>
      <c r="E143" s="17" t="s">
        <v>20</v>
      </c>
      <c r="F143" s="73" t="s">
        <v>396</v>
      </c>
      <c r="G143" s="74" t="s">
        <v>112</v>
      </c>
      <c r="H143" s="75">
        <v>5</v>
      </c>
      <c r="I143" s="76">
        <v>1</v>
      </c>
      <c r="J143" s="96">
        <f>1+3</f>
        <v>4</v>
      </c>
      <c r="K143" s="77">
        <f>950.9</f>
        <v>950.9</v>
      </c>
      <c r="L143" s="77"/>
      <c r="M143" s="38">
        <f t="shared" si="4"/>
        <v>950.9</v>
      </c>
      <c r="N143" s="100">
        <f>15+4+2</f>
        <v>21</v>
      </c>
      <c r="O143" s="81">
        <f>30236.61+18366.75</f>
        <v>48603.360000000001</v>
      </c>
      <c r="P143" s="81">
        <f>30236.61</f>
        <v>30236.61</v>
      </c>
      <c r="Q143" s="12">
        <f t="shared" si="3"/>
        <v>18366.75</v>
      </c>
      <c r="R143" s="141"/>
    </row>
    <row r="144" spans="1:18" s="13" customFormat="1" ht="15.75" x14ac:dyDescent="0.25">
      <c r="A144" s="10"/>
      <c r="B144" s="25" t="s">
        <v>86</v>
      </c>
      <c r="C144" s="1" t="s">
        <v>17</v>
      </c>
      <c r="D144" s="120"/>
      <c r="E144" s="17" t="s">
        <v>20</v>
      </c>
      <c r="F144" s="73" t="s">
        <v>465</v>
      </c>
      <c r="G144" s="11" t="s">
        <v>114</v>
      </c>
      <c r="H144" s="1"/>
      <c r="I144" s="49"/>
      <c r="J144" s="51"/>
      <c r="K144" s="40"/>
      <c r="L144" s="40"/>
      <c r="M144" s="78">
        <f t="shared" si="4"/>
        <v>0</v>
      </c>
      <c r="N144" s="41">
        <v>3</v>
      </c>
      <c r="O144" s="31">
        <v>3107.23</v>
      </c>
      <c r="P144" s="31">
        <v>3107.23</v>
      </c>
      <c r="Q144" s="79">
        <f t="shared" si="3"/>
        <v>0</v>
      </c>
    </row>
    <row r="145" spans="1:18" s="13" customFormat="1" ht="15.75" x14ac:dyDescent="0.25">
      <c r="A145" s="10"/>
      <c r="B145" s="62" t="s">
        <v>87</v>
      </c>
      <c r="C145" s="1" t="s">
        <v>17</v>
      </c>
      <c r="D145" s="120"/>
      <c r="E145" s="17" t="s">
        <v>78</v>
      </c>
      <c r="F145" s="73" t="s">
        <v>142</v>
      </c>
      <c r="G145" s="74" t="s">
        <v>112</v>
      </c>
      <c r="H145" s="75"/>
      <c r="I145" s="76"/>
      <c r="J145" s="96"/>
      <c r="K145" s="77"/>
      <c r="L145" s="77"/>
      <c r="M145" s="38">
        <f t="shared" si="4"/>
        <v>0</v>
      </c>
      <c r="N145" s="100"/>
      <c r="O145" s="81"/>
      <c r="P145" s="81"/>
      <c r="Q145" s="12">
        <f t="shared" si="3"/>
        <v>0</v>
      </c>
      <c r="R145" s="141"/>
    </row>
    <row r="146" spans="1:18" s="13" customFormat="1" ht="15.75" x14ac:dyDescent="0.25">
      <c r="A146" s="10"/>
      <c r="B146" s="62" t="s">
        <v>312</v>
      </c>
      <c r="C146" s="1" t="s">
        <v>17</v>
      </c>
      <c r="D146" s="120"/>
      <c r="E146" s="17" t="s">
        <v>20</v>
      </c>
      <c r="F146" s="73" t="s">
        <v>320</v>
      </c>
      <c r="G146" s="74" t="s">
        <v>112</v>
      </c>
      <c r="H146" s="75">
        <v>7</v>
      </c>
      <c r="I146" s="76">
        <v>1</v>
      </c>
      <c r="J146" s="96">
        <f>1+1</f>
        <v>2</v>
      </c>
      <c r="K146" s="77">
        <f>3319.49</f>
        <v>3319.49</v>
      </c>
      <c r="L146" s="77"/>
      <c r="M146" s="38"/>
      <c r="N146" s="100">
        <f>5+6</f>
        <v>11</v>
      </c>
      <c r="O146" s="81">
        <f>4226.2+6627.45</f>
        <v>10853.65</v>
      </c>
      <c r="P146" s="81">
        <f>4226.2</f>
        <v>4226.2</v>
      </c>
      <c r="Q146" s="12"/>
      <c r="R146" s="141"/>
    </row>
    <row r="147" spans="1:18" s="13" customFormat="1" ht="15.75" x14ac:dyDescent="0.25">
      <c r="A147" s="10"/>
      <c r="B147" s="62" t="s">
        <v>494</v>
      </c>
      <c r="C147" s="1" t="s">
        <v>17</v>
      </c>
      <c r="D147" s="120"/>
      <c r="E147" s="17" t="s">
        <v>20</v>
      </c>
      <c r="F147" s="73" t="s">
        <v>497</v>
      </c>
      <c r="G147" s="74" t="s">
        <v>112</v>
      </c>
      <c r="H147" s="75">
        <v>2</v>
      </c>
      <c r="I147" s="76"/>
      <c r="J147" s="96"/>
      <c r="K147" s="77"/>
      <c r="L147" s="77"/>
      <c r="M147" s="38"/>
      <c r="N147" s="100"/>
      <c r="O147" s="81"/>
      <c r="P147" s="81"/>
      <c r="Q147" s="12"/>
      <c r="R147" s="141"/>
    </row>
    <row r="148" spans="1:18" s="13" customFormat="1" ht="15.75" x14ac:dyDescent="0.25">
      <c r="A148" s="10"/>
      <c r="B148" s="62" t="s">
        <v>494</v>
      </c>
      <c r="C148" s="1"/>
      <c r="D148" s="120"/>
      <c r="E148" s="17"/>
      <c r="F148" s="73"/>
      <c r="G148" s="74" t="s">
        <v>114</v>
      </c>
      <c r="H148" s="75">
        <v>1</v>
      </c>
      <c r="I148" s="76"/>
      <c r="J148" s="96"/>
      <c r="K148" s="77"/>
      <c r="L148" s="77"/>
      <c r="M148" s="38"/>
      <c r="N148" s="100"/>
      <c r="O148" s="81"/>
      <c r="P148" s="81"/>
      <c r="Q148" s="12"/>
      <c r="R148" s="141"/>
    </row>
    <row r="149" spans="1:18" s="13" customFormat="1" ht="15.75" x14ac:dyDescent="0.25">
      <c r="A149" s="10"/>
      <c r="B149" s="30" t="s">
        <v>88</v>
      </c>
      <c r="C149" s="1" t="s">
        <v>17</v>
      </c>
      <c r="D149" s="120"/>
      <c r="E149" s="3" t="s">
        <v>89</v>
      </c>
      <c r="F149" s="73" t="s">
        <v>397</v>
      </c>
      <c r="G149" s="74" t="s">
        <v>112</v>
      </c>
      <c r="H149" s="75">
        <v>4</v>
      </c>
      <c r="I149" s="76"/>
      <c r="J149" s="96"/>
      <c r="K149" s="77">
        <f>4226.2</f>
        <v>4226.2</v>
      </c>
      <c r="L149" s="77"/>
      <c r="M149" s="38">
        <f t="shared" si="4"/>
        <v>4226.2</v>
      </c>
      <c r="N149" s="100">
        <f>4+1+3+1+2+2</f>
        <v>13</v>
      </c>
      <c r="O149" s="81">
        <f>11967.83+2831.55+10544.37+9418.99+3799.13</f>
        <v>38561.869999999995</v>
      </c>
      <c r="P149" s="81">
        <f>11967.83</f>
        <v>11967.83</v>
      </c>
      <c r="Q149" s="79">
        <f t="shared" ref="Q149:Q191" si="5">O149-P149</f>
        <v>26594.039999999994</v>
      </c>
      <c r="R149" s="141"/>
    </row>
    <row r="150" spans="1:18" s="13" customFormat="1" ht="15.75" x14ac:dyDescent="0.25">
      <c r="A150" s="10"/>
      <c r="B150" s="24" t="s">
        <v>88</v>
      </c>
      <c r="C150" s="1" t="s">
        <v>17</v>
      </c>
      <c r="D150" s="120"/>
      <c r="E150" s="3" t="s">
        <v>89</v>
      </c>
      <c r="F150" s="73" t="s">
        <v>442</v>
      </c>
      <c r="G150" s="11" t="s">
        <v>118</v>
      </c>
      <c r="H150" s="1">
        <v>1</v>
      </c>
      <c r="I150" s="49"/>
      <c r="J150" s="46"/>
      <c r="K150" s="40"/>
      <c r="L150" s="40"/>
      <c r="M150" s="38">
        <f t="shared" si="4"/>
        <v>0</v>
      </c>
      <c r="N150" s="41">
        <v>2</v>
      </c>
      <c r="O150" s="31">
        <v>8523.52</v>
      </c>
      <c r="P150" s="31">
        <v>1417.57</v>
      </c>
      <c r="Q150" s="12">
        <f t="shared" si="5"/>
        <v>7105.9500000000007</v>
      </c>
    </row>
    <row r="151" spans="1:18" s="13" customFormat="1" ht="15.75" x14ac:dyDescent="0.25">
      <c r="A151" s="10"/>
      <c r="B151" s="30" t="s">
        <v>90</v>
      </c>
      <c r="C151" s="1" t="s">
        <v>17</v>
      </c>
      <c r="D151" s="120"/>
      <c r="E151" s="17" t="s">
        <v>20</v>
      </c>
      <c r="F151" s="73" t="s">
        <v>398</v>
      </c>
      <c r="G151" s="74" t="s">
        <v>112</v>
      </c>
      <c r="H151" s="75">
        <v>3</v>
      </c>
      <c r="I151" s="76"/>
      <c r="J151" s="96">
        <f>1</f>
        <v>1</v>
      </c>
      <c r="K151" s="77"/>
      <c r="L151" s="77"/>
      <c r="M151" s="38">
        <f t="shared" si="4"/>
        <v>0</v>
      </c>
      <c r="N151" s="100">
        <f>1+1</f>
        <v>2</v>
      </c>
      <c r="O151" s="81">
        <f>2122.67</f>
        <v>2122.67</v>
      </c>
      <c r="P151" s="81"/>
      <c r="Q151" s="79">
        <f t="shared" si="5"/>
        <v>2122.67</v>
      </c>
      <c r="R151" s="141"/>
    </row>
    <row r="152" spans="1:18" s="13" customFormat="1" ht="15.75" x14ac:dyDescent="0.25">
      <c r="A152" s="10"/>
      <c r="B152" s="24" t="s">
        <v>90</v>
      </c>
      <c r="C152" s="1" t="s">
        <v>17</v>
      </c>
      <c r="D152" s="120"/>
      <c r="E152" s="17" t="s">
        <v>20</v>
      </c>
      <c r="F152" s="73" t="s">
        <v>466</v>
      </c>
      <c r="G152" s="11" t="s">
        <v>114</v>
      </c>
      <c r="H152" s="1">
        <v>4</v>
      </c>
      <c r="I152" s="49"/>
      <c r="J152" s="51"/>
      <c r="K152" s="40"/>
      <c r="L152" s="40"/>
      <c r="M152" s="78">
        <f t="shared" si="4"/>
        <v>0</v>
      </c>
      <c r="N152" s="41">
        <v>15</v>
      </c>
      <c r="O152" s="31">
        <f>31793</f>
        <v>31793</v>
      </c>
      <c r="P152" s="31">
        <v>20378.8</v>
      </c>
      <c r="Q152" s="12">
        <f t="shared" si="5"/>
        <v>11414.2</v>
      </c>
    </row>
    <row r="153" spans="1:18" s="13" customFormat="1" ht="15.75" x14ac:dyDescent="0.25">
      <c r="A153" s="10"/>
      <c r="B153" s="30" t="s">
        <v>91</v>
      </c>
      <c r="C153" s="1" t="s">
        <v>17</v>
      </c>
      <c r="D153" s="120"/>
      <c r="E153" s="17" t="s">
        <v>20</v>
      </c>
      <c r="F153" s="73" t="s">
        <v>399</v>
      </c>
      <c r="G153" s="74" t="s">
        <v>112</v>
      </c>
      <c r="H153" s="75"/>
      <c r="I153" s="76"/>
      <c r="J153" s="96"/>
      <c r="K153" s="77"/>
      <c r="L153" s="77"/>
      <c r="M153" s="38">
        <f t="shared" si="4"/>
        <v>0</v>
      </c>
      <c r="N153" s="100"/>
      <c r="O153" s="81"/>
      <c r="P153" s="81"/>
      <c r="Q153" s="79">
        <f t="shared" si="5"/>
        <v>0</v>
      </c>
      <c r="R153" s="141"/>
    </row>
    <row r="154" spans="1:18" s="13" customFormat="1" ht="15.75" x14ac:dyDescent="0.25">
      <c r="A154" s="10"/>
      <c r="B154" s="22" t="s">
        <v>138</v>
      </c>
      <c r="C154" s="1" t="s">
        <v>17</v>
      </c>
      <c r="D154" s="120"/>
      <c r="E154" s="17" t="s">
        <v>20</v>
      </c>
      <c r="F154" s="73" t="s">
        <v>467</v>
      </c>
      <c r="G154" s="11" t="s">
        <v>114</v>
      </c>
      <c r="H154" s="1">
        <v>2</v>
      </c>
      <c r="I154" s="49"/>
      <c r="J154" s="51"/>
      <c r="K154" s="37"/>
      <c r="L154" s="37"/>
      <c r="M154" s="78">
        <f t="shared" si="4"/>
        <v>0</v>
      </c>
      <c r="N154" s="39">
        <v>4</v>
      </c>
      <c r="O154" s="31">
        <v>1841</v>
      </c>
      <c r="P154" s="31"/>
      <c r="Q154" s="12">
        <f t="shared" si="5"/>
        <v>1841</v>
      </c>
    </row>
    <row r="155" spans="1:18" s="13" customFormat="1" ht="15.75" x14ac:dyDescent="0.25">
      <c r="A155" s="10"/>
      <c r="B155" s="62" t="s">
        <v>138</v>
      </c>
      <c r="C155" s="1" t="s">
        <v>17</v>
      </c>
      <c r="D155" s="120"/>
      <c r="E155" s="17" t="s">
        <v>20</v>
      </c>
      <c r="F155" s="73" t="s">
        <v>400</v>
      </c>
      <c r="G155" s="74" t="s">
        <v>112</v>
      </c>
      <c r="H155" s="75">
        <v>4</v>
      </c>
      <c r="I155" s="82"/>
      <c r="J155" s="96"/>
      <c r="K155" s="77"/>
      <c r="L155" s="77"/>
      <c r="M155" s="38">
        <f t="shared" si="4"/>
        <v>0</v>
      </c>
      <c r="N155" s="100">
        <f>5</f>
        <v>5</v>
      </c>
      <c r="O155" s="81">
        <v>8995.8700000000008</v>
      </c>
      <c r="P155" s="81"/>
      <c r="Q155" s="79">
        <f t="shared" si="5"/>
        <v>8995.8700000000008</v>
      </c>
      <c r="R155" s="141"/>
    </row>
    <row r="156" spans="1:18" s="13" customFormat="1" ht="15.75" x14ac:dyDescent="0.25">
      <c r="A156" s="10"/>
      <c r="B156" s="62" t="s">
        <v>157</v>
      </c>
      <c r="C156" s="1" t="s">
        <v>17</v>
      </c>
      <c r="D156" s="120"/>
      <c r="E156" s="17" t="s">
        <v>20</v>
      </c>
      <c r="F156" s="73" t="s">
        <v>401</v>
      </c>
      <c r="G156" s="74" t="s">
        <v>112</v>
      </c>
      <c r="H156" s="75">
        <v>3</v>
      </c>
      <c r="I156" s="82"/>
      <c r="J156" s="96"/>
      <c r="K156" s="77"/>
      <c r="L156" s="77"/>
      <c r="M156" s="38">
        <f t="shared" ref="M156:M190" si="6">K156-L156</f>
        <v>0</v>
      </c>
      <c r="N156" s="100"/>
      <c r="O156" s="81"/>
      <c r="P156" s="81"/>
      <c r="Q156" s="12">
        <f t="shared" si="5"/>
        <v>0</v>
      </c>
      <c r="R156" s="141"/>
    </row>
    <row r="157" spans="1:18" s="13" customFormat="1" ht="15.75" x14ac:dyDescent="0.25">
      <c r="A157" s="10"/>
      <c r="B157" s="22" t="s">
        <v>157</v>
      </c>
      <c r="C157" s="1" t="s">
        <v>17</v>
      </c>
      <c r="D157" s="120"/>
      <c r="E157" s="17" t="s">
        <v>20</v>
      </c>
      <c r="F157" s="73"/>
      <c r="G157" s="11" t="s">
        <v>114</v>
      </c>
      <c r="H157" s="1"/>
      <c r="I157" s="49"/>
      <c r="J157" s="51"/>
      <c r="K157" s="37"/>
      <c r="L157" s="37"/>
      <c r="M157" s="38">
        <f t="shared" si="6"/>
        <v>0</v>
      </c>
      <c r="N157" s="39"/>
      <c r="O157" s="31"/>
      <c r="P157" s="31"/>
      <c r="Q157" s="79">
        <f t="shared" si="5"/>
        <v>0</v>
      </c>
    </row>
    <row r="158" spans="1:18" s="15" customFormat="1" ht="15.75" x14ac:dyDescent="0.25">
      <c r="A158" s="14"/>
      <c r="B158" s="80" t="s">
        <v>92</v>
      </c>
      <c r="C158" s="1" t="s">
        <v>17</v>
      </c>
      <c r="D158" s="120"/>
      <c r="E158" s="17" t="s">
        <v>20</v>
      </c>
      <c r="F158" s="73" t="s">
        <v>402</v>
      </c>
      <c r="G158" s="74" t="s">
        <v>112</v>
      </c>
      <c r="H158" s="75">
        <v>2</v>
      </c>
      <c r="I158" s="76"/>
      <c r="J158" s="96">
        <f>1</f>
        <v>1</v>
      </c>
      <c r="K158" s="77"/>
      <c r="L158" s="77"/>
      <c r="M158" s="38">
        <f t="shared" si="6"/>
        <v>0</v>
      </c>
      <c r="N158" s="100">
        <f>4+1</f>
        <v>5</v>
      </c>
      <c r="O158" s="81">
        <f>12624.74+2697.06</f>
        <v>15321.8</v>
      </c>
      <c r="P158" s="81">
        <f>12624.74</f>
        <v>12624.74</v>
      </c>
      <c r="Q158" s="12">
        <f t="shared" si="5"/>
        <v>2697.0599999999995</v>
      </c>
      <c r="R158" s="141"/>
    </row>
    <row r="159" spans="1:18" s="15" customFormat="1" ht="15.75" x14ac:dyDescent="0.25">
      <c r="A159" s="14"/>
      <c r="B159" s="23" t="s">
        <v>92</v>
      </c>
      <c r="C159" s="1" t="s">
        <v>17</v>
      </c>
      <c r="D159" s="120"/>
      <c r="E159" s="17" t="s">
        <v>20</v>
      </c>
      <c r="F159" s="73" t="s">
        <v>129</v>
      </c>
      <c r="G159" s="11" t="s">
        <v>114</v>
      </c>
      <c r="H159" s="1"/>
      <c r="I159" s="49"/>
      <c r="J159" s="51"/>
      <c r="K159" s="40"/>
      <c r="L159" s="40"/>
      <c r="M159" s="38">
        <f t="shared" si="6"/>
        <v>0</v>
      </c>
      <c r="N159" s="39"/>
      <c r="O159" s="31"/>
      <c r="P159" s="31"/>
      <c r="Q159" s="79">
        <f t="shared" si="5"/>
        <v>0</v>
      </c>
    </row>
    <row r="160" spans="1:18" s="13" customFormat="1" ht="15.75" x14ac:dyDescent="0.25">
      <c r="A160" s="10"/>
      <c r="B160" s="30" t="s">
        <v>93</v>
      </c>
      <c r="C160" s="1" t="s">
        <v>17</v>
      </c>
      <c r="D160" s="120"/>
      <c r="E160" s="3" t="s">
        <v>94</v>
      </c>
      <c r="F160" s="73" t="s">
        <v>403</v>
      </c>
      <c r="G160" s="74" t="s">
        <v>112</v>
      </c>
      <c r="H160" s="75">
        <v>7</v>
      </c>
      <c r="I160" s="76">
        <v>2</v>
      </c>
      <c r="J160" s="96">
        <f>2</f>
        <v>2</v>
      </c>
      <c r="K160" s="77">
        <f>2362.84</f>
        <v>2362.84</v>
      </c>
      <c r="L160" s="77">
        <f>2362.84</f>
        <v>2362.84</v>
      </c>
      <c r="M160" s="38">
        <f t="shared" si="6"/>
        <v>0</v>
      </c>
      <c r="N160" s="100">
        <f>3+8</f>
        <v>11</v>
      </c>
      <c r="O160" s="81">
        <f>20117.75</f>
        <v>20117.75</v>
      </c>
      <c r="P160" s="81">
        <f>20117.75</f>
        <v>20117.75</v>
      </c>
      <c r="Q160" s="12">
        <f t="shared" si="5"/>
        <v>0</v>
      </c>
      <c r="R160" s="141"/>
    </row>
    <row r="161" spans="1:18" s="13" customFormat="1" ht="15.75" x14ac:dyDescent="0.25">
      <c r="A161" s="10"/>
      <c r="B161" s="24" t="s">
        <v>93</v>
      </c>
      <c r="C161" s="1" t="s">
        <v>17</v>
      </c>
      <c r="D161" s="120"/>
      <c r="E161" s="3" t="s">
        <v>94</v>
      </c>
      <c r="F161" s="73" t="s">
        <v>130</v>
      </c>
      <c r="G161" s="11" t="s">
        <v>114</v>
      </c>
      <c r="H161" s="1"/>
      <c r="I161" s="49"/>
      <c r="J161" s="51"/>
      <c r="K161" s="40"/>
      <c r="L161" s="77"/>
      <c r="M161" s="38">
        <f t="shared" si="6"/>
        <v>0</v>
      </c>
      <c r="N161" s="41"/>
      <c r="O161" s="31"/>
      <c r="P161" s="31"/>
      <c r="Q161" s="79">
        <f t="shared" si="5"/>
        <v>0</v>
      </c>
    </row>
    <row r="162" spans="1:18" s="13" customFormat="1" ht="15.75" x14ac:dyDescent="0.25">
      <c r="A162" s="10"/>
      <c r="B162" s="24" t="s">
        <v>93</v>
      </c>
      <c r="C162" s="1" t="s">
        <v>17</v>
      </c>
      <c r="D162" s="120"/>
      <c r="E162" s="3" t="s">
        <v>94</v>
      </c>
      <c r="F162" s="73" t="s">
        <v>240</v>
      </c>
      <c r="G162" s="11" t="s">
        <v>118</v>
      </c>
      <c r="H162" s="1"/>
      <c r="I162" s="49"/>
      <c r="J162" s="46"/>
      <c r="K162" s="40"/>
      <c r="L162" s="40"/>
      <c r="M162" s="78">
        <f t="shared" si="6"/>
        <v>0</v>
      </c>
      <c r="N162" s="41"/>
      <c r="O162" s="31"/>
      <c r="P162" s="31"/>
      <c r="Q162" s="12">
        <f t="shared" si="5"/>
        <v>0</v>
      </c>
    </row>
    <row r="163" spans="1:18" s="13" customFormat="1" ht="15.75" x14ac:dyDescent="0.25">
      <c r="A163" s="10"/>
      <c r="B163" s="30" t="s">
        <v>95</v>
      </c>
      <c r="C163" s="1" t="s">
        <v>17</v>
      </c>
      <c r="D163" s="120"/>
      <c r="E163" s="17" t="s">
        <v>20</v>
      </c>
      <c r="F163" s="73" t="s">
        <v>404</v>
      </c>
      <c r="G163" s="74" t="s">
        <v>112</v>
      </c>
      <c r="H163" s="75">
        <v>5</v>
      </c>
      <c r="I163" s="76">
        <v>1</v>
      </c>
      <c r="J163" s="96">
        <f>1</f>
        <v>1</v>
      </c>
      <c r="K163" s="77">
        <f>1061.35</f>
        <v>1061.3499999999999</v>
      </c>
      <c r="L163" s="77"/>
      <c r="M163" s="38">
        <f t="shared" si="6"/>
        <v>1061.3499999999999</v>
      </c>
      <c r="N163" s="100">
        <f>1+6</f>
        <v>7</v>
      </c>
      <c r="O163" s="81">
        <f>11603.82+7559.28</f>
        <v>19163.099999999999</v>
      </c>
      <c r="P163" s="81"/>
      <c r="Q163" s="79">
        <f t="shared" si="5"/>
        <v>19163.099999999999</v>
      </c>
      <c r="R163" s="141"/>
    </row>
    <row r="164" spans="1:18" s="13" customFormat="1" ht="15.75" x14ac:dyDescent="0.25">
      <c r="A164" s="10"/>
      <c r="B164" s="24" t="s">
        <v>95</v>
      </c>
      <c r="C164" s="1" t="s">
        <v>17</v>
      </c>
      <c r="D164" s="120"/>
      <c r="E164" s="17" t="s">
        <v>20</v>
      </c>
      <c r="F164" s="73" t="s">
        <v>291</v>
      </c>
      <c r="G164" s="11" t="s">
        <v>114</v>
      </c>
      <c r="H164" s="1">
        <v>1</v>
      </c>
      <c r="I164" s="49"/>
      <c r="J164" s="51"/>
      <c r="K164" s="40"/>
      <c r="L164" s="40"/>
      <c r="M164" s="78">
        <f t="shared" si="6"/>
        <v>0</v>
      </c>
      <c r="N164" s="41"/>
      <c r="O164" s="31"/>
      <c r="P164" s="31"/>
      <c r="Q164" s="12">
        <f t="shared" si="5"/>
        <v>0</v>
      </c>
    </row>
    <row r="165" spans="1:18" s="13" customFormat="1" ht="15.75" x14ac:dyDescent="0.25">
      <c r="A165" s="10"/>
      <c r="B165" s="30" t="s">
        <v>96</v>
      </c>
      <c r="C165" s="1" t="s">
        <v>17</v>
      </c>
      <c r="D165" s="120"/>
      <c r="E165" s="17" t="s">
        <v>97</v>
      </c>
      <c r="F165" s="73" t="s">
        <v>405</v>
      </c>
      <c r="G165" s="74" t="s">
        <v>112</v>
      </c>
      <c r="H165" s="75">
        <v>1</v>
      </c>
      <c r="I165" s="76"/>
      <c r="J165" s="96"/>
      <c r="K165" s="77"/>
      <c r="L165" s="77"/>
      <c r="M165" s="38">
        <f t="shared" si="6"/>
        <v>0</v>
      </c>
      <c r="N165" s="103">
        <f>1</f>
        <v>1</v>
      </c>
      <c r="O165" s="77">
        <f>1742.31</f>
        <v>1742.31</v>
      </c>
      <c r="P165" s="77"/>
      <c r="Q165" s="79">
        <f t="shared" si="5"/>
        <v>1742.31</v>
      </c>
      <c r="R165" s="141"/>
    </row>
    <row r="166" spans="1:18" s="13" customFormat="1" ht="15.75" x14ac:dyDescent="0.25">
      <c r="A166" s="10"/>
      <c r="B166" s="24" t="s">
        <v>96</v>
      </c>
      <c r="C166" s="1" t="s">
        <v>17</v>
      </c>
      <c r="D166" s="120"/>
      <c r="E166" s="17" t="s">
        <v>97</v>
      </c>
      <c r="F166" s="73" t="s">
        <v>468</v>
      </c>
      <c r="G166" s="11" t="s">
        <v>114</v>
      </c>
      <c r="H166" s="1">
        <v>1</v>
      </c>
      <c r="I166" s="49"/>
      <c r="J166" s="51"/>
      <c r="K166" s="40"/>
      <c r="L166" s="40"/>
      <c r="M166" s="78">
        <f t="shared" si="6"/>
        <v>0</v>
      </c>
      <c r="N166" s="41">
        <v>2</v>
      </c>
      <c r="O166" s="31"/>
      <c r="P166" s="31"/>
      <c r="Q166" s="12">
        <f t="shared" si="5"/>
        <v>0</v>
      </c>
    </row>
    <row r="167" spans="1:18" s="13" customFormat="1" ht="15.75" x14ac:dyDescent="0.25">
      <c r="A167" s="10"/>
      <c r="B167" s="30" t="s">
        <v>98</v>
      </c>
      <c r="C167" s="1" t="s">
        <v>17</v>
      </c>
      <c r="D167" s="120"/>
      <c r="E167" s="17" t="s">
        <v>35</v>
      </c>
      <c r="F167" s="73" t="s">
        <v>406</v>
      </c>
      <c r="G167" s="74" t="s">
        <v>112</v>
      </c>
      <c r="H167" s="75">
        <v>8</v>
      </c>
      <c r="I167" s="76">
        <v>2</v>
      </c>
      <c r="J167" s="96">
        <f>1</f>
        <v>1</v>
      </c>
      <c r="K167" s="77">
        <f>845.24+1764.25</f>
        <v>2609.4899999999998</v>
      </c>
      <c r="L167" s="77"/>
      <c r="M167" s="38">
        <f t="shared" si="6"/>
        <v>2609.4899999999998</v>
      </c>
      <c r="N167" s="100">
        <f>9+1+1+4</f>
        <v>15</v>
      </c>
      <c r="O167" s="81">
        <f>17007.01+2697.06+1267.86+31709.38+5331.44</f>
        <v>58012.75</v>
      </c>
      <c r="P167" s="81">
        <f>17007.01+10149.24</f>
        <v>27156.25</v>
      </c>
      <c r="Q167" s="79">
        <f t="shared" si="5"/>
        <v>30856.5</v>
      </c>
      <c r="R167" s="141"/>
    </row>
    <row r="168" spans="1:18" s="13" customFormat="1" ht="15.75" x14ac:dyDescent="0.25">
      <c r="A168" s="10"/>
      <c r="B168" s="24" t="s">
        <v>98</v>
      </c>
      <c r="C168" s="1" t="s">
        <v>17</v>
      </c>
      <c r="D168" s="120"/>
      <c r="E168" s="17" t="s">
        <v>35</v>
      </c>
      <c r="F168" s="73" t="s">
        <v>435</v>
      </c>
      <c r="G168" s="8" t="s">
        <v>117</v>
      </c>
      <c r="H168" s="1">
        <v>2</v>
      </c>
      <c r="I168" s="49"/>
      <c r="J168" s="46"/>
      <c r="K168" s="40"/>
      <c r="L168" s="40"/>
      <c r="M168" s="78">
        <f t="shared" si="6"/>
        <v>0</v>
      </c>
      <c r="N168" s="41">
        <f>4</f>
        <v>4</v>
      </c>
      <c r="O168" s="40">
        <v>10721.75</v>
      </c>
      <c r="P168" s="40"/>
      <c r="Q168" s="12">
        <f t="shared" si="5"/>
        <v>10721.75</v>
      </c>
    </row>
    <row r="169" spans="1:18" s="13" customFormat="1" ht="15.75" x14ac:dyDescent="0.25">
      <c r="A169" s="10"/>
      <c r="B169" s="24" t="s">
        <v>488</v>
      </c>
      <c r="C169" s="1" t="s">
        <v>17</v>
      </c>
      <c r="D169" s="120"/>
      <c r="E169" s="17" t="s">
        <v>97</v>
      </c>
      <c r="F169" s="73" t="s">
        <v>498</v>
      </c>
      <c r="G169" s="8" t="s">
        <v>112</v>
      </c>
      <c r="H169" s="1">
        <v>3</v>
      </c>
      <c r="I169" s="49"/>
      <c r="J169" s="46"/>
      <c r="K169" s="40"/>
      <c r="L169" s="40"/>
      <c r="M169" s="78"/>
      <c r="N169" s="41"/>
      <c r="O169" s="40"/>
      <c r="P169" s="40"/>
      <c r="Q169" s="12"/>
    </row>
    <row r="170" spans="1:18" s="15" customFormat="1" ht="15.75" x14ac:dyDescent="0.25">
      <c r="A170" s="14"/>
      <c r="B170" s="84" t="s">
        <v>99</v>
      </c>
      <c r="C170" s="1" t="s">
        <v>17</v>
      </c>
      <c r="D170" s="120"/>
      <c r="E170" s="3" t="s">
        <v>32</v>
      </c>
      <c r="F170" s="73" t="s">
        <v>418</v>
      </c>
      <c r="G170" s="74" t="s">
        <v>112</v>
      </c>
      <c r="H170" s="75"/>
      <c r="I170" s="76"/>
      <c r="J170" s="96"/>
      <c r="K170" s="77"/>
      <c r="L170" s="77"/>
      <c r="M170" s="38">
        <f t="shared" si="6"/>
        <v>0</v>
      </c>
      <c r="N170" s="100"/>
      <c r="O170" s="81"/>
      <c r="P170" s="81"/>
      <c r="Q170" s="79">
        <f t="shared" si="5"/>
        <v>0</v>
      </c>
      <c r="R170" s="141"/>
    </row>
    <row r="171" spans="1:18" s="15" customFormat="1" ht="15.75" x14ac:dyDescent="0.25">
      <c r="A171" s="14"/>
      <c r="B171" s="29" t="s">
        <v>99</v>
      </c>
      <c r="C171" s="1" t="s">
        <v>17</v>
      </c>
      <c r="D171" s="120"/>
      <c r="E171" s="3" t="s">
        <v>32</v>
      </c>
      <c r="F171" s="73" t="s">
        <v>423</v>
      </c>
      <c r="G171" s="8" t="s">
        <v>117</v>
      </c>
      <c r="H171" s="1"/>
      <c r="I171" s="49"/>
      <c r="J171" s="51"/>
      <c r="K171" s="40"/>
      <c r="L171" s="40"/>
      <c r="M171" s="78">
        <f t="shared" si="6"/>
        <v>0</v>
      </c>
      <c r="N171" s="39"/>
      <c r="O171" s="40"/>
      <c r="P171" s="40"/>
      <c r="Q171" s="12">
        <f t="shared" si="5"/>
        <v>0</v>
      </c>
    </row>
    <row r="172" spans="1:18" s="15" customFormat="1" ht="31.5" x14ac:dyDescent="0.25">
      <c r="A172" s="14"/>
      <c r="B172" s="30" t="s">
        <v>144</v>
      </c>
      <c r="C172" s="1" t="s">
        <v>304</v>
      </c>
      <c r="D172" s="120" t="s">
        <v>313</v>
      </c>
      <c r="E172" s="17" t="s">
        <v>97</v>
      </c>
      <c r="F172" s="73" t="s">
        <v>407</v>
      </c>
      <c r="G172" s="66" t="s">
        <v>112</v>
      </c>
      <c r="H172" s="75">
        <v>5</v>
      </c>
      <c r="I172" s="76">
        <v>4</v>
      </c>
      <c r="J172" s="98">
        <f>2+2+1</f>
        <v>5</v>
      </c>
      <c r="K172" s="77">
        <f>950.9+1449.39+2272.32</f>
        <v>4672.6100000000006</v>
      </c>
      <c r="L172" s="77"/>
      <c r="M172" s="38">
        <f t="shared" si="6"/>
        <v>4672.6100000000006</v>
      </c>
      <c r="N172" s="100">
        <f>3+2+1</f>
        <v>6</v>
      </c>
      <c r="O172" s="77">
        <f>5020.57+5566.06+2694.94</f>
        <v>13281.570000000002</v>
      </c>
      <c r="P172" s="77"/>
      <c r="Q172" s="79">
        <f t="shared" si="5"/>
        <v>13281.570000000002</v>
      </c>
      <c r="R172" s="141"/>
    </row>
    <row r="173" spans="1:18" s="15" customFormat="1" ht="15.75" x14ac:dyDescent="0.25">
      <c r="A173" s="14"/>
      <c r="B173" s="30" t="s">
        <v>488</v>
      </c>
      <c r="C173" s="1"/>
      <c r="D173" s="120"/>
      <c r="E173" s="17"/>
      <c r="F173" s="73"/>
      <c r="G173" s="66" t="s">
        <v>114</v>
      </c>
      <c r="H173" s="75">
        <v>5</v>
      </c>
      <c r="I173" s="76"/>
      <c r="J173" s="98"/>
      <c r="K173" s="77"/>
      <c r="L173" s="77"/>
      <c r="M173" s="38"/>
      <c r="N173" s="100"/>
      <c r="O173" s="77"/>
      <c r="P173" s="77"/>
      <c r="Q173" s="79"/>
    </row>
    <row r="174" spans="1:18" s="15" customFormat="1" ht="15.75" x14ac:dyDescent="0.25">
      <c r="A174" s="14"/>
      <c r="B174" s="30" t="s">
        <v>488</v>
      </c>
      <c r="C174" s="1"/>
      <c r="D174" s="120"/>
      <c r="E174" s="17"/>
      <c r="F174" s="73"/>
      <c r="G174" s="66" t="s">
        <v>113</v>
      </c>
      <c r="H174" s="75">
        <v>1</v>
      </c>
      <c r="I174" s="76"/>
      <c r="J174" s="98"/>
      <c r="K174" s="77"/>
      <c r="L174" s="77"/>
      <c r="M174" s="38"/>
      <c r="N174" s="100"/>
      <c r="O174" s="77"/>
      <c r="P174" s="77"/>
      <c r="Q174" s="79"/>
    </row>
    <row r="175" spans="1:18" s="15" customFormat="1" ht="31.5" x14ac:dyDescent="0.25">
      <c r="A175" s="14"/>
      <c r="B175" s="34" t="s">
        <v>144</v>
      </c>
      <c r="C175" s="1" t="s">
        <v>446</v>
      </c>
      <c r="D175" s="120" t="s">
        <v>313</v>
      </c>
      <c r="E175" s="3" t="s">
        <v>20</v>
      </c>
      <c r="F175" s="73" t="s">
        <v>485</v>
      </c>
      <c r="G175" s="8" t="s">
        <v>114</v>
      </c>
      <c r="H175" s="1">
        <v>6</v>
      </c>
      <c r="I175" s="53">
        <v>1</v>
      </c>
      <c r="J175" s="52">
        <v>1</v>
      </c>
      <c r="K175" s="40"/>
      <c r="L175" s="40"/>
      <c r="M175" s="78">
        <f t="shared" si="6"/>
        <v>0</v>
      </c>
      <c r="N175" s="42">
        <v>17</v>
      </c>
      <c r="O175" s="31">
        <f>10845.7</f>
        <v>10845.7</v>
      </c>
      <c r="P175" s="31">
        <v>10845.7</v>
      </c>
      <c r="Q175" s="12">
        <f t="shared" si="5"/>
        <v>0</v>
      </c>
    </row>
    <row r="176" spans="1:18" s="21" customFormat="1" ht="47.25" x14ac:dyDescent="0.25">
      <c r="A176" s="1"/>
      <c r="B176" s="30" t="s">
        <v>100</v>
      </c>
      <c r="C176" s="1" t="s">
        <v>304</v>
      </c>
      <c r="D176" s="120" t="s">
        <v>416</v>
      </c>
      <c r="E176" s="17" t="s">
        <v>20</v>
      </c>
      <c r="F176" s="73" t="s">
        <v>408</v>
      </c>
      <c r="G176" s="27" t="s">
        <v>112</v>
      </c>
      <c r="H176" s="75">
        <v>6</v>
      </c>
      <c r="I176" s="76"/>
      <c r="J176" s="98"/>
      <c r="K176" s="86"/>
      <c r="L176" s="86"/>
      <c r="M176" s="38">
        <f t="shared" si="6"/>
        <v>0</v>
      </c>
      <c r="N176" s="100">
        <f>1</f>
        <v>1</v>
      </c>
      <c r="O176" s="87">
        <f>10770.58</f>
        <v>10770.58</v>
      </c>
      <c r="P176" s="87"/>
      <c r="Q176" s="79">
        <f t="shared" si="5"/>
        <v>10770.58</v>
      </c>
      <c r="R176" s="141"/>
    </row>
    <row r="177" spans="1:18" s="21" customFormat="1" ht="47.25" x14ac:dyDescent="0.25">
      <c r="A177" s="1"/>
      <c r="B177" s="24" t="s">
        <v>100</v>
      </c>
      <c r="C177" s="18" t="s">
        <v>125</v>
      </c>
      <c r="D177" s="120" t="s">
        <v>126</v>
      </c>
      <c r="E177" s="17" t="s">
        <v>20</v>
      </c>
      <c r="F177" s="73" t="s">
        <v>486</v>
      </c>
      <c r="G177" s="20" t="s">
        <v>114</v>
      </c>
      <c r="H177" s="1">
        <v>7</v>
      </c>
      <c r="I177" s="53"/>
      <c r="J177" s="52"/>
      <c r="K177" s="55"/>
      <c r="L177" s="55"/>
      <c r="M177" s="78">
        <f t="shared" si="6"/>
        <v>0</v>
      </c>
      <c r="N177" s="41"/>
      <c r="O177" s="54"/>
      <c r="P177" s="54"/>
      <c r="Q177" s="12">
        <f t="shared" si="5"/>
        <v>0</v>
      </c>
    </row>
    <row r="178" spans="1:18" s="13" customFormat="1" ht="15.75" x14ac:dyDescent="0.25">
      <c r="A178" s="10"/>
      <c r="B178" s="62" t="s">
        <v>101</v>
      </c>
      <c r="C178" s="1" t="s">
        <v>17</v>
      </c>
      <c r="D178" s="120"/>
      <c r="E178" s="17" t="s">
        <v>20</v>
      </c>
      <c r="F178" s="73" t="s">
        <v>409</v>
      </c>
      <c r="G178" s="74" t="s">
        <v>112</v>
      </c>
      <c r="H178" s="75">
        <v>4</v>
      </c>
      <c r="I178" s="76"/>
      <c r="J178" s="96">
        <f>1</f>
        <v>1</v>
      </c>
      <c r="K178" s="77"/>
      <c r="L178" s="77"/>
      <c r="M178" s="38">
        <f t="shared" si="6"/>
        <v>0</v>
      </c>
      <c r="N178" s="100">
        <f>5+2</f>
        <v>7</v>
      </c>
      <c r="O178" s="81">
        <f>6288.07</f>
        <v>6288.07</v>
      </c>
      <c r="P178" s="81"/>
      <c r="Q178" s="79">
        <f t="shared" si="5"/>
        <v>6288.07</v>
      </c>
      <c r="R178" s="141"/>
    </row>
    <row r="179" spans="1:18" s="13" customFormat="1" ht="15.75" x14ac:dyDescent="0.25">
      <c r="A179" s="10"/>
      <c r="B179" s="62" t="s">
        <v>146</v>
      </c>
      <c r="C179" s="1" t="s">
        <v>17</v>
      </c>
      <c r="D179" s="120"/>
      <c r="E179" s="17" t="s">
        <v>20</v>
      </c>
      <c r="F179" s="73" t="s">
        <v>410</v>
      </c>
      <c r="G179" s="74" t="s">
        <v>112</v>
      </c>
      <c r="H179" s="75">
        <v>4</v>
      </c>
      <c r="I179" s="76">
        <v>4</v>
      </c>
      <c r="J179" s="96">
        <f>4+1</f>
        <v>5</v>
      </c>
      <c r="K179" s="77">
        <f>4610.77+1568.98</f>
        <v>6179.75</v>
      </c>
      <c r="L179" s="77"/>
      <c r="M179" s="38">
        <f t="shared" si="6"/>
        <v>6179.75</v>
      </c>
      <c r="N179" s="100">
        <f>5+1+1</f>
        <v>7</v>
      </c>
      <c r="O179" s="81">
        <f>13579.06+1287.07+2636.18</f>
        <v>17502.309999999998</v>
      </c>
      <c r="P179" s="81">
        <f>13579.06</f>
        <v>13579.06</v>
      </c>
      <c r="Q179" s="12">
        <f t="shared" si="5"/>
        <v>3923.2499999999982</v>
      </c>
      <c r="R179" s="141"/>
    </row>
    <row r="180" spans="1:18" s="13" customFormat="1" ht="15.75" x14ac:dyDescent="0.25">
      <c r="A180" s="10"/>
      <c r="B180" s="22" t="s">
        <v>146</v>
      </c>
      <c r="C180" s="1" t="s">
        <v>17</v>
      </c>
      <c r="D180" s="120"/>
      <c r="E180" s="3" t="s">
        <v>21</v>
      </c>
      <c r="F180" s="73" t="s">
        <v>443</v>
      </c>
      <c r="G180" s="11" t="s">
        <v>118</v>
      </c>
      <c r="H180" s="1">
        <v>3</v>
      </c>
      <c r="I180" s="47"/>
      <c r="J180" s="51"/>
      <c r="K180" s="37"/>
      <c r="L180" s="37"/>
      <c r="M180" s="38">
        <f t="shared" si="6"/>
        <v>0</v>
      </c>
      <c r="N180" s="39">
        <v>3</v>
      </c>
      <c r="O180" s="31">
        <v>3035.18</v>
      </c>
      <c r="P180" s="31"/>
      <c r="Q180" s="79">
        <f t="shared" si="5"/>
        <v>3035.18</v>
      </c>
    </row>
    <row r="181" spans="1:18" s="13" customFormat="1" ht="15.75" x14ac:dyDescent="0.25">
      <c r="A181" s="10"/>
      <c r="B181" s="27" t="s">
        <v>102</v>
      </c>
      <c r="C181" s="1" t="s">
        <v>17</v>
      </c>
      <c r="D181" s="120"/>
      <c r="E181" s="17" t="s">
        <v>20</v>
      </c>
      <c r="F181" s="73" t="s">
        <v>411</v>
      </c>
      <c r="G181" s="74" t="s">
        <v>112</v>
      </c>
      <c r="H181" s="75">
        <v>6</v>
      </c>
      <c r="I181" s="76">
        <v>1</v>
      </c>
      <c r="J181" s="96">
        <f>1+1</f>
        <v>2</v>
      </c>
      <c r="K181" s="77">
        <f>845.24</f>
        <v>845.24</v>
      </c>
      <c r="L181" s="77"/>
      <c r="M181" s="38">
        <f t="shared" si="6"/>
        <v>845.24</v>
      </c>
      <c r="N181" s="100">
        <f>3</f>
        <v>3</v>
      </c>
      <c r="O181" s="81">
        <f>7808.21</f>
        <v>7808.21</v>
      </c>
      <c r="P181" s="81"/>
      <c r="Q181" s="12">
        <f t="shared" si="5"/>
        <v>7808.21</v>
      </c>
      <c r="R181" s="141"/>
    </row>
    <row r="182" spans="1:18" s="13" customFormat="1" ht="15.75" x14ac:dyDescent="0.25">
      <c r="A182" s="10"/>
      <c r="B182" s="25" t="s">
        <v>102</v>
      </c>
      <c r="C182" s="1" t="s">
        <v>17</v>
      </c>
      <c r="D182" s="120"/>
      <c r="E182" s="17" t="s">
        <v>20</v>
      </c>
      <c r="F182" s="73" t="s">
        <v>469</v>
      </c>
      <c r="G182" s="11" t="s">
        <v>114</v>
      </c>
      <c r="H182" s="1">
        <v>2</v>
      </c>
      <c r="I182" s="58"/>
      <c r="J182" s="51"/>
      <c r="K182" s="40"/>
      <c r="L182" s="40"/>
      <c r="M182" s="38">
        <f t="shared" si="6"/>
        <v>0</v>
      </c>
      <c r="N182" s="41">
        <v>7</v>
      </c>
      <c r="O182" s="31">
        <f>7604.1</f>
        <v>7604.1</v>
      </c>
      <c r="P182" s="31">
        <v>7604.1</v>
      </c>
      <c r="Q182" s="79">
        <f t="shared" si="5"/>
        <v>0</v>
      </c>
    </row>
    <row r="183" spans="1:18" s="13" customFormat="1" ht="15.75" x14ac:dyDescent="0.25">
      <c r="A183" s="10"/>
      <c r="B183" s="27" t="s">
        <v>103</v>
      </c>
      <c r="C183" s="1" t="s">
        <v>17</v>
      </c>
      <c r="D183" s="120"/>
      <c r="E183" s="3" t="s">
        <v>20</v>
      </c>
      <c r="F183" s="73" t="s">
        <v>412</v>
      </c>
      <c r="G183" s="74" t="s">
        <v>112</v>
      </c>
      <c r="H183" s="75">
        <v>5</v>
      </c>
      <c r="I183" s="76"/>
      <c r="J183" s="96"/>
      <c r="K183" s="77"/>
      <c r="L183" s="77"/>
      <c r="M183" s="38">
        <f t="shared" si="6"/>
        <v>0</v>
      </c>
      <c r="N183" s="100">
        <f>7</f>
        <v>7</v>
      </c>
      <c r="O183" s="77">
        <f>20193.14</f>
        <v>20193.14</v>
      </c>
      <c r="P183" s="81"/>
      <c r="Q183" s="12">
        <f t="shared" si="5"/>
        <v>20193.14</v>
      </c>
      <c r="R183" s="141"/>
    </row>
    <row r="184" spans="1:18" s="13" customFormat="1" ht="15.75" x14ac:dyDescent="0.25">
      <c r="A184" s="10"/>
      <c r="B184" s="25" t="s">
        <v>103</v>
      </c>
      <c r="C184" s="1" t="s">
        <v>17</v>
      </c>
      <c r="D184" s="120"/>
      <c r="E184" s="3" t="s">
        <v>20</v>
      </c>
      <c r="F184" s="73" t="s">
        <v>470</v>
      </c>
      <c r="G184" s="11" t="s">
        <v>114</v>
      </c>
      <c r="H184" s="1">
        <v>3</v>
      </c>
      <c r="I184" s="49"/>
      <c r="J184" s="51"/>
      <c r="K184" s="40"/>
      <c r="L184" s="40"/>
      <c r="M184" s="38">
        <f t="shared" si="6"/>
        <v>0</v>
      </c>
      <c r="N184" s="41">
        <v>3</v>
      </c>
      <c r="O184" s="31">
        <f>8510.89</f>
        <v>8510.89</v>
      </c>
      <c r="P184" s="31">
        <v>8510.89</v>
      </c>
      <c r="Q184" s="79">
        <f t="shared" si="5"/>
        <v>0</v>
      </c>
    </row>
    <row r="185" spans="1:18" s="15" customFormat="1" ht="15.75" x14ac:dyDescent="0.25">
      <c r="A185" s="14"/>
      <c r="B185" s="28" t="s">
        <v>104</v>
      </c>
      <c r="C185" s="1" t="s">
        <v>17</v>
      </c>
      <c r="D185" s="120"/>
      <c r="E185" s="3" t="s">
        <v>20</v>
      </c>
      <c r="F185" s="73" t="s">
        <v>413</v>
      </c>
      <c r="G185" s="74" t="s">
        <v>112</v>
      </c>
      <c r="H185" s="75">
        <v>5</v>
      </c>
      <c r="I185" s="76">
        <v>3</v>
      </c>
      <c r="J185" s="96">
        <f>3+1</f>
        <v>4</v>
      </c>
      <c r="K185" s="77">
        <f>5112.82</f>
        <v>5112.82</v>
      </c>
      <c r="L185" s="77"/>
      <c r="M185" s="38">
        <f t="shared" si="6"/>
        <v>5112.82</v>
      </c>
      <c r="N185" s="100">
        <f>4+1</f>
        <v>5</v>
      </c>
      <c r="O185" s="81">
        <f>7087.22</f>
        <v>7087.22</v>
      </c>
      <c r="P185" s="81">
        <f>7086.22</f>
        <v>7086.22</v>
      </c>
      <c r="Q185" s="12">
        <f t="shared" si="5"/>
        <v>1</v>
      </c>
      <c r="R185" s="141"/>
    </row>
    <row r="186" spans="1:18" s="15" customFormat="1" ht="15.75" x14ac:dyDescent="0.25">
      <c r="A186" s="14"/>
      <c r="B186" s="26" t="s">
        <v>104</v>
      </c>
      <c r="C186" s="1" t="s">
        <v>17</v>
      </c>
      <c r="D186" s="120"/>
      <c r="E186" s="3" t="s">
        <v>20</v>
      </c>
      <c r="F186" s="73" t="s">
        <v>471</v>
      </c>
      <c r="G186" s="11" t="s">
        <v>114</v>
      </c>
      <c r="H186" s="1">
        <v>15</v>
      </c>
      <c r="I186" s="49"/>
      <c r="J186" s="51"/>
      <c r="K186" s="40"/>
      <c r="L186" s="40"/>
      <c r="M186" s="38">
        <f t="shared" si="6"/>
        <v>0</v>
      </c>
      <c r="N186" s="39">
        <v>12</v>
      </c>
      <c r="O186" s="31">
        <f>8717.37</f>
        <v>8717.3700000000008</v>
      </c>
      <c r="P186" s="31">
        <v>8717.3700000000008</v>
      </c>
      <c r="Q186" s="79">
        <f t="shared" si="5"/>
        <v>0</v>
      </c>
    </row>
    <row r="187" spans="1:18" s="13" customFormat="1" ht="15.75" x14ac:dyDescent="0.25">
      <c r="A187" s="10"/>
      <c r="B187" s="30" t="s">
        <v>105</v>
      </c>
      <c r="C187" s="1" t="s">
        <v>17</v>
      </c>
      <c r="D187" s="120"/>
      <c r="E187" s="17" t="s">
        <v>35</v>
      </c>
      <c r="F187" s="73" t="s">
        <v>419</v>
      </c>
      <c r="G187" s="74" t="s">
        <v>112</v>
      </c>
      <c r="H187" s="75"/>
      <c r="I187" s="76"/>
      <c r="J187" s="96"/>
      <c r="K187" s="77"/>
      <c r="L187" s="77"/>
      <c r="M187" s="38">
        <f t="shared" si="6"/>
        <v>0</v>
      </c>
      <c r="N187" s="100"/>
      <c r="O187" s="81"/>
      <c r="P187" s="81"/>
      <c r="Q187" s="12">
        <f t="shared" si="5"/>
        <v>0</v>
      </c>
      <c r="R187" s="141"/>
    </row>
    <row r="188" spans="1:18" s="13" customFormat="1" ht="15.75" x14ac:dyDescent="0.25">
      <c r="A188" s="10"/>
      <c r="B188" s="30" t="s">
        <v>26</v>
      </c>
      <c r="C188" s="1" t="s">
        <v>17</v>
      </c>
      <c r="D188" s="120"/>
      <c r="E188" s="3" t="s">
        <v>32</v>
      </c>
      <c r="F188" s="73" t="s">
        <v>246</v>
      </c>
      <c r="G188" s="74" t="s">
        <v>117</v>
      </c>
      <c r="H188" s="75"/>
      <c r="I188" s="76"/>
      <c r="J188" s="96"/>
      <c r="K188" s="77"/>
      <c r="L188" s="77"/>
      <c r="M188" s="78">
        <f t="shared" si="6"/>
        <v>0</v>
      </c>
      <c r="N188" s="100">
        <v>3</v>
      </c>
      <c r="O188" s="81">
        <v>3774.05</v>
      </c>
      <c r="P188" s="81">
        <v>3774.05</v>
      </c>
      <c r="Q188" s="12">
        <f t="shared" si="5"/>
        <v>0</v>
      </c>
    </row>
    <row r="189" spans="1:18" s="13" customFormat="1" ht="15.75" x14ac:dyDescent="0.25">
      <c r="A189" s="10"/>
      <c r="B189" s="24" t="s">
        <v>105</v>
      </c>
      <c r="C189" s="1" t="s">
        <v>17</v>
      </c>
      <c r="D189" s="120"/>
      <c r="E189" s="17" t="s">
        <v>35</v>
      </c>
      <c r="F189" s="73" t="s">
        <v>436</v>
      </c>
      <c r="G189" s="11" t="s">
        <v>117</v>
      </c>
      <c r="H189" s="1"/>
      <c r="I189" s="47"/>
      <c r="J189" s="46"/>
      <c r="K189" s="40"/>
      <c r="L189" s="40"/>
      <c r="M189" s="38">
        <f t="shared" si="6"/>
        <v>0</v>
      </c>
      <c r="N189" s="41"/>
      <c r="O189" s="31"/>
      <c r="P189" s="31"/>
      <c r="Q189" s="79">
        <f t="shared" si="5"/>
        <v>0</v>
      </c>
    </row>
    <row r="190" spans="1:18" s="13" customFormat="1" ht="15.75" x14ac:dyDescent="0.25">
      <c r="A190" s="10"/>
      <c r="B190" s="62" t="s">
        <v>106</v>
      </c>
      <c r="C190" s="1" t="s">
        <v>17</v>
      </c>
      <c r="D190" s="2"/>
      <c r="E190" s="17" t="s">
        <v>20</v>
      </c>
      <c r="F190" s="73" t="s">
        <v>414</v>
      </c>
      <c r="G190" s="74" t="s">
        <v>112</v>
      </c>
      <c r="H190" s="75">
        <v>5</v>
      </c>
      <c r="I190" s="76"/>
      <c r="J190" s="96"/>
      <c r="K190" s="77"/>
      <c r="L190" s="77"/>
      <c r="M190" s="38">
        <f t="shared" si="6"/>
        <v>0</v>
      </c>
      <c r="N190" s="100">
        <f>3</f>
        <v>3</v>
      </c>
      <c r="O190" s="81">
        <f>15956.85</f>
        <v>15956.85</v>
      </c>
      <c r="P190" s="81"/>
      <c r="Q190" s="12">
        <f t="shared" si="5"/>
        <v>15956.85</v>
      </c>
      <c r="R190" s="141"/>
    </row>
    <row r="191" spans="1:18" ht="15.75" x14ac:dyDescent="0.25">
      <c r="A191" s="7"/>
      <c r="B191" s="32"/>
      <c r="C191" s="107"/>
      <c r="D191" s="33"/>
      <c r="E191" s="33"/>
      <c r="F191" s="73"/>
      <c r="G191" s="8" t="s">
        <v>131</v>
      </c>
      <c r="H191" s="106">
        <f t="shared" ref="H191:P191" si="7">SUM(H10:H190)</f>
        <v>747</v>
      </c>
      <c r="I191" s="59">
        <f t="shared" si="7"/>
        <v>157</v>
      </c>
      <c r="J191" s="43">
        <f t="shared" si="7"/>
        <v>218</v>
      </c>
      <c r="K191" s="56">
        <f t="shared" si="7"/>
        <v>195697.83000000002</v>
      </c>
      <c r="L191" s="56">
        <f t="shared" si="7"/>
        <v>2362.84</v>
      </c>
      <c r="M191" s="44">
        <f>K191-L191</f>
        <v>193334.99000000002</v>
      </c>
      <c r="N191" s="43">
        <f t="shared" si="7"/>
        <v>1085</v>
      </c>
      <c r="O191" s="57">
        <f t="shared" si="7"/>
        <v>2510375.65</v>
      </c>
      <c r="P191" s="57">
        <f t="shared" si="7"/>
        <v>903159.11999999965</v>
      </c>
      <c r="Q191" s="79">
        <f t="shared" si="5"/>
        <v>1607216.5300000003</v>
      </c>
      <c r="R191" s="129"/>
    </row>
    <row r="192" spans="1:18" x14ac:dyDescent="0.25">
      <c r="K192" s="91" t="s">
        <v>305</v>
      </c>
    </row>
    <row r="193" spans="2:17" ht="45" x14ac:dyDescent="0.25">
      <c r="B193" s="89" t="s">
        <v>316</v>
      </c>
      <c r="F193" s="104" t="s">
        <v>317</v>
      </c>
      <c r="M193" s="142"/>
      <c r="Q193" s="133"/>
    </row>
  </sheetData>
  <mergeCells count="7">
    <mergeCell ref="O1:Q1"/>
    <mergeCell ref="A3:Q3"/>
    <mergeCell ref="A4:Q4"/>
    <mergeCell ref="A5:Q5"/>
    <mergeCell ref="B7:G7"/>
    <mergeCell ref="H7:M7"/>
    <mergeCell ref="N7:Q7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93"/>
  <sheetViews>
    <sheetView workbookViewId="0">
      <selection sqref="A1:XFD1048576"/>
    </sheetView>
  </sheetViews>
  <sheetFormatPr defaultRowHeight="15" x14ac:dyDescent="0.25"/>
  <cols>
    <col min="1" max="1" width="1.85546875" style="6" customWidth="1"/>
    <col min="2" max="2" width="38.28515625" style="88" customWidth="1"/>
    <col min="3" max="3" width="6.5703125" style="19" customWidth="1"/>
    <col min="4" max="4" width="17.42578125" style="19" customWidth="1"/>
    <col min="5" max="5" width="19" style="19" customWidth="1"/>
    <col min="6" max="6" width="18.140625" style="89" customWidth="1"/>
    <col min="7" max="7" width="21.42578125" style="89" customWidth="1"/>
    <col min="8" max="8" width="11.85546875" style="90" customWidth="1"/>
    <col min="9" max="9" width="10.7109375" style="90" customWidth="1"/>
    <col min="10" max="10" width="7.85546875" style="99" customWidth="1"/>
    <col min="11" max="11" width="13.42578125" style="91" customWidth="1"/>
    <col min="12" max="12" width="13.28515625" style="91" customWidth="1"/>
    <col min="13" max="13" width="18.7109375" style="91" customWidth="1"/>
    <col min="14" max="14" width="10.7109375" style="99" customWidth="1"/>
    <col min="15" max="15" width="14" style="92" customWidth="1"/>
    <col min="16" max="16" width="15.7109375" style="92" customWidth="1"/>
    <col min="17" max="17" width="17.5703125" style="92" customWidth="1"/>
    <col min="18" max="18" width="11.7109375" style="6" customWidth="1"/>
    <col min="19" max="19" width="9.42578125" style="6" customWidth="1"/>
    <col min="20" max="21" width="9.140625" style="6" customWidth="1"/>
    <col min="22" max="16384" width="9.140625" style="6"/>
  </cols>
  <sheetData>
    <row r="1" spans="1:18" s="105" customFormat="1" x14ac:dyDescent="0.25">
      <c r="B1" s="60"/>
      <c r="C1" s="4"/>
      <c r="D1" s="4"/>
      <c r="E1" s="4"/>
      <c r="F1" s="63"/>
      <c r="G1" s="63"/>
      <c r="H1" s="64"/>
      <c r="I1" s="64"/>
      <c r="J1" s="93"/>
      <c r="K1" s="65"/>
      <c r="L1" s="65"/>
      <c r="M1" s="65"/>
      <c r="N1" s="93"/>
      <c r="O1" s="362" t="s">
        <v>15</v>
      </c>
      <c r="P1" s="362"/>
      <c r="Q1" s="362"/>
    </row>
    <row r="2" spans="1:18" s="105" customFormat="1" x14ac:dyDescent="0.25">
      <c r="A2" s="7"/>
      <c r="B2" s="149"/>
      <c r="C2" s="107"/>
      <c r="D2" s="107"/>
      <c r="E2" s="107"/>
      <c r="F2" s="66"/>
      <c r="G2" s="66"/>
      <c r="H2" s="148"/>
      <c r="I2" s="150"/>
      <c r="J2" s="94"/>
      <c r="K2" s="67"/>
      <c r="L2" s="67"/>
      <c r="M2" s="67"/>
      <c r="N2" s="94"/>
      <c r="O2" s="68"/>
      <c r="P2" s="68"/>
      <c r="Q2" s="68"/>
    </row>
    <row r="3" spans="1:18" s="105" customFormat="1" x14ac:dyDescent="0.25">
      <c r="A3" s="363" t="s">
        <v>318</v>
      </c>
      <c r="B3" s="364"/>
      <c r="C3" s="363"/>
      <c r="D3" s="363"/>
      <c r="E3" s="363"/>
      <c r="F3" s="364"/>
      <c r="G3" s="364"/>
      <c r="H3" s="365"/>
      <c r="I3" s="366"/>
      <c r="J3" s="367"/>
      <c r="K3" s="364"/>
      <c r="L3" s="364"/>
      <c r="M3" s="364"/>
      <c r="N3" s="364"/>
      <c r="O3" s="364"/>
      <c r="P3" s="364"/>
      <c r="Q3" s="364"/>
    </row>
    <row r="4" spans="1:18" s="105" customFormat="1" x14ac:dyDescent="0.25">
      <c r="A4" s="368">
        <v>43556</v>
      </c>
      <c r="B4" s="369"/>
      <c r="C4" s="370"/>
      <c r="D4" s="370"/>
      <c r="E4" s="370"/>
      <c r="F4" s="369"/>
      <c r="G4" s="369"/>
      <c r="H4" s="371"/>
      <c r="I4" s="372"/>
      <c r="J4" s="373"/>
      <c r="K4" s="369"/>
      <c r="L4" s="369"/>
      <c r="M4" s="369"/>
      <c r="N4" s="369"/>
      <c r="O4" s="369"/>
      <c r="P4" s="369"/>
      <c r="Q4" s="369"/>
    </row>
    <row r="5" spans="1:18" s="105" customFormat="1" x14ac:dyDescent="0.25">
      <c r="A5" s="374" t="s">
        <v>14</v>
      </c>
      <c r="B5" s="367"/>
      <c r="C5" s="374"/>
      <c r="D5" s="374"/>
      <c r="E5" s="374"/>
      <c r="F5" s="367"/>
      <c r="G5" s="367"/>
      <c r="H5" s="366"/>
      <c r="I5" s="366"/>
      <c r="J5" s="367"/>
      <c r="K5" s="367"/>
      <c r="L5" s="367"/>
      <c r="M5" s="367"/>
      <c r="N5" s="367"/>
      <c r="O5" s="367"/>
      <c r="P5" s="367"/>
      <c r="Q5" s="367"/>
    </row>
    <row r="6" spans="1:18" s="105" customFormat="1" x14ac:dyDescent="0.25">
      <c r="A6" s="7"/>
      <c r="B6" s="149"/>
      <c r="C6" s="107"/>
      <c r="D6" s="107"/>
      <c r="E6" s="107"/>
      <c r="F6" s="66"/>
      <c r="G6" s="66"/>
      <c r="H6" s="148"/>
      <c r="I6" s="150"/>
      <c r="J6" s="94"/>
      <c r="K6" s="67"/>
      <c r="L6" s="67"/>
      <c r="M6" s="67"/>
      <c r="N6" s="94"/>
      <c r="O6" s="68"/>
      <c r="P6" s="68"/>
      <c r="Q6" s="68"/>
    </row>
    <row r="7" spans="1:18" x14ac:dyDescent="0.25">
      <c r="A7" s="5" t="s">
        <v>0</v>
      </c>
      <c r="B7" s="364" t="s">
        <v>10</v>
      </c>
      <c r="C7" s="375"/>
      <c r="D7" s="375"/>
      <c r="E7" s="375"/>
      <c r="F7" s="364"/>
      <c r="G7" s="364"/>
      <c r="H7" s="365" t="s">
        <v>472</v>
      </c>
      <c r="I7" s="366"/>
      <c r="J7" s="367"/>
      <c r="K7" s="364"/>
      <c r="L7" s="364"/>
      <c r="M7" s="364"/>
      <c r="N7" s="364" t="s">
        <v>132</v>
      </c>
      <c r="O7" s="364"/>
      <c r="P7" s="364"/>
      <c r="Q7" s="364"/>
    </row>
    <row r="8" spans="1:18" ht="195" x14ac:dyDescent="0.25">
      <c r="A8" s="5"/>
      <c r="B8" s="149" t="s">
        <v>4</v>
      </c>
      <c r="C8" s="107" t="s">
        <v>1</v>
      </c>
      <c r="D8" s="107" t="s">
        <v>3</v>
      </c>
      <c r="E8" s="107" t="s">
        <v>2</v>
      </c>
      <c r="F8" s="122" t="s">
        <v>6</v>
      </c>
      <c r="G8" s="66" t="s">
        <v>5</v>
      </c>
      <c r="H8" s="149" t="s">
        <v>7</v>
      </c>
      <c r="I8" s="151" t="s">
        <v>8</v>
      </c>
      <c r="J8" s="94" t="s">
        <v>9</v>
      </c>
      <c r="K8" s="67" t="s">
        <v>11</v>
      </c>
      <c r="L8" s="67" t="s">
        <v>12</v>
      </c>
      <c r="M8" s="67" t="s">
        <v>13</v>
      </c>
      <c r="N8" s="94" t="s">
        <v>9</v>
      </c>
      <c r="O8" s="68" t="s">
        <v>11</v>
      </c>
      <c r="P8" s="68" t="s">
        <v>12</v>
      </c>
      <c r="Q8" s="68" t="s">
        <v>13</v>
      </c>
    </row>
    <row r="9" spans="1:18" x14ac:dyDescent="0.25">
      <c r="A9" s="9">
        <v>1</v>
      </c>
      <c r="B9" s="61">
        <f>A9+1</f>
        <v>2</v>
      </c>
      <c r="C9" s="9">
        <f t="shared" ref="C9:Q9" si="0">B9+1</f>
        <v>3</v>
      </c>
      <c r="D9" s="9">
        <f t="shared" si="0"/>
        <v>4</v>
      </c>
      <c r="E9" s="9">
        <f t="shared" si="0"/>
        <v>5</v>
      </c>
      <c r="F9" s="69">
        <f t="shared" si="0"/>
        <v>6</v>
      </c>
      <c r="G9" s="69">
        <f t="shared" si="0"/>
        <v>7</v>
      </c>
      <c r="H9" s="70">
        <f t="shared" si="0"/>
        <v>8</v>
      </c>
      <c r="I9" s="70">
        <f t="shared" si="0"/>
        <v>9</v>
      </c>
      <c r="J9" s="95">
        <f t="shared" si="0"/>
        <v>10</v>
      </c>
      <c r="K9" s="71">
        <f t="shared" si="0"/>
        <v>11</v>
      </c>
      <c r="L9" s="71">
        <f t="shared" si="0"/>
        <v>12</v>
      </c>
      <c r="M9" s="71">
        <f t="shared" si="0"/>
        <v>13</v>
      </c>
      <c r="N9" s="95">
        <f t="shared" si="0"/>
        <v>14</v>
      </c>
      <c r="O9" s="72">
        <f t="shared" si="0"/>
        <v>15</v>
      </c>
      <c r="P9" s="72">
        <f t="shared" si="0"/>
        <v>16</v>
      </c>
      <c r="Q9" s="72">
        <f t="shared" si="0"/>
        <v>17</v>
      </c>
    </row>
    <row r="10" spans="1:18" s="13" customFormat="1" ht="31.5" x14ac:dyDescent="0.25">
      <c r="A10" s="10"/>
      <c r="B10" s="62" t="s">
        <v>16</v>
      </c>
      <c r="C10" s="1" t="s">
        <v>304</v>
      </c>
      <c r="D10" s="120" t="s">
        <v>315</v>
      </c>
      <c r="E10" s="3" t="s">
        <v>18</v>
      </c>
      <c r="F10" s="73" t="s">
        <v>322</v>
      </c>
      <c r="G10" s="74" t="s">
        <v>112</v>
      </c>
      <c r="H10" s="75">
        <v>5</v>
      </c>
      <c r="I10" s="76">
        <v>2</v>
      </c>
      <c r="J10" s="96">
        <f>2</f>
        <v>2</v>
      </c>
      <c r="K10" s="77">
        <f>4792.51+1138.19</f>
        <v>5930.7000000000007</v>
      </c>
      <c r="L10" s="77"/>
      <c r="M10" s="78">
        <f>K10-L10</f>
        <v>5930.7000000000007</v>
      </c>
      <c r="N10" s="100">
        <f>2+5</f>
        <v>7</v>
      </c>
      <c r="O10" s="77">
        <f>9108.77</f>
        <v>9108.77</v>
      </c>
      <c r="P10" s="77"/>
      <c r="Q10" s="79">
        <f>O10-P10</f>
        <v>9108.77</v>
      </c>
      <c r="R10" s="141"/>
    </row>
    <row r="11" spans="1:18" s="13" customFormat="1" ht="31.5" x14ac:dyDescent="0.25">
      <c r="A11" s="10"/>
      <c r="B11" s="22" t="s">
        <v>16</v>
      </c>
      <c r="C11" s="1" t="s">
        <v>304</v>
      </c>
      <c r="D11" s="120" t="s">
        <v>315</v>
      </c>
      <c r="E11" s="3" t="s">
        <v>18</v>
      </c>
      <c r="F11" s="73" t="s">
        <v>322</v>
      </c>
      <c r="G11" s="11" t="s">
        <v>116</v>
      </c>
      <c r="H11" s="1">
        <v>2</v>
      </c>
      <c r="I11" s="49"/>
      <c r="J11" s="46"/>
      <c r="K11" s="31"/>
      <c r="L11" s="31"/>
      <c r="M11" s="38">
        <f t="shared" ref="M11:M82" si="1">K11-L11</f>
        <v>0</v>
      </c>
      <c r="N11" s="41"/>
      <c r="O11" s="31">
        <v>2945</v>
      </c>
      <c r="P11" s="31">
        <v>2945</v>
      </c>
      <c r="Q11" s="12">
        <f t="shared" ref="Q11:Q77" si="2">O11-P11</f>
        <v>0</v>
      </c>
    </row>
    <row r="12" spans="1:18" s="13" customFormat="1" ht="15.75" x14ac:dyDescent="0.25">
      <c r="A12" s="10"/>
      <c r="B12" s="22" t="s">
        <v>490</v>
      </c>
      <c r="C12" s="1"/>
      <c r="D12" s="120"/>
      <c r="E12" s="3"/>
      <c r="F12" s="73"/>
      <c r="G12" s="11" t="s">
        <v>112</v>
      </c>
      <c r="H12" s="1">
        <v>2</v>
      </c>
      <c r="I12" s="49"/>
      <c r="J12" s="46"/>
      <c r="K12" s="31"/>
      <c r="L12" s="31"/>
      <c r="M12" s="38"/>
      <c r="N12" s="41"/>
      <c r="O12" s="31"/>
      <c r="P12" s="31"/>
      <c r="Q12" s="12"/>
    </row>
    <row r="13" spans="1:18" s="15" customFormat="1" ht="15.75" x14ac:dyDescent="0.25">
      <c r="A13" s="14"/>
      <c r="B13" s="80" t="s">
        <v>19</v>
      </c>
      <c r="C13" s="1" t="s">
        <v>17</v>
      </c>
      <c r="D13" s="120"/>
      <c r="E13" s="3" t="s">
        <v>20</v>
      </c>
      <c r="F13" s="73" t="s">
        <v>323</v>
      </c>
      <c r="G13" s="74" t="s">
        <v>112</v>
      </c>
      <c r="H13" s="75">
        <v>7</v>
      </c>
      <c r="I13" s="76">
        <v>5</v>
      </c>
      <c r="J13" s="96">
        <f>1+2+5</f>
        <v>8</v>
      </c>
      <c r="K13" s="77">
        <f>422.62+4792.51+8241.09</f>
        <v>13456.220000000001</v>
      </c>
      <c r="L13" s="77"/>
      <c r="M13" s="78">
        <f t="shared" si="1"/>
        <v>13456.220000000001</v>
      </c>
      <c r="N13" s="100">
        <f>8</f>
        <v>8</v>
      </c>
      <c r="O13" s="81">
        <v>6459.36</v>
      </c>
      <c r="P13" s="81"/>
      <c r="Q13" s="79">
        <f t="shared" si="2"/>
        <v>6459.36</v>
      </c>
      <c r="R13" s="141"/>
    </row>
    <row r="14" spans="1:18" s="15" customFormat="1" ht="15.75" x14ac:dyDescent="0.25">
      <c r="A14" s="14"/>
      <c r="B14" s="23" t="s">
        <v>19</v>
      </c>
      <c r="C14" s="1" t="s">
        <v>17</v>
      </c>
      <c r="D14" s="120"/>
      <c r="E14" s="3" t="s">
        <v>20</v>
      </c>
      <c r="F14" s="73" t="s">
        <v>451</v>
      </c>
      <c r="G14" s="11" t="s">
        <v>114</v>
      </c>
      <c r="H14" s="1">
        <v>4</v>
      </c>
      <c r="I14" s="49">
        <v>1</v>
      </c>
      <c r="J14" s="51">
        <v>1</v>
      </c>
      <c r="K14" s="40"/>
      <c r="L14" s="40"/>
      <c r="M14" s="38">
        <f t="shared" si="1"/>
        <v>0</v>
      </c>
      <c r="N14" s="42">
        <v>7</v>
      </c>
      <c r="O14" s="31">
        <v>3818</v>
      </c>
      <c r="P14" s="31">
        <v>3818</v>
      </c>
      <c r="Q14" s="12">
        <f t="shared" si="2"/>
        <v>0</v>
      </c>
    </row>
    <row r="15" spans="1:18" s="15" customFormat="1" ht="15.75" x14ac:dyDescent="0.25">
      <c r="A15" s="14"/>
      <c r="B15" s="62" t="s">
        <v>153</v>
      </c>
      <c r="C15" s="1" t="s">
        <v>17</v>
      </c>
      <c r="D15" s="120"/>
      <c r="E15" s="3" t="s">
        <v>20</v>
      </c>
      <c r="F15" s="73" t="s">
        <v>324</v>
      </c>
      <c r="G15" s="74" t="s">
        <v>112</v>
      </c>
      <c r="H15" s="75">
        <v>4</v>
      </c>
      <c r="I15" s="82">
        <v>2</v>
      </c>
      <c r="J15" s="96">
        <f>1+1+2</f>
        <v>4</v>
      </c>
      <c r="K15" s="77">
        <f>950.9+2451.87+3074.57</f>
        <v>6477.34</v>
      </c>
      <c r="L15" s="77"/>
      <c r="M15" s="78">
        <f t="shared" si="1"/>
        <v>6477.34</v>
      </c>
      <c r="N15" s="114">
        <f>1+2+1+2</f>
        <v>6</v>
      </c>
      <c r="O15" s="81">
        <f>422.62+945.61+2484.69+7964.81</f>
        <v>11817.73</v>
      </c>
      <c r="P15" s="81">
        <f>422.62</f>
        <v>422.62</v>
      </c>
      <c r="Q15" s="79">
        <f t="shared" si="2"/>
        <v>11395.109999999999</v>
      </c>
      <c r="R15" s="141"/>
    </row>
    <row r="16" spans="1:18" s="15" customFormat="1" ht="15.75" x14ac:dyDescent="0.25">
      <c r="A16" s="14"/>
      <c r="B16" s="50" t="s">
        <v>153</v>
      </c>
      <c r="C16" s="1" t="s">
        <v>17</v>
      </c>
      <c r="D16" s="120"/>
      <c r="E16" s="3" t="s">
        <v>20</v>
      </c>
      <c r="F16" s="73" t="s">
        <v>452</v>
      </c>
      <c r="G16" s="11" t="s">
        <v>114</v>
      </c>
      <c r="H16" s="1">
        <v>1</v>
      </c>
      <c r="I16" s="49">
        <v>1</v>
      </c>
      <c r="J16" s="51">
        <v>1</v>
      </c>
      <c r="K16" s="40"/>
      <c r="L16" s="40"/>
      <c r="M16" s="38">
        <f t="shared" si="1"/>
        <v>0</v>
      </c>
      <c r="N16" s="42">
        <v>5</v>
      </c>
      <c r="O16" s="31">
        <v>13319</v>
      </c>
      <c r="P16" s="31">
        <v>8516.5</v>
      </c>
      <c r="Q16" s="12">
        <f t="shared" si="2"/>
        <v>4802.5</v>
      </c>
    </row>
    <row r="17" spans="1:18" s="13" customFormat="1" ht="15.75" x14ac:dyDescent="0.25">
      <c r="A17" s="10"/>
      <c r="B17" s="30" t="s">
        <v>22</v>
      </c>
      <c r="C17" s="1" t="s">
        <v>17</v>
      </c>
      <c r="D17" s="120"/>
      <c r="E17" s="3" t="s">
        <v>23</v>
      </c>
      <c r="F17" s="73" t="s">
        <v>325</v>
      </c>
      <c r="G17" s="74" t="s">
        <v>112</v>
      </c>
      <c r="H17" s="75">
        <v>8</v>
      </c>
      <c r="I17" s="76">
        <v>1</v>
      </c>
      <c r="J17" s="96">
        <f>1</f>
        <v>1</v>
      </c>
      <c r="K17" s="77">
        <f>2698.64</f>
        <v>2698.64</v>
      </c>
      <c r="L17" s="77"/>
      <c r="M17" s="78">
        <f t="shared" si="1"/>
        <v>2698.64</v>
      </c>
      <c r="N17" s="100">
        <f>14+3</f>
        <v>17</v>
      </c>
      <c r="O17" s="81">
        <f>22716.4+4171.06</f>
        <v>26887.460000000003</v>
      </c>
      <c r="P17" s="81"/>
      <c r="Q17" s="79">
        <f t="shared" si="2"/>
        <v>26887.460000000003</v>
      </c>
      <c r="R17" s="141"/>
    </row>
    <row r="18" spans="1:18" s="13" customFormat="1" ht="15.75" x14ac:dyDescent="0.25">
      <c r="A18" s="10"/>
      <c r="B18" s="24" t="s">
        <v>154</v>
      </c>
      <c r="C18" s="1" t="s">
        <v>17</v>
      </c>
      <c r="D18" s="120"/>
      <c r="E18" s="3" t="s">
        <v>20</v>
      </c>
      <c r="F18" s="73" t="s">
        <v>453</v>
      </c>
      <c r="G18" s="11" t="s">
        <v>114</v>
      </c>
      <c r="H18" s="1">
        <v>8</v>
      </c>
      <c r="I18" s="47"/>
      <c r="J18" s="51"/>
      <c r="K18" s="37"/>
      <c r="L18" s="37"/>
      <c r="M18" s="38">
        <f t="shared" si="1"/>
        <v>0</v>
      </c>
      <c r="N18" s="39">
        <v>5</v>
      </c>
      <c r="O18" s="31">
        <v>5603</v>
      </c>
      <c r="P18" s="31">
        <v>5603</v>
      </c>
      <c r="Q18" s="12">
        <f t="shared" si="2"/>
        <v>0</v>
      </c>
    </row>
    <row r="19" spans="1:18" s="13" customFormat="1" ht="15.75" x14ac:dyDescent="0.25">
      <c r="A19" s="10"/>
      <c r="B19" s="30" t="s">
        <v>154</v>
      </c>
      <c r="C19" s="1" t="s">
        <v>17</v>
      </c>
      <c r="D19" s="120"/>
      <c r="E19" s="3" t="s">
        <v>20</v>
      </c>
      <c r="F19" s="73" t="s">
        <v>326</v>
      </c>
      <c r="G19" s="74" t="s">
        <v>112</v>
      </c>
      <c r="H19" s="75">
        <v>10</v>
      </c>
      <c r="I19" s="76">
        <v>5</v>
      </c>
      <c r="J19" s="96">
        <f>1+1+2+2</f>
        <v>6</v>
      </c>
      <c r="K19" s="77">
        <f>950.9+864.46</f>
        <v>1815.3600000000001</v>
      </c>
      <c r="L19" s="77"/>
      <c r="M19" s="78">
        <f t="shared" si="1"/>
        <v>1815.3600000000001</v>
      </c>
      <c r="N19" s="100">
        <f>6+3</f>
        <v>9</v>
      </c>
      <c r="O19" s="128">
        <f>6681.33+7017+1523.5</f>
        <v>15221.83</v>
      </c>
      <c r="P19" s="81">
        <f>8477.51</f>
        <v>8477.51</v>
      </c>
      <c r="Q19" s="79">
        <f t="shared" si="2"/>
        <v>6744.32</v>
      </c>
      <c r="R19" s="141"/>
    </row>
    <row r="20" spans="1:18" s="13" customFormat="1" ht="15.75" x14ac:dyDescent="0.25">
      <c r="A20" s="10"/>
      <c r="B20" s="62" t="s">
        <v>24</v>
      </c>
      <c r="C20" s="1" t="s">
        <v>17</v>
      </c>
      <c r="D20" s="120"/>
      <c r="E20" s="3" t="s">
        <v>20</v>
      </c>
      <c r="F20" s="73" t="s">
        <v>327</v>
      </c>
      <c r="G20" s="74" t="s">
        <v>112</v>
      </c>
      <c r="H20" s="75">
        <v>3</v>
      </c>
      <c r="I20" s="76"/>
      <c r="J20" s="96"/>
      <c r="K20" s="77"/>
      <c r="L20" s="77"/>
      <c r="M20" s="38">
        <f t="shared" si="1"/>
        <v>0</v>
      </c>
      <c r="N20" s="100">
        <f>1</f>
        <v>1</v>
      </c>
      <c r="O20" s="81">
        <f>576.3</f>
        <v>576.29999999999995</v>
      </c>
      <c r="P20" s="81"/>
      <c r="Q20" s="12">
        <f t="shared" si="2"/>
        <v>576.29999999999995</v>
      </c>
      <c r="R20" s="141"/>
    </row>
    <row r="21" spans="1:18" s="13" customFormat="1" ht="15.75" x14ac:dyDescent="0.25">
      <c r="A21" s="10"/>
      <c r="B21" s="22" t="s">
        <v>24</v>
      </c>
      <c r="C21" s="1" t="s">
        <v>17</v>
      </c>
      <c r="D21" s="120"/>
      <c r="E21" s="3" t="s">
        <v>20</v>
      </c>
      <c r="F21" s="73" t="s">
        <v>454</v>
      </c>
      <c r="G21" s="11" t="s">
        <v>114</v>
      </c>
      <c r="H21" s="1">
        <v>6</v>
      </c>
      <c r="I21" s="49"/>
      <c r="J21" s="51"/>
      <c r="K21" s="40"/>
      <c r="L21" s="40"/>
      <c r="M21" s="78">
        <f t="shared" si="1"/>
        <v>0</v>
      </c>
      <c r="N21" s="41">
        <v>7</v>
      </c>
      <c r="O21" s="31">
        <v>14635.6</v>
      </c>
      <c r="P21" s="31">
        <v>9413</v>
      </c>
      <c r="Q21" s="79">
        <f t="shared" si="2"/>
        <v>5222.6000000000004</v>
      </c>
    </row>
    <row r="22" spans="1:18" s="13" customFormat="1" ht="15.75" x14ac:dyDescent="0.25">
      <c r="A22" s="10"/>
      <c r="B22" s="62" t="s">
        <v>25</v>
      </c>
      <c r="C22" s="1" t="s">
        <v>17</v>
      </c>
      <c r="D22" s="120"/>
      <c r="E22" s="3" t="s">
        <v>20</v>
      </c>
      <c r="F22" s="73" t="s">
        <v>328</v>
      </c>
      <c r="G22" s="74" t="s">
        <v>112</v>
      </c>
      <c r="H22" s="75">
        <v>3</v>
      </c>
      <c r="I22" s="76">
        <v>1</v>
      </c>
      <c r="J22" s="96">
        <f>1</f>
        <v>1</v>
      </c>
      <c r="K22" s="77">
        <v>1743.31</v>
      </c>
      <c r="L22" s="77"/>
      <c r="M22" s="38">
        <f t="shared" si="1"/>
        <v>1743.31</v>
      </c>
      <c r="N22" s="100">
        <f>6</f>
        <v>6</v>
      </c>
      <c r="O22" s="81">
        <v>14526.7</v>
      </c>
      <c r="P22" s="81"/>
      <c r="Q22" s="12">
        <f t="shared" si="2"/>
        <v>14526.7</v>
      </c>
      <c r="R22" s="141"/>
    </row>
    <row r="23" spans="1:18" s="13" customFormat="1" ht="15.75" x14ac:dyDescent="0.25">
      <c r="A23" s="10"/>
      <c r="B23" s="22" t="s">
        <v>25</v>
      </c>
      <c r="C23" s="1" t="s">
        <v>17</v>
      </c>
      <c r="D23" s="120"/>
      <c r="E23" s="3" t="s">
        <v>20</v>
      </c>
      <c r="F23" s="73" t="s">
        <v>455</v>
      </c>
      <c r="G23" s="11" t="s">
        <v>114</v>
      </c>
      <c r="H23" s="1"/>
      <c r="I23" s="49"/>
      <c r="J23" s="51"/>
      <c r="K23" s="40"/>
      <c r="L23" s="40"/>
      <c r="M23" s="78">
        <f t="shared" si="1"/>
        <v>0</v>
      </c>
      <c r="N23" s="41">
        <v>2</v>
      </c>
      <c r="O23" s="31">
        <v>4146.2</v>
      </c>
      <c r="P23" s="31">
        <f>4146.2</f>
        <v>4146.2</v>
      </c>
      <c r="Q23" s="79">
        <f t="shared" si="2"/>
        <v>0</v>
      </c>
    </row>
    <row r="24" spans="1:18" s="13" customFormat="1" ht="15.75" x14ac:dyDescent="0.25">
      <c r="A24" s="10"/>
      <c r="B24" s="62" t="s">
        <v>26</v>
      </c>
      <c r="C24" s="1" t="s">
        <v>17</v>
      </c>
      <c r="D24" s="120"/>
      <c r="E24" s="3" t="s">
        <v>27</v>
      </c>
      <c r="F24" s="73" t="s">
        <v>329</v>
      </c>
      <c r="G24" s="74" t="s">
        <v>112</v>
      </c>
      <c r="H24" s="75">
        <v>8</v>
      </c>
      <c r="I24" s="76">
        <v>2</v>
      </c>
      <c r="J24" s="96">
        <f>2</f>
        <v>2</v>
      </c>
      <c r="K24" s="77">
        <f>845.24</f>
        <v>845.24</v>
      </c>
      <c r="L24" s="77"/>
      <c r="M24" s="38">
        <f t="shared" si="1"/>
        <v>845.24</v>
      </c>
      <c r="N24" s="100">
        <f>6+1</f>
        <v>7</v>
      </c>
      <c r="O24" s="81">
        <f>17838.53+2535.75</f>
        <v>20374.28</v>
      </c>
      <c r="P24" s="81">
        <v>14149.86</v>
      </c>
      <c r="Q24" s="12">
        <f t="shared" si="2"/>
        <v>6224.4199999999983</v>
      </c>
      <c r="R24" s="141"/>
    </row>
    <row r="25" spans="1:18" s="15" customFormat="1" ht="15.75" x14ac:dyDescent="0.25">
      <c r="A25" s="14"/>
      <c r="B25" s="80" t="s">
        <v>28</v>
      </c>
      <c r="C25" s="1" t="s">
        <v>17</v>
      </c>
      <c r="D25" s="120"/>
      <c r="E25" s="17" t="s">
        <v>29</v>
      </c>
      <c r="F25" s="73" t="s">
        <v>330</v>
      </c>
      <c r="G25" s="74" t="s">
        <v>112</v>
      </c>
      <c r="H25" s="75">
        <v>3</v>
      </c>
      <c r="I25" s="76"/>
      <c r="J25" s="96"/>
      <c r="K25" s="77"/>
      <c r="L25" s="77"/>
      <c r="M25" s="38">
        <f t="shared" si="1"/>
        <v>0</v>
      </c>
      <c r="N25" s="100">
        <f>3+2+4</f>
        <v>9</v>
      </c>
      <c r="O25" s="81">
        <f>5310.83+4630.52+14679.01</f>
        <v>24620.36</v>
      </c>
      <c r="P25" s="81"/>
      <c r="Q25" s="12">
        <f t="shared" si="2"/>
        <v>24620.36</v>
      </c>
      <c r="R25" s="141"/>
    </row>
    <row r="26" spans="1:18" s="15" customFormat="1" ht="15.75" x14ac:dyDescent="0.25">
      <c r="A26" s="14"/>
      <c r="B26" s="23" t="s">
        <v>28</v>
      </c>
      <c r="C26" s="1" t="s">
        <v>17</v>
      </c>
      <c r="D26" s="120"/>
      <c r="E26" s="17" t="s">
        <v>29</v>
      </c>
      <c r="F26" s="73" t="s">
        <v>420</v>
      </c>
      <c r="G26" s="8" t="s">
        <v>117</v>
      </c>
      <c r="H26" s="1">
        <v>1</v>
      </c>
      <c r="I26" s="48"/>
      <c r="J26" s="45"/>
      <c r="K26" s="40"/>
      <c r="L26" s="40"/>
      <c r="M26" s="78">
        <f t="shared" si="1"/>
        <v>0</v>
      </c>
      <c r="N26" s="42">
        <v>1</v>
      </c>
      <c r="O26" s="31"/>
      <c r="P26" s="31"/>
      <c r="Q26" s="79">
        <f t="shared" si="2"/>
        <v>0</v>
      </c>
    </row>
    <row r="27" spans="1:18" s="13" customFormat="1" ht="15.75" x14ac:dyDescent="0.25">
      <c r="A27" s="10"/>
      <c r="B27" s="27" t="s">
        <v>30</v>
      </c>
      <c r="C27" s="1" t="s">
        <v>17</v>
      </c>
      <c r="D27" s="120"/>
      <c r="E27" s="17" t="s">
        <v>21</v>
      </c>
      <c r="F27" s="73" t="s">
        <v>333</v>
      </c>
      <c r="G27" s="74" t="s">
        <v>112</v>
      </c>
      <c r="H27" s="75">
        <v>9</v>
      </c>
      <c r="I27" s="76">
        <v>4</v>
      </c>
      <c r="J27" s="96">
        <f>3+1</f>
        <v>4</v>
      </c>
      <c r="K27" s="77">
        <f>2399.78+806.82</f>
        <v>3206.6000000000004</v>
      </c>
      <c r="L27" s="77"/>
      <c r="M27" s="38">
        <f t="shared" si="1"/>
        <v>3206.6000000000004</v>
      </c>
      <c r="N27" s="100">
        <f>9+1+3</f>
        <v>13</v>
      </c>
      <c r="O27" s="81">
        <f>39871.99+5530.04+5890.35</f>
        <v>51292.38</v>
      </c>
      <c r="P27" s="81"/>
      <c r="Q27" s="12">
        <f t="shared" si="2"/>
        <v>51292.38</v>
      </c>
      <c r="R27" s="141"/>
    </row>
    <row r="28" spans="1:18" s="13" customFormat="1" ht="15.75" x14ac:dyDescent="0.25">
      <c r="A28" s="10"/>
      <c r="B28" s="27" t="s">
        <v>491</v>
      </c>
      <c r="C28" s="1" t="s">
        <v>17</v>
      </c>
      <c r="D28" s="120"/>
      <c r="E28" s="3" t="s">
        <v>20</v>
      </c>
      <c r="F28" s="73" t="s">
        <v>495</v>
      </c>
      <c r="G28" s="74" t="s">
        <v>112</v>
      </c>
      <c r="H28" s="75">
        <v>2</v>
      </c>
      <c r="I28" s="76"/>
      <c r="J28" s="96"/>
      <c r="K28" s="77"/>
      <c r="L28" s="77"/>
      <c r="M28" s="38"/>
      <c r="N28" s="100"/>
      <c r="O28" s="81"/>
      <c r="P28" s="81"/>
      <c r="Q28" s="12"/>
      <c r="R28" s="141"/>
    </row>
    <row r="29" spans="1:18" s="13" customFormat="1" ht="15.75" x14ac:dyDescent="0.25">
      <c r="A29" s="10"/>
      <c r="B29" s="30" t="s">
        <v>31</v>
      </c>
      <c r="C29" s="1" t="s">
        <v>17</v>
      </c>
      <c r="D29" s="120"/>
      <c r="E29" s="3" t="s">
        <v>32</v>
      </c>
      <c r="F29" s="73" t="s">
        <v>331</v>
      </c>
      <c r="G29" s="74" t="s">
        <v>112</v>
      </c>
      <c r="H29" s="75">
        <v>7</v>
      </c>
      <c r="I29" s="76">
        <v>3</v>
      </c>
      <c r="J29" s="96">
        <f>1+2</f>
        <v>3</v>
      </c>
      <c r="K29" s="77">
        <f>633.93+1045.98</f>
        <v>1679.9099999999999</v>
      </c>
      <c r="L29" s="77"/>
      <c r="M29" s="78">
        <f t="shared" si="1"/>
        <v>1679.9099999999999</v>
      </c>
      <c r="N29" s="100">
        <f>1+3+3+1</f>
        <v>8</v>
      </c>
      <c r="O29" s="81">
        <f>2299.8+15239.58+6152.75+2720.49</f>
        <v>26412.620000000003</v>
      </c>
      <c r="P29" s="81">
        <f>2299.8</f>
        <v>2299.8000000000002</v>
      </c>
      <c r="Q29" s="79">
        <f t="shared" si="2"/>
        <v>24112.820000000003</v>
      </c>
      <c r="R29" s="141"/>
    </row>
    <row r="30" spans="1:18" s="13" customFormat="1" ht="15.75" x14ac:dyDescent="0.25">
      <c r="A30" s="10"/>
      <c r="B30" s="24" t="s">
        <v>31</v>
      </c>
      <c r="C30" s="1" t="s">
        <v>17</v>
      </c>
      <c r="D30" s="120"/>
      <c r="E30" s="3" t="s">
        <v>32</v>
      </c>
      <c r="F30" s="73" t="s">
        <v>422</v>
      </c>
      <c r="G30" s="8" t="s">
        <v>117</v>
      </c>
      <c r="H30" s="1">
        <v>7</v>
      </c>
      <c r="I30" s="49">
        <v>1</v>
      </c>
      <c r="J30" s="46">
        <v>1</v>
      </c>
      <c r="K30" s="40">
        <v>2344.3000000000002</v>
      </c>
      <c r="L30" s="40"/>
      <c r="M30" s="38">
        <f t="shared" si="1"/>
        <v>2344.3000000000002</v>
      </c>
      <c r="N30" s="41">
        <v>6</v>
      </c>
      <c r="O30" s="40">
        <v>12150.4</v>
      </c>
      <c r="P30" s="40"/>
      <c r="Q30" s="12">
        <f t="shared" si="2"/>
        <v>12150.4</v>
      </c>
    </row>
    <row r="31" spans="1:18" s="15" customFormat="1" ht="15.75" x14ac:dyDescent="0.25">
      <c r="A31" s="14"/>
      <c r="B31" s="80" t="s">
        <v>33</v>
      </c>
      <c r="C31" s="1" t="s">
        <v>17</v>
      </c>
      <c r="D31" s="120"/>
      <c r="E31" s="145" t="s">
        <v>20</v>
      </c>
      <c r="F31" s="73" t="s">
        <v>332</v>
      </c>
      <c r="G31" s="74" t="s">
        <v>112</v>
      </c>
      <c r="H31" s="75">
        <v>6</v>
      </c>
      <c r="I31" s="76">
        <v>1</v>
      </c>
      <c r="J31" s="96">
        <f>1</f>
        <v>1</v>
      </c>
      <c r="K31" s="77">
        <f>845.24</f>
        <v>845.24</v>
      </c>
      <c r="L31" s="77"/>
      <c r="M31" s="78">
        <f t="shared" si="1"/>
        <v>845.24</v>
      </c>
      <c r="N31" s="100">
        <f>2+1+1</f>
        <v>4</v>
      </c>
      <c r="O31" s="81">
        <f>845.24+1613.64+3380.96</f>
        <v>5839.84</v>
      </c>
      <c r="P31" s="81">
        <f>1613.64</f>
        <v>1613.64</v>
      </c>
      <c r="Q31" s="79">
        <f t="shared" si="2"/>
        <v>4226.2</v>
      </c>
      <c r="R31" s="141"/>
    </row>
    <row r="32" spans="1:18" s="15" customFormat="1" ht="15.75" x14ac:dyDescent="0.25">
      <c r="A32" s="14"/>
      <c r="B32" s="23" t="s">
        <v>33</v>
      </c>
      <c r="C32" s="1" t="s">
        <v>17</v>
      </c>
      <c r="D32" s="120"/>
      <c r="E32" s="3" t="s">
        <v>20</v>
      </c>
      <c r="F32" s="73" t="s">
        <v>481</v>
      </c>
      <c r="G32" s="11" t="s">
        <v>114</v>
      </c>
      <c r="H32" s="1">
        <v>2</v>
      </c>
      <c r="I32" s="49"/>
      <c r="J32" s="51"/>
      <c r="K32" s="40"/>
      <c r="L32" s="40"/>
      <c r="M32" s="38">
        <f t="shared" si="1"/>
        <v>0</v>
      </c>
      <c r="N32" s="42">
        <v>12</v>
      </c>
      <c r="O32" s="31">
        <v>13071.87</v>
      </c>
      <c r="P32" s="31">
        <v>13071.87</v>
      </c>
      <c r="Q32" s="12">
        <f t="shared" si="2"/>
        <v>0</v>
      </c>
    </row>
    <row r="33" spans="1:18" s="15" customFormat="1" ht="15.75" x14ac:dyDescent="0.25">
      <c r="A33" s="14"/>
      <c r="B33" s="62" t="s">
        <v>147</v>
      </c>
      <c r="C33" s="1" t="s">
        <v>17</v>
      </c>
      <c r="D33" s="120"/>
      <c r="E33" s="3" t="s">
        <v>29</v>
      </c>
      <c r="F33" s="73" t="s">
        <v>334</v>
      </c>
      <c r="G33" s="74" t="s">
        <v>112</v>
      </c>
      <c r="H33" s="75">
        <v>2</v>
      </c>
      <c r="I33" s="102">
        <v>1</v>
      </c>
      <c r="J33" s="97">
        <f>1</f>
        <v>1</v>
      </c>
      <c r="K33" s="77">
        <f>1854.88</f>
        <v>1854.88</v>
      </c>
      <c r="L33" s="77"/>
      <c r="M33" s="78">
        <f t="shared" si="1"/>
        <v>1854.88</v>
      </c>
      <c r="N33" s="114">
        <f>1+1</f>
        <v>2</v>
      </c>
      <c r="O33" s="81">
        <f>1394.65+2473.17</f>
        <v>3867.82</v>
      </c>
      <c r="P33" s="81">
        <f>1394.65</f>
        <v>1394.65</v>
      </c>
      <c r="Q33" s="79">
        <f t="shared" si="2"/>
        <v>2473.17</v>
      </c>
      <c r="R33" s="141"/>
    </row>
    <row r="34" spans="1:18" s="15" customFormat="1" ht="15.75" x14ac:dyDescent="0.25">
      <c r="A34" s="14"/>
      <c r="B34" s="50" t="s">
        <v>147</v>
      </c>
      <c r="C34" s="1" t="s">
        <v>17</v>
      </c>
      <c r="D34" s="120"/>
      <c r="E34" s="3" t="s">
        <v>29</v>
      </c>
      <c r="F34" s="73" t="s">
        <v>423</v>
      </c>
      <c r="G34" s="11" t="s">
        <v>117</v>
      </c>
      <c r="H34" s="1">
        <v>3</v>
      </c>
      <c r="I34" s="48">
        <v>2</v>
      </c>
      <c r="J34" s="45">
        <v>2</v>
      </c>
      <c r="K34" s="40"/>
      <c r="L34" s="40"/>
      <c r="M34" s="38">
        <f t="shared" si="1"/>
        <v>0</v>
      </c>
      <c r="N34" s="42">
        <f>2</f>
        <v>2</v>
      </c>
      <c r="O34" s="31">
        <v>5721.75</v>
      </c>
      <c r="P34" s="31"/>
      <c r="Q34" s="12">
        <f t="shared" si="2"/>
        <v>5721.75</v>
      </c>
    </row>
    <row r="35" spans="1:18" s="13" customFormat="1" ht="15.75" x14ac:dyDescent="0.25">
      <c r="A35" s="10"/>
      <c r="B35" s="62" t="s">
        <v>34</v>
      </c>
      <c r="C35" s="1" t="s">
        <v>17</v>
      </c>
      <c r="D35" s="120"/>
      <c r="E35" s="17" t="s">
        <v>35</v>
      </c>
      <c r="F35" s="73" t="s">
        <v>335</v>
      </c>
      <c r="G35" s="74" t="s">
        <v>112</v>
      </c>
      <c r="H35" s="75">
        <v>11</v>
      </c>
      <c r="I35" s="76">
        <v>6</v>
      </c>
      <c r="J35" s="96">
        <f>4+2</f>
        <v>6</v>
      </c>
      <c r="K35" s="77">
        <f>8288.4+1267.86</f>
        <v>9556.26</v>
      </c>
      <c r="L35" s="77"/>
      <c r="M35" s="78">
        <f t="shared" si="1"/>
        <v>9556.26</v>
      </c>
      <c r="N35" s="100">
        <f>4+4+6+1+3+1</f>
        <v>19</v>
      </c>
      <c r="O35" s="81">
        <f>23915.04+21171.88+6399.1+11460.81</f>
        <v>62946.829999999994</v>
      </c>
      <c r="P35" s="81">
        <f>28915.04</f>
        <v>28915.040000000001</v>
      </c>
      <c r="Q35" s="79">
        <f t="shared" si="2"/>
        <v>34031.789999999994</v>
      </c>
      <c r="R35" s="141"/>
    </row>
    <row r="36" spans="1:18" s="13" customFormat="1" ht="15.75" x14ac:dyDescent="0.25">
      <c r="A36" s="10"/>
      <c r="B36" s="22" t="s">
        <v>34</v>
      </c>
      <c r="C36" s="1" t="s">
        <v>17</v>
      </c>
      <c r="D36" s="120"/>
      <c r="E36" s="17" t="s">
        <v>35</v>
      </c>
      <c r="F36" s="73" t="s">
        <v>424</v>
      </c>
      <c r="G36" s="8" t="s">
        <v>117</v>
      </c>
      <c r="H36" s="1">
        <v>1</v>
      </c>
      <c r="I36" s="49"/>
      <c r="J36" s="46"/>
      <c r="K36" s="40"/>
      <c r="L36" s="40"/>
      <c r="M36" s="38">
        <f t="shared" si="1"/>
        <v>0</v>
      </c>
      <c r="N36" s="41">
        <v>2</v>
      </c>
      <c r="O36" s="31">
        <v>5570.9</v>
      </c>
      <c r="P36" s="31"/>
      <c r="Q36" s="12">
        <f t="shared" si="2"/>
        <v>5570.9</v>
      </c>
    </row>
    <row r="37" spans="1:18" s="13" customFormat="1" ht="15.75" x14ac:dyDescent="0.25">
      <c r="A37" s="10"/>
      <c r="B37" s="27" t="s">
        <v>36</v>
      </c>
      <c r="C37" s="1" t="s">
        <v>17</v>
      </c>
      <c r="D37" s="120"/>
      <c r="E37" s="17" t="s">
        <v>32</v>
      </c>
      <c r="F37" s="73" t="s">
        <v>336</v>
      </c>
      <c r="G37" s="74" t="s">
        <v>112</v>
      </c>
      <c r="H37" s="75">
        <v>7</v>
      </c>
      <c r="I37" s="76">
        <v>1</v>
      </c>
      <c r="J37" s="96">
        <f>1</f>
        <v>1</v>
      </c>
      <c r="K37" s="77">
        <f>2091.97</f>
        <v>2091.9699999999998</v>
      </c>
      <c r="L37" s="77"/>
      <c r="M37" s="78">
        <f t="shared" si="1"/>
        <v>2091.9699999999998</v>
      </c>
      <c r="N37" s="100">
        <f>4+2+5</f>
        <v>11</v>
      </c>
      <c r="O37" s="81">
        <f>26828.22+3116.2+14162</f>
        <v>44106.42</v>
      </c>
      <c r="P37" s="81">
        <f>8144.95</f>
        <v>8144.95</v>
      </c>
      <c r="Q37" s="79">
        <f t="shared" si="2"/>
        <v>35961.47</v>
      </c>
      <c r="R37" s="141"/>
    </row>
    <row r="38" spans="1:18" s="13" customFormat="1" ht="15.75" x14ac:dyDescent="0.25">
      <c r="A38" s="10"/>
      <c r="B38" s="27" t="s">
        <v>38</v>
      </c>
      <c r="C38" s="1" t="s">
        <v>17</v>
      </c>
      <c r="D38" s="120"/>
      <c r="E38" s="3" t="s">
        <v>20</v>
      </c>
      <c r="F38" s="73" t="s">
        <v>338</v>
      </c>
      <c r="G38" s="74" t="s">
        <v>112</v>
      </c>
      <c r="H38" s="75">
        <v>19</v>
      </c>
      <c r="I38" s="76">
        <v>11</v>
      </c>
      <c r="J38" s="96">
        <f>5+9</f>
        <v>14</v>
      </c>
      <c r="K38" s="77">
        <f>4427.07+14262.52</f>
        <v>18689.59</v>
      </c>
      <c r="L38" s="77"/>
      <c r="M38" s="78">
        <f t="shared" si="1"/>
        <v>18689.59</v>
      </c>
      <c r="N38" s="100">
        <f>1+14+2</f>
        <v>17</v>
      </c>
      <c r="O38" s="81">
        <f>34449.99+27363.78+23604.86</f>
        <v>85418.63</v>
      </c>
      <c r="P38" s="81">
        <f>34449.99</f>
        <v>34449.99</v>
      </c>
      <c r="Q38" s="79">
        <f t="shared" si="2"/>
        <v>50968.640000000007</v>
      </c>
      <c r="R38" s="141"/>
    </row>
    <row r="39" spans="1:18" s="13" customFormat="1" ht="15.75" x14ac:dyDescent="0.25">
      <c r="A39" s="10"/>
      <c r="B39" s="25" t="s">
        <v>38</v>
      </c>
      <c r="C39" s="1" t="s">
        <v>17</v>
      </c>
      <c r="D39" s="120"/>
      <c r="E39" s="3" t="s">
        <v>20</v>
      </c>
      <c r="F39" s="73" t="s">
        <v>268</v>
      </c>
      <c r="G39" s="11" t="s">
        <v>114</v>
      </c>
      <c r="H39" s="1"/>
      <c r="I39" s="49"/>
      <c r="J39" s="51"/>
      <c r="K39" s="40"/>
      <c r="L39" s="40"/>
      <c r="M39" s="38">
        <f t="shared" si="1"/>
        <v>0</v>
      </c>
      <c r="N39" s="41"/>
      <c r="O39" s="31"/>
      <c r="P39" s="31"/>
      <c r="Q39" s="12">
        <f t="shared" si="2"/>
        <v>0</v>
      </c>
    </row>
    <row r="40" spans="1:18" s="13" customFormat="1" ht="15.75" x14ac:dyDescent="0.25">
      <c r="A40" s="10"/>
      <c r="B40" s="25" t="s">
        <v>38</v>
      </c>
      <c r="C40" s="1" t="s">
        <v>17</v>
      </c>
      <c r="D40" s="120"/>
      <c r="E40" s="3" t="s">
        <v>18</v>
      </c>
      <c r="F40" s="73" t="s">
        <v>324</v>
      </c>
      <c r="G40" s="11" t="s">
        <v>116</v>
      </c>
      <c r="H40" s="1">
        <v>3</v>
      </c>
      <c r="I40" s="49"/>
      <c r="J40" s="51"/>
      <c r="K40" s="40"/>
      <c r="L40" s="40"/>
      <c r="M40" s="38">
        <f t="shared" si="1"/>
        <v>0</v>
      </c>
      <c r="N40" s="41"/>
      <c r="O40" s="31"/>
      <c r="P40" s="31"/>
      <c r="Q40" s="12">
        <f t="shared" si="2"/>
        <v>0</v>
      </c>
    </row>
    <row r="41" spans="1:18" s="13" customFormat="1" ht="15.75" x14ac:dyDescent="0.25">
      <c r="A41" s="10"/>
      <c r="B41" s="22" t="s">
        <v>39</v>
      </c>
      <c r="C41" s="1" t="s">
        <v>17</v>
      </c>
      <c r="D41" s="120"/>
      <c r="E41" s="3" t="s">
        <v>20</v>
      </c>
      <c r="F41" s="73" t="s">
        <v>269</v>
      </c>
      <c r="G41" s="11" t="s">
        <v>114</v>
      </c>
      <c r="H41" s="1"/>
      <c r="I41" s="49"/>
      <c r="J41" s="51"/>
      <c r="K41" s="40"/>
      <c r="L41" s="40"/>
      <c r="M41" s="38">
        <f t="shared" si="1"/>
        <v>0</v>
      </c>
      <c r="N41" s="41"/>
      <c r="O41" s="31"/>
      <c r="P41" s="31"/>
      <c r="Q41" s="12">
        <f t="shared" si="2"/>
        <v>0</v>
      </c>
    </row>
    <row r="42" spans="1:18" s="13" customFormat="1" ht="15.75" x14ac:dyDescent="0.25">
      <c r="A42" s="10"/>
      <c r="B42" s="27" t="s">
        <v>40</v>
      </c>
      <c r="C42" s="1" t="s">
        <v>17</v>
      </c>
      <c r="D42" s="120"/>
      <c r="E42" s="17" t="s">
        <v>41</v>
      </c>
      <c r="F42" s="73" t="s">
        <v>339</v>
      </c>
      <c r="G42" s="74" t="s">
        <v>112</v>
      </c>
      <c r="H42" s="75">
        <v>11</v>
      </c>
      <c r="I42" s="76">
        <v>5</v>
      </c>
      <c r="J42" s="96">
        <f>1+1+3</f>
        <v>5</v>
      </c>
      <c r="K42" s="77">
        <f>1045.98+3271.86</f>
        <v>4317.84</v>
      </c>
      <c r="L42" s="77"/>
      <c r="M42" s="78">
        <f t="shared" si="1"/>
        <v>4317.84</v>
      </c>
      <c r="N42" s="100">
        <f>3+13+6</f>
        <v>22</v>
      </c>
      <c r="O42" s="81">
        <f>17269.31+39990.78+16582.12</f>
        <v>73842.209999999992</v>
      </c>
      <c r="P42" s="81">
        <f>17269.31</f>
        <v>17269.310000000001</v>
      </c>
      <c r="Q42" s="79">
        <f t="shared" si="2"/>
        <v>56572.899999999994</v>
      </c>
      <c r="R42" s="141"/>
    </row>
    <row r="43" spans="1:18" s="13" customFormat="1" ht="15.75" x14ac:dyDescent="0.25">
      <c r="A43" s="10"/>
      <c r="B43" s="25" t="s">
        <v>40</v>
      </c>
      <c r="C43" s="1" t="s">
        <v>17</v>
      </c>
      <c r="D43" s="120"/>
      <c r="E43" s="17" t="s">
        <v>41</v>
      </c>
      <c r="F43" s="73" t="s">
        <v>482</v>
      </c>
      <c r="G43" s="11" t="s">
        <v>114</v>
      </c>
      <c r="H43" s="1"/>
      <c r="I43" s="49"/>
      <c r="J43" s="51"/>
      <c r="K43" s="40"/>
      <c r="L43" s="40"/>
      <c r="M43" s="38">
        <f t="shared" si="1"/>
        <v>0</v>
      </c>
      <c r="N43" s="41">
        <v>1</v>
      </c>
      <c r="O43" s="31">
        <v>3073.6</v>
      </c>
      <c r="P43" s="31">
        <f>3073.6</f>
        <v>3073.6</v>
      </c>
      <c r="Q43" s="12">
        <f t="shared" si="2"/>
        <v>0</v>
      </c>
    </row>
    <row r="44" spans="1:18" s="13" customFormat="1" ht="15.75" x14ac:dyDescent="0.25">
      <c r="A44" s="10"/>
      <c r="B44" s="27" t="s">
        <v>148</v>
      </c>
      <c r="C44" s="1" t="s">
        <v>17</v>
      </c>
      <c r="D44" s="120"/>
      <c r="E44" s="3" t="s">
        <v>20</v>
      </c>
      <c r="F44" s="73" t="s">
        <v>340</v>
      </c>
      <c r="G44" s="74" t="s">
        <v>112</v>
      </c>
      <c r="H44" s="75">
        <v>8</v>
      </c>
      <c r="I44" s="82">
        <v>1</v>
      </c>
      <c r="J44" s="96">
        <f>1</f>
        <v>1</v>
      </c>
      <c r="K44" s="77">
        <f>537.88</f>
        <v>537.88</v>
      </c>
      <c r="L44" s="77"/>
      <c r="M44" s="78">
        <f t="shared" si="1"/>
        <v>537.88</v>
      </c>
      <c r="N44" s="100">
        <f>6+5+3</f>
        <v>14</v>
      </c>
      <c r="O44" s="81">
        <f>9370.6+9456.38+8868.69</f>
        <v>27695.67</v>
      </c>
      <c r="P44" s="81">
        <f>9370.6</f>
        <v>9370.6</v>
      </c>
      <c r="Q44" s="79">
        <f t="shared" si="2"/>
        <v>18325.07</v>
      </c>
      <c r="R44" s="141"/>
    </row>
    <row r="45" spans="1:18" s="13" customFormat="1" ht="15.75" x14ac:dyDescent="0.25">
      <c r="A45" s="10"/>
      <c r="B45" s="25" t="s">
        <v>148</v>
      </c>
      <c r="C45" s="1" t="s">
        <v>17</v>
      </c>
      <c r="D45" s="120"/>
      <c r="E45" s="17" t="s">
        <v>32</v>
      </c>
      <c r="F45" s="73" t="s">
        <v>425</v>
      </c>
      <c r="G45" s="11" t="s">
        <v>117</v>
      </c>
      <c r="H45" s="1">
        <v>4</v>
      </c>
      <c r="I45" s="49"/>
      <c r="J45" s="46"/>
      <c r="K45" s="40"/>
      <c r="L45" s="40"/>
      <c r="M45" s="38">
        <f t="shared" si="1"/>
        <v>0</v>
      </c>
      <c r="N45" s="41">
        <v>2</v>
      </c>
      <c r="O45" s="31">
        <v>7472.69</v>
      </c>
      <c r="P45" s="31"/>
      <c r="Q45" s="12">
        <f t="shared" si="2"/>
        <v>7472.69</v>
      </c>
    </row>
    <row r="46" spans="1:18" s="13" customFormat="1" ht="15.75" x14ac:dyDescent="0.25">
      <c r="A46" s="10"/>
      <c r="B46" s="30" t="s">
        <v>42</v>
      </c>
      <c r="C46" s="1" t="s">
        <v>17</v>
      </c>
      <c r="D46" s="120"/>
      <c r="E46" s="3" t="s">
        <v>23</v>
      </c>
      <c r="F46" s="73" t="s">
        <v>341</v>
      </c>
      <c r="G46" s="74" t="s">
        <v>112</v>
      </c>
      <c r="H46" s="75">
        <v>15</v>
      </c>
      <c r="I46" s="76">
        <v>7</v>
      </c>
      <c r="J46" s="96">
        <f>5+3</f>
        <v>8</v>
      </c>
      <c r="K46" s="77">
        <f>7156.22+3849.11</f>
        <v>11005.33</v>
      </c>
      <c r="L46" s="77"/>
      <c r="M46" s="78">
        <f t="shared" si="1"/>
        <v>11005.33</v>
      </c>
      <c r="N46" s="100">
        <f>4+6+9+2+4+2</f>
        <v>27</v>
      </c>
      <c r="O46" s="81">
        <f>5364.2+26170.88+2849.25+18965.6</f>
        <v>53349.93</v>
      </c>
      <c r="P46" s="81">
        <f>5364.2</f>
        <v>5364.2</v>
      </c>
      <c r="Q46" s="79">
        <f t="shared" si="2"/>
        <v>47985.73</v>
      </c>
      <c r="R46" s="141"/>
    </row>
    <row r="47" spans="1:18" s="13" customFormat="1" ht="15.75" x14ac:dyDescent="0.25">
      <c r="A47" s="10"/>
      <c r="B47" s="24" t="s">
        <v>42</v>
      </c>
      <c r="C47" s="1" t="s">
        <v>17</v>
      </c>
      <c r="D47" s="120"/>
      <c r="E47" s="3" t="s">
        <v>23</v>
      </c>
      <c r="F47" s="73" t="s">
        <v>437</v>
      </c>
      <c r="G47" s="11" t="s">
        <v>118</v>
      </c>
      <c r="H47" s="1">
        <v>2</v>
      </c>
      <c r="I47" s="49"/>
      <c r="J47" s="46"/>
      <c r="K47" s="40"/>
      <c r="L47" s="40"/>
      <c r="M47" s="38">
        <f t="shared" si="1"/>
        <v>0</v>
      </c>
      <c r="N47" s="41"/>
      <c r="O47" s="31">
        <v>4226.2</v>
      </c>
      <c r="P47" s="31">
        <v>4226.2</v>
      </c>
      <c r="Q47" s="12">
        <f t="shared" si="2"/>
        <v>0</v>
      </c>
    </row>
    <row r="48" spans="1:18" s="13" customFormat="1" ht="15.75" x14ac:dyDescent="0.25">
      <c r="A48" s="10"/>
      <c r="B48" s="30" t="s">
        <v>173</v>
      </c>
      <c r="C48" s="1" t="s">
        <v>17</v>
      </c>
      <c r="D48" s="120"/>
      <c r="E48" s="11" t="s">
        <v>118</v>
      </c>
      <c r="F48" s="73" t="s">
        <v>342</v>
      </c>
      <c r="G48" s="74" t="s">
        <v>112</v>
      </c>
      <c r="H48" s="75">
        <v>4</v>
      </c>
      <c r="I48" s="76">
        <v>4</v>
      </c>
      <c r="J48" s="96">
        <f>1+2+1</f>
        <v>4</v>
      </c>
      <c r="K48" s="77">
        <f>6833.76+696.36</f>
        <v>7530.12</v>
      </c>
      <c r="L48" s="77"/>
      <c r="M48" s="78">
        <f t="shared" si="1"/>
        <v>7530.12</v>
      </c>
      <c r="N48" s="100">
        <f>4+2</f>
        <v>6</v>
      </c>
      <c r="O48" s="81">
        <f>5931.9+4183.92+3158.95</f>
        <v>13274.77</v>
      </c>
      <c r="P48" s="81">
        <f>5931.9</f>
        <v>5931.9</v>
      </c>
      <c r="Q48" s="79">
        <f t="shared" si="2"/>
        <v>7342.8700000000008</v>
      </c>
      <c r="R48" s="141"/>
    </row>
    <row r="49" spans="1:18" s="13" customFormat="1" ht="15.75" x14ac:dyDescent="0.25">
      <c r="A49" s="10"/>
      <c r="B49" s="22" t="s">
        <v>143</v>
      </c>
      <c r="C49" s="1" t="s">
        <v>64</v>
      </c>
      <c r="D49" s="120" t="s">
        <v>444</v>
      </c>
      <c r="E49" s="3" t="s">
        <v>20</v>
      </c>
      <c r="F49" s="73" t="s">
        <v>445</v>
      </c>
      <c r="G49" s="11" t="s">
        <v>114</v>
      </c>
      <c r="H49" s="1">
        <v>6</v>
      </c>
      <c r="I49" s="47"/>
      <c r="J49" s="51"/>
      <c r="K49" s="37"/>
      <c r="L49" s="37"/>
      <c r="M49" s="78">
        <f t="shared" si="1"/>
        <v>0</v>
      </c>
      <c r="N49" s="39">
        <v>11</v>
      </c>
      <c r="O49" s="31">
        <v>13367.1</v>
      </c>
      <c r="P49" s="31">
        <v>12078.4</v>
      </c>
      <c r="Q49" s="79">
        <f t="shared" si="2"/>
        <v>1288.7000000000007</v>
      </c>
    </row>
    <row r="50" spans="1:18" s="13" customFormat="1" ht="15.75" x14ac:dyDescent="0.25">
      <c r="A50" s="10"/>
      <c r="B50" s="24" t="s">
        <v>158</v>
      </c>
      <c r="C50" s="1" t="s">
        <v>17</v>
      </c>
      <c r="D50" s="120"/>
      <c r="E50" s="17" t="s">
        <v>32</v>
      </c>
      <c r="F50" s="73" t="s">
        <v>426</v>
      </c>
      <c r="G50" s="11" t="s">
        <v>117</v>
      </c>
      <c r="H50" s="1">
        <v>6</v>
      </c>
      <c r="I50" s="47">
        <v>1</v>
      </c>
      <c r="J50" s="51">
        <v>1</v>
      </c>
      <c r="K50" s="37"/>
      <c r="L50" s="37"/>
      <c r="M50" s="38">
        <f t="shared" si="1"/>
        <v>0</v>
      </c>
      <c r="N50" s="39">
        <v>4</v>
      </c>
      <c r="O50" s="31">
        <v>9789.2000000000007</v>
      </c>
      <c r="P50" s="31"/>
      <c r="Q50" s="12">
        <f t="shared" si="2"/>
        <v>9789.2000000000007</v>
      </c>
    </row>
    <row r="51" spans="1:18" s="15" customFormat="1" ht="15.75" x14ac:dyDescent="0.25">
      <c r="A51" s="14"/>
      <c r="B51" s="80" t="s">
        <v>43</v>
      </c>
      <c r="C51" s="1" t="s">
        <v>17</v>
      </c>
      <c r="D51" s="120"/>
      <c r="E51" s="3" t="s">
        <v>18</v>
      </c>
      <c r="F51" s="73" t="s">
        <v>344</v>
      </c>
      <c r="G51" s="74" t="s">
        <v>112</v>
      </c>
      <c r="H51" s="75">
        <v>12</v>
      </c>
      <c r="I51" s="76">
        <v>4</v>
      </c>
      <c r="J51" s="96">
        <f>1+2</f>
        <v>3</v>
      </c>
      <c r="K51" s="77">
        <f>1776.93</f>
        <v>1776.93</v>
      </c>
      <c r="L51" s="77"/>
      <c r="M51" s="78">
        <f t="shared" si="1"/>
        <v>1776.93</v>
      </c>
      <c r="N51" s="100">
        <f>1+5+4</f>
        <v>10</v>
      </c>
      <c r="O51" s="81">
        <f>1223.8+3810.29+4959.02+10043.87</f>
        <v>20036.980000000003</v>
      </c>
      <c r="P51" s="81">
        <f>1223.8</f>
        <v>1223.8</v>
      </c>
      <c r="Q51" s="79">
        <f t="shared" si="2"/>
        <v>18813.180000000004</v>
      </c>
      <c r="R51" s="141"/>
    </row>
    <row r="52" spans="1:18" s="15" customFormat="1" ht="31.5" x14ac:dyDescent="0.25">
      <c r="A52" s="14"/>
      <c r="B52" s="22" t="s">
        <v>43</v>
      </c>
      <c r="C52" s="1" t="s">
        <v>304</v>
      </c>
      <c r="D52" s="120" t="s">
        <v>473</v>
      </c>
      <c r="E52" s="3" t="s">
        <v>18</v>
      </c>
      <c r="F52" s="73" t="s">
        <v>323</v>
      </c>
      <c r="G52" s="11" t="s">
        <v>113</v>
      </c>
      <c r="H52" s="1">
        <v>9</v>
      </c>
      <c r="I52" s="126">
        <v>4</v>
      </c>
      <c r="J52" s="125">
        <v>4</v>
      </c>
      <c r="K52" s="40">
        <v>5071</v>
      </c>
      <c r="L52" s="40"/>
      <c r="M52" s="38">
        <f t="shared" si="1"/>
        <v>5071</v>
      </c>
      <c r="N52" s="39">
        <v>10</v>
      </c>
      <c r="O52" s="31">
        <v>19004</v>
      </c>
      <c r="P52" s="31">
        <v>2655</v>
      </c>
      <c r="Q52" s="12">
        <f t="shared" si="2"/>
        <v>16349</v>
      </c>
    </row>
    <row r="53" spans="1:18" s="13" customFormat="1" ht="15.75" x14ac:dyDescent="0.25">
      <c r="A53" s="10"/>
      <c r="B53" s="30" t="s">
        <v>44</v>
      </c>
      <c r="C53" s="1" t="s">
        <v>17</v>
      </c>
      <c r="D53" s="120"/>
      <c r="E53" s="3" t="s">
        <v>20</v>
      </c>
      <c r="F53" s="73" t="s">
        <v>345</v>
      </c>
      <c r="G53" s="74" t="s">
        <v>112</v>
      </c>
      <c r="H53" s="75">
        <v>6</v>
      </c>
      <c r="I53" s="76">
        <v>6</v>
      </c>
      <c r="J53" s="96">
        <f>1+1+1+4</f>
        <v>7</v>
      </c>
      <c r="K53" s="77">
        <f>2422.38+1267.86+15410.58</f>
        <v>19100.82</v>
      </c>
      <c r="L53" s="77"/>
      <c r="M53" s="78">
        <f t="shared" si="1"/>
        <v>19100.82</v>
      </c>
      <c r="N53" s="100">
        <f>1+11</f>
        <v>12</v>
      </c>
      <c r="O53" s="81">
        <f>421.62+4603.39+10559.77+72902.04</f>
        <v>88486.819999999992</v>
      </c>
      <c r="P53" s="81"/>
      <c r="Q53" s="79">
        <f t="shared" si="2"/>
        <v>88486.819999999992</v>
      </c>
      <c r="R53" s="141"/>
    </row>
    <row r="54" spans="1:18" s="13" customFormat="1" ht="15.75" x14ac:dyDescent="0.25">
      <c r="A54" s="10"/>
      <c r="B54" s="24" t="s">
        <v>44</v>
      </c>
      <c r="C54" s="1" t="s">
        <v>17</v>
      </c>
      <c r="D54" s="120"/>
      <c r="E54" s="3" t="s">
        <v>20</v>
      </c>
      <c r="F54" s="73" t="s">
        <v>483</v>
      </c>
      <c r="G54" s="11" t="s">
        <v>114</v>
      </c>
      <c r="H54" s="1"/>
      <c r="I54" s="49"/>
      <c r="J54" s="51"/>
      <c r="K54" s="40"/>
      <c r="L54" s="40"/>
      <c r="M54" s="78">
        <f t="shared" si="1"/>
        <v>0</v>
      </c>
      <c r="N54" s="41">
        <v>2</v>
      </c>
      <c r="O54" s="31"/>
      <c r="P54" s="31"/>
      <c r="Q54" s="12">
        <f t="shared" si="2"/>
        <v>0</v>
      </c>
    </row>
    <row r="55" spans="1:18" s="13" customFormat="1" ht="15.75" x14ac:dyDescent="0.25">
      <c r="A55" s="10"/>
      <c r="B55" s="24" t="s">
        <v>492</v>
      </c>
      <c r="C55" s="1" t="s">
        <v>17</v>
      </c>
      <c r="D55" s="120"/>
      <c r="E55" s="3" t="s">
        <v>20</v>
      </c>
      <c r="F55" s="73" t="s">
        <v>499</v>
      </c>
      <c r="G55" s="11" t="s">
        <v>112</v>
      </c>
      <c r="H55" s="1">
        <v>3</v>
      </c>
      <c r="I55" s="49"/>
      <c r="J55" s="51"/>
      <c r="K55" s="40"/>
      <c r="L55" s="40"/>
      <c r="M55" s="78"/>
      <c r="N55" s="41"/>
      <c r="O55" s="31"/>
      <c r="P55" s="31"/>
      <c r="Q55" s="12"/>
    </row>
    <row r="56" spans="1:18" s="13" customFormat="1" ht="15.75" x14ac:dyDescent="0.25">
      <c r="A56" s="10"/>
      <c r="B56" s="27" t="s">
        <v>45</v>
      </c>
      <c r="C56" s="1" t="s">
        <v>17</v>
      </c>
      <c r="D56" s="120"/>
      <c r="E56" s="3" t="s">
        <v>20</v>
      </c>
      <c r="F56" s="73" t="s">
        <v>346</v>
      </c>
      <c r="G56" s="74" t="s">
        <v>112</v>
      </c>
      <c r="H56" s="75"/>
      <c r="I56" s="76"/>
      <c r="J56" s="96"/>
      <c r="K56" s="77"/>
      <c r="L56" s="77"/>
      <c r="M56" s="38">
        <f t="shared" si="1"/>
        <v>0</v>
      </c>
      <c r="N56" s="100">
        <f>1</f>
        <v>1</v>
      </c>
      <c r="O56" s="81">
        <f>17995.91+2729.8</f>
        <v>20725.71</v>
      </c>
      <c r="P56" s="81"/>
      <c r="Q56" s="79">
        <f t="shared" si="2"/>
        <v>20725.71</v>
      </c>
      <c r="R56" s="141"/>
    </row>
    <row r="57" spans="1:18" s="13" customFormat="1" ht="15.75" x14ac:dyDescent="0.25">
      <c r="A57" s="10"/>
      <c r="B57" s="25" t="s">
        <v>45</v>
      </c>
      <c r="C57" s="1" t="s">
        <v>17</v>
      </c>
      <c r="D57" s="120"/>
      <c r="E57" s="3" t="s">
        <v>20</v>
      </c>
      <c r="F57" s="73" t="s">
        <v>484</v>
      </c>
      <c r="G57" s="11" t="s">
        <v>114</v>
      </c>
      <c r="H57" s="1"/>
      <c r="I57" s="49"/>
      <c r="J57" s="51"/>
      <c r="K57" s="40"/>
      <c r="L57" s="40"/>
      <c r="M57" s="78">
        <f t="shared" si="1"/>
        <v>0</v>
      </c>
      <c r="N57" s="41"/>
      <c r="O57" s="31"/>
      <c r="P57" s="31"/>
      <c r="Q57" s="12">
        <f t="shared" si="2"/>
        <v>0</v>
      </c>
    </row>
    <row r="58" spans="1:18" s="15" customFormat="1" ht="15.75" x14ac:dyDescent="0.25">
      <c r="A58" s="14"/>
      <c r="B58" s="28" t="s">
        <v>46</v>
      </c>
      <c r="C58" s="1" t="s">
        <v>17</v>
      </c>
      <c r="D58" s="120"/>
      <c r="E58" s="3" t="s">
        <v>20</v>
      </c>
      <c r="F58" s="73" t="s">
        <v>347</v>
      </c>
      <c r="G58" s="74" t="s">
        <v>112</v>
      </c>
      <c r="H58" s="75">
        <v>5</v>
      </c>
      <c r="I58" s="76">
        <v>3</v>
      </c>
      <c r="J58" s="96">
        <f>1+2</f>
        <v>3</v>
      </c>
      <c r="K58" s="77">
        <f>1045.98+1068.08</f>
        <v>2114.06</v>
      </c>
      <c r="L58" s="77"/>
      <c r="M58" s="38">
        <f t="shared" si="1"/>
        <v>2114.06</v>
      </c>
      <c r="N58" s="100">
        <f>4+4</f>
        <v>8</v>
      </c>
      <c r="O58" s="81">
        <f>10759.2+10685.34</f>
        <v>21444.54</v>
      </c>
      <c r="P58" s="81"/>
      <c r="Q58" s="79">
        <f t="shared" si="2"/>
        <v>21444.54</v>
      </c>
      <c r="R58" s="141"/>
    </row>
    <row r="59" spans="1:18" s="15" customFormat="1" ht="15.75" x14ac:dyDescent="0.25">
      <c r="A59" s="14"/>
      <c r="B59" s="26" t="s">
        <v>46</v>
      </c>
      <c r="C59" s="1" t="s">
        <v>17</v>
      </c>
      <c r="D59" s="120"/>
      <c r="E59" s="3" t="s">
        <v>20</v>
      </c>
      <c r="F59" s="73" t="s">
        <v>273</v>
      </c>
      <c r="G59" s="11" t="s">
        <v>114</v>
      </c>
      <c r="H59" s="1">
        <v>1</v>
      </c>
      <c r="I59" s="49"/>
      <c r="J59" s="51"/>
      <c r="K59" s="40"/>
      <c r="L59" s="40"/>
      <c r="M59" s="78">
        <f t="shared" si="1"/>
        <v>0</v>
      </c>
      <c r="N59" s="42">
        <v>2</v>
      </c>
      <c r="O59" s="31">
        <v>8068.2</v>
      </c>
      <c r="P59" s="31">
        <f>4034.1</f>
        <v>4034.1</v>
      </c>
      <c r="Q59" s="12">
        <f t="shared" si="2"/>
        <v>4034.1</v>
      </c>
    </row>
    <row r="60" spans="1:18" s="13" customFormat="1" ht="47.25" x14ac:dyDescent="0.25">
      <c r="A60" s="10"/>
      <c r="B60" s="30" t="s">
        <v>47</v>
      </c>
      <c r="C60" s="1" t="s">
        <v>304</v>
      </c>
      <c r="D60" s="120" t="s">
        <v>474</v>
      </c>
      <c r="E60" s="3" t="s">
        <v>18</v>
      </c>
      <c r="F60" s="73" t="s">
        <v>348</v>
      </c>
      <c r="G60" s="74" t="s">
        <v>112</v>
      </c>
      <c r="H60" s="75">
        <v>13</v>
      </c>
      <c r="I60" s="76">
        <v>4</v>
      </c>
      <c r="J60" s="96">
        <f>1+1+3</f>
        <v>5</v>
      </c>
      <c r="K60" s="77">
        <f>1129.78+866.14+4090.7</f>
        <v>6086.62</v>
      </c>
      <c r="L60" s="77"/>
      <c r="M60" s="38">
        <f t="shared" si="1"/>
        <v>6086.62</v>
      </c>
      <c r="N60" s="100">
        <f>7+3+4+10+6+1</f>
        <v>31</v>
      </c>
      <c r="O60" s="81">
        <f>8477.51+15159.83+14079.46+15414.2+17995.91+2065.56</f>
        <v>73192.47</v>
      </c>
      <c r="P60" s="81">
        <f>8477.51</f>
        <v>8477.51</v>
      </c>
      <c r="Q60" s="79">
        <f t="shared" si="2"/>
        <v>64714.96</v>
      </c>
      <c r="R60" s="141"/>
    </row>
    <row r="61" spans="1:18" s="13" customFormat="1" ht="47.25" x14ac:dyDescent="0.25">
      <c r="A61" s="10"/>
      <c r="B61" s="22" t="s">
        <v>120</v>
      </c>
      <c r="C61" s="1" t="s">
        <v>304</v>
      </c>
      <c r="D61" s="120" t="s">
        <v>474</v>
      </c>
      <c r="E61" s="3" t="s">
        <v>18</v>
      </c>
      <c r="F61" s="73" t="s">
        <v>334</v>
      </c>
      <c r="G61" s="11" t="s">
        <v>116</v>
      </c>
      <c r="H61" s="1">
        <v>15</v>
      </c>
      <c r="I61" s="53">
        <v>3</v>
      </c>
      <c r="J61" s="127">
        <v>3</v>
      </c>
      <c r="K61" s="40">
        <v>4323</v>
      </c>
      <c r="L61" s="40"/>
      <c r="M61" s="78">
        <f t="shared" si="1"/>
        <v>4323</v>
      </c>
      <c r="N61" s="41">
        <v>4</v>
      </c>
      <c r="O61" s="31">
        <v>30280</v>
      </c>
      <c r="P61" s="31">
        <v>13238</v>
      </c>
      <c r="Q61" s="12">
        <f t="shared" si="2"/>
        <v>17042</v>
      </c>
    </row>
    <row r="62" spans="1:18" s="13" customFormat="1" ht="15.75" x14ac:dyDescent="0.25">
      <c r="A62" s="10"/>
      <c r="B62" s="30" t="s">
        <v>134</v>
      </c>
      <c r="C62" s="1" t="s">
        <v>17</v>
      </c>
      <c r="D62" s="120"/>
      <c r="E62" s="3" t="s">
        <v>20</v>
      </c>
      <c r="F62" s="73" t="s">
        <v>349</v>
      </c>
      <c r="G62" s="74" t="s">
        <v>112</v>
      </c>
      <c r="H62" s="75">
        <v>7</v>
      </c>
      <c r="I62" s="76">
        <v>7</v>
      </c>
      <c r="J62" s="96">
        <f>1+4+1</f>
        <v>6</v>
      </c>
      <c r="K62" s="77">
        <f>7301.48+1473.89+1911.09+1690.48</f>
        <v>12376.939999999999</v>
      </c>
      <c r="L62" s="77"/>
      <c r="M62" s="38">
        <f t="shared" si="1"/>
        <v>12376.939999999999</v>
      </c>
      <c r="N62" s="100">
        <f>4+1</f>
        <v>5</v>
      </c>
      <c r="O62" s="81">
        <f>5020.05+3215.31+12312.39+4648.82</f>
        <v>25196.57</v>
      </c>
      <c r="P62" s="81"/>
      <c r="Q62" s="79">
        <f t="shared" si="2"/>
        <v>25196.57</v>
      </c>
      <c r="R62" s="141"/>
    </row>
    <row r="63" spans="1:18" s="13" customFormat="1" ht="15.75" x14ac:dyDescent="0.25">
      <c r="A63" s="10"/>
      <c r="B63" s="24" t="s">
        <v>134</v>
      </c>
      <c r="C63" s="1" t="s">
        <v>17</v>
      </c>
      <c r="D63" s="120"/>
      <c r="E63" s="3" t="s">
        <v>20</v>
      </c>
      <c r="F63" s="73" t="s">
        <v>456</v>
      </c>
      <c r="G63" s="11" t="s">
        <v>114</v>
      </c>
      <c r="H63" s="1">
        <v>12</v>
      </c>
      <c r="I63" s="49"/>
      <c r="J63" s="51"/>
      <c r="K63" s="40"/>
      <c r="L63" s="40"/>
      <c r="M63" s="78">
        <f t="shared" si="1"/>
        <v>0</v>
      </c>
      <c r="N63" s="41">
        <v>19</v>
      </c>
      <c r="O63" s="31">
        <v>16425.57</v>
      </c>
      <c r="P63" s="31">
        <v>16425.57</v>
      </c>
      <c r="Q63" s="12">
        <f t="shared" si="2"/>
        <v>0</v>
      </c>
    </row>
    <row r="64" spans="1:18" s="13" customFormat="1" ht="15.75" x14ac:dyDescent="0.25">
      <c r="A64" s="10"/>
      <c r="B64" s="62" t="s">
        <v>48</v>
      </c>
      <c r="C64" s="1" t="s">
        <v>17</v>
      </c>
      <c r="D64" s="120"/>
      <c r="E64" s="3" t="s">
        <v>20</v>
      </c>
      <c r="F64" s="73" t="s">
        <v>350</v>
      </c>
      <c r="G64" s="74" t="s">
        <v>112</v>
      </c>
      <c r="H64" s="75">
        <v>9</v>
      </c>
      <c r="I64" s="76">
        <v>2</v>
      </c>
      <c r="J64" s="96">
        <f>1</f>
        <v>1</v>
      </c>
      <c r="K64" s="77">
        <f>4805.96</f>
        <v>4805.96</v>
      </c>
      <c r="L64" s="77"/>
      <c r="M64" s="38">
        <f t="shared" si="1"/>
        <v>4805.96</v>
      </c>
      <c r="N64" s="100">
        <f>2+1</f>
        <v>3</v>
      </c>
      <c r="O64" s="81">
        <f>23174.33+2535.72+11633.02</f>
        <v>37343.070000000007</v>
      </c>
      <c r="P64" s="81"/>
      <c r="Q64" s="79">
        <f t="shared" si="2"/>
        <v>37343.070000000007</v>
      </c>
      <c r="R64" s="141"/>
    </row>
    <row r="65" spans="1:18" s="13" customFormat="1" ht="15.75" x14ac:dyDescent="0.25">
      <c r="A65" s="10"/>
      <c r="B65" s="62" t="s">
        <v>49</v>
      </c>
      <c r="C65" s="1" t="s">
        <v>17</v>
      </c>
      <c r="D65" s="120"/>
      <c r="E65" s="3" t="s">
        <v>50</v>
      </c>
      <c r="F65" s="73" t="s">
        <v>351</v>
      </c>
      <c r="G65" s="74" t="s">
        <v>112</v>
      </c>
      <c r="H65" s="75">
        <v>10</v>
      </c>
      <c r="I65" s="76">
        <v>1</v>
      </c>
      <c r="J65" s="96">
        <f>1</f>
        <v>1</v>
      </c>
      <c r="K65" s="77">
        <f>525.65</f>
        <v>525.65</v>
      </c>
      <c r="L65" s="77"/>
      <c r="M65" s="78">
        <f t="shared" si="1"/>
        <v>525.65</v>
      </c>
      <c r="N65" s="100">
        <f>5+1+3</f>
        <v>9</v>
      </c>
      <c r="O65" s="81">
        <f>7374+1806.93+7275.53+4666.9</f>
        <v>21123.360000000001</v>
      </c>
      <c r="P65" s="81">
        <f>7374</f>
        <v>7374</v>
      </c>
      <c r="Q65" s="12">
        <f t="shared" si="2"/>
        <v>13749.36</v>
      </c>
      <c r="R65" s="141"/>
    </row>
    <row r="66" spans="1:18" s="13" customFormat="1" ht="15.75" x14ac:dyDescent="0.25">
      <c r="A66" s="10"/>
      <c r="B66" s="22" t="s">
        <v>49</v>
      </c>
      <c r="C66" s="1" t="s">
        <v>17</v>
      </c>
      <c r="D66" s="120"/>
      <c r="E66" s="3" t="s">
        <v>50</v>
      </c>
      <c r="F66" s="73" t="s">
        <v>427</v>
      </c>
      <c r="G66" s="11" t="s">
        <v>115</v>
      </c>
      <c r="H66" s="1">
        <v>5</v>
      </c>
      <c r="I66" s="49">
        <v>1</v>
      </c>
      <c r="J66" s="46">
        <v>1</v>
      </c>
      <c r="K66" s="40"/>
      <c r="L66" s="40"/>
      <c r="M66" s="38">
        <f t="shared" si="1"/>
        <v>0</v>
      </c>
      <c r="N66" s="41">
        <v>7</v>
      </c>
      <c r="O66" s="31">
        <v>9893.2000000000007</v>
      </c>
      <c r="P66" s="31">
        <v>4898.6000000000004</v>
      </c>
      <c r="Q66" s="79">
        <f t="shared" si="2"/>
        <v>4994.6000000000004</v>
      </c>
    </row>
    <row r="67" spans="1:18" s="13" customFormat="1" ht="15.75" x14ac:dyDescent="0.25">
      <c r="A67" s="10"/>
      <c r="B67" s="27" t="s">
        <v>51</v>
      </c>
      <c r="C67" s="1" t="s">
        <v>17</v>
      </c>
      <c r="D67" s="120"/>
      <c r="E67" s="3" t="s">
        <v>20</v>
      </c>
      <c r="F67" s="73" t="s">
        <v>186</v>
      </c>
      <c r="G67" s="74" t="s">
        <v>112</v>
      </c>
      <c r="H67" s="75"/>
      <c r="I67" s="76"/>
      <c r="J67" s="96"/>
      <c r="K67" s="77"/>
      <c r="L67" s="77"/>
      <c r="M67" s="78">
        <f t="shared" si="1"/>
        <v>0</v>
      </c>
      <c r="N67" s="100">
        <f>1</f>
        <v>1</v>
      </c>
      <c r="O67" s="81">
        <v>2451.87</v>
      </c>
      <c r="P67" s="81">
        <f>2451.87</f>
        <v>2451.87</v>
      </c>
      <c r="Q67" s="12">
        <f t="shared" si="2"/>
        <v>0</v>
      </c>
      <c r="R67" s="141"/>
    </row>
    <row r="68" spans="1:18" s="13" customFormat="1" ht="15.75" x14ac:dyDescent="0.25">
      <c r="A68" s="10"/>
      <c r="B68" s="27" t="s">
        <v>51</v>
      </c>
      <c r="C68" s="1" t="s">
        <v>17</v>
      </c>
      <c r="D68" s="120"/>
      <c r="E68" s="3" t="s">
        <v>20</v>
      </c>
      <c r="F68" s="73" t="s">
        <v>276</v>
      </c>
      <c r="G68" s="11" t="s">
        <v>114</v>
      </c>
      <c r="H68" s="1"/>
      <c r="I68" s="49"/>
      <c r="J68" s="51"/>
      <c r="K68" s="40"/>
      <c r="L68" s="40"/>
      <c r="M68" s="38">
        <f t="shared" si="1"/>
        <v>0</v>
      </c>
      <c r="N68" s="41">
        <v>3</v>
      </c>
      <c r="O68" s="31">
        <v>6763.6</v>
      </c>
      <c r="P68" s="31">
        <v>6763.6</v>
      </c>
      <c r="Q68" s="79">
        <f t="shared" si="2"/>
        <v>0</v>
      </c>
    </row>
    <row r="69" spans="1:18" s="13" customFormat="1" ht="15.75" x14ac:dyDescent="0.25">
      <c r="A69" s="10"/>
      <c r="B69" s="62" t="s">
        <v>52</v>
      </c>
      <c r="C69" s="1" t="s">
        <v>17</v>
      </c>
      <c r="D69" s="120"/>
      <c r="E69" s="3" t="s">
        <v>20</v>
      </c>
      <c r="F69" s="73" t="s">
        <v>352</v>
      </c>
      <c r="G69" s="74" t="s">
        <v>112</v>
      </c>
      <c r="H69" s="75">
        <v>5</v>
      </c>
      <c r="I69" s="76"/>
      <c r="J69" s="96"/>
      <c r="K69" s="77"/>
      <c r="L69" s="77"/>
      <c r="M69" s="78">
        <f t="shared" si="1"/>
        <v>0</v>
      </c>
      <c r="N69" s="100">
        <f>4+3+1+1</f>
        <v>9</v>
      </c>
      <c r="O69" s="81">
        <f>5977.15+48296.91+7596.86+1061.83</f>
        <v>62932.750000000007</v>
      </c>
      <c r="P69" s="81">
        <f>48296.91</f>
        <v>48296.91</v>
      </c>
      <c r="Q69" s="12">
        <f t="shared" si="2"/>
        <v>14635.840000000004</v>
      </c>
      <c r="R69" s="141"/>
    </row>
    <row r="70" spans="1:18" s="13" customFormat="1" ht="15.75" x14ac:dyDescent="0.25">
      <c r="A70" s="10"/>
      <c r="B70" s="22" t="s">
        <v>52</v>
      </c>
      <c r="C70" s="1" t="s">
        <v>17</v>
      </c>
      <c r="D70" s="120"/>
      <c r="E70" s="3" t="s">
        <v>20</v>
      </c>
      <c r="F70" s="73" t="s">
        <v>457</v>
      </c>
      <c r="G70" s="11" t="s">
        <v>114</v>
      </c>
      <c r="H70" s="1">
        <v>5</v>
      </c>
      <c r="I70" s="49"/>
      <c r="J70" s="51"/>
      <c r="K70" s="40"/>
      <c r="L70" s="40"/>
      <c r="M70" s="38">
        <f t="shared" si="1"/>
        <v>0</v>
      </c>
      <c r="N70" s="41">
        <v>12</v>
      </c>
      <c r="O70" s="31">
        <v>19664.86</v>
      </c>
      <c r="P70" s="31">
        <v>11388.46</v>
      </c>
      <c r="Q70" s="79">
        <f t="shared" si="2"/>
        <v>8276.4000000000015</v>
      </c>
    </row>
    <row r="71" spans="1:18" s="13" customFormat="1" ht="15.75" x14ac:dyDescent="0.25">
      <c r="A71" s="10"/>
      <c r="B71" s="27" t="s">
        <v>53</v>
      </c>
      <c r="C71" s="1" t="s">
        <v>17</v>
      </c>
      <c r="D71" s="120"/>
      <c r="E71" s="3" t="s">
        <v>20</v>
      </c>
      <c r="F71" s="73" t="s">
        <v>353</v>
      </c>
      <c r="G71" s="74" t="s">
        <v>112</v>
      </c>
      <c r="H71" s="75">
        <v>5</v>
      </c>
      <c r="I71" s="76"/>
      <c r="J71" s="96"/>
      <c r="K71" s="77"/>
      <c r="L71" s="77"/>
      <c r="M71" s="78">
        <f>K71-L71</f>
        <v>0</v>
      </c>
      <c r="N71" s="100">
        <f>1+2+2</f>
        <v>5</v>
      </c>
      <c r="O71" s="81">
        <f>1743.3+3921.71+422.62</f>
        <v>6087.63</v>
      </c>
      <c r="P71" s="81">
        <f>422.62</f>
        <v>422.62</v>
      </c>
      <c r="Q71" s="12">
        <f t="shared" si="2"/>
        <v>5665.01</v>
      </c>
      <c r="R71" s="141"/>
    </row>
    <row r="72" spans="1:18" s="13" customFormat="1" ht="15.75" x14ac:dyDescent="0.25">
      <c r="A72" s="10"/>
      <c r="B72" s="27" t="s">
        <v>149</v>
      </c>
      <c r="C72" s="1" t="s">
        <v>17</v>
      </c>
      <c r="D72" s="120"/>
      <c r="E72" s="3" t="s">
        <v>383</v>
      </c>
      <c r="F72" s="73" t="s">
        <v>354</v>
      </c>
      <c r="G72" s="74" t="s">
        <v>112</v>
      </c>
      <c r="H72" s="75">
        <v>14</v>
      </c>
      <c r="I72" s="76"/>
      <c r="J72" s="96"/>
      <c r="K72" s="77"/>
      <c r="L72" s="77"/>
      <c r="M72" s="38">
        <f t="shared" si="1"/>
        <v>0</v>
      </c>
      <c r="N72" s="100">
        <f>2+2</f>
        <v>4</v>
      </c>
      <c r="O72" s="81">
        <f>3676.8+3431.65</f>
        <v>7108.4500000000007</v>
      </c>
      <c r="P72" s="81"/>
      <c r="Q72" s="79">
        <f t="shared" si="2"/>
        <v>7108.4500000000007</v>
      </c>
      <c r="R72" s="141"/>
    </row>
    <row r="73" spans="1:18" s="13" customFormat="1" ht="15.75" x14ac:dyDescent="0.25">
      <c r="A73" s="10"/>
      <c r="B73" s="25" t="s">
        <v>149</v>
      </c>
      <c r="C73" s="1" t="s">
        <v>17</v>
      </c>
      <c r="D73" s="120"/>
      <c r="E73" s="3" t="s">
        <v>383</v>
      </c>
      <c r="F73" s="73" t="s">
        <v>438</v>
      </c>
      <c r="G73" s="11" t="s">
        <v>118</v>
      </c>
      <c r="H73" s="1">
        <v>3</v>
      </c>
      <c r="I73" s="47"/>
      <c r="J73" s="51"/>
      <c r="K73" s="37"/>
      <c r="L73" s="37"/>
      <c r="M73" s="78">
        <f t="shared" si="1"/>
        <v>0</v>
      </c>
      <c r="N73" s="39">
        <v>3</v>
      </c>
      <c r="O73" s="31">
        <v>4994.6000000000004</v>
      </c>
      <c r="P73" s="31">
        <v>2689.4</v>
      </c>
      <c r="Q73" s="12">
        <f t="shared" si="2"/>
        <v>2305.2000000000003</v>
      </c>
    </row>
    <row r="74" spans="1:18" s="13" customFormat="1" ht="15.75" x14ac:dyDescent="0.25">
      <c r="A74" s="10"/>
      <c r="B74" s="62" t="s">
        <v>107</v>
      </c>
      <c r="C74" s="1" t="s">
        <v>17</v>
      </c>
      <c r="D74" s="120"/>
      <c r="E74" s="17" t="s">
        <v>20</v>
      </c>
      <c r="F74" s="73" t="s">
        <v>355</v>
      </c>
      <c r="G74" s="74" t="s">
        <v>112</v>
      </c>
      <c r="H74" s="75">
        <v>4</v>
      </c>
      <c r="I74" s="76"/>
      <c r="J74" s="96">
        <f>1</f>
        <v>1</v>
      </c>
      <c r="K74" s="77">
        <f>666.63</f>
        <v>666.63</v>
      </c>
      <c r="L74" s="77"/>
      <c r="M74" s="38">
        <f t="shared" si="1"/>
        <v>666.63</v>
      </c>
      <c r="N74" s="100">
        <f>2+6</f>
        <v>8</v>
      </c>
      <c r="O74" s="81">
        <f>7612.92+18804.48+9163.33</f>
        <v>35580.730000000003</v>
      </c>
      <c r="P74" s="81">
        <f>7612.92</f>
        <v>7612.92</v>
      </c>
      <c r="Q74" s="79">
        <f t="shared" si="2"/>
        <v>27967.810000000005</v>
      </c>
      <c r="R74" s="141"/>
    </row>
    <row r="75" spans="1:18" s="13" customFormat="1" ht="15.75" x14ac:dyDescent="0.25">
      <c r="A75" s="10"/>
      <c r="B75" s="30" t="s">
        <v>54</v>
      </c>
      <c r="C75" s="1" t="s">
        <v>17</v>
      </c>
      <c r="D75" s="120"/>
      <c r="E75" s="17" t="s">
        <v>20</v>
      </c>
      <c r="F75" s="73" t="s">
        <v>356</v>
      </c>
      <c r="G75" s="74" t="s">
        <v>112</v>
      </c>
      <c r="H75" s="75"/>
      <c r="I75" s="76"/>
      <c r="J75" s="96"/>
      <c r="K75" s="77"/>
      <c r="L75" s="77"/>
      <c r="M75" s="38">
        <f t="shared" si="1"/>
        <v>0</v>
      </c>
      <c r="N75" s="100">
        <f>4</f>
        <v>4</v>
      </c>
      <c r="O75" s="81">
        <f>17895.28</f>
        <v>17895.28</v>
      </c>
      <c r="P75" s="81"/>
      <c r="Q75" s="79">
        <f t="shared" si="2"/>
        <v>17895.28</v>
      </c>
      <c r="R75" s="141"/>
    </row>
    <row r="76" spans="1:18" s="13" customFormat="1" ht="31.5" x14ac:dyDescent="0.25">
      <c r="A76" s="10"/>
      <c r="B76" s="27" t="s">
        <v>55</v>
      </c>
      <c r="C76" s="1" t="s">
        <v>304</v>
      </c>
      <c r="D76" s="120" t="s">
        <v>387</v>
      </c>
      <c r="E76" s="3" t="s">
        <v>20</v>
      </c>
      <c r="F76" s="73" t="s">
        <v>357</v>
      </c>
      <c r="G76" s="74" t="s">
        <v>112</v>
      </c>
      <c r="H76" s="75">
        <v>10</v>
      </c>
      <c r="I76" s="76">
        <v>2</v>
      </c>
      <c r="J76" s="96"/>
      <c r="K76" s="77">
        <f>1267.86</f>
        <v>1267.8599999999999</v>
      </c>
      <c r="L76" s="77"/>
      <c r="M76" s="78">
        <f t="shared" si="1"/>
        <v>1267.8599999999999</v>
      </c>
      <c r="N76" s="100">
        <f>2+1+2</f>
        <v>5</v>
      </c>
      <c r="O76" s="81">
        <f>34854.19+2113.1+6430.67</f>
        <v>43397.96</v>
      </c>
      <c r="P76" s="81">
        <f>34854.19</f>
        <v>34854.19</v>
      </c>
      <c r="Q76" s="12">
        <f t="shared" si="2"/>
        <v>8543.7699999999968</v>
      </c>
      <c r="R76" s="141"/>
    </row>
    <row r="77" spans="1:18" s="13" customFormat="1" ht="31.5" x14ac:dyDescent="0.25">
      <c r="A77" s="10"/>
      <c r="B77" s="62" t="s">
        <v>56</v>
      </c>
      <c r="C77" s="1" t="s">
        <v>17</v>
      </c>
      <c r="D77" s="120" t="s">
        <v>386</v>
      </c>
      <c r="E77" s="3" t="s">
        <v>18</v>
      </c>
      <c r="F77" s="73" t="s">
        <v>358</v>
      </c>
      <c r="G77" s="74" t="s">
        <v>112</v>
      </c>
      <c r="H77" s="75">
        <v>2</v>
      </c>
      <c r="I77" s="76">
        <v>1</v>
      </c>
      <c r="J77" s="96">
        <f>1</f>
        <v>1</v>
      </c>
      <c r="K77" s="77">
        <f>678.11</f>
        <v>678.11</v>
      </c>
      <c r="L77" s="77"/>
      <c r="M77" s="38">
        <f t="shared" si="1"/>
        <v>678.11</v>
      </c>
      <c r="N77" s="100"/>
      <c r="O77" s="81"/>
      <c r="P77" s="81"/>
      <c r="Q77" s="79">
        <f t="shared" si="2"/>
        <v>0</v>
      </c>
      <c r="R77" s="141"/>
    </row>
    <row r="78" spans="1:18" s="13" customFormat="1" ht="31.5" x14ac:dyDescent="0.25">
      <c r="A78" s="10"/>
      <c r="B78" s="22" t="s">
        <v>56</v>
      </c>
      <c r="C78" s="1" t="s">
        <v>304</v>
      </c>
      <c r="D78" s="120" t="s">
        <v>386</v>
      </c>
      <c r="E78" s="3" t="s">
        <v>18</v>
      </c>
      <c r="F78" s="73" t="s">
        <v>476</v>
      </c>
      <c r="G78" s="11" t="s">
        <v>113</v>
      </c>
      <c r="H78" s="1">
        <v>1</v>
      </c>
      <c r="I78" s="49">
        <v>1</v>
      </c>
      <c r="J78" s="46">
        <v>1</v>
      </c>
      <c r="K78" s="40">
        <v>1480</v>
      </c>
      <c r="L78" s="40"/>
      <c r="M78" s="78">
        <f t="shared" si="1"/>
        <v>1480</v>
      </c>
      <c r="N78" s="41"/>
      <c r="O78" s="31">
        <v>7612</v>
      </c>
      <c r="P78" s="31">
        <v>1657</v>
      </c>
      <c r="Q78" s="12">
        <f t="shared" ref="Q78:Q145" si="3">O78-P78</f>
        <v>5955</v>
      </c>
    </row>
    <row r="79" spans="1:18" s="13" customFormat="1" ht="15.75" x14ac:dyDescent="0.25">
      <c r="A79" s="10"/>
      <c r="B79" s="62" t="s">
        <v>156</v>
      </c>
      <c r="C79" s="1" t="s">
        <v>304</v>
      </c>
      <c r="D79" s="120"/>
      <c r="E79" s="3" t="s">
        <v>20</v>
      </c>
      <c r="F79" s="73" t="s">
        <v>359</v>
      </c>
      <c r="G79" s="74" t="s">
        <v>112</v>
      </c>
      <c r="H79" s="75">
        <v>3</v>
      </c>
      <c r="I79" s="76"/>
      <c r="J79" s="96"/>
      <c r="K79" s="77"/>
      <c r="L79" s="77"/>
      <c r="M79" s="38">
        <f t="shared" si="1"/>
        <v>0</v>
      </c>
      <c r="N79" s="100">
        <f>3</f>
        <v>3</v>
      </c>
      <c r="O79" s="81">
        <f>5488.54+2398.37</f>
        <v>7886.91</v>
      </c>
      <c r="P79" s="81"/>
      <c r="Q79" s="79">
        <f t="shared" si="3"/>
        <v>7886.91</v>
      </c>
      <c r="R79" s="141"/>
    </row>
    <row r="80" spans="1:18" s="15" customFormat="1" ht="15.75" x14ac:dyDescent="0.25">
      <c r="A80" s="14"/>
      <c r="B80" s="80" t="s">
        <v>57</v>
      </c>
      <c r="C80" s="1" t="s">
        <v>17</v>
      </c>
      <c r="D80" s="120"/>
      <c r="E80" s="3" t="s">
        <v>20</v>
      </c>
      <c r="F80" s="73" t="s">
        <v>360</v>
      </c>
      <c r="G80" s="74" t="s">
        <v>112</v>
      </c>
      <c r="H80" s="75">
        <v>4</v>
      </c>
      <c r="I80" s="76">
        <v>2</v>
      </c>
      <c r="J80" s="96">
        <f>2</f>
        <v>2</v>
      </c>
      <c r="K80" s="77">
        <f>806.82</f>
        <v>806.82</v>
      </c>
      <c r="L80" s="77"/>
      <c r="M80" s="78">
        <f t="shared" si="1"/>
        <v>806.82</v>
      </c>
      <c r="N80" s="100">
        <f>2+1</f>
        <v>3</v>
      </c>
      <c r="O80" s="81">
        <f>2745.3</f>
        <v>2745.3</v>
      </c>
      <c r="P80" s="81"/>
      <c r="Q80" s="12">
        <f t="shared" si="3"/>
        <v>2745.3</v>
      </c>
      <c r="R80" s="141"/>
    </row>
    <row r="81" spans="1:18" s="15" customFormat="1" ht="15.75" x14ac:dyDescent="0.25">
      <c r="A81" s="14"/>
      <c r="B81" s="23" t="s">
        <v>57</v>
      </c>
      <c r="C81" s="1" t="s">
        <v>17</v>
      </c>
      <c r="D81" s="120"/>
      <c r="E81" s="3" t="s">
        <v>20</v>
      </c>
      <c r="F81" s="73" t="s">
        <v>458</v>
      </c>
      <c r="G81" s="11" t="s">
        <v>114</v>
      </c>
      <c r="H81" s="1">
        <v>13</v>
      </c>
      <c r="I81" s="49">
        <v>1</v>
      </c>
      <c r="J81" s="51">
        <v>1</v>
      </c>
      <c r="K81" s="40"/>
      <c r="L81" s="40"/>
      <c r="M81" s="38">
        <f t="shared" si="1"/>
        <v>0</v>
      </c>
      <c r="N81" s="42">
        <v>7</v>
      </c>
      <c r="O81" s="31">
        <v>5825.46</v>
      </c>
      <c r="P81" s="31">
        <v>5825.46</v>
      </c>
      <c r="Q81" s="79">
        <f t="shared" si="3"/>
        <v>0</v>
      </c>
    </row>
    <row r="82" spans="1:18" s="13" customFormat="1" ht="15.75" x14ac:dyDescent="0.25">
      <c r="A82" s="10"/>
      <c r="B82" s="62" t="s">
        <v>58</v>
      </c>
      <c r="C82" s="1" t="s">
        <v>17</v>
      </c>
      <c r="D82" s="120"/>
      <c r="E82" s="3" t="s">
        <v>20</v>
      </c>
      <c r="F82" s="73" t="s">
        <v>361</v>
      </c>
      <c r="G82" s="74" t="s">
        <v>112</v>
      </c>
      <c r="H82" s="75">
        <v>2</v>
      </c>
      <c r="I82" s="76"/>
      <c r="J82" s="96"/>
      <c r="K82" s="77"/>
      <c r="L82" s="77"/>
      <c r="M82" s="78">
        <f t="shared" si="1"/>
        <v>0</v>
      </c>
      <c r="N82" s="100">
        <f>1+1+3</f>
        <v>5</v>
      </c>
      <c r="O82" s="81">
        <f>9196.24+2480.78+2954.11+15214.32</f>
        <v>29845.45</v>
      </c>
      <c r="P82" s="81"/>
      <c r="Q82" s="12">
        <f t="shared" si="3"/>
        <v>29845.45</v>
      </c>
      <c r="R82" s="141"/>
    </row>
    <row r="83" spans="1:18" s="13" customFormat="1" ht="15.75" x14ac:dyDescent="0.25">
      <c r="A83" s="10"/>
      <c r="B83" s="22" t="s">
        <v>58</v>
      </c>
      <c r="C83" s="1" t="s">
        <v>17</v>
      </c>
      <c r="D83" s="120"/>
      <c r="E83" s="3" t="s">
        <v>20</v>
      </c>
      <c r="F83" s="73" t="s">
        <v>478</v>
      </c>
      <c r="G83" s="11" t="s">
        <v>114</v>
      </c>
      <c r="H83" s="1">
        <v>2</v>
      </c>
      <c r="I83" s="49"/>
      <c r="J83" s="51"/>
      <c r="K83" s="40"/>
      <c r="L83" s="40"/>
      <c r="M83" s="38">
        <f t="shared" ref="M83:M155" si="4">K83-L83</f>
        <v>0</v>
      </c>
      <c r="N83" s="41">
        <v>15</v>
      </c>
      <c r="O83" s="31">
        <v>23095.57</v>
      </c>
      <c r="P83" s="31">
        <v>16615.25</v>
      </c>
      <c r="Q83" s="79">
        <f t="shared" si="3"/>
        <v>6480.32</v>
      </c>
    </row>
    <row r="84" spans="1:18" s="13" customFormat="1" ht="15.75" x14ac:dyDescent="0.25">
      <c r="A84" s="10"/>
      <c r="B84" s="62" t="s">
        <v>59</v>
      </c>
      <c r="C84" s="1" t="s">
        <v>17</v>
      </c>
      <c r="D84" s="120"/>
      <c r="E84" s="3" t="s">
        <v>20</v>
      </c>
      <c r="F84" s="73" t="s">
        <v>362</v>
      </c>
      <c r="G84" s="74" t="s">
        <v>112</v>
      </c>
      <c r="H84" s="75">
        <v>3</v>
      </c>
      <c r="I84" s="76">
        <v>3</v>
      </c>
      <c r="J84" s="96">
        <f>1+1+1</f>
        <v>3</v>
      </c>
      <c r="K84" s="77">
        <f>403.41</f>
        <v>403.41</v>
      </c>
      <c r="L84" s="77"/>
      <c r="M84" s="78">
        <f t="shared" si="4"/>
        <v>403.41</v>
      </c>
      <c r="N84" s="100">
        <f>1+2+2+1</f>
        <v>6</v>
      </c>
      <c r="O84" s="81">
        <f>6646.05+1267.86+979.71</f>
        <v>8893.619999999999</v>
      </c>
      <c r="P84" s="81">
        <f>2353.23</f>
        <v>2353.23</v>
      </c>
      <c r="Q84" s="12">
        <f t="shared" si="3"/>
        <v>6540.3899999999994</v>
      </c>
      <c r="R84" s="141"/>
    </row>
    <row r="85" spans="1:18" s="13" customFormat="1" ht="15.75" x14ac:dyDescent="0.25">
      <c r="A85" s="10"/>
      <c r="B85" s="22" t="s">
        <v>59</v>
      </c>
      <c r="C85" s="1" t="s">
        <v>17</v>
      </c>
      <c r="D85" s="120"/>
      <c r="E85" s="3" t="s">
        <v>20</v>
      </c>
      <c r="F85" s="73" t="s">
        <v>128</v>
      </c>
      <c r="G85" s="11" t="s">
        <v>114</v>
      </c>
      <c r="H85" s="1"/>
      <c r="I85" s="49"/>
      <c r="J85" s="51"/>
      <c r="K85" s="40"/>
      <c r="L85" s="40"/>
      <c r="M85" s="38">
        <f t="shared" si="4"/>
        <v>0</v>
      </c>
      <c r="N85" s="41"/>
      <c r="O85" s="31"/>
      <c r="P85" s="31"/>
      <c r="Q85" s="79">
        <f t="shared" si="3"/>
        <v>0</v>
      </c>
    </row>
    <row r="86" spans="1:18" s="13" customFormat="1" ht="15.75" x14ac:dyDescent="0.25">
      <c r="A86" s="10"/>
      <c r="B86" s="27" t="s">
        <v>60</v>
      </c>
      <c r="C86" s="1" t="s">
        <v>17</v>
      </c>
      <c r="D86" s="120"/>
      <c r="E86" s="3" t="s">
        <v>20</v>
      </c>
      <c r="F86" s="73" t="s">
        <v>364</v>
      </c>
      <c r="G86" s="74" t="s">
        <v>112</v>
      </c>
      <c r="H86" s="75">
        <v>6</v>
      </c>
      <c r="I86" s="76">
        <v>1</v>
      </c>
      <c r="J86" s="96">
        <f>1</f>
        <v>1</v>
      </c>
      <c r="K86" s="77">
        <f>634.93</f>
        <v>634.92999999999995</v>
      </c>
      <c r="L86" s="77"/>
      <c r="M86" s="78">
        <f t="shared" si="4"/>
        <v>634.92999999999995</v>
      </c>
      <c r="N86" s="100">
        <f>4+1</f>
        <v>5</v>
      </c>
      <c r="O86" s="81">
        <f>15124.53+2065.75</f>
        <v>17190.28</v>
      </c>
      <c r="P86" s="81"/>
      <c r="Q86" s="12">
        <f t="shared" si="3"/>
        <v>17190.28</v>
      </c>
      <c r="R86" s="141"/>
    </row>
    <row r="87" spans="1:18" s="13" customFormat="1" ht="15.75" x14ac:dyDescent="0.25">
      <c r="A87" s="10"/>
      <c r="B87" s="25" t="s">
        <v>60</v>
      </c>
      <c r="C87" s="1" t="s">
        <v>17</v>
      </c>
      <c r="D87" s="120"/>
      <c r="E87" s="3" t="s">
        <v>20</v>
      </c>
      <c r="F87" s="73" t="s">
        <v>479</v>
      </c>
      <c r="G87" s="11" t="s">
        <v>114</v>
      </c>
      <c r="H87" s="1">
        <v>3</v>
      </c>
      <c r="I87" s="49"/>
      <c r="J87" s="51"/>
      <c r="K87" s="40"/>
      <c r="L87" s="40"/>
      <c r="M87" s="38">
        <f t="shared" si="4"/>
        <v>0</v>
      </c>
      <c r="N87" s="41">
        <v>7</v>
      </c>
      <c r="O87" s="31">
        <v>6259.4</v>
      </c>
      <c r="P87" s="31">
        <v>6259.4</v>
      </c>
      <c r="Q87" s="79">
        <f t="shared" si="3"/>
        <v>0</v>
      </c>
    </row>
    <row r="88" spans="1:18" s="13" customFormat="1" ht="15.75" x14ac:dyDescent="0.25">
      <c r="A88" s="10"/>
      <c r="B88" s="25" t="s">
        <v>493</v>
      </c>
      <c r="C88" s="1" t="s">
        <v>17</v>
      </c>
      <c r="D88" s="120"/>
      <c r="E88" s="3" t="s">
        <v>20</v>
      </c>
      <c r="F88" s="73" t="s">
        <v>496</v>
      </c>
      <c r="G88" s="11" t="s">
        <v>112</v>
      </c>
      <c r="H88" s="1">
        <v>2</v>
      </c>
      <c r="I88" s="49"/>
      <c r="J88" s="51"/>
      <c r="K88" s="40"/>
      <c r="L88" s="40"/>
      <c r="M88" s="38"/>
      <c r="N88" s="41"/>
      <c r="O88" s="31"/>
      <c r="P88" s="31"/>
      <c r="Q88" s="79"/>
    </row>
    <row r="89" spans="1:18" s="15" customFormat="1" ht="15.75" x14ac:dyDescent="0.25">
      <c r="A89" s="14"/>
      <c r="B89" s="28" t="s">
        <v>61</v>
      </c>
      <c r="C89" s="1" t="s">
        <v>17</v>
      </c>
      <c r="D89" s="120"/>
      <c r="E89" s="3" t="s">
        <v>20</v>
      </c>
      <c r="F89" s="73" t="s">
        <v>363</v>
      </c>
      <c r="G89" s="74" t="s">
        <v>112</v>
      </c>
      <c r="H89" s="75"/>
      <c r="I89" s="76"/>
      <c r="J89" s="96"/>
      <c r="K89" s="77"/>
      <c r="L89" s="77"/>
      <c r="M89" s="78">
        <f t="shared" si="4"/>
        <v>0</v>
      </c>
      <c r="N89" s="100"/>
      <c r="O89" s="81"/>
      <c r="P89" s="81"/>
      <c r="Q89" s="12">
        <f t="shared" si="3"/>
        <v>0</v>
      </c>
      <c r="R89" s="141"/>
    </row>
    <row r="90" spans="1:18" s="15" customFormat="1" ht="15.75" x14ac:dyDescent="0.25">
      <c r="A90" s="14"/>
      <c r="B90" s="26" t="s">
        <v>61</v>
      </c>
      <c r="C90" s="1" t="s">
        <v>17</v>
      </c>
      <c r="D90" s="120"/>
      <c r="E90" s="3" t="s">
        <v>20</v>
      </c>
      <c r="F90" s="73" t="s">
        <v>121</v>
      </c>
      <c r="G90" s="11" t="s">
        <v>114</v>
      </c>
      <c r="H90" s="1"/>
      <c r="I90" s="49"/>
      <c r="J90" s="51"/>
      <c r="K90" s="40"/>
      <c r="L90" s="40"/>
      <c r="M90" s="38">
        <f t="shared" si="4"/>
        <v>0</v>
      </c>
      <c r="N90" s="42"/>
      <c r="O90" s="31"/>
      <c r="P90" s="31"/>
      <c r="Q90" s="79">
        <f t="shared" si="3"/>
        <v>0</v>
      </c>
    </row>
    <row r="91" spans="1:18" s="15" customFormat="1" ht="15.75" x14ac:dyDescent="0.25">
      <c r="A91" s="14"/>
      <c r="B91" s="20" t="s">
        <v>306</v>
      </c>
      <c r="C91" s="1" t="s">
        <v>17</v>
      </c>
      <c r="D91" s="120"/>
      <c r="E91" s="3" t="s">
        <v>35</v>
      </c>
      <c r="F91" s="73" t="s">
        <v>365</v>
      </c>
      <c r="G91" s="11" t="s">
        <v>112</v>
      </c>
      <c r="H91" s="1">
        <v>14</v>
      </c>
      <c r="I91" s="58">
        <v>4</v>
      </c>
      <c r="J91" s="51">
        <f>1+2+1</f>
        <v>4</v>
      </c>
      <c r="K91" s="40">
        <f>1045.98+2658.7+35696.14</f>
        <v>39400.82</v>
      </c>
      <c r="L91" s="40"/>
      <c r="M91" s="78">
        <f t="shared" si="4"/>
        <v>39400.82</v>
      </c>
      <c r="N91" s="39">
        <f>7+2+2</f>
        <v>11</v>
      </c>
      <c r="O91" s="31">
        <f>2313.84+6162.57+2330.32+1690.48</f>
        <v>12497.21</v>
      </c>
      <c r="P91" s="31">
        <f>2313.84</f>
        <v>2313.84</v>
      </c>
      <c r="Q91" s="12">
        <f t="shared" si="3"/>
        <v>10183.369999999999</v>
      </c>
      <c r="R91" s="141"/>
    </row>
    <row r="92" spans="1:18" s="13" customFormat="1" ht="15.75" x14ac:dyDescent="0.25">
      <c r="A92" s="10"/>
      <c r="B92" s="22" t="s">
        <v>306</v>
      </c>
      <c r="C92" s="1" t="s">
        <v>17</v>
      </c>
      <c r="D92" s="120"/>
      <c r="E92" s="3" t="s">
        <v>27</v>
      </c>
      <c r="F92" s="73" t="s">
        <v>421</v>
      </c>
      <c r="G92" s="11" t="s">
        <v>117</v>
      </c>
      <c r="H92" s="1">
        <v>2</v>
      </c>
      <c r="I92" s="49"/>
      <c r="J92" s="46"/>
      <c r="K92" s="40"/>
      <c r="L92" s="40"/>
      <c r="M92" s="78">
        <f>K92-L92</f>
        <v>0</v>
      </c>
      <c r="N92" s="41"/>
      <c r="O92" s="40"/>
      <c r="P92" s="40"/>
      <c r="Q92" s="79">
        <f>O92-P92</f>
        <v>0</v>
      </c>
    </row>
    <row r="93" spans="1:18" s="13" customFormat="1" ht="15.75" x14ac:dyDescent="0.25">
      <c r="A93" s="10"/>
      <c r="B93" s="27" t="s">
        <v>62</v>
      </c>
      <c r="C93" s="1" t="s">
        <v>17</v>
      </c>
      <c r="D93" s="120"/>
      <c r="E93" s="3" t="s">
        <v>35</v>
      </c>
      <c r="F93" s="73" t="s">
        <v>366</v>
      </c>
      <c r="G93" s="74" t="s">
        <v>112</v>
      </c>
      <c r="H93" s="75">
        <v>7</v>
      </c>
      <c r="I93" s="76">
        <v>6</v>
      </c>
      <c r="J93" s="96">
        <f>1+3</f>
        <v>4</v>
      </c>
      <c r="K93" s="77">
        <f>3613.4+1872.01</f>
        <v>5485.41</v>
      </c>
      <c r="L93" s="77"/>
      <c r="M93" s="38">
        <f t="shared" si="4"/>
        <v>5485.41</v>
      </c>
      <c r="N93" s="100">
        <f>6+2+1</f>
        <v>9</v>
      </c>
      <c r="O93" s="81">
        <f>19511.33+1270.93+3979.74+2500.85</f>
        <v>27262.85</v>
      </c>
      <c r="P93" s="81"/>
      <c r="Q93" s="79">
        <f t="shared" si="3"/>
        <v>27262.85</v>
      </c>
      <c r="R93" s="141"/>
    </row>
    <row r="94" spans="1:18" s="13" customFormat="1" ht="15.75" x14ac:dyDescent="0.25">
      <c r="A94" s="10"/>
      <c r="B94" s="25" t="s">
        <v>62</v>
      </c>
      <c r="C94" s="1" t="s">
        <v>17</v>
      </c>
      <c r="D94" s="120"/>
      <c r="E94" s="3" t="s">
        <v>35</v>
      </c>
      <c r="F94" s="73" t="s">
        <v>428</v>
      </c>
      <c r="G94" s="11" t="s">
        <v>117</v>
      </c>
      <c r="H94" s="1">
        <v>1</v>
      </c>
      <c r="I94" s="49"/>
      <c r="J94" s="46"/>
      <c r="K94" s="40"/>
      <c r="L94" s="40"/>
      <c r="M94" s="78">
        <f t="shared" si="4"/>
        <v>0</v>
      </c>
      <c r="N94" s="41">
        <v>8</v>
      </c>
      <c r="O94" s="31">
        <v>17217.2</v>
      </c>
      <c r="P94" s="31"/>
      <c r="Q94" s="12">
        <f t="shared" si="3"/>
        <v>17217.2</v>
      </c>
    </row>
    <row r="95" spans="1:18" s="13" customFormat="1" ht="15.75" x14ac:dyDescent="0.25">
      <c r="A95" s="10"/>
      <c r="B95" s="25" t="s">
        <v>63</v>
      </c>
      <c r="C95" s="1" t="s">
        <v>64</v>
      </c>
      <c r="D95" s="120" t="s">
        <v>65</v>
      </c>
      <c r="E95" s="3" t="s">
        <v>20</v>
      </c>
      <c r="F95" s="73" t="s">
        <v>480</v>
      </c>
      <c r="G95" s="11" t="s">
        <v>114</v>
      </c>
      <c r="H95" s="1"/>
      <c r="I95" s="49"/>
      <c r="J95" s="51"/>
      <c r="K95" s="40"/>
      <c r="L95" s="40"/>
      <c r="M95" s="38">
        <f t="shared" si="4"/>
        <v>0</v>
      </c>
      <c r="N95" s="41"/>
      <c r="O95" s="31"/>
      <c r="P95" s="31"/>
      <c r="Q95" s="79">
        <f t="shared" si="3"/>
        <v>0</v>
      </c>
    </row>
    <row r="96" spans="1:18" s="13" customFormat="1" ht="15.75" x14ac:dyDescent="0.25">
      <c r="A96" s="10"/>
      <c r="B96" s="27" t="s">
        <v>155</v>
      </c>
      <c r="C96" s="1" t="s">
        <v>17</v>
      </c>
      <c r="D96" s="120"/>
      <c r="E96" s="3" t="s">
        <v>20</v>
      </c>
      <c r="F96" s="73" t="s">
        <v>367</v>
      </c>
      <c r="G96" s="74" t="s">
        <v>112</v>
      </c>
      <c r="H96" s="75">
        <v>5</v>
      </c>
      <c r="I96" s="82">
        <v>1</v>
      </c>
      <c r="J96" s="96">
        <f>1</f>
        <v>1</v>
      </c>
      <c r="K96" s="77">
        <f>3117.56</f>
        <v>3117.56</v>
      </c>
      <c r="L96" s="77"/>
      <c r="M96" s="78">
        <f t="shared" si="4"/>
        <v>3117.56</v>
      </c>
      <c r="N96" s="100">
        <f>1+1+1</f>
        <v>3</v>
      </c>
      <c r="O96" s="81">
        <f>1798.06+2123.67</f>
        <v>3921.73</v>
      </c>
      <c r="P96" s="81"/>
      <c r="Q96" s="12">
        <f t="shared" si="3"/>
        <v>3921.73</v>
      </c>
      <c r="R96" s="141"/>
    </row>
    <row r="97" spans="1:19" s="13" customFormat="1" ht="15.75" x14ac:dyDescent="0.25">
      <c r="A97" s="10"/>
      <c r="B97" s="25" t="s">
        <v>155</v>
      </c>
      <c r="C97" s="1" t="s">
        <v>17</v>
      </c>
      <c r="D97" s="120"/>
      <c r="E97" s="3" t="s">
        <v>20</v>
      </c>
      <c r="F97" s="73" t="s">
        <v>459</v>
      </c>
      <c r="G97" s="11" t="s">
        <v>114</v>
      </c>
      <c r="H97" s="1">
        <v>6</v>
      </c>
      <c r="I97" s="49"/>
      <c r="J97" s="51"/>
      <c r="K97" s="40"/>
      <c r="L97" s="40"/>
      <c r="M97" s="38">
        <f t="shared" si="4"/>
        <v>0</v>
      </c>
      <c r="N97" s="41">
        <v>13</v>
      </c>
      <c r="O97" s="31">
        <v>17392.43</v>
      </c>
      <c r="P97" s="31">
        <v>17392.43</v>
      </c>
      <c r="Q97" s="79">
        <f t="shared" si="3"/>
        <v>0</v>
      </c>
    </row>
    <row r="98" spans="1:19" s="13" customFormat="1" ht="15.75" x14ac:dyDescent="0.25">
      <c r="A98" s="10"/>
      <c r="B98" s="30" t="s">
        <v>66</v>
      </c>
      <c r="C98" s="1" t="s">
        <v>17</v>
      </c>
      <c r="D98" s="120"/>
      <c r="E98" s="3" t="s">
        <v>21</v>
      </c>
      <c r="F98" s="73" t="s">
        <v>368</v>
      </c>
      <c r="G98" s="74" t="s">
        <v>112</v>
      </c>
      <c r="H98" s="75">
        <v>10</v>
      </c>
      <c r="I98" s="76">
        <v>5</v>
      </c>
      <c r="J98" s="96">
        <f>1+3+2</f>
        <v>6</v>
      </c>
      <c r="K98" s="77">
        <f>1045.98+4309.04+3820.12+1872.01+4253.49</f>
        <v>15300.64</v>
      </c>
      <c r="L98" s="77"/>
      <c r="M98" s="78">
        <f t="shared" si="4"/>
        <v>15300.64</v>
      </c>
      <c r="N98" s="100">
        <f>6+3+8+7+1+1</f>
        <v>26</v>
      </c>
      <c r="O98" s="81">
        <f>11911.17+23136+18060.17+1977.84</f>
        <v>55085.179999999993</v>
      </c>
      <c r="P98" s="81"/>
      <c r="Q98" s="12">
        <f t="shared" si="3"/>
        <v>55085.179999999993</v>
      </c>
      <c r="R98" s="141"/>
    </row>
    <row r="99" spans="1:19" s="13" customFormat="1" ht="15.75" x14ac:dyDescent="0.25">
      <c r="A99" s="10"/>
      <c r="B99" s="24" t="s">
        <v>66</v>
      </c>
      <c r="C99" s="1" t="s">
        <v>17</v>
      </c>
      <c r="D99" s="120"/>
      <c r="E99" s="3" t="s">
        <v>21</v>
      </c>
      <c r="F99" s="73" t="s">
        <v>439</v>
      </c>
      <c r="G99" s="11" t="s">
        <v>118</v>
      </c>
      <c r="H99" s="1">
        <v>5</v>
      </c>
      <c r="I99" s="49"/>
      <c r="J99" s="46"/>
      <c r="K99" s="40"/>
      <c r="L99" s="40"/>
      <c r="M99" s="38">
        <f t="shared" si="4"/>
        <v>0</v>
      </c>
      <c r="N99" s="41">
        <v>12</v>
      </c>
      <c r="O99" s="31">
        <v>43819.69</v>
      </c>
      <c r="P99" s="31">
        <v>4471.3599999999997</v>
      </c>
      <c r="Q99" s="79">
        <f t="shared" si="3"/>
        <v>39348.33</v>
      </c>
    </row>
    <row r="100" spans="1:19" s="13" customFormat="1" ht="15.75" x14ac:dyDescent="0.25">
      <c r="A100" s="10"/>
      <c r="B100" s="62" t="s">
        <v>137</v>
      </c>
      <c r="C100" s="1" t="s">
        <v>17</v>
      </c>
      <c r="D100" s="120"/>
      <c r="E100" s="17" t="s">
        <v>35</v>
      </c>
      <c r="F100" s="73" t="s">
        <v>369</v>
      </c>
      <c r="G100" s="74" t="s">
        <v>112</v>
      </c>
      <c r="H100" s="75">
        <v>9</v>
      </c>
      <c r="I100" s="76">
        <v>4</v>
      </c>
      <c r="J100" s="96">
        <f>3</f>
        <v>3</v>
      </c>
      <c r="K100" s="77">
        <f>504.26+845.24</f>
        <v>1349.5</v>
      </c>
      <c r="L100" s="77"/>
      <c r="M100" s="78">
        <f t="shared" si="4"/>
        <v>1349.5</v>
      </c>
      <c r="N100" s="100">
        <f>5+1+1+2</f>
        <v>9</v>
      </c>
      <c r="O100" s="81">
        <f>2617.36+422.62+3852.18</f>
        <v>6892.16</v>
      </c>
      <c r="P100" s="81">
        <f>2617.36</f>
        <v>2617.36</v>
      </c>
      <c r="Q100" s="12">
        <f t="shared" si="3"/>
        <v>4274.7999999999993</v>
      </c>
      <c r="R100" s="141"/>
    </row>
    <row r="101" spans="1:19" s="13" customFormat="1" ht="15.75" x14ac:dyDescent="0.25">
      <c r="A101" s="10"/>
      <c r="B101" s="22" t="s">
        <v>137</v>
      </c>
      <c r="C101" s="1" t="s">
        <v>17</v>
      </c>
      <c r="D101" s="120"/>
      <c r="E101" s="17" t="s">
        <v>35</v>
      </c>
      <c r="F101" s="73" t="s">
        <v>429</v>
      </c>
      <c r="G101" s="11" t="s">
        <v>117</v>
      </c>
      <c r="H101" s="1"/>
      <c r="I101" s="49"/>
      <c r="J101" s="51"/>
      <c r="K101" s="37"/>
      <c r="L101" s="37"/>
      <c r="M101" s="78">
        <f t="shared" si="4"/>
        <v>0</v>
      </c>
      <c r="N101" s="39">
        <v>1</v>
      </c>
      <c r="O101" s="31">
        <v>7299.8</v>
      </c>
      <c r="P101" s="31"/>
      <c r="Q101" s="79">
        <f t="shared" si="3"/>
        <v>7299.8</v>
      </c>
    </row>
    <row r="102" spans="1:19" s="13" customFormat="1" ht="15.75" x14ac:dyDescent="0.25">
      <c r="A102" s="10"/>
      <c r="B102" s="30" t="s">
        <v>67</v>
      </c>
      <c r="C102" s="1" t="s">
        <v>17</v>
      </c>
      <c r="D102" s="120"/>
      <c r="E102" s="17" t="s">
        <v>21</v>
      </c>
      <c r="F102" s="73" t="s">
        <v>370</v>
      </c>
      <c r="G102" s="74" t="s">
        <v>112</v>
      </c>
      <c r="H102" s="75">
        <v>9</v>
      </c>
      <c r="I102" s="76">
        <v>2</v>
      </c>
      <c r="J102" s="96">
        <f>2+1</f>
        <v>3</v>
      </c>
      <c r="K102" s="77">
        <f>3319.85</f>
        <v>3319.85</v>
      </c>
      <c r="L102" s="77"/>
      <c r="M102" s="38">
        <f t="shared" si="4"/>
        <v>3319.85</v>
      </c>
      <c r="N102" s="100">
        <f>4+9+4+4+1</f>
        <v>22</v>
      </c>
      <c r="O102" s="81">
        <f>29696.65+38129.03+13567.9+20687.05+2022.79</f>
        <v>104103.41999999998</v>
      </c>
      <c r="P102" s="81">
        <f>34696.65</f>
        <v>34696.65</v>
      </c>
      <c r="Q102" s="12">
        <f t="shared" si="3"/>
        <v>69406.76999999999</v>
      </c>
      <c r="R102" s="141"/>
    </row>
    <row r="103" spans="1:19" s="13" customFormat="1" ht="15.75" x14ac:dyDescent="0.25">
      <c r="A103" s="10"/>
      <c r="B103" s="24" t="s">
        <v>67</v>
      </c>
      <c r="C103" s="1" t="s">
        <v>17</v>
      </c>
      <c r="D103" s="120"/>
      <c r="E103" s="17" t="s">
        <v>21</v>
      </c>
      <c r="F103" s="73" t="s">
        <v>440</v>
      </c>
      <c r="G103" s="11" t="s">
        <v>118</v>
      </c>
      <c r="H103" s="1">
        <v>5</v>
      </c>
      <c r="I103" s="49"/>
      <c r="J103" s="46"/>
      <c r="K103" s="40"/>
      <c r="L103" s="40"/>
      <c r="M103" s="78">
        <f t="shared" si="4"/>
        <v>0</v>
      </c>
      <c r="N103" s="41">
        <v>7</v>
      </c>
      <c r="O103" s="31">
        <v>25515.51</v>
      </c>
      <c r="P103" s="31">
        <v>4866.6000000000004</v>
      </c>
      <c r="Q103" s="79">
        <f t="shared" si="3"/>
        <v>20648.909999999996</v>
      </c>
    </row>
    <row r="104" spans="1:19" s="13" customFormat="1" ht="15.75" x14ac:dyDescent="0.25">
      <c r="A104" s="10"/>
      <c r="B104" s="30" t="s">
        <v>68</v>
      </c>
      <c r="C104" s="1" t="s">
        <v>17</v>
      </c>
      <c r="D104" s="120"/>
      <c r="E104" s="17" t="s">
        <v>32</v>
      </c>
      <c r="F104" s="73" t="s">
        <v>371</v>
      </c>
      <c r="G104" s="74" t="s">
        <v>112</v>
      </c>
      <c r="H104" s="75">
        <v>9</v>
      </c>
      <c r="I104" s="76">
        <v>3</v>
      </c>
      <c r="J104" s="96">
        <f>2+1</f>
        <v>3</v>
      </c>
      <c r="K104" s="77">
        <f>1128.59+422.62</f>
        <v>1551.21</v>
      </c>
      <c r="L104" s="77"/>
      <c r="M104" s="38">
        <f t="shared" si="4"/>
        <v>1551.21</v>
      </c>
      <c r="N104" s="100">
        <f>6+5+1+4</f>
        <v>16</v>
      </c>
      <c r="O104" s="81">
        <f>7813.73+8523.5+1452.28+12582.19</f>
        <v>30371.699999999997</v>
      </c>
      <c r="P104" s="81">
        <f>7813.73</f>
        <v>7813.73</v>
      </c>
      <c r="Q104" s="12">
        <f t="shared" si="3"/>
        <v>22557.969999999998</v>
      </c>
      <c r="R104" s="141"/>
    </row>
    <row r="105" spans="1:19" s="13" customFormat="1" ht="15.75" x14ac:dyDescent="0.25">
      <c r="A105" s="10"/>
      <c r="B105" s="24" t="s">
        <v>68</v>
      </c>
      <c r="C105" s="1" t="s">
        <v>17</v>
      </c>
      <c r="D105" s="120"/>
      <c r="E105" s="17" t="s">
        <v>32</v>
      </c>
      <c r="F105" s="73" t="s">
        <v>430</v>
      </c>
      <c r="G105" s="8" t="s">
        <v>117</v>
      </c>
      <c r="H105" s="1"/>
      <c r="I105" s="49"/>
      <c r="J105" s="46"/>
      <c r="K105" s="40"/>
      <c r="L105" s="40"/>
      <c r="M105" s="78">
        <f t="shared" si="4"/>
        <v>0</v>
      </c>
      <c r="N105" s="41"/>
      <c r="O105" s="40"/>
      <c r="P105" s="40"/>
      <c r="Q105" s="79">
        <f t="shared" si="3"/>
        <v>0</v>
      </c>
    </row>
    <row r="106" spans="1:19" s="15" customFormat="1" ht="15.75" x14ac:dyDescent="0.25">
      <c r="A106" s="14"/>
      <c r="B106" s="28" t="s">
        <v>69</v>
      </c>
      <c r="C106" s="1" t="s">
        <v>17</v>
      </c>
      <c r="D106" s="120"/>
      <c r="E106" s="3" t="s">
        <v>20</v>
      </c>
      <c r="F106" s="73" t="s">
        <v>372</v>
      </c>
      <c r="G106" s="74" t="s">
        <v>112</v>
      </c>
      <c r="H106" s="75">
        <v>4</v>
      </c>
      <c r="I106" s="76"/>
      <c r="J106" s="96"/>
      <c r="K106" s="77"/>
      <c r="L106" s="77"/>
      <c r="M106" s="38">
        <f t="shared" si="4"/>
        <v>0</v>
      </c>
      <c r="N106" s="100">
        <f>3+2+1</f>
        <v>6</v>
      </c>
      <c r="O106" s="77">
        <f>7210.31+3647.96+1306.28</f>
        <v>12164.550000000001</v>
      </c>
      <c r="P106" s="77">
        <f>7201.31</f>
        <v>7201.31</v>
      </c>
      <c r="Q106" s="12">
        <f t="shared" si="3"/>
        <v>4963.2400000000007</v>
      </c>
      <c r="R106" s="141"/>
    </row>
    <row r="107" spans="1:19" s="13" customFormat="1" ht="15.75" x14ac:dyDescent="0.25">
      <c r="A107" s="10"/>
      <c r="B107" s="62" t="s">
        <v>70</v>
      </c>
      <c r="C107" s="1" t="s">
        <v>17</v>
      </c>
      <c r="D107" s="120"/>
      <c r="E107" s="3" t="s">
        <v>20</v>
      </c>
      <c r="F107" s="73" t="s">
        <v>373</v>
      </c>
      <c r="G107" s="74" t="s">
        <v>112</v>
      </c>
      <c r="H107" s="75">
        <v>5</v>
      </c>
      <c r="I107" s="76">
        <v>2</v>
      </c>
      <c r="J107" s="96">
        <f>2</f>
        <v>2</v>
      </c>
      <c r="K107" s="77">
        <f>1959.42</f>
        <v>1959.42</v>
      </c>
      <c r="L107" s="77"/>
      <c r="M107" s="78">
        <f t="shared" si="4"/>
        <v>1959.42</v>
      </c>
      <c r="N107" s="100">
        <f>2+3+4</f>
        <v>9</v>
      </c>
      <c r="O107" s="81">
        <v>7606.2</v>
      </c>
      <c r="P107" s="81">
        <f>3534.95</f>
        <v>3534.95</v>
      </c>
      <c r="Q107" s="79">
        <f t="shared" si="3"/>
        <v>4071.25</v>
      </c>
      <c r="R107" s="141"/>
    </row>
    <row r="108" spans="1:19" s="13" customFormat="1" ht="15.75" x14ac:dyDescent="0.25">
      <c r="A108" s="10"/>
      <c r="B108" s="22" t="s">
        <v>70</v>
      </c>
      <c r="C108" s="1" t="s">
        <v>17</v>
      </c>
      <c r="D108" s="120"/>
      <c r="E108" s="3" t="s">
        <v>20</v>
      </c>
      <c r="F108" s="73" t="s">
        <v>460</v>
      </c>
      <c r="G108" s="11" t="s">
        <v>114</v>
      </c>
      <c r="H108" s="1">
        <v>12</v>
      </c>
      <c r="I108" s="49"/>
      <c r="J108" s="51"/>
      <c r="K108" s="40"/>
      <c r="L108" s="40"/>
      <c r="M108" s="38">
        <f t="shared" si="4"/>
        <v>0</v>
      </c>
      <c r="N108" s="41">
        <v>23</v>
      </c>
      <c r="O108" s="31">
        <v>36457.769999999997</v>
      </c>
      <c r="P108" s="31">
        <v>29350.07</v>
      </c>
      <c r="Q108" s="12">
        <f t="shared" si="3"/>
        <v>7107.6999999999971</v>
      </c>
    </row>
    <row r="109" spans="1:19" s="15" customFormat="1" ht="15.75" x14ac:dyDescent="0.25">
      <c r="A109" s="14"/>
      <c r="B109" s="80" t="s">
        <v>71</v>
      </c>
      <c r="C109" s="1" t="s">
        <v>17</v>
      </c>
      <c r="D109" s="120"/>
      <c r="E109" s="3" t="s">
        <v>32</v>
      </c>
      <c r="F109" s="73" t="s">
        <v>374</v>
      </c>
      <c r="G109" s="74" t="s">
        <v>112</v>
      </c>
      <c r="H109" s="75">
        <v>9</v>
      </c>
      <c r="I109" s="76">
        <v>4</v>
      </c>
      <c r="J109" s="96">
        <f>3+1</f>
        <v>4</v>
      </c>
      <c r="K109" s="77">
        <f>1536.8+461.04</f>
        <v>1997.84</v>
      </c>
      <c r="L109" s="77"/>
      <c r="M109" s="78">
        <f t="shared" si="4"/>
        <v>1997.84</v>
      </c>
      <c r="N109" s="100">
        <f>3+2</f>
        <v>5</v>
      </c>
      <c r="O109" s="81">
        <f>9567.93+3616.67</f>
        <v>13184.6</v>
      </c>
      <c r="P109" s="81">
        <f>9567.93</f>
        <v>9567.93</v>
      </c>
      <c r="Q109" s="79">
        <f t="shared" si="3"/>
        <v>3616.67</v>
      </c>
      <c r="R109" s="141"/>
      <c r="S109" s="36"/>
    </row>
    <row r="110" spans="1:19" s="15" customFormat="1" ht="15.75" x14ac:dyDescent="0.25">
      <c r="A110" s="14"/>
      <c r="B110" s="23" t="s">
        <v>71</v>
      </c>
      <c r="C110" s="1" t="s">
        <v>17</v>
      </c>
      <c r="D110" s="120"/>
      <c r="E110" s="3" t="s">
        <v>32</v>
      </c>
      <c r="F110" s="73" t="s">
        <v>431</v>
      </c>
      <c r="G110" s="11" t="s">
        <v>115</v>
      </c>
      <c r="H110" s="1">
        <v>5</v>
      </c>
      <c r="I110" s="48">
        <v>2</v>
      </c>
      <c r="J110" s="45">
        <v>2</v>
      </c>
      <c r="K110" s="40"/>
      <c r="L110" s="40"/>
      <c r="M110" s="38">
        <f t="shared" si="4"/>
        <v>0</v>
      </c>
      <c r="N110" s="39">
        <f>5</f>
        <v>5</v>
      </c>
      <c r="O110" s="40">
        <v>6595.5</v>
      </c>
      <c r="P110" s="40">
        <v>2945.6</v>
      </c>
      <c r="Q110" s="12">
        <f t="shared" si="3"/>
        <v>3649.9</v>
      </c>
    </row>
    <row r="111" spans="1:19" s="13" customFormat="1" ht="15.75" x14ac:dyDescent="0.25">
      <c r="A111" s="10"/>
      <c r="B111" s="62" t="s">
        <v>319</v>
      </c>
      <c r="C111" s="1" t="s">
        <v>17</v>
      </c>
      <c r="D111" s="120"/>
      <c r="E111" s="3" t="s">
        <v>20</v>
      </c>
      <c r="F111" s="73" t="s">
        <v>375</v>
      </c>
      <c r="G111" s="74" t="s">
        <v>112</v>
      </c>
      <c r="H111" s="75">
        <v>11</v>
      </c>
      <c r="I111" s="76">
        <v>6</v>
      </c>
      <c r="J111" s="96">
        <f>2+1+4</f>
        <v>7</v>
      </c>
      <c r="K111" s="77">
        <f>710.77+1523.35+6753.23</f>
        <v>8987.3499999999985</v>
      </c>
      <c r="L111" s="77"/>
      <c r="M111" s="78">
        <f>K111-L111</f>
        <v>8987.3499999999985</v>
      </c>
      <c r="N111" s="100">
        <f>3+1+2</f>
        <v>6</v>
      </c>
      <c r="O111" s="77">
        <f>13419.94+726.71+2846.77</f>
        <v>16993.420000000002</v>
      </c>
      <c r="P111" s="77">
        <f>13419.94</f>
        <v>13419.94</v>
      </c>
      <c r="Q111" s="79">
        <f>O111-P111</f>
        <v>3573.4800000000014</v>
      </c>
      <c r="R111" s="141"/>
    </row>
    <row r="112" spans="1:19" s="15" customFormat="1" ht="15.75" x14ac:dyDescent="0.25">
      <c r="A112" s="14"/>
      <c r="B112" s="62" t="s">
        <v>150</v>
      </c>
      <c r="C112" s="1" t="s">
        <v>17</v>
      </c>
      <c r="D112" s="120"/>
      <c r="E112" s="3" t="s">
        <v>35</v>
      </c>
      <c r="F112" s="73" t="s">
        <v>376</v>
      </c>
      <c r="G112" s="74" t="s">
        <v>112</v>
      </c>
      <c r="H112" s="75">
        <v>9</v>
      </c>
      <c r="I112" s="76">
        <v>2</v>
      </c>
      <c r="J112" s="97">
        <f>1+1</f>
        <v>2</v>
      </c>
      <c r="K112" s="77">
        <f>1343.65+384.2</f>
        <v>1727.8500000000001</v>
      </c>
      <c r="L112" s="77"/>
      <c r="M112" s="78">
        <f t="shared" si="4"/>
        <v>1727.8500000000001</v>
      </c>
      <c r="N112" s="114">
        <f>8+1+1+2</f>
        <v>12</v>
      </c>
      <c r="O112" s="77">
        <f>5997.32+3719.39+3054.34+13138.17</f>
        <v>25909.22</v>
      </c>
      <c r="P112" s="81">
        <f>3885.22</f>
        <v>3885.22</v>
      </c>
      <c r="Q112" s="79">
        <f t="shared" si="3"/>
        <v>22024</v>
      </c>
      <c r="R112" s="141"/>
    </row>
    <row r="113" spans="1:18" s="15" customFormat="1" ht="15.75" x14ac:dyDescent="0.25">
      <c r="A113" s="14"/>
      <c r="B113" s="50" t="s">
        <v>150</v>
      </c>
      <c r="C113" s="1" t="s">
        <v>17</v>
      </c>
      <c r="D113" s="120"/>
      <c r="E113" s="3" t="s">
        <v>32</v>
      </c>
      <c r="F113" s="73" t="s">
        <v>487</v>
      </c>
      <c r="G113" s="11" t="s">
        <v>117</v>
      </c>
      <c r="H113" s="1"/>
      <c r="I113" s="48"/>
      <c r="J113" s="45"/>
      <c r="K113" s="40"/>
      <c r="L113" s="37"/>
      <c r="M113" s="38">
        <f t="shared" si="4"/>
        <v>0</v>
      </c>
      <c r="N113" s="42">
        <v>1</v>
      </c>
      <c r="O113" s="40">
        <v>4226.2</v>
      </c>
      <c r="P113" s="40"/>
      <c r="Q113" s="12">
        <f t="shared" si="3"/>
        <v>4226.2</v>
      </c>
    </row>
    <row r="114" spans="1:18" s="13" customFormat="1" ht="15.75" x14ac:dyDescent="0.25">
      <c r="A114" s="10"/>
      <c r="B114" s="30" t="s">
        <v>72</v>
      </c>
      <c r="C114" s="1" t="s">
        <v>17</v>
      </c>
      <c r="D114" s="120"/>
      <c r="E114" s="3" t="s">
        <v>21</v>
      </c>
      <c r="F114" s="73" t="s">
        <v>377</v>
      </c>
      <c r="G114" s="74" t="s">
        <v>112</v>
      </c>
      <c r="H114" s="75">
        <v>9</v>
      </c>
      <c r="I114" s="76">
        <v>1</v>
      </c>
      <c r="J114" s="96">
        <f>1+1</f>
        <v>2</v>
      </c>
      <c r="K114" s="77">
        <f>633.93+1415.78</f>
        <v>2049.71</v>
      </c>
      <c r="L114" s="77"/>
      <c r="M114" s="78">
        <f t="shared" si="4"/>
        <v>2049.71</v>
      </c>
      <c r="N114" s="100">
        <f>1+3+1+1</f>
        <v>6</v>
      </c>
      <c r="O114" s="81">
        <f>1950.74+10237.13+6595.95+3861.21</f>
        <v>22645.03</v>
      </c>
      <c r="P114" s="81">
        <f>1951.74</f>
        <v>1951.74</v>
      </c>
      <c r="Q114" s="79">
        <f t="shared" si="3"/>
        <v>20693.289999999997</v>
      </c>
      <c r="R114" s="141"/>
    </row>
    <row r="115" spans="1:18" s="13" customFormat="1" ht="15.75" x14ac:dyDescent="0.25">
      <c r="A115" s="10"/>
      <c r="B115" s="24" t="s">
        <v>72</v>
      </c>
      <c r="C115" s="1" t="s">
        <v>17</v>
      </c>
      <c r="D115" s="120"/>
      <c r="E115" s="3" t="s">
        <v>21</v>
      </c>
      <c r="F115" s="73" t="s">
        <v>441</v>
      </c>
      <c r="G115" s="11" t="s">
        <v>118</v>
      </c>
      <c r="H115" s="1">
        <v>5</v>
      </c>
      <c r="I115" s="49"/>
      <c r="J115" s="46"/>
      <c r="K115" s="40"/>
      <c r="L115" s="40"/>
      <c r="M115" s="38">
        <f t="shared" si="4"/>
        <v>0</v>
      </c>
      <c r="N115" s="41">
        <v>9</v>
      </c>
      <c r="O115" s="31">
        <v>30209.03</v>
      </c>
      <c r="P115" s="31">
        <v>2328.87</v>
      </c>
      <c r="Q115" s="12">
        <f t="shared" si="3"/>
        <v>27880.16</v>
      </c>
    </row>
    <row r="116" spans="1:18" s="15" customFormat="1" ht="15.75" x14ac:dyDescent="0.25">
      <c r="A116" s="14"/>
      <c r="B116" s="84" t="s">
        <v>73</v>
      </c>
      <c r="C116" s="1" t="s">
        <v>17</v>
      </c>
      <c r="D116" s="120"/>
      <c r="E116" s="3" t="s">
        <v>74</v>
      </c>
      <c r="F116" s="73" t="s">
        <v>378</v>
      </c>
      <c r="G116" s="74" t="s">
        <v>112</v>
      </c>
      <c r="H116" s="75">
        <v>15</v>
      </c>
      <c r="I116" s="76">
        <v>9</v>
      </c>
      <c r="J116" s="96">
        <f>9</f>
        <v>9</v>
      </c>
      <c r="K116" s="77">
        <f>6305.33</f>
        <v>6305.33</v>
      </c>
      <c r="L116" s="77"/>
      <c r="M116" s="78">
        <f t="shared" si="4"/>
        <v>6305.33</v>
      </c>
      <c r="N116" s="100">
        <f>5+3</f>
        <v>8</v>
      </c>
      <c r="O116" s="81">
        <f>5416.39+9506.99</f>
        <v>14923.380000000001</v>
      </c>
      <c r="P116" s="81"/>
      <c r="Q116" s="79">
        <f t="shared" si="3"/>
        <v>14923.380000000001</v>
      </c>
      <c r="R116" s="141"/>
    </row>
    <row r="117" spans="1:18" s="15" customFormat="1" ht="15.75" x14ac:dyDescent="0.25">
      <c r="A117" s="14"/>
      <c r="B117" s="29" t="s">
        <v>73</v>
      </c>
      <c r="C117" s="1" t="s">
        <v>17</v>
      </c>
      <c r="D117" s="120"/>
      <c r="E117" s="3" t="s">
        <v>74</v>
      </c>
      <c r="F117" s="73" t="s">
        <v>282</v>
      </c>
      <c r="G117" s="11" t="s">
        <v>114</v>
      </c>
      <c r="H117" s="1"/>
      <c r="I117" s="49"/>
      <c r="J117" s="51"/>
      <c r="K117" s="40"/>
      <c r="L117" s="40"/>
      <c r="M117" s="38">
        <f t="shared" si="4"/>
        <v>0</v>
      </c>
      <c r="N117" s="42">
        <v>1</v>
      </c>
      <c r="O117" s="31"/>
      <c r="P117" s="31"/>
      <c r="Q117" s="12">
        <f t="shared" si="3"/>
        <v>0</v>
      </c>
    </row>
    <row r="118" spans="1:18" s="13" customFormat="1" ht="15.75" x14ac:dyDescent="0.25">
      <c r="A118" s="10"/>
      <c r="B118" s="30" t="s">
        <v>135</v>
      </c>
      <c r="C118" s="1" t="s">
        <v>17</v>
      </c>
      <c r="D118" s="120"/>
      <c r="E118" s="17" t="s">
        <v>35</v>
      </c>
      <c r="F118" s="73" t="s">
        <v>379</v>
      </c>
      <c r="G118" s="74" t="s">
        <v>112</v>
      </c>
      <c r="H118" s="75">
        <v>10</v>
      </c>
      <c r="I118" s="76">
        <v>6</v>
      </c>
      <c r="J118" s="96">
        <f>1+6</f>
        <v>7</v>
      </c>
      <c r="K118" s="77">
        <f>697.32+4374.12</f>
        <v>5071.4399999999996</v>
      </c>
      <c r="L118" s="77"/>
      <c r="M118" s="38">
        <f t="shared" si="4"/>
        <v>5071.4399999999996</v>
      </c>
      <c r="N118" s="100">
        <f>2+5+1+2+2</f>
        <v>12</v>
      </c>
      <c r="O118" s="81">
        <f>6432.89+2283.68</f>
        <v>8716.57</v>
      </c>
      <c r="P118" s="81"/>
      <c r="Q118" s="12">
        <f t="shared" si="3"/>
        <v>8716.57</v>
      </c>
      <c r="R118" s="141"/>
    </row>
    <row r="119" spans="1:18" s="13" customFormat="1" ht="15.75" x14ac:dyDescent="0.25">
      <c r="A119" s="10"/>
      <c r="B119" s="24" t="s">
        <v>135</v>
      </c>
      <c r="C119" s="1" t="s">
        <v>17</v>
      </c>
      <c r="D119" s="120"/>
      <c r="E119" s="17" t="s">
        <v>35</v>
      </c>
      <c r="F119" s="73" t="s">
        <v>432</v>
      </c>
      <c r="G119" s="11" t="s">
        <v>115</v>
      </c>
      <c r="H119" s="1"/>
      <c r="I119" s="49"/>
      <c r="J119" s="46"/>
      <c r="K119" s="40"/>
      <c r="L119" s="40"/>
      <c r="M119" s="78">
        <f t="shared" si="4"/>
        <v>0</v>
      </c>
      <c r="N119" s="41"/>
      <c r="O119" s="31"/>
      <c r="P119" s="31"/>
      <c r="Q119" s="79">
        <f t="shared" si="3"/>
        <v>0</v>
      </c>
    </row>
    <row r="120" spans="1:18" s="13" customFormat="1" ht="15.75" x14ac:dyDescent="0.25">
      <c r="A120" s="10"/>
      <c r="B120" s="30" t="s">
        <v>145</v>
      </c>
      <c r="C120" s="1" t="s">
        <v>17</v>
      </c>
      <c r="D120" s="120"/>
      <c r="E120" s="17" t="s">
        <v>20</v>
      </c>
      <c r="F120" s="73" t="s">
        <v>380</v>
      </c>
      <c r="G120" s="74" t="s">
        <v>112</v>
      </c>
      <c r="H120" s="75">
        <v>3</v>
      </c>
      <c r="I120" s="82">
        <v>1</v>
      </c>
      <c r="J120" s="96">
        <f>2</f>
        <v>2</v>
      </c>
      <c r="K120" s="77">
        <f>5169.72+1100</f>
        <v>6269.72</v>
      </c>
      <c r="L120" s="77"/>
      <c r="M120" s="38">
        <f t="shared" si="4"/>
        <v>6269.72</v>
      </c>
      <c r="N120" s="100">
        <f>1+1+2</f>
        <v>4</v>
      </c>
      <c r="O120" s="81">
        <f>5120.23+3915.15+1114.12</f>
        <v>10149.5</v>
      </c>
      <c r="P120" s="81">
        <f>5120.23</f>
        <v>5120.2299999999996</v>
      </c>
      <c r="Q120" s="12">
        <f t="shared" si="3"/>
        <v>5029.2700000000004</v>
      </c>
      <c r="R120" s="141"/>
    </row>
    <row r="121" spans="1:18" s="13" customFormat="1" ht="15.75" x14ac:dyDescent="0.25">
      <c r="A121" s="10"/>
      <c r="B121" s="24" t="s">
        <v>145</v>
      </c>
      <c r="C121" s="1" t="s">
        <v>17</v>
      </c>
      <c r="D121" s="120"/>
      <c r="E121" s="17" t="s">
        <v>20</v>
      </c>
      <c r="F121" s="73" t="s">
        <v>461</v>
      </c>
      <c r="G121" s="11" t="s">
        <v>114</v>
      </c>
      <c r="H121" s="1"/>
      <c r="I121" s="49"/>
      <c r="J121" s="51"/>
      <c r="K121" s="40"/>
      <c r="L121" s="40"/>
      <c r="M121" s="78">
        <f t="shared" si="4"/>
        <v>0</v>
      </c>
      <c r="N121" s="41">
        <v>9</v>
      </c>
      <c r="O121" s="31">
        <v>19379.400000000001</v>
      </c>
      <c r="P121" s="31">
        <v>13232.2</v>
      </c>
      <c r="Q121" s="79">
        <f t="shared" si="3"/>
        <v>6147.2000000000007</v>
      </c>
    </row>
    <row r="122" spans="1:18" s="13" customFormat="1" ht="15.75" x14ac:dyDescent="0.25">
      <c r="A122" s="10"/>
      <c r="B122" s="62" t="s">
        <v>76</v>
      </c>
      <c r="C122" s="1" t="s">
        <v>17</v>
      </c>
      <c r="D122" s="120"/>
      <c r="E122" s="3" t="s">
        <v>20</v>
      </c>
      <c r="F122" s="73" t="s">
        <v>381</v>
      </c>
      <c r="G122" s="74" t="s">
        <v>112</v>
      </c>
      <c r="H122" s="75">
        <v>16</v>
      </c>
      <c r="I122" s="76">
        <v>10</v>
      </c>
      <c r="J122" s="96">
        <f>1+6+3+1</f>
        <v>11</v>
      </c>
      <c r="K122" s="77">
        <f>6556.06+2806.39+2697.06+1267.86</f>
        <v>13327.37</v>
      </c>
      <c r="L122" s="77"/>
      <c r="M122" s="38">
        <f t="shared" si="4"/>
        <v>13327.37</v>
      </c>
      <c r="N122" s="100">
        <f>5+6+2</f>
        <v>13</v>
      </c>
      <c r="O122" s="81">
        <f>11527.9+19846.52+1011.91+9641+24581.742</f>
        <v>66609.072</v>
      </c>
      <c r="P122" s="81"/>
      <c r="Q122" s="12">
        <f t="shared" si="3"/>
        <v>66609.072</v>
      </c>
      <c r="R122" s="141"/>
    </row>
    <row r="123" spans="1:18" s="13" customFormat="1" ht="15.75" x14ac:dyDescent="0.25">
      <c r="A123" s="10"/>
      <c r="B123" s="22" t="s">
        <v>76</v>
      </c>
      <c r="C123" s="1" t="s">
        <v>17</v>
      </c>
      <c r="D123" s="120"/>
      <c r="E123" s="3" t="s">
        <v>20</v>
      </c>
      <c r="F123" s="73" t="s">
        <v>462</v>
      </c>
      <c r="G123" s="11" t="s">
        <v>114</v>
      </c>
      <c r="H123" s="1">
        <v>4</v>
      </c>
      <c r="I123" s="49"/>
      <c r="J123" s="51"/>
      <c r="K123" s="40"/>
      <c r="L123" s="40"/>
      <c r="M123" s="78">
        <f t="shared" si="4"/>
        <v>0</v>
      </c>
      <c r="N123" s="41">
        <v>7</v>
      </c>
      <c r="O123" s="31">
        <v>17927.759999999998</v>
      </c>
      <c r="P123" s="31">
        <v>8706.9599999999991</v>
      </c>
      <c r="Q123" s="79">
        <f t="shared" si="3"/>
        <v>9220.7999999999993</v>
      </c>
    </row>
    <row r="124" spans="1:18" s="13" customFormat="1" ht="15.75" x14ac:dyDescent="0.25">
      <c r="A124" s="10"/>
      <c r="B124" s="30" t="s">
        <v>77</v>
      </c>
      <c r="C124" s="1" t="s">
        <v>17</v>
      </c>
      <c r="D124" s="120"/>
      <c r="E124" s="3" t="s">
        <v>32</v>
      </c>
      <c r="F124" s="73" t="s">
        <v>388</v>
      </c>
      <c r="G124" s="74" t="s">
        <v>112</v>
      </c>
      <c r="H124" s="75">
        <v>7</v>
      </c>
      <c r="I124" s="76">
        <v>4</v>
      </c>
      <c r="J124" s="96">
        <f>2+2</f>
        <v>4</v>
      </c>
      <c r="K124" s="77">
        <f>2440.63+1507.02</f>
        <v>3947.65</v>
      </c>
      <c r="L124" s="77"/>
      <c r="M124" s="38">
        <f t="shared" si="4"/>
        <v>3947.65</v>
      </c>
      <c r="N124" s="100">
        <f>5+2+3+3</f>
        <v>13</v>
      </c>
      <c r="O124" s="81">
        <f>11716.73+6848.82+4046.18+11166.34</f>
        <v>33778.07</v>
      </c>
      <c r="P124" s="81">
        <f>11716.73</f>
        <v>11716.73</v>
      </c>
      <c r="Q124" s="12">
        <f t="shared" si="3"/>
        <v>22061.34</v>
      </c>
      <c r="R124" s="141"/>
    </row>
    <row r="125" spans="1:18" s="13" customFormat="1" ht="15.75" x14ac:dyDescent="0.25">
      <c r="A125" s="10"/>
      <c r="B125" s="24" t="s">
        <v>77</v>
      </c>
      <c r="C125" s="1" t="s">
        <v>17</v>
      </c>
      <c r="D125" s="120"/>
      <c r="E125" s="3" t="s">
        <v>32</v>
      </c>
      <c r="F125" s="73" t="s">
        <v>433</v>
      </c>
      <c r="G125" s="11" t="s">
        <v>117</v>
      </c>
      <c r="H125" s="1">
        <v>1</v>
      </c>
      <c r="I125" s="49"/>
      <c r="J125" s="46"/>
      <c r="K125" s="40"/>
      <c r="L125" s="40"/>
      <c r="M125" s="78">
        <f t="shared" si="4"/>
        <v>0</v>
      </c>
      <c r="N125" s="41">
        <v>5</v>
      </c>
      <c r="O125" s="31">
        <v>15666.81</v>
      </c>
      <c r="P125" s="31">
        <v>11248.51</v>
      </c>
      <c r="Q125" s="79">
        <f t="shared" si="3"/>
        <v>4418.2999999999993</v>
      </c>
    </row>
    <row r="126" spans="1:18" s="13" customFormat="1" ht="15.75" x14ac:dyDescent="0.25">
      <c r="A126" s="10"/>
      <c r="B126" s="24" t="s">
        <v>321</v>
      </c>
      <c r="C126" s="1" t="s">
        <v>17</v>
      </c>
      <c r="D126" s="120"/>
      <c r="E126" s="3" t="s">
        <v>21</v>
      </c>
      <c r="F126" s="73" t="s">
        <v>489</v>
      </c>
      <c r="G126" s="11" t="s">
        <v>112</v>
      </c>
      <c r="H126" s="1">
        <v>2</v>
      </c>
      <c r="I126" s="49"/>
      <c r="J126" s="46"/>
      <c r="K126" s="40"/>
      <c r="L126" s="40"/>
      <c r="M126" s="78"/>
      <c r="N126" s="41"/>
      <c r="O126" s="31"/>
      <c r="P126" s="31"/>
      <c r="Q126" s="79"/>
      <c r="R126" s="141"/>
    </row>
    <row r="127" spans="1:18" s="13" customFormat="1" ht="31.5" x14ac:dyDescent="0.25">
      <c r="A127" s="10"/>
      <c r="B127" s="62" t="s">
        <v>79</v>
      </c>
      <c r="C127" s="1" t="s">
        <v>304</v>
      </c>
      <c r="D127" s="120" t="s">
        <v>385</v>
      </c>
      <c r="E127" s="3" t="s">
        <v>18</v>
      </c>
      <c r="F127" s="73" t="s">
        <v>389</v>
      </c>
      <c r="G127" s="74" t="s">
        <v>112</v>
      </c>
      <c r="H127" s="75">
        <v>5</v>
      </c>
      <c r="I127" s="76">
        <v>1</v>
      </c>
      <c r="J127" s="96"/>
      <c r="K127" s="77">
        <f>2091.97</f>
        <v>2091.9699999999998</v>
      </c>
      <c r="L127" s="77"/>
      <c r="M127" s="38">
        <f t="shared" si="4"/>
        <v>2091.9699999999998</v>
      </c>
      <c r="N127" s="100">
        <f>2+2+1</f>
        <v>5</v>
      </c>
      <c r="O127" s="81">
        <f>1547.4+4166.12+7835.61+1675.01</f>
        <v>15224.140000000001</v>
      </c>
      <c r="P127" s="81"/>
      <c r="Q127" s="12">
        <f t="shared" si="3"/>
        <v>15224.140000000001</v>
      </c>
      <c r="R127" s="141"/>
    </row>
    <row r="128" spans="1:18" s="13" customFormat="1" ht="31.5" x14ac:dyDescent="0.25">
      <c r="A128" s="10"/>
      <c r="B128" s="22" t="s">
        <v>79</v>
      </c>
      <c r="C128" s="1" t="s">
        <v>304</v>
      </c>
      <c r="D128" s="120" t="s">
        <v>475</v>
      </c>
      <c r="E128" s="3" t="s">
        <v>18</v>
      </c>
      <c r="F128" s="73" t="s">
        <v>329</v>
      </c>
      <c r="G128" s="11" t="s">
        <v>113</v>
      </c>
      <c r="H128" s="1">
        <v>17</v>
      </c>
      <c r="I128" s="53">
        <v>2</v>
      </c>
      <c r="J128" s="127">
        <v>2</v>
      </c>
      <c r="K128" s="31">
        <v>3754</v>
      </c>
      <c r="L128" s="31"/>
      <c r="M128" s="78">
        <f t="shared" si="4"/>
        <v>3754</v>
      </c>
      <c r="N128" s="41">
        <v>8</v>
      </c>
      <c r="O128" s="31">
        <v>33212</v>
      </c>
      <c r="P128" s="31">
        <v>9505</v>
      </c>
      <c r="Q128" s="79">
        <f t="shared" si="3"/>
        <v>23707</v>
      </c>
    </row>
    <row r="129" spans="1:18" s="13" customFormat="1" ht="15.75" x14ac:dyDescent="0.25">
      <c r="A129" s="10"/>
      <c r="B129" s="62" t="s">
        <v>151</v>
      </c>
      <c r="C129" s="1" t="s">
        <v>17</v>
      </c>
      <c r="D129" s="120"/>
      <c r="E129" s="3" t="s">
        <v>32</v>
      </c>
      <c r="F129" s="73" t="s">
        <v>390</v>
      </c>
      <c r="G129" s="74" t="s">
        <v>112</v>
      </c>
      <c r="H129" s="75">
        <v>16</v>
      </c>
      <c r="I129" s="82">
        <v>5</v>
      </c>
      <c r="J129" s="96">
        <f>1+3</f>
        <v>4</v>
      </c>
      <c r="K129" s="81">
        <f>2317+4640.19</f>
        <v>6957.19</v>
      </c>
      <c r="L129" s="81"/>
      <c r="M129" s="38">
        <f t="shared" si="4"/>
        <v>6957.19</v>
      </c>
      <c r="N129" s="100">
        <f>9+3+5</f>
        <v>17</v>
      </c>
      <c r="O129" s="81">
        <f>10726.94+18822.65+5703.53+12846.53</f>
        <v>48099.65</v>
      </c>
      <c r="P129" s="81">
        <f>10726.94</f>
        <v>10726.94</v>
      </c>
      <c r="Q129" s="12">
        <f t="shared" si="3"/>
        <v>37372.71</v>
      </c>
      <c r="R129" s="141"/>
    </row>
    <row r="130" spans="1:18" s="13" customFormat="1" ht="15.75" x14ac:dyDescent="0.25">
      <c r="A130" s="10"/>
      <c r="B130" s="22" t="s">
        <v>151</v>
      </c>
      <c r="C130" s="1" t="s">
        <v>17</v>
      </c>
      <c r="D130" s="120"/>
      <c r="E130" s="3" t="s">
        <v>32</v>
      </c>
      <c r="F130" s="73" t="s">
        <v>434</v>
      </c>
      <c r="G130" s="11" t="s">
        <v>117</v>
      </c>
      <c r="H130" s="1">
        <v>4</v>
      </c>
      <c r="I130" s="49"/>
      <c r="J130" s="46"/>
      <c r="K130" s="40"/>
      <c r="L130" s="40"/>
      <c r="M130" s="78">
        <f t="shared" si="4"/>
        <v>0</v>
      </c>
      <c r="N130" s="41">
        <v>11</v>
      </c>
      <c r="O130" s="31">
        <v>14253.2</v>
      </c>
      <c r="P130" s="31">
        <v>7133.24</v>
      </c>
      <c r="Q130" s="79">
        <f t="shared" si="3"/>
        <v>7119.9600000000009</v>
      </c>
    </row>
    <row r="131" spans="1:18" s="13" customFormat="1" ht="15.75" x14ac:dyDescent="0.25">
      <c r="A131" s="10"/>
      <c r="B131" s="62" t="s">
        <v>80</v>
      </c>
      <c r="C131" s="1" t="s">
        <v>17</v>
      </c>
      <c r="D131" s="120"/>
      <c r="E131" s="3" t="s">
        <v>81</v>
      </c>
      <c r="F131" s="73" t="s">
        <v>417</v>
      </c>
      <c r="G131" s="74" t="s">
        <v>112</v>
      </c>
      <c r="H131" s="75"/>
      <c r="I131" s="76"/>
      <c r="J131" s="96"/>
      <c r="K131" s="77"/>
      <c r="L131" s="77"/>
      <c r="M131" s="38">
        <f t="shared" si="4"/>
        <v>0</v>
      </c>
      <c r="N131" s="100">
        <f>2</f>
        <v>2</v>
      </c>
      <c r="O131" s="81">
        <f>3040.94</f>
        <v>3040.94</v>
      </c>
      <c r="P131" s="81"/>
      <c r="Q131" s="12">
        <f t="shared" si="3"/>
        <v>3040.94</v>
      </c>
      <c r="R131" s="141"/>
    </row>
    <row r="132" spans="1:18" s="13" customFormat="1" ht="15.75" x14ac:dyDescent="0.25">
      <c r="A132" s="10"/>
      <c r="B132" s="22" t="s">
        <v>80</v>
      </c>
      <c r="C132" s="1" t="s">
        <v>17</v>
      </c>
      <c r="D132" s="120"/>
      <c r="E132" s="3" t="s">
        <v>81</v>
      </c>
      <c r="F132" s="73" t="s">
        <v>285</v>
      </c>
      <c r="G132" s="11" t="s">
        <v>114</v>
      </c>
      <c r="H132" s="1"/>
      <c r="I132" s="49"/>
      <c r="J132" s="51"/>
      <c r="K132" s="40"/>
      <c r="L132" s="40"/>
      <c r="M132" s="78">
        <f t="shared" si="4"/>
        <v>0</v>
      </c>
      <c r="N132" s="41">
        <v>15</v>
      </c>
      <c r="O132" s="31">
        <f>21200.04</f>
        <v>21200.04</v>
      </c>
      <c r="P132" s="31">
        <v>16128.6</v>
      </c>
      <c r="Q132" s="79">
        <f t="shared" si="3"/>
        <v>5071.4400000000005</v>
      </c>
    </row>
    <row r="133" spans="1:18" s="13" customFormat="1" ht="15.75" x14ac:dyDescent="0.25">
      <c r="A133" s="10"/>
      <c r="B133" s="30" t="s">
        <v>82</v>
      </c>
      <c r="C133" s="1" t="s">
        <v>17</v>
      </c>
      <c r="D133" s="120"/>
      <c r="E133" s="3" t="s">
        <v>20</v>
      </c>
      <c r="F133" s="73" t="s">
        <v>394</v>
      </c>
      <c r="G133" s="74" t="s">
        <v>112</v>
      </c>
      <c r="H133" s="75">
        <v>5</v>
      </c>
      <c r="I133" s="76"/>
      <c r="J133" s="96"/>
      <c r="K133" s="77"/>
      <c r="L133" s="77"/>
      <c r="M133" s="38">
        <f t="shared" si="4"/>
        <v>0</v>
      </c>
      <c r="N133" s="100">
        <f>3+5</f>
        <v>8</v>
      </c>
      <c r="O133" s="81">
        <f>5975.84+23579.15</f>
        <v>29554.99</v>
      </c>
      <c r="P133" s="81">
        <f>15975.84</f>
        <v>15975.84</v>
      </c>
      <c r="Q133" s="12">
        <f t="shared" si="3"/>
        <v>13579.150000000001</v>
      </c>
      <c r="R133" s="141"/>
    </row>
    <row r="134" spans="1:18" s="13" customFormat="1" ht="15.75" x14ac:dyDescent="0.25">
      <c r="A134" s="10"/>
      <c r="B134" s="24" t="s">
        <v>82</v>
      </c>
      <c r="C134" s="1" t="s">
        <v>17</v>
      </c>
      <c r="D134" s="120"/>
      <c r="E134" s="3" t="s">
        <v>20</v>
      </c>
      <c r="F134" s="73" t="s">
        <v>463</v>
      </c>
      <c r="G134" s="11" t="s">
        <v>114</v>
      </c>
      <c r="H134" s="1">
        <v>11</v>
      </c>
      <c r="I134" s="49"/>
      <c r="J134" s="51"/>
      <c r="K134" s="40"/>
      <c r="L134" s="40"/>
      <c r="M134" s="78">
        <f t="shared" si="4"/>
        <v>0</v>
      </c>
      <c r="N134" s="41">
        <v>7</v>
      </c>
      <c r="O134" s="31">
        <v>10757.8</v>
      </c>
      <c r="P134" s="31">
        <f>4314.3</f>
        <v>4314.3</v>
      </c>
      <c r="Q134" s="79">
        <f t="shared" si="3"/>
        <v>6443.4999999999991</v>
      </c>
    </row>
    <row r="135" spans="1:18" s="13" customFormat="1" ht="15.75" x14ac:dyDescent="0.25">
      <c r="A135" s="10"/>
      <c r="B135" s="24" t="s">
        <v>309</v>
      </c>
      <c r="C135" s="1"/>
      <c r="D135" s="120"/>
      <c r="E135" s="3" t="s">
        <v>20</v>
      </c>
      <c r="F135" s="73" t="s">
        <v>391</v>
      </c>
      <c r="G135" s="11" t="s">
        <v>112</v>
      </c>
      <c r="H135" s="1">
        <v>10</v>
      </c>
      <c r="I135" s="58">
        <v>1</v>
      </c>
      <c r="J135" s="51">
        <f>1</f>
        <v>1</v>
      </c>
      <c r="K135" s="40">
        <f>3606.1</f>
        <v>3606.1</v>
      </c>
      <c r="L135" s="40"/>
      <c r="M135" s="38">
        <f t="shared" si="4"/>
        <v>3606.1</v>
      </c>
      <c r="N135" s="41">
        <f>1+5+1</f>
        <v>7</v>
      </c>
      <c r="O135" s="31">
        <f>3088.97+13147.65+1267.86</f>
        <v>17504.48</v>
      </c>
      <c r="P135" s="31">
        <f>3088.97</f>
        <v>3088.97</v>
      </c>
      <c r="Q135" s="79"/>
      <c r="R135" s="141"/>
    </row>
    <row r="136" spans="1:18" s="13" customFormat="1" ht="15.75" x14ac:dyDescent="0.25">
      <c r="A136" s="10"/>
      <c r="B136" s="30" t="s">
        <v>152</v>
      </c>
      <c r="C136" s="1" t="s">
        <v>17</v>
      </c>
      <c r="D136" s="120"/>
      <c r="E136" s="3" t="s">
        <v>35</v>
      </c>
      <c r="F136" s="73" t="s">
        <v>392</v>
      </c>
      <c r="G136" s="74" t="s">
        <v>112</v>
      </c>
      <c r="H136" s="75">
        <v>7</v>
      </c>
      <c r="I136" s="76">
        <v>4</v>
      </c>
      <c r="J136" s="96">
        <f>1+1+2</f>
        <v>4</v>
      </c>
      <c r="K136" s="77">
        <f>403.41+845.24</f>
        <v>1248.6500000000001</v>
      </c>
      <c r="L136" s="77"/>
      <c r="M136" s="38">
        <f t="shared" si="4"/>
        <v>1248.6500000000001</v>
      </c>
      <c r="N136" s="100">
        <f>2+2+2+1</f>
        <v>7</v>
      </c>
      <c r="O136" s="81">
        <f>1690.48+3050.26+3661.61+4648.82+1267.86+1690.48</f>
        <v>16009.51</v>
      </c>
      <c r="P136" s="81">
        <f>1690.4</f>
        <v>1690.4</v>
      </c>
      <c r="Q136" s="12">
        <f t="shared" si="3"/>
        <v>14319.11</v>
      </c>
      <c r="R136" s="141"/>
    </row>
    <row r="137" spans="1:18" s="13" customFormat="1" ht="15.75" x14ac:dyDescent="0.25">
      <c r="A137" s="10"/>
      <c r="B137" s="24" t="s">
        <v>152</v>
      </c>
      <c r="C137" s="1" t="s">
        <v>17</v>
      </c>
      <c r="D137" s="120"/>
      <c r="E137" s="3" t="s">
        <v>32</v>
      </c>
      <c r="F137" s="73"/>
      <c r="G137" s="11" t="s">
        <v>117</v>
      </c>
      <c r="H137" s="1"/>
      <c r="I137" s="49"/>
      <c r="J137" s="46"/>
      <c r="K137" s="40"/>
      <c r="L137" s="40"/>
      <c r="M137" s="78">
        <f t="shared" si="4"/>
        <v>0</v>
      </c>
      <c r="N137" s="41"/>
      <c r="O137" s="31"/>
      <c r="P137" s="31"/>
      <c r="Q137" s="79">
        <f t="shared" si="3"/>
        <v>0</v>
      </c>
    </row>
    <row r="138" spans="1:18" s="13" customFormat="1" ht="15.75" x14ac:dyDescent="0.25">
      <c r="A138" s="10"/>
      <c r="B138" s="30" t="s">
        <v>83</v>
      </c>
      <c r="C138" s="1" t="s">
        <v>17</v>
      </c>
      <c r="D138" s="120"/>
      <c r="E138" s="3" t="s">
        <v>20</v>
      </c>
      <c r="F138" s="73" t="s">
        <v>393</v>
      </c>
      <c r="G138" s="74" t="s">
        <v>112</v>
      </c>
      <c r="H138" s="75">
        <v>8</v>
      </c>
      <c r="I138" s="76">
        <v>4</v>
      </c>
      <c r="J138" s="96">
        <f>1+1+2</f>
        <v>4</v>
      </c>
      <c r="K138" s="77">
        <f>768.4+2535.72</f>
        <v>3304.12</v>
      </c>
      <c r="L138" s="77"/>
      <c r="M138" s="38">
        <f t="shared" si="4"/>
        <v>3304.12</v>
      </c>
      <c r="N138" s="100">
        <f>1+2+1</f>
        <v>4</v>
      </c>
      <c r="O138" s="81">
        <f>5837.09+1922.92</f>
        <v>7760.01</v>
      </c>
      <c r="P138" s="81"/>
      <c r="Q138" s="12">
        <f t="shared" si="3"/>
        <v>7760.01</v>
      </c>
      <c r="R138" s="141"/>
    </row>
    <row r="139" spans="1:18" s="13" customFormat="1" ht="15.75" x14ac:dyDescent="0.25">
      <c r="A139" s="10"/>
      <c r="B139" s="24" t="s">
        <v>83</v>
      </c>
      <c r="C139" s="1" t="s">
        <v>17</v>
      </c>
      <c r="D139" s="120"/>
      <c r="E139" s="3" t="s">
        <v>20</v>
      </c>
      <c r="F139" s="73" t="s">
        <v>464</v>
      </c>
      <c r="G139" s="11" t="s">
        <v>114</v>
      </c>
      <c r="H139" s="1">
        <v>6</v>
      </c>
      <c r="I139" s="49"/>
      <c r="J139" s="51"/>
      <c r="K139" s="40"/>
      <c r="L139" s="40"/>
      <c r="M139" s="78">
        <f t="shared" si="4"/>
        <v>0</v>
      </c>
      <c r="N139" s="41">
        <v>22</v>
      </c>
      <c r="O139" s="31">
        <v>43871.3</v>
      </c>
      <c r="P139" s="31">
        <v>34650.5</v>
      </c>
      <c r="Q139" s="79">
        <f t="shared" si="3"/>
        <v>9220.8000000000029</v>
      </c>
    </row>
    <row r="140" spans="1:18" s="13" customFormat="1" ht="15.75" x14ac:dyDescent="0.25">
      <c r="A140" s="10"/>
      <c r="B140" s="24" t="s">
        <v>310</v>
      </c>
      <c r="C140" s="1"/>
      <c r="D140" s="120"/>
      <c r="E140" s="3" t="s">
        <v>20</v>
      </c>
      <c r="F140" s="73"/>
      <c r="G140" s="11" t="s">
        <v>114</v>
      </c>
      <c r="H140" s="1"/>
      <c r="I140" s="49"/>
      <c r="J140" s="51"/>
      <c r="K140" s="40"/>
      <c r="L140" s="40"/>
      <c r="M140" s="78"/>
      <c r="N140" s="41"/>
      <c r="O140" s="31"/>
      <c r="P140" s="31"/>
      <c r="Q140" s="79"/>
    </row>
    <row r="141" spans="1:18" s="13" customFormat="1" ht="15.75" x14ac:dyDescent="0.25">
      <c r="A141" s="10"/>
      <c r="B141" s="30" t="s">
        <v>84</v>
      </c>
      <c r="C141" s="1"/>
      <c r="D141" s="120"/>
      <c r="E141" s="3" t="s">
        <v>20</v>
      </c>
      <c r="F141" s="73" t="s">
        <v>287</v>
      </c>
      <c r="G141" s="11" t="s">
        <v>114</v>
      </c>
      <c r="H141" s="1"/>
      <c r="I141" s="49"/>
      <c r="J141" s="51"/>
      <c r="K141" s="40"/>
      <c r="L141" s="40"/>
      <c r="M141" s="38">
        <f t="shared" si="4"/>
        <v>0</v>
      </c>
      <c r="N141" s="41"/>
      <c r="O141" s="31"/>
      <c r="P141" s="31"/>
      <c r="Q141" s="12">
        <f t="shared" si="3"/>
        <v>0</v>
      </c>
    </row>
    <row r="142" spans="1:18" s="13" customFormat="1" ht="47.25" x14ac:dyDescent="0.25">
      <c r="A142" s="10"/>
      <c r="B142" s="30" t="s">
        <v>85</v>
      </c>
      <c r="C142" s="1" t="s">
        <v>304</v>
      </c>
      <c r="D142" s="120" t="s">
        <v>415</v>
      </c>
      <c r="E142" s="3" t="s">
        <v>20</v>
      </c>
      <c r="F142" s="73" t="s">
        <v>395</v>
      </c>
      <c r="G142" s="74" t="s">
        <v>112</v>
      </c>
      <c r="H142" s="75">
        <v>4</v>
      </c>
      <c r="I142" s="76"/>
      <c r="J142" s="96"/>
      <c r="K142" s="77"/>
      <c r="L142" s="77"/>
      <c r="M142" s="38">
        <f t="shared" si="4"/>
        <v>0</v>
      </c>
      <c r="N142" s="100"/>
      <c r="O142" s="81">
        <f>3917.73</f>
        <v>3917.73</v>
      </c>
      <c r="P142" s="81"/>
      <c r="Q142" s="79">
        <f t="shared" si="3"/>
        <v>3917.73</v>
      </c>
      <c r="R142" s="141"/>
    </row>
    <row r="143" spans="1:18" s="13" customFormat="1" ht="15.75" x14ac:dyDescent="0.25">
      <c r="A143" s="10"/>
      <c r="B143" s="27" t="s">
        <v>86</v>
      </c>
      <c r="C143" s="1" t="s">
        <v>17</v>
      </c>
      <c r="D143" s="120"/>
      <c r="E143" s="17" t="s">
        <v>20</v>
      </c>
      <c r="F143" s="73" t="s">
        <v>396</v>
      </c>
      <c r="G143" s="74" t="s">
        <v>112</v>
      </c>
      <c r="H143" s="75">
        <v>5</v>
      </c>
      <c r="I143" s="76">
        <v>2</v>
      </c>
      <c r="J143" s="96">
        <f>1+3</f>
        <v>4</v>
      </c>
      <c r="K143" s="77">
        <f>950.9+5134.06</f>
        <v>6084.96</v>
      </c>
      <c r="L143" s="77"/>
      <c r="M143" s="38">
        <f t="shared" si="4"/>
        <v>6084.96</v>
      </c>
      <c r="N143" s="100">
        <f>15+4+2</f>
        <v>21</v>
      </c>
      <c r="O143" s="81">
        <f>30236.61+18366.75+8887.09</f>
        <v>57490.45</v>
      </c>
      <c r="P143" s="81">
        <f>30236.61</f>
        <v>30236.61</v>
      </c>
      <c r="Q143" s="12">
        <f t="shared" si="3"/>
        <v>27253.839999999997</v>
      </c>
      <c r="R143" s="141"/>
    </row>
    <row r="144" spans="1:18" s="13" customFormat="1" ht="15.75" x14ac:dyDescent="0.25">
      <c r="A144" s="10"/>
      <c r="B144" s="25" t="s">
        <v>86</v>
      </c>
      <c r="C144" s="1" t="s">
        <v>17</v>
      </c>
      <c r="D144" s="120"/>
      <c r="E144" s="17" t="s">
        <v>20</v>
      </c>
      <c r="F144" s="73" t="s">
        <v>465</v>
      </c>
      <c r="G144" s="11" t="s">
        <v>114</v>
      </c>
      <c r="H144" s="1"/>
      <c r="I144" s="49"/>
      <c r="J144" s="51"/>
      <c r="K144" s="40"/>
      <c r="L144" s="40"/>
      <c r="M144" s="78">
        <f t="shared" si="4"/>
        <v>0</v>
      </c>
      <c r="N144" s="41">
        <v>3</v>
      </c>
      <c r="O144" s="31">
        <v>3107.23</v>
      </c>
      <c r="P144" s="31">
        <v>3107.23</v>
      </c>
      <c r="Q144" s="79">
        <f t="shared" si="3"/>
        <v>0</v>
      </c>
    </row>
    <row r="145" spans="1:18" s="13" customFormat="1" ht="15.75" x14ac:dyDescent="0.25">
      <c r="A145" s="10"/>
      <c r="B145" s="62" t="s">
        <v>87</v>
      </c>
      <c r="C145" s="1" t="s">
        <v>17</v>
      </c>
      <c r="D145" s="120"/>
      <c r="E145" s="17" t="s">
        <v>78</v>
      </c>
      <c r="F145" s="73" t="s">
        <v>142</v>
      </c>
      <c r="G145" s="74" t="s">
        <v>112</v>
      </c>
      <c r="H145" s="75"/>
      <c r="I145" s="76"/>
      <c r="J145" s="96"/>
      <c r="K145" s="77"/>
      <c r="L145" s="77"/>
      <c r="M145" s="38">
        <f t="shared" si="4"/>
        <v>0</v>
      </c>
      <c r="N145" s="100"/>
      <c r="O145" s="81"/>
      <c r="P145" s="81"/>
      <c r="Q145" s="12">
        <f t="shared" si="3"/>
        <v>0</v>
      </c>
      <c r="R145" s="141"/>
    </row>
    <row r="146" spans="1:18" s="13" customFormat="1" ht="15.75" x14ac:dyDescent="0.25">
      <c r="A146" s="10"/>
      <c r="B146" s="62" t="s">
        <v>312</v>
      </c>
      <c r="C146" s="1" t="s">
        <v>17</v>
      </c>
      <c r="D146" s="120"/>
      <c r="E146" s="17" t="s">
        <v>20</v>
      </c>
      <c r="F146" s="73" t="s">
        <v>320</v>
      </c>
      <c r="G146" s="74" t="s">
        <v>112</v>
      </c>
      <c r="H146" s="75">
        <v>7</v>
      </c>
      <c r="I146" s="76">
        <v>2</v>
      </c>
      <c r="J146" s="96">
        <f>1+1</f>
        <v>2</v>
      </c>
      <c r="K146" s="77">
        <f>3319.49+845.24</f>
        <v>4164.7299999999996</v>
      </c>
      <c r="L146" s="77"/>
      <c r="M146" s="38"/>
      <c r="N146" s="100">
        <f>5+6</f>
        <v>11</v>
      </c>
      <c r="O146" s="81">
        <f>4226.2+6627.45</f>
        <v>10853.65</v>
      </c>
      <c r="P146" s="81">
        <f>4226.2</f>
        <v>4226.2</v>
      </c>
      <c r="Q146" s="12"/>
      <c r="R146" s="141"/>
    </row>
    <row r="147" spans="1:18" s="13" customFormat="1" ht="15.75" x14ac:dyDescent="0.25">
      <c r="A147" s="10"/>
      <c r="B147" s="62" t="s">
        <v>494</v>
      </c>
      <c r="C147" s="1" t="s">
        <v>17</v>
      </c>
      <c r="D147" s="120"/>
      <c r="E147" s="17" t="s">
        <v>20</v>
      </c>
      <c r="F147" s="73" t="s">
        <v>497</v>
      </c>
      <c r="G147" s="74" t="s">
        <v>112</v>
      </c>
      <c r="H147" s="75">
        <v>2</v>
      </c>
      <c r="I147" s="76"/>
      <c r="J147" s="96"/>
      <c r="K147" s="77"/>
      <c r="L147" s="77"/>
      <c r="M147" s="38"/>
      <c r="N147" s="100"/>
      <c r="O147" s="81"/>
      <c r="P147" s="81"/>
      <c r="Q147" s="12"/>
      <c r="R147" s="141"/>
    </row>
    <row r="148" spans="1:18" s="13" customFormat="1" ht="15.75" x14ac:dyDescent="0.25">
      <c r="A148" s="10"/>
      <c r="B148" s="62" t="s">
        <v>494</v>
      </c>
      <c r="C148" s="1"/>
      <c r="D148" s="120"/>
      <c r="E148" s="17"/>
      <c r="F148" s="73"/>
      <c r="G148" s="74" t="s">
        <v>114</v>
      </c>
      <c r="H148" s="75">
        <v>5</v>
      </c>
      <c r="I148" s="76"/>
      <c r="J148" s="96"/>
      <c r="K148" s="77"/>
      <c r="L148" s="77"/>
      <c r="M148" s="38"/>
      <c r="N148" s="100"/>
      <c r="O148" s="81"/>
      <c r="P148" s="81"/>
      <c r="Q148" s="12"/>
      <c r="R148" s="141"/>
    </row>
    <row r="149" spans="1:18" s="13" customFormat="1" ht="15.75" x14ac:dyDescent="0.25">
      <c r="A149" s="10"/>
      <c r="B149" s="30" t="s">
        <v>88</v>
      </c>
      <c r="C149" s="1" t="s">
        <v>17</v>
      </c>
      <c r="D149" s="120"/>
      <c r="E149" s="3" t="s">
        <v>89</v>
      </c>
      <c r="F149" s="73" t="s">
        <v>397</v>
      </c>
      <c r="G149" s="74" t="s">
        <v>112</v>
      </c>
      <c r="H149" s="75">
        <v>4</v>
      </c>
      <c r="I149" s="76">
        <v>1</v>
      </c>
      <c r="J149" s="96">
        <f>1</f>
        <v>1</v>
      </c>
      <c r="K149" s="77">
        <f>4226.2+2394.91</f>
        <v>6621.11</v>
      </c>
      <c r="L149" s="77"/>
      <c r="M149" s="38">
        <f t="shared" si="4"/>
        <v>6621.11</v>
      </c>
      <c r="N149" s="100">
        <f>4+1+3+1+2+2</f>
        <v>13</v>
      </c>
      <c r="O149" s="81">
        <f>11967.83+2831.55+10544.37+9418.99+3799.13</f>
        <v>38561.869999999995</v>
      </c>
      <c r="P149" s="81">
        <f>11967.83</f>
        <v>11967.83</v>
      </c>
      <c r="Q149" s="79">
        <f t="shared" ref="Q149:Q191" si="5">O149-P149</f>
        <v>26594.039999999994</v>
      </c>
      <c r="R149" s="141"/>
    </row>
    <row r="150" spans="1:18" s="13" customFormat="1" ht="15.75" x14ac:dyDescent="0.25">
      <c r="A150" s="10"/>
      <c r="B150" s="24" t="s">
        <v>88</v>
      </c>
      <c r="C150" s="1" t="s">
        <v>17</v>
      </c>
      <c r="D150" s="120"/>
      <c r="E150" s="3" t="s">
        <v>89</v>
      </c>
      <c r="F150" s="73" t="s">
        <v>442</v>
      </c>
      <c r="G150" s="11" t="s">
        <v>118</v>
      </c>
      <c r="H150" s="1">
        <v>1</v>
      </c>
      <c r="I150" s="49"/>
      <c r="J150" s="46"/>
      <c r="K150" s="40"/>
      <c r="L150" s="40"/>
      <c r="M150" s="38">
        <f t="shared" si="4"/>
        <v>0</v>
      </c>
      <c r="N150" s="41">
        <v>2</v>
      </c>
      <c r="O150" s="31">
        <v>8523.52</v>
      </c>
      <c r="P150" s="31">
        <v>1417.57</v>
      </c>
      <c r="Q150" s="12">
        <f t="shared" si="5"/>
        <v>7105.9500000000007</v>
      </c>
    </row>
    <row r="151" spans="1:18" s="13" customFormat="1" ht="15.75" x14ac:dyDescent="0.25">
      <c r="A151" s="10"/>
      <c r="B151" s="30" t="s">
        <v>90</v>
      </c>
      <c r="C151" s="1" t="s">
        <v>17</v>
      </c>
      <c r="D151" s="120"/>
      <c r="E151" s="17" t="s">
        <v>20</v>
      </c>
      <c r="F151" s="73" t="s">
        <v>398</v>
      </c>
      <c r="G151" s="74" t="s">
        <v>112</v>
      </c>
      <c r="H151" s="75">
        <v>3</v>
      </c>
      <c r="I151" s="76">
        <v>1</v>
      </c>
      <c r="J151" s="96">
        <f>1</f>
        <v>1</v>
      </c>
      <c r="K151" s="77">
        <f>422.62</f>
        <v>422.62</v>
      </c>
      <c r="L151" s="77"/>
      <c r="M151" s="38">
        <f t="shared" si="4"/>
        <v>422.62</v>
      </c>
      <c r="N151" s="100">
        <f>1+1</f>
        <v>2</v>
      </c>
      <c r="O151" s="81">
        <f>2122.67+787.61</f>
        <v>2910.28</v>
      </c>
      <c r="P151" s="81"/>
      <c r="Q151" s="79">
        <f t="shared" si="5"/>
        <v>2910.28</v>
      </c>
      <c r="R151" s="141"/>
    </row>
    <row r="152" spans="1:18" s="13" customFormat="1" ht="15.75" x14ac:dyDescent="0.25">
      <c r="A152" s="10"/>
      <c r="B152" s="24" t="s">
        <v>90</v>
      </c>
      <c r="C152" s="1" t="s">
        <v>17</v>
      </c>
      <c r="D152" s="120"/>
      <c r="E152" s="17" t="s">
        <v>20</v>
      </c>
      <c r="F152" s="73" t="s">
        <v>466</v>
      </c>
      <c r="G152" s="11" t="s">
        <v>114</v>
      </c>
      <c r="H152" s="1">
        <v>5</v>
      </c>
      <c r="I152" s="49"/>
      <c r="J152" s="51"/>
      <c r="K152" s="40"/>
      <c r="L152" s="40"/>
      <c r="M152" s="78">
        <f t="shared" si="4"/>
        <v>0</v>
      </c>
      <c r="N152" s="41">
        <v>15</v>
      </c>
      <c r="O152" s="31">
        <f>31793</f>
        <v>31793</v>
      </c>
      <c r="P152" s="31">
        <v>20378.8</v>
      </c>
      <c r="Q152" s="12">
        <f t="shared" si="5"/>
        <v>11414.2</v>
      </c>
    </row>
    <row r="153" spans="1:18" s="13" customFormat="1" ht="15.75" x14ac:dyDescent="0.25">
      <c r="A153" s="10"/>
      <c r="B153" s="30" t="s">
        <v>91</v>
      </c>
      <c r="C153" s="1" t="s">
        <v>17</v>
      </c>
      <c r="D153" s="120"/>
      <c r="E153" s="17" t="s">
        <v>20</v>
      </c>
      <c r="F153" s="73" t="s">
        <v>399</v>
      </c>
      <c r="G153" s="74" t="s">
        <v>112</v>
      </c>
      <c r="H153" s="75"/>
      <c r="I153" s="76"/>
      <c r="J153" s="96"/>
      <c r="K153" s="77"/>
      <c r="L153" s="77"/>
      <c r="M153" s="38">
        <f t="shared" si="4"/>
        <v>0</v>
      </c>
      <c r="N153" s="100"/>
      <c r="O153" s="81"/>
      <c r="P153" s="81"/>
      <c r="Q153" s="79">
        <f t="shared" si="5"/>
        <v>0</v>
      </c>
      <c r="R153" s="141"/>
    </row>
    <row r="154" spans="1:18" s="13" customFormat="1" ht="15.75" x14ac:dyDescent="0.25">
      <c r="A154" s="10"/>
      <c r="B154" s="22" t="s">
        <v>138</v>
      </c>
      <c r="C154" s="1" t="s">
        <v>17</v>
      </c>
      <c r="D154" s="120"/>
      <c r="E154" s="17" t="s">
        <v>20</v>
      </c>
      <c r="F154" s="73" t="s">
        <v>467</v>
      </c>
      <c r="G154" s="11" t="s">
        <v>114</v>
      </c>
      <c r="H154" s="1">
        <v>2</v>
      </c>
      <c r="I154" s="49"/>
      <c r="J154" s="51"/>
      <c r="K154" s="37"/>
      <c r="L154" s="37"/>
      <c r="M154" s="78">
        <f t="shared" si="4"/>
        <v>0</v>
      </c>
      <c r="N154" s="39">
        <v>4</v>
      </c>
      <c r="O154" s="31">
        <v>1841</v>
      </c>
      <c r="P154" s="31"/>
      <c r="Q154" s="12">
        <f t="shared" si="5"/>
        <v>1841</v>
      </c>
    </row>
    <row r="155" spans="1:18" s="13" customFormat="1" ht="15.75" x14ac:dyDescent="0.25">
      <c r="A155" s="10"/>
      <c r="B155" s="62" t="s">
        <v>138</v>
      </c>
      <c r="C155" s="1" t="s">
        <v>17</v>
      </c>
      <c r="D155" s="120"/>
      <c r="E155" s="17" t="s">
        <v>20</v>
      </c>
      <c r="F155" s="73" t="s">
        <v>400</v>
      </c>
      <c r="G155" s="74" t="s">
        <v>112</v>
      </c>
      <c r="H155" s="75">
        <v>4</v>
      </c>
      <c r="I155" s="82"/>
      <c r="J155" s="96"/>
      <c r="K155" s="77"/>
      <c r="L155" s="77"/>
      <c r="M155" s="38">
        <f t="shared" si="4"/>
        <v>0</v>
      </c>
      <c r="N155" s="100">
        <f>5</f>
        <v>5</v>
      </c>
      <c r="O155" s="81">
        <v>8995.8700000000008</v>
      </c>
      <c r="P155" s="81"/>
      <c r="Q155" s="79">
        <f t="shared" si="5"/>
        <v>8995.8700000000008</v>
      </c>
      <c r="R155" s="141"/>
    </row>
    <row r="156" spans="1:18" s="13" customFormat="1" ht="15.75" x14ac:dyDescent="0.25">
      <c r="A156" s="10"/>
      <c r="B156" s="62" t="s">
        <v>157</v>
      </c>
      <c r="C156" s="1" t="s">
        <v>17</v>
      </c>
      <c r="D156" s="120"/>
      <c r="E156" s="17" t="s">
        <v>20</v>
      </c>
      <c r="F156" s="73" t="s">
        <v>401</v>
      </c>
      <c r="G156" s="74" t="s">
        <v>112</v>
      </c>
      <c r="H156" s="75">
        <v>3</v>
      </c>
      <c r="I156" s="82"/>
      <c r="J156" s="96"/>
      <c r="K156" s="77"/>
      <c r="L156" s="77"/>
      <c r="M156" s="38">
        <f t="shared" ref="M156:M190" si="6">K156-L156</f>
        <v>0</v>
      </c>
      <c r="N156" s="100"/>
      <c r="O156" s="81"/>
      <c r="P156" s="81"/>
      <c r="Q156" s="12">
        <f t="shared" si="5"/>
        <v>0</v>
      </c>
      <c r="R156" s="141"/>
    </row>
    <row r="157" spans="1:18" s="13" customFormat="1" ht="15.75" x14ac:dyDescent="0.25">
      <c r="A157" s="10"/>
      <c r="B157" s="22" t="s">
        <v>157</v>
      </c>
      <c r="C157" s="1" t="s">
        <v>17</v>
      </c>
      <c r="D157" s="120"/>
      <c r="E157" s="17" t="s">
        <v>20</v>
      </c>
      <c r="F157" s="73"/>
      <c r="G157" s="11" t="s">
        <v>114</v>
      </c>
      <c r="H157" s="1"/>
      <c r="I157" s="49"/>
      <c r="J157" s="51"/>
      <c r="K157" s="37"/>
      <c r="L157" s="37"/>
      <c r="M157" s="38">
        <f t="shared" si="6"/>
        <v>0</v>
      </c>
      <c r="N157" s="39"/>
      <c r="O157" s="31"/>
      <c r="P157" s="31"/>
      <c r="Q157" s="79">
        <f t="shared" si="5"/>
        <v>0</v>
      </c>
    </row>
    <row r="158" spans="1:18" s="15" customFormat="1" ht="15.75" x14ac:dyDescent="0.25">
      <c r="A158" s="14"/>
      <c r="B158" s="80" t="s">
        <v>92</v>
      </c>
      <c r="C158" s="1" t="s">
        <v>17</v>
      </c>
      <c r="D158" s="120"/>
      <c r="E158" s="17" t="s">
        <v>20</v>
      </c>
      <c r="F158" s="73" t="s">
        <v>402</v>
      </c>
      <c r="G158" s="74" t="s">
        <v>112</v>
      </c>
      <c r="H158" s="75">
        <v>3</v>
      </c>
      <c r="I158" s="76">
        <v>1</v>
      </c>
      <c r="J158" s="96">
        <f>1</f>
        <v>1</v>
      </c>
      <c r="K158" s="77">
        <f>1951.74</f>
        <v>1951.74</v>
      </c>
      <c r="L158" s="77"/>
      <c r="M158" s="38">
        <f t="shared" si="6"/>
        <v>1951.74</v>
      </c>
      <c r="N158" s="100">
        <f>4+1</f>
        <v>5</v>
      </c>
      <c r="O158" s="81">
        <f>12624.74+2697.06</f>
        <v>15321.8</v>
      </c>
      <c r="P158" s="81">
        <f>12624.74</f>
        <v>12624.74</v>
      </c>
      <c r="Q158" s="12">
        <f t="shared" si="5"/>
        <v>2697.0599999999995</v>
      </c>
      <c r="R158" s="141"/>
    </row>
    <row r="159" spans="1:18" s="15" customFormat="1" ht="15.75" x14ac:dyDescent="0.25">
      <c r="A159" s="14"/>
      <c r="B159" s="23" t="s">
        <v>92</v>
      </c>
      <c r="C159" s="1" t="s">
        <v>17</v>
      </c>
      <c r="D159" s="120"/>
      <c r="E159" s="17" t="s">
        <v>20</v>
      </c>
      <c r="F159" s="73" t="s">
        <v>129</v>
      </c>
      <c r="G159" s="11" t="s">
        <v>114</v>
      </c>
      <c r="H159" s="1"/>
      <c r="I159" s="49"/>
      <c r="J159" s="51"/>
      <c r="K159" s="40"/>
      <c r="L159" s="40"/>
      <c r="M159" s="38">
        <f t="shared" si="6"/>
        <v>0</v>
      </c>
      <c r="N159" s="39"/>
      <c r="O159" s="31"/>
      <c r="P159" s="31"/>
      <c r="Q159" s="79">
        <f t="shared" si="5"/>
        <v>0</v>
      </c>
    </row>
    <row r="160" spans="1:18" s="13" customFormat="1" ht="15.75" x14ac:dyDescent="0.25">
      <c r="A160" s="10"/>
      <c r="B160" s="30" t="s">
        <v>93</v>
      </c>
      <c r="C160" s="1" t="s">
        <v>17</v>
      </c>
      <c r="D160" s="120"/>
      <c r="E160" s="3" t="s">
        <v>94</v>
      </c>
      <c r="F160" s="73" t="s">
        <v>403</v>
      </c>
      <c r="G160" s="74" t="s">
        <v>112</v>
      </c>
      <c r="H160" s="75">
        <v>7</v>
      </c>
      <c r="I160" s="76">
        <v>2</v>
      </c>
      <c r="J160" s="96">
        <f>2</f>
        <v>2</v>
      </c>
      <c r="K160" s="77">
        <f>2362.84</f>
        <v>2362.84</v>
      </c>
      <c r="L160" s="77">
        <f>2362.84</f>
        <v>2362.84</v>
      </c>
      <c r="M160" s="38">
        <f t="shared" si="6"/>
        <v>0</v>
      </c>
      <c r="N160" s="100">
        <f>3+8</f>
        <v>11</v>
      </c>
      <c r="O160" s="81">
        <f>20117.75</f>
        <v>20117.75</v>
      </c>
      <c r="P160" s="81">
        <f>20117.75</f>
        <v>20117.75</v>
      </c>
      <c r="Q160" s="12">
        <f t="shared" si="5"/>
        <v>0</v>
      </c>
      <c r="R160" s="141"/>
    </row>
    <row r="161" spans="1:18" s="13" customFormat="1" ht="15.75" x14ac:dyDescent="0.25">
      <c r="A161" s="10"/>
      <c r="B161" s="24" t="s">
        <v>93</v>
      </c>
      <c r="C161" s="1" t="s">
        <v>17</v>
      </c>
      <c r="D161" s="120"/>
      <c r="E161" s="3" t="s">
        <v>94</v>
      </c>
      <c r="F161" s="73" t="s">
        <v>130</v>
      </c>
      <c r="G161" s="11" t="s">
        <v>114</v>
      </c>
      <c r="H161" s="1"/>
      <c r="I161" s="49"/>
      <c r="J161" s="51"/>
      <c r="K161" s="40"/>
      <c r="L161" s="77"/>
      <c r="M161" s="38">
        <f t="shared" si="6"/>
        <v>0</v>
      </c>
      <c r="N161" s="41"/>
      <c r="O161" s="31"/>
      <c r="P161" s="31"/>
      <c r="Q161" s="79">
        <f t="shared" si="5"/>
        <v>0</v>
      </c>
    </row>
    <row r="162" spans="1:18" s="13" customFormat="1" ht="15.75" x14ac:dyDescent="0.25">
      <c r="A162" s="10"/>
      <c r="B162" s="24" t="s">
        <v>93</v>
      </c>
      <c r="C162" s="1" t="s">
        <v>17</v>
      </c>
      <c r="D162" s="120"/>
      <c r="E162" s="3" t="s">
        <v>94</v>
      </c>
      <c r="F162" s="73" t="s">
        <v>240</v>
      </c>
      <c r="G162" s="11" t="s">
        <v>118</v>
      </c>
      <c r="H162" s="1"/>
      <c r="I162" s="49"/>
      <c r="J162" s="46"/>
      <c r="K162" s="40"/>
      <c r="L162" s="40"/>
      <c r="M162" s="78">
        <f t="shared" si="6"/>
        <v>0</v>
      </c>
      <c r="N162" s="41"/>
      <c r="O162" s="31"/>
      <c r="P162" s="31"/>
      <c r="Q162" s="12">
        <f t="shared" si="5"/>
        <v>0</v>
      </c>
    </row>
    <row r="163" spans="1:18" s="13" customFormat="1" ht="15.75" x14ac:dyDescent="0.25">
      <c r="A163" s="10"/>
      <c r="B163" s="30" t="s">
        <v>95</v>
      </c>
      <c r="C163" s="1" t="s">
        <v>17</v>
      </c>
      <c r="D163" s="120"/>
      <c r="E163" s="17" t="s">
        <v>20</v>
      </c>
      <c r="F163" s="73" t="s">
        <v>404</v>
      </c>
      <c r="G163" s="74" t="s">
        <v>112</v>
      </c>
      <c r="H163" s="75">
        <v>7</v>
      </c>
      <c r="I163" s="76">
        <v>1</v>
      </c>
      <c r="J163" s="96">
        <f>1</f>
        <v>1</v>
      </c>
      <c r="K163" s="77">
        <f>1061.35</f>
        <v>1061.3499999999999</v>
      </c>
      <c r="L163" s="77"/>
      <c r="M163" s="38">
        <f t="shared" si="6"/>
        <v>1061.3499999999999</v>
      </c>
      <c r="N163" s="100">
        <f>1+6</f>
        <v>7</v>
      </c>
      <c r="O163" s="81">
        <f>11603.82+7559.28</f>
        <v>19163.099999999999</v>
      </c>
      <c r="P163" s="81"/>
      <c r="Q163" s="79">
        <f t="shared" si="5"/>
        <v>19163.099999999999</v>
      </c>
      <c r="R163" s="141"/>
    </row>
    <row r="164" spans="1:18" s="13" customFormat="1" ht="15.75" x14ac:dyDescent="0.25">
      <c r="A164" s="10"/>
      <c r="B164" s="24" t="s">
        <v>95</v>
      </c>
      <c r="C164" s="1" t="s">
        <v>17</v>
      </c>
      <c r="D164" s="120"/>
      <c r="E164" s="17" t="s">
        <v>20</v>
      </c>
      <c r="F164" s="73" t="s">
        <v>291</v>
      </c>
      <c r="G164" s="11" t="s">
        <v>114</v>
      </c>
      <c r="H164" s="1">
        <v>1</v>
      </c>
      <c r="I164" s="49"/>
      <c r="J164" s="51"/>
      <c r="K164" s="40"/>
      <c r="L164" s="40"/>
      <c r="M164" s="78">
        <f t="shared" si="6"/>
        <v>0</v>
      </c>
      <c r="N164" s="41"/>
      <c r="O164" s="31"/>
      <c r="P164" s="31"/>
      <c r="Q164" s="12">
        <f t="shared" si="5"/>
        <v>0</v>
      </c>
    </row>
    <row r="165" spans="1:18" s="13" customFormat="1" ht="15.75" x14ac:dyDescent="0.25">
      <c r="A165" s="10"/>
      <c r="B165" s="30" t="s">
        <v>96</v>
      </c>
      <c r="C165" s="1" t="s">
        <v>17</v>
      </c>
      <c r="D165" s="120"/>
      <c r="E165" s="17" t="s">
        <v>97</v>
      </c>
      <c r="F165" s="73" t="s">
        <v>405</v>
      </c>
      <c r="G165" s="74" t="s">
        <v>112</v>
      </c>
      <c r="H165" s="75">
        <v>1</v>
      </c>
      <c r="I165" s="76"/>
      <c r="J165" s="96"/>
      <c r="K165" s="77"/>
      <c r="L165" s="77"/>
      <c r="M165" s="38">
        <f t="shared" si="6"/>
        <v>0</v>
      </c>
      <c r="N165" s="103">
        <f>1</f>
        <v>1</v>
      </c>
      <c r="O165" s="77">
        <f>1742.31</f>
        <v>1742.31</v>
      </c>
      <c r="P165" s="77"/>
      <c r="Q165" s="79">
        <f t="shared" si="5"/>
        <v>1742.31</v>
      </c>
      <c r="R165" s="141"/>
    </row>
    <row r="166" spans="1:18" s="13" customFormat="1" ht="15.75" x14ac:dyDescent="0.25">
      <c r="A166" s="10"/>
      <c r="B166" s="24" t="s">
        <v>96</v>
      </c>
      <c r="C166" s="1" t="s">
        <v>17</v>
      </c>
      <c r="D166" s="120"/>
      <c r="E166" s="17" t="s">
        <v>97</v>
      </c>
      <c r="F166" s="73" t="s">
        <v>468</v>
      </c>
      <c r="G166" s="11" t="s">
        <v>114</v>
      </c>
      <c r="H166" s="1">
        <v>1</v>
      </c>
      <c r="I166" s="49"/>
      <c r="J166" s="51"/>
      <c r="K166" s="40"/>
      <c r="L166" s="40"/>
      <c r="M166" s="78">
        <f t="shared" si="6"/>
        <v>0</v>
      </c>
      <c r="N166" s="41">
        <v>2</v>
      </c>
      <c r="O166" s="31"/>
      <c r="P166" s="31"/>
      <c r="Q166" s="12">
        <f t="shared" si="5"/>
        <v>0</v>
      </c>
    </row>
    <row r="167" spans="1:18" s="13" customFormat="1" ht="15.75" x14ac:dyDescent="0.25">
      <c r="A167" s="10"/>
      <c r="B167" s="30" t="s">
        <v>98</v>
      </c>
      <c r="C167" s="1" t="s">
        <v>17</v>
      </c>
      <c r="D167" s="120"/>
      <c r="E167" s="17" t="s">
        <v>35</v>
      </c>
      <c r="F167" s="73" t="s">
        <v>406</v>
      </c>
      <c r="G167" s="74" t="s">
        <v>112</v>
      </c>
      <c r="H167" s="75">
        <v>14</v>
      </c>
      <c r="I167" s="76">
        <v>3</v>
      </c>
      <c r="J167" s="96">
        <f>1+2</f>
        <v>3</v>
      </c>
      <c r="K167" s="77">
        <f>845.24+1764.25+8353.03</f>
        <v>10962.52</v>
      </c>
      <c r="L167" s="77"/>
      <c r="M167" s="38">
        <f t="shared" si="6"/>
        <v>10962.52</v>
      </c>
      <c r="N167" s="100">
        <f>9+1+1+4+2</f>
        <v>17</v>
      </c>
      <c r="O167" s="81">
        <f>17007.01+2697.06+1267.86+31709.38+5331.44</f>
        <v>58012.75</v>
      </c>
      <c r="P167" s="81">
        <f>17007.01+10149.24</f>
        <v>27156.25</v>
      </c>
      <c r="Q167" s="79">
        <f t="shared" si="5"/>
        <v>30856.5</v>
      </c>
      <c r="R167" s="141"/>
    </row>
    <row r="168" spans="1:18" s="13" customFormat="1" ht="15.75" x14ac:dyDescent="0.25">
      <c r="A168" s="10"/>
      <c r="B168" s="24" t="s">
        <v>98</v>
      </c>
      <c r="C168" s="1" t="s">
        <v>17</v>
      </c>
      <c r="D168" s="120"/>
      <c r="E168" s="17" t="s">
        <v>35</v>
      </c>
      <c r="F168" s="73" t="s">
        <v>435</v>
      </c>
      <c r="G168" s="8" t="s">
        <v>117</v>
      </c>
      <c r="H168" s="1">
        <v>2</v>
      </c>
      <c r="I168" s="49"/>
      <c r="J168" s="46"/>
      <c r="K168" s="40"/>
      <c r="L168" s="40"/>
      <c r="M168" s="78">
        <f t="shared" si="6"/>
        <v>0</v>
      </c>
      <c r="N168" s="41">
        <f>4</f>
        <v>4</v>
      </c>
      <c r="O168" s="40">
        <v>10721.75</v>
      </c>
      <c r="P168" s="40"/>
      <c r="Q168" s="12">
        <f t="shared" si="5"/>
        <v>10721.75</v>
      </c>
    </row>
    <row r="169" spans="1:18" s="13" customFormat="1" ht="15.75" x14ac:dyDescent="0.25">
      <c r="A169" s="10"/>
      <c r="B169" s="24" t="s">
        <v>488</v>
      </c>
      <c r="C169" s="1" t="s">
        <v>17</v>
      </c>
      <c r="D169" s="120"/>
      <c r="E169" s="17" t="s">
        <v>97</v>
      </c>
      <c r="F169" s="73" t="s">
        <v>498</v>
      </c>
      <c r="G169" s="8" t="s">
        <v>112</v>
      </c>
      <c r="H169" s="1">
        <v>5</v>
      </c>
      <c r="I169" s="49"/>
      <c r="J169" s="46"/>
      <c r="K169" s="40"/>
      <c r="L169" s="40"/>
      <c r="M169" s="78"/>
      <c r="N169" s="41"/>
      <c r="O169" s="40"/>
      <c r="P169" s="40"/>
      <c r="Q169" s="12"/>
    </row>
    <row r="170" spans="1:18" s="15" customFormat="1" ht="15.75" x14ac:dyDescent="0.25">
      <c r="A170" s="14"/>
      <c r="B170" s="84" t="s">
        <v>99</v>
      </c>
      <c r="C170" s="1" t="s">
        <v>17</v>
      </c>
      <c r="D170" s="120"/>
      <c r="E170" s="3" t="s">
        <v>32</v>
      </c>
      <c r="F170" s="73" t="s">
        <v>418</v>
      </c>
      <c r="G170" s="74" t="s">
        <v>112</v>
      </c>
      <c r="H170" s="75"/>
      <c r="I170" s="76"/>
      <c r="J170" s="96"/>
      <c r="K170" s="77"/>
      <c r="L170" s="77"/>
      <c r="M170" s="38">
        <f t="shared" si="6"/>
        <v>0</v>
      </c>
      <c r="N170" s="100"/>
      <c r="O170" s="81"/>
      <c r="P170" s="81"/>
      <c r="Q170" s="79">
        <f t="shared" si="5"/>
        <v>0</v>
      </c>
      <c r="R170" s="141"/>
    </row>
    <row r="171" spans="1:18" s="15" customFormat="1" ht="15.75" x14ac:dyDescent="0.25">
      <c r="A171" s="14"/>
      <c r="B171" s="29" t="s">
        <v>99</v>
      </c>
      <c r="C171" s="1" t="s">
        <v>17</v>
      </c>
      <c r="D171" s="120"/>
      <c r="E171" s="3" t="s">
        <v>32</v>
      </c>
      <c r="F171" s="73" t="s">
        <v>423</v>
      </c>
      <c r="G171" s="8" t="s">
        <v>117</v>
      </c>
      <c r="H171" s="1"/>
      <c r="I171" s="49"/>
      <c r="J171" s="51"/>
      <c r="K171" s="40"/>
      <c r="L171" s="40"/>
      <c r="M171" s="78">
        <f t="shared" si="6"/>
        <v>0</v>
      </c>
      <c r="N171" s="39"/>
      <c r="O171" s="40"/>
      <c r="P171" s="40"/>
      <c r="Q171" s="12">
        <f t="shared" si="5"/>
        <v>0</v>
      </c>
    </row>
    <row r="172" spans="1:18" s="15" customFormat="1" ht="31.5" x14ac:dyDescent="0.25">
      <c r="A172" s="14"/>
      <c r="B172" s="30" t="s">
        <v>144</v>
      </c>
      <c r="C172" s="1" t="s">
        <v>304</v>
      </c>
      <c r="D172" s="120" t="s">
        <v>313</v>
      </c>
      <c r="E172" s="17" t="s">
        <v>97</v>
      </c>
      <c r="F172" s="73" t="s">
        <v>407</v>
      </c>
      <c r="G172" s="66" t="s">
        <v>112</v>
      </c>
      <c r="H172" s="75">
        <v>6</v>
      </c>
      <c r="I172" s="76">
        <v>4</v>
      </c>
      <c r="J172" s="98">
        <f>2+2+1</f>
        <v>5</v>
      </c>
      <c r="K172" s="77">
        <f>950.9+1449.39+2272.32</f>
        <v>4672.6100000000006</v>
      </c>
      <c r="L172" s="77"/>
      <c r="M172" s="38">
        <f t="shared" si="6"/>
        <v>4672.6100000000006</v>
      </c>
      <c r="N172" s="100">
        <f>3+2+1</f>
        <v>6</v>
      </c>
      <c r="O172" s="77">
        <f>5020.57+5566.06+2694.94</f>
        <v>13281.570000000002</v>
      </c>
      <c r="P172" s="77"/>
      <c r="Q172" s="79">
        <f t="shared" si="5"/>
        <v>13281.570000000002</v>
      </c>
      <c r="R172" s="141"/>
    </row>
    <row r="173" spans="1:18" s="15" customFormat="1" ht="15.75" x14ac:dyDescent="0.25">
      <c r="A173" s="14"/>
      <c r="B173" s="30" t="s">
        <v>488</v>
      </c>
      <c r="C173" s="1"/>
      <c r="D173" s="120"/>
      <c r="E173" s="17"/>
      <c r="F173" s="73"/>
      <c r="G173" s="66" t="s">
        <v>114</v>
      </c>
      <c r="H173" s="75">
        <v>7</v>
      </c>
      <c r="I173" s="76"/>
      <c r="J173" s="98"/>
      <c r="K173" s="77"/>
      <c r="L173" s="77"/>
      <c r="M173" s="38"/>
      <c r="N173" s="100"/>
      <c r="O173" s="77"/>
      <c r="P173" s="77"/>
      <c r="Q173" s="79"/>
    </row>
    <row r="174" spans="1:18" s="15" customFormat="1" ht="15.75" x14ac:dyDescent="0.25">
      <c r="A174" s="14"/>
      <c r="B174" s="30" t="s">
        <v>488</v>
      </c>
      <c r="C174" s="1"/>
      <c r="D174" s="120"/>
      <c r="E174" s="17"/>
      <c r="F174" s="73"/>
      <c r="G174" s="66" t="s">
        <v>113</v>
      </c>
      <c r="H174" s="75">
        <v>1</v>
      </c>
      <c r="I174" s="76"/>
      <c r="J174" s="98"/>
      <c r="K174" s="77"/>
      <c r="L174" s="77"/>
      <c r="M174" s="38"/>
      <c r="N174" s="100"/>
      <c r="O174" s="77"/>
      <c r="P174" s="77"/>
      <c r="Q174" s="79"/>
    </row>
    <row r="175" spans="1:18" s="15" customFormat="1" ht="31.5" x14ac:dyDescent="0.25">
      <c r="A175" s="14"/>
      <c r="B175" s="34" t="s">
        <v>144</v>
      </c>
      <c r="C175" s="1" t="s">
        <v>446</v>
      </c>
      <c r="D175" s="120" t="s">
        <v>313</v>
      </c>
      <c r="E175" s="3" t="s">
        <v>20</v>
      </c>
      <c r="F175" s="73" t="s">
        <v>485</v>
      </c>
      <c r="G175" s="8" t="s">
        <v>114</v>
      </c>
      <c r="H175" s="1">
        <v>9</v>
      </c>
      <c r="I175" s="53">
        <v>1</v>
      </c>
      <c r="J175" s="52">
        <v>1</v>
      </c>
      <c r="K175" s="40"/>
      <c r="L175" s="40"/>
      <c r="M175" s="78">
        <f t="shared" si="6"/>
        <v>0</v>
      </c>
      <c r="N175" s="42">
        <v>17</v>
      </c>
      <c r="O175" s="31">
        <f>10845.7</f>
        <v>10845.7</v>
      </c>
      <c r="P175" s="31">
        <v>10845.7</v>
      </c>
      <c r="Q175" s="12">
        <f t="shared" si="5"/>
        <v>0</v>
      </c>
    </row>
    <row r="176" spans="1:18" s="21" customFormat="1" ht="47.25" x14ac:dyDescent="0.25">
      <c r="A176" s="1"/>
      <c r="B176" s="30" t="s">
        <v>100</v>
      </c>
      <c r="C176" s="1" t="s">
        <v>304</v>
      </c>
      <c r="D176" s="120" t="s">
        <v>416</v>
      </c>
      <c r="E176" s="17" t="s">
        <v>20</v>
      </c>
      <c r="F176" s="73" t="s">
        <v>408</v>
      </c>
      <c r="G176" s="27" t="s">
        <v>112</v>
      </c>
      <c r="H176" s="75">
        <v>7</v>
      </c>
      <c r="I176" s="76"/>
      <c r="J176" s="98"/>
      <c r="K176" s="86"/>
      <c r="L176" s="86"/>
      <c r="M176" s="38">
        <f t="shared" si="6"/>
        <v>0</v>
      </c>
      <c r="N176" s="100">
        <f>1</f>
        <v>1</v>
      </c>
      <c r="O176" s="87">
        <f>10770.58</f>
        <v>10770.58</v>
      </c>
      <c r="P176" s="87"/>
      <c r="Q176" s="79">
        <f t="shared" si="5"/>
        <v>10770.58</v>
      </c>
      <c r="R176" s="141"/>
    </row>
    <row r="177" spans="1:18" s="21" customFormat="1" ht="47.25" x14ac:dyDescent="0.25">
      <c r="A177" s="1"/>
      <c r="B177" s="24" t="s">
        <v>100</v>
      </c>
      <c r="C177" s="18" t="s">
        <v>125</v>
      </c>
      <c r="D177" s="120" t="s">
        <v>126</v>
      </c>
      <c r="E177" s="17" t="s">
        <v>20</v>
      </c>
      <c r="F177" s="73" t="s">
        <v>486</v>
      </c>
      <c r="G177" s="20" t="s">
        <v>114</v>
      </c>
      <c r="H177" s="1">
        <v>7</v>
      </c>
      <c r="I177" s="53"/>
      <c r="J177" s="52"/>
      <c r="K177" s="55"/>
      <c r="L177" s="55"/>
      <c r="M177" s="78">
        <f t="shared" si="6"/>
        <v>0</v>
      </c>
      <c r="N177" s="41"/>
      <c r="O177" s="54"/>
      <c r="P177" s="54"/>
      <c r="Q177" s="12">
        <f t="shared" si="5"/>
        <v>0</v>
      </c>
    </row>
    <row r="178" spans="1:18" s="13" customFormat="1" ht="15.75" x14ac:dyDescent="0.25">
      <c r="A178" s="10"/>
      <c r="B178" s="62" t="s">
        <v>101</v>
      </c>
      <c r="C178" s="1" t="s">
        <v>17</v>
      </c>
      <c r="D178" s="120"/>
      <c r="E178" s="17" t="s">
        <v>20</v>
      </c>
      <c r="F178" s="73" t="s">
        <v>409</v>
      </c>
      <c r="G178" s="74" t="s">
        <v>112</v>
      </c>
      <c r="H178" s="75">
        <v>7</v>
      </c>
      <c r="I178" s="76">
        <v>1</v>
      </c>
      <c r="J178" s="96">
        <f>1</f>
        <v>1</v>
      </c>
      <c r="K178" s="77">
        <f>1045.98</f>
        <v>1045.98</v>
      </c>
      <c r="L178" s="77"/>
      <c r="M178" s="38">
        <f t="shared" si="6"/>
        <v>1045.98</v>
      </c>
      <c r="N178" s="100">
        <f>5+2</f>
        <v>7</v>
      </c>
      <c r="O178" s="81">
        <f>6288.07+3061.62</f>
        <v>9349.6899999999987</v>
      </c>
      <c r="P178" s="81"/>
      <c r="Q178" s="79">
        <f t="shared" si="5"/>
        <v>9349.6899999999987</v>
      </c>
      <c r="R178" s="141"/>
    </row>
    <row r="179" spans="1:18" s="13" customFormat="1" ht="15.75" x14ac:dyDescent="0.25">
      <c r="A179" s="10"/>
      <c r="B179" s="62" t="s">
        <v>146</v>
      </c>
      <c r="C179" s="1" t="s">
        <v>17</v>
      </c>
      <c r="D179" s="120"/>
      <c r="E179" s="17" t="s">
        <v>20</v>
      </c>
      <c r="F179" s="73" t="s">
        <v>410</v>
      </c>
      <c r="G179" s="74" t="s">
        <v>112</v>
      </c>
      <c r="H179" s="75">
        <v>5</v>
      </c>
      <c r="I179" s="76">
        <v>4</v>
      </c>
      <c r="J179" s="96">
        <f>4+1</f>
        <v>5</v>
      </c>
      <c r="K179" s="77">
        <f>4610.77+1568.98</f>
        <v>6179.75</v>
      </c>
      <c r="L179" s="77"/>
      <c r="M179" s="38">
        <f t="shared" si="6"/>
        <v>6179.75</v>
      </c>
      <c r="N179" s="100">
        <f>5+1+1</f>
        <v>7</v>
      </c>
      <c r="O179" s="81">
        <f>13579.06+1287.07+2636.18</f>
        <v>17502.309999999998</v>
      </c>
      <c r="P179" s="81">
        <f>13579.06</f>
        <v>13579.06</v>
      </c>
      <c r="Q179" s="12">
        <f t="shared" si="5"/>
        <v>3923.2499999999982</v>
      </c>
      <c r="R179" s="141"/>
    </row>
    <row r="180" spans="1:18" s="13" customFormat="1" ht="15.75" x14ac:dyDescent="0.25">
      <c r="A180" s="10"/>
      <c r="B180" s="22" t="s">
        <v>146</v>
      </c>
      <c r="C180" s="1" t="s">
        <v>17</v>
      </c>
      <c r="D180" s="120"/>
      <c r="E180" s="3" t="s">
        <v>21</v>
      </c>
      <c r="F180" s="73" t="s">
        <v>443</v>
      </c>
      <c r="G180" s="11" t="s">
        <v>118</v>
      </c>
      <c r="H180" s="1">
        <v>3</v>
      </c>
      <c r="I180" s="47"/>
      <c r="J180" s="51"/>
      <c r="K180" s="37"/>
      <c r="L180" s="37"/>
      <c r="M180" s="38">
        <f t="shared" si="6"/>
        <v>0</v>
      </c>
      <c r="N180" s="39">
        <v>3</v>
      </c>
      <c r="O180" s="31">
        <v>3035.18</v>
      </c>
      <c r="P180" s="31"/>
      <c r="Q180" s="79">
        <f t="shared" si="5"/>
        <v>3035.18</v>
      </c>
    </row>
    <row r="181" spans="1:18" s="13" customFormat="1" ht="15.75" x14ac:dyDescent="0.25">
      <c r="A181" s="10"/>
      <c r="B181" s="27" t="s">
        <v>102</v>
      </c>
      <c r="C181" s="1" t="s">
        <v>17</v>
      </c>
      <c r="D181" s="120"/>
      <c r="E181" s="17" t="s">
        <v>20</v>
      </c>
      <c r="F181" s="73" t="s">
        <v>411</v>
      </c>
      <c r="G181" s="74" t="s">
        <v>112</v>
      </c>
      <c r="H181" s="75">
        <v>7</v>
      </c>
      <c r="I181" s="76">
        <v>2</v>
      </c>
      <c r="J181" s="96">
        <f>1+1</f>
        <v>2</v>
      </c>
      <c r="K181" s="77">
        <f>845.24+845.24</f>
        <v>1690.48</v>
      </c>
      <c r="L181" s="77"/>
      <c r="M181" s="38">
        <f t="shared" si="6"/>
        <v>1690.48</v>
      </c>
      <c r="N181" s="100">
        <f>3</f>
        <v>3</v>
      </c>
      <c r="O181" s="81">
        <f>7808.21+30833.77</f>
        <v>38641.980000000003</v>
      </c>
      <c r="P181" s="81"/>
      <c r="Q181" s="12">
        <f t="shared" si="5"/>
        <v>38641.980000000003</v>
      </c>
      <c r="R181" s="141"/>
    </row>
    <row r="182" spans="1:18" s="13" customFormat="1" ht="15.75" x14ac:dyDescent="0.25">
      <c r="A182" s="10"/>
      <c r="B182" s="25" t="s">
        <v>102</v>
      </c>
      <c r="C182" s="1" t="s">
        <v>17</v>
      </c>
      <c r="D182" s="120"/>
      <c r="E182" s="17" t="s">
        <v>20</v>
      </c>
      <c r="F182" s="73" t="s">
        <v>469</v>
      </c>
      <c r="G182" s="11" t="s">
        <v>114</v>
      </c>
      <c r="H182" s="1">
        <v>2</v>
      </c>
      <c r="I182" s="58"/>
      <c r="J182" s="51"/>
      <c r="K182" s="40"/>
      <c r="L182" s="40"/>
      <c r="M182" s="38">
        <f t="shared" si="6"/>
        <v>0</v>
      </c>
      <c r="N182" s="41">
        <v>7</v>
      </c>
      <c r="O182" s="31">
        <f>7604.1</f>
        <v>7604.1</v>
      </c>
      <c r="P182" s="31">
        <v>7604.1</v>
      </c>
      <c r="Q182" s="79">
        <f t="shared" si="5"/>
        <v>0</v>
      </c>
    </row>
    <row r="183" spans="1:18" s="13" customFormat="1" ht="15.75" x14ac:dyDescent="0.25">
      <c r="A183" s="10"/>
      <c r="B183" s="27" t="s">
        <v>103</v>
      </c>
      <c r="C183" s="1" t="s">
        <v>17</v>
      </c>
      <c r="D183" s="120"/>
      <c r="E183" s="3" t="s">
        <v>20</v>
      </c>
      <c r="F183" s="73" t="s">
        <v>412</v>
      </c>
      <c r="G183" s="74" t="s">
        <v>112</v>
      </c>
      <c r="H183" s="75">
        <v>5</v>
      </c>
      <c r="I183" s="76"/>
      <c r="J183" s="96"/>
      <c r="K183" s="77"/>
      <c r="L183" s="77"/>
      <c r="M183" s="38">
        <f t="shared" si="6"/>
        <v>0</v>
      </c>
      <c r="N183" s="100">
        <f>7</f>
        <v>7</v>
      </c>
      <c r="O183" s="77">
        <f>20193.14</f>
        <v>20193.14</v>
      </c>
      <c r="P183" s="81"/>
      <c r="Q183" s="12">
        <f t="shared" si="5"/>
        <v>20193.14</v>
      </c>
      <c r="R183" s="141"/>
    </row>
    <row r="184" spans="1:18" s="13" customFormat="1" ht="15.75" x14ac:dyDescent="0.25">
      <c r="A184" s="10"/>
      <c r="B184" s="25" t="s">
        <v>103</v>
      </c>
      <c r="C184" s="1" t="s">
        <v>17</v>
      </c>
      <c r="D184" s="120"/>
      <c r="E184" s="3" t="s">
        <v>20</v>
      </c>
      <c r="F184" s="73" t="s">
        <v>470</v>
      </c>
      <c r="G184" s="11" t="s">
        <v>114</v>
      </c>
      <c r="H184" s="1">
        <v>3</v>
      </c>
      <c r="I184" s="49"/>
      <c r="J184" s="51"/>
      <c r="K184" s="40"/>
      <c r="L184" s="40"/>
      <c r="M184" s="38">
        <f t="shared" si="6"/>
        <v>0</v>
      </c>
      <c r="N184" s="41">
        <v>3</v>
      </c>
      <c r="O184" s="31">
        <f>8510.89</f>
        <v>8510.89</v>
      </c>
      <c r="P184" s="31">
        <v>8510.89</v>
      </c>
      <c r="Q184" s="79">
        <f t="shared" si="5"/>
        <v>0</v>
      </c>
    </row>
    <row r="185" spans="1:18" s="15" customFormat="1" ht="15.75" x14ac:dyDescent="0.25">
      <c r="A185" s="14"/>
      <c r="B185" s="28" t="s">
        <v>104</v>
      </c>
      <c r="C185" s="1" t="s">
        <v>17</v>
      </c>
      <c r="D185" s="120"/>
      <c r="E185" s="3" t="s">
        <v>20</v>
      </c>
      <c r="F185" s="73" t="s">
        <v>413</v>
      </c>
      <c r="G185" s="74" t="s">
        <v>112</v>
      </c>
      <c r="H185" s="75">
        <v>6</v>
      </c>
      <c r="I185" s="76">
        <v>4</v>
      </c>
      <c r="J185" s="96">
        <f>3+1</f>
        <v>4</v>
      </c>
      <c r="K185" s="77">
        <f>5112.82+422.64</f>
        <v>5535.46</v>
      </c>
      <c r="L185" s="77"/>
      <c r="M185" s="38">
        <f t="shared" si="6"/>
        <v>5535.46</v>
      </c>
      <c r="N185" s="100">
        <f>4+1</f>
        <v>5</v>
      </c>
      <c r="O185" s="81">
        <f>7087.22</f>
        <v>7087.22</v>
      </c>
      <c r="P185" s="81">
        <f>7086.22</f>
        <v>7086.22</v>
      </c>
      <c r="Q185" s="12">
        <f t="shared" si="5"/>
        <v>1</v>
      </c>
      <c r="R185" s="141"/>
    </row>
    <row r="186" spans="1:18" s="15" customFormat="1" ht="15.75" x14ac:dyDescent="0.25">
      <c r="A186" s="14"/>
      <c r="B186" s="26" t="s">
        <v>104</v>
      </c>
      <c r="C186" s="1" t="s">
        <v>17</v>
      </c>
      <c r="D186" s="120"/>
      <c r="E186" s="3" t="s">
        <v>20</v>
      </c>
      <c r="F186" s="73" t="s">
        <v>471</v>
      </c>
      <c r="G186" s="11" t="s">
        <v>114</v>
      </c>
      <c r="H186" s="1">
        <v>19</v>
      </c>
      <c r="I186" s="49"/>
      <c r="J186" s="51"/>
      <c r="K186" s="40"/>
      <c r="L186" s="40"/>
      <c r="M186" s="38">
        <f t="shared" si="6"/>
        <v>0</v>
      </c>
      <c r="N186" s="39">
        <v>12</v>
      </c>
      <c r="O186" s="31">
        <f>8717.37</f>
        <v>8717.3700000000008</v>
      </c>
      <c r="P186" s="31">
        <v>8717.3700000000008</v>
      </c>
      <c r="Q186" s="79">
        <f t="shared" si="5"/>
        <v>0</v>
      </c>
    </row>
    <row r="187" spans="1:18" s="13" customFormat="1" ht="15.75" x14ac:dyDescent="0.25">
      <c r="A187" s="10"/>
      <c r="B187" s="30" t="s">
        <v>105</v>
      </c>
      <c r="C187" s="1" t="s">
        <v>17</v>
      </c>
      <c r="D187" s="120"/>
      <c r="E187" s="17" t="s">
        <v>35</v>
      </c>
      <c r="F187" s="73" t="s">
        <v>419</v>
      </c>
      <c r="G187" s="74" t="s">
        <v>112</v>
      </c>
      <c r="H187" s="75"/>
      <c r="I187" s="76"/>
      <c r="J187" s="96"/>
      <c r="K187" s="77"/>
      <c r="L187" s="77"/>
      <c r="M187" s="38">
        <f t="shared" si="6"/>
        <v>0</v>
      </c>
      <c r="N187" s="100"/>
      <c r="O187" s="81"/>
      <c r="P187" s="81"/>
      <c r="Q187" s="12">
        <f t="shared" si="5"/>
        <v>0</v>
      </c>
      <c r="R187" s="141"/>
    </row>
    <row r="188" spans="1:18" s="13" customFormat="1" ht="15.75" x14ac:dyDescent="0.25">
      <c r="A188" s="10"/>
      <c r="B188" s="30" t="s">
        <v>26</v>
      </c>
      <c r="C188" s="1" t="s">
        <v>17</v>
      </c>
      <c r="D188" s="120"/>
      <c r="E188" s="3" t="s">
        <v>32</v>
      </c>
      <c r="F188" s="73" t="s">
        <v>246</v>
      </c>
      <c r="G188" s="74" t="s">
        <v>117</v>
      </c>
      <c r="H188" s="75"/>
      <c r="I188" s="76"/>
      <c r="J188" s="96"/>
      <c r="K188" s="77"/>
      <c r="L188" s="77"/>
      <c r="M188" s="78">
        <f t="shared" si="6"/>
        <v>0</v>
      </c>
      <c r="N188" s="100">
        <v>3</v>
      </c>
      <c r="O188" s="81">
        <v>3774.05</v>
      </c>
      <c r="P188" s="81">
        <v>3774.05</v>
      </c>
      <c r="Q188" s="12">
        <f t="shared" si="5"/>
        <v>0</v>
      </c>
    </row>
    <row r="189" spans="1:18" s="13" customFormat="1" ht="15.75" x14ac:dyDescent="0.25">
      <c r="A189" s="10"/>
      <c r="B189" s="24" t="s">
        <v>105</v>
      </c>
      <c r="C189" s="1" t="s">
        <v>17</v>
      </c>
      <c r="D189" s="120"/>
      <c r="E189" s="17" t="s">
        <v>35</v>
      </c>
      <c r="F189" s="73" t="s">
        <v>436</v>
      </c>
      <c r="G189" s="11" t="s">
        <v>117</v>
      </c>
      <c r="H189" s="1"/>
      <c r="I189" s="47"/>
      <c r="J189" s="46"/>
      <c r="K189" s="40"/>
      <c r="L189" s="40"/>
      <c r="M189" s="38">
        <f t="shared" si="6"/>
        <v>0</v>
      </c>
      <c r="N189" s="41"/>
      <c r="O189" s="31"/>
      <c r="P189" s="31"/>
      <c r="Q189" s="79">
        <f t="shared" si="5"/>
        <v>0</v>
      </c>
    </row>
    <row r="190" spans="1:18" s="13" customFormat="1" ht="15.75" x14ac:dyDescent="0.25">
      <c r="A190" s="10"/>
      <c r="B190" s="62" t="s">
        <v>106</v>
      </c>
      <c r="C190" s="1" t="s">
        <v>17</v>
      </c>
      <c r="D190" s="2"/>
      <c r="E190" s="17" t="s">
        <v>20</v>
      </c>
      <c r="F190" s="73" t="s">
        <v>414</v>
      </c>
      <c r="G190" s="74" t="s">
        <v>112</v>
      </c>
      <c r="H190" s="75">
        <v>6</v>
      </c>
      <c r="I190" s="76"/>
      <c r="J190" s="96"/>
      <c r="K190" s="77"/>
      <c r="L190" s="77"/>
      <c r="M190" s="38">
        <f t="shared" si="6"/>
        <v>0</v>
      </c>
      <c r="N190" s="100">
        <f>3</f>
        <v>3</v>
      </c>
      <c r="O190" s="81">
        <f>15956.85</f>
        <v>15956.85</v>
      </c>
      <c r="P190" s="81"/>
      <c r="Q190" s="12">
        <f t="shared" si="5"/>
        <v>15956.85</v>
      </c>
      <c r="R190" s="141"/>
    </row>
    <row r="191" spans="1:18" ht="15.75" x14ac:dyDescent="0.25">
      <c r="A191" s="7"/>
      <c r="B191" s="32"/>
      <c r="C191" s="107"/>
      <c r="D191" s="33"/>
      <c r="E191" s="33"/>
      <c r="F191" s="73"/>
      <c r="G191" s="8" t="s">
        <v>131</v>
      </c>
      <c r="H191" s="106">
        <f t="shared" ref="H191:P191" si="7">SUM(H10:H190)</f>
        <v>888</v>
      </c>
      <c r="I191" s="59">
        <f t="shared" si="7"/>
        <v>232</v>
      </c>
      <c r="J191" s="43">
        <f t="shared" si="7"/>
        <v>246</v>
      </c>
      <c r="K191" s="56">
        <f t="shared" si="7"/>
        <v>353632.31999999989</v>
      </c>
      <c r="L191" s="56">
        <f t="shared" si="7"/>
        <v>2362.84</v>
      </c>
      <c r="M191" s="44">
        <f>K191-L191</f>
        <v>351269.47999999986</v>
      </c>
      <c r="N191" s="43">
        <f t="shared" si="7"/>
        <v>1119</v>
      </c>
      <c r="O191" s="57">
        <f t="shared" si="7"/>
        <v>2847356.3420000002</v>
      </c>
      <c r="P191" s="57">
        <f t="shared" si="7"/>
        <v>903159.11999999965</v>
      </c>
      <c r="Q191" s="79">
        <f t="shared" si="5"/>
        <v>1944197.2220000005</v>
      </c>
      <c r="R191" s="129"/>
    </row>
    <row r="192" spans="1:18" x14ac:dyDescent="0.25">
      <c r="K192" s="91" t="s">
        <v>305</v>
      </c>
    </row>
    <row r="193" spans="2:17" ht="45" x14ac:dyDescent="0.25">
      <c r="B193" s="89" t="s">
        <v>316</v>
      </c>
      <c r="F193" s="104" t="s">
        <v>317</v>
      </c>
      <c r="M193" s="142"/>
      <c r="Q193" s="133"/>
    </row>
  </sheetData>
  <mergeCells count="7">
    <mergeCell ref="O1:Q1"/>
    <mergeCell ref="A3:Q3"/>
    <mergeCell ref="A4:Q4"/>
    <mergeCell ref="A5:Q5"/>
    <mergeCell ref="B7:G7"/>
    <mergeCell ref="H7:M7"/>
    <mergeCell ref="N7:Q7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93"/>
  <sheetViews>
    <sheetView workbookViewId="0">
      <selection sqref="A1:XFD1048576"/>
    </sheetView>
  </sheetViews>
  <sheetFormatPr defaultRowHeight="15" x14ac:dyDescent="0.25"/>
  <cols>
    <col min="1" max="1" width="1.85546875" style="6" customWidth="1"/>
    <col min="2" max="2" width="38.28515625" style="88" customWidth="1"/>
    <col min="3" max="3" width="6.5703125" style="19" customWidth="1"/>
    <col min="4" max="4" width="17.42578125" style="19" customWidth="1"/>
    <col min="5" max="5" width="19" style="19" customWidth="1"/>
    <col min="6" max="6" width="18.140625" style="89" customWidth="1"/>
    <col min="7" max="7" width="21.42578125" style="89" customWidth="1"/>
    <col min="8" max="8" width="11.85546875" style="90" customWidth="1"/>
    <col min="9" max="9" width="10.7109375" style="90" customWidth="1"/>
    <col min="10" max="10" width="7.42578125" style="99" customWidth="1"/>
    <col min="11" max="11" width="13.42578125" style="91" customWidth="1"/>
    <col min="12" max="12" width="13.28515625" style="91" customWidth="1"/>
    <col min="13" max="13" width="18.7109375" style="91" customWidth="1"/>
    <col min="14" max="14" width="10.7109375" style="99" customWidth="1"/>
    <col min="15" max="15" width="14" style="92" customWidth="1"/>
    <col min="16" max="16" width="15.7109375" style="92" customWidth="1"/>
    <col min="17" max="17" width="17.5703125" style="92" customWidth="1"/>
    <col min="18" max="18" width="11.7109375" style="6" customWidth="1"/>
    <col min="19" max="19" width="9.42578125" style="6" customWidth="1"/>
    <col min="20" max="21" width="9.140625" style="6" customWidth="1"/>
    <col min="22" max="16384" width="9.140625" style="6"/>
  </cols>
  <sheetData>
    <row r="1" spans="1:18" s="105" customFormat="1" x14ac:dyDescent="0.25">
      <c r="B1" s="60"/>
      <c r="C1" s="4"/>
      <c r="D1" s="4"/>
      <c r="E1" s="4"/>
      <c r="F1" s="63"/>
      <c r="G1" s="63"/>
      <c r="H1" s="64"/>
      <c r="I1" s="64"/>
      <c r="J1" s="93"/>
      <c r="K1" s="65"/>
      <c r="L1" s="65"/>
      <c r="M1" s="65"/>
      <c r="N1" s="93"/>
      <c r="O1" s="362" t="s">
        <v>15</v>
      </c>
      <c r="P1" s="362"/>
      <c r="Q1" s="362"/>
    </row>
    <row r="2" spans="1:18" s="105" customFormat="1" x14ac:dyDescent="0.25">
      <c r="A2" s="7"/>
      <c r="B2" s="153"/>
      <c r="C2" s="107"/>
      <c r="D2" s="107"/>
      <c r="E2" s="107"/>
      <c r="F2" s="66"/>
      <c r="G2" s="66"/>
      <c r="H2" s="152"/>
      <c r="I2" s="152"/>
      <c r="J2" s="94"/>
      <c r="K2" s="67"/>
      <c r="L2" s="67"/>
      <c r="M2" s="67"/>
      <c r="N2" s="94"/>
      <c r="O2" s="68"/>
      <c r="P2" s="68"/>
      <c r="Q2" s="68"/>
    </row>
    <row r="3" spans="1:18" s="105" customFormat="1" x14ac:dyDescent="0.25">
      <c r="A3" s="363" t="s">
        <v>318</v>
      </c>
      <c r="B3" s="364"/>
      <c r="C3" s="363"/>
      <c r="D3" s="363"/>
      <c r="E3" s="363"/>
      <c r="F3" s="364"/>
      <c r="G3" s="364"/>
      <c r="H3" s="365"/>
      <c r="I3" s="366"/>
      <c r="J3" s="367"/>
      <c r="K3" s="364"/>
      <c r="L3" s="364"/>
      <c r="M3" s="364"/>
      <c r="N3" s="364"/>
      <c r="O3" s="364"/>
      <c r="P3" s="364"/>
      <c r="Q3" s="364"/>
    </row>
    <row r="4" spans="1:18" s="105" customFormat="1" x14ac:dyDescent="0.25">
      <c r="A4" s="368">
        <v>43563</v>
      </c>
      <c r="B4" s="369"/>
      <c r="C4" s="370"/>
      <c r="D4" s="370"/>
      <c r="E4" s="370"/>
      <c r="F4" s="369"/>
      <c r="G4" s="369"/>
      <c r="H4" s="371"/>
      <c r="I4" s="372"/>
      <c r="J4" s="373"/>
      <c r="K4" s="369"/>
      <c r="L4" s="369"/>
      <c r="M4" s="369"/>
      <c r="N4" s="369"/>
      <c r="O4" s="369"/>
      <c r="P4" s="369"/>
      <c r="Q4" s="369"/>
    </row>
    <row r="5" spans="1:18" s="105" customFormat="1" x14ac:dyDescent="0.25">
      <c r="A5" s="374" t="s">
        <v>14</v>
      </c>
      <c r="B5" s="367"/>
      <c r="C5" s="374"/>
      <c r="D5" s="374"/>
      <c r="E5" s="374"/>
      <c r="F5" s="367"/>
      <c r="G5" s="367"/>
      <c r="H5" s="366"/>
      <c r="I5" s="366"/>
      <c r="J5" s="367"/>
      <c r="K5" s="367"/>
      <c r="L5" s="367"/>
      <c r="M5" s="367"/>
      <c r="N5" s="367"/>
      <c r="O5" s="367"/>
      <c r="P5" s="367"/>
      <c r="Q5" s="367"/>
    </row>
    <row r="6" spans="1:18" s="105" customFormat="1" x14ac:dyDescent="0.25">
      <c r="A6" s="7"/>
      <c r="B6" s="153"/>
      <c r="C6" s="107"/>
      <c r="D6" s="107"/>
      <c r="E6" s="107"/>
      <c r="F6" s="66"/>
      <c r="G6" s="66"/>
      <c r="H6" s="152"/>
      <c r="I6" s="152"/>
      <c r="J6" s="94"/>
      <c r="K6" s="67"/>
      <c r="L6" s="67"/>
      <c r="M6" s="67"/>
      <c r="N6" s="94"/>
      <c r="O6" s="68"/>
      <c r="P6" s="68"/>
      <c r="Q6" s="68"/>
    </row>
    <row r="7" spans="1:18" x14ac:dyDescent="0.25">
      <c r="A7" s="5" t="s">
        <v>0</v>
      </c>
      <c r="B7" s="364" t="s">
        <v>10</v>
      </c>
      <c r="C7" s="375"/>
      <c r="D7" s="375"/>
      <c r="E7" s="375"/>
      <c r="F7" s="364"/>
      <c r="G7" s="364"/>
      <c r="H7" s="365" t="s">
        <v>472</v>
      </c>
      <c r="I7" s="366"/>
      <c r="J7" s="367"/>
      <c r="K7" s="364"/>
      <c r="L7" s="364"/>
      <c r="M7" s="364"/>
      <c r="N7" s="364" t="s">
        <v>132</v>
      </c>
      <c r="O7" s="364"/>
      <c r="P7" s="364"/>
      <c r="Q7" s="364"/>
    </row>
    <row r="8" spans="1:18" ht="195" x14ac:dyDescent="0.25">
      <c r="A8" s="5"/>
      <c r="B8" s="153" t="s">
        <v>4</v>
      </c>
      <c r="C8" s="107" t="s">
        <v>1</v>
      </c>
      <c r="D8" s="107" t="s">
        <v>3</v>
      </c>
      <c r="E8" s="107" t="s">
        <v>2</v>
      </c>
      <c r="F8" s="122" t="s">
        <v>6</v>
      </c>
      <c r="G8" s="66" t="s">
        <v>5</v>
      </c>
      <c r="H8" s="153" t="s">
        <v>7</v>
      </c>
      <c r="I8" s="153" t="s">
        <v>8</v>
      </c>
      <c r="J8" s="94" t="s">
        <v>9</v>
      </c>
      <c r="K8" s="67" t="s">
        <v>11</v>
      </c>
      <c r="L8" s="67" t="s">
        <v>12</v>
      </c>
      <c r="M8" s="67" t="s">
        <v>13</v>
      </c>
      <c r="N8" s="94" t="s">
        <v>9</v>
      </c>
      <c r="O8" s="68" t="s">
        <v>11</v>
      </c>
      <c r="P8" s="68" t="s">
        <v>12</v>
      </c>
      <c r="Q8" s="68" t="s">
        <v>13</v>
      </c>
    </row>
    <row r="9" spans="1:18" x14ac:dyDescent="0.25">
      <c r="A9" s="9">
        <v>1</v>
      </c>
      <c r="B9" s="61">
        <f>A9+1</f>
        <v>2</v>
      </c>
      <c r="C9" s="9">
        <f t="shared" ref="C9:Q9" si="0">B9+1</f>
        <v>3</v>
      </c>
      <c r="D9" s="9">
        <f t="shared" si="0"/>
        <v>4</v>
      </c>
      <c r="E9" s="9">
        <f t="shared" si="0"/>
        <v>5</v>
      </c>
      <c r="F9" s="69">
        <f t="shared" si="0"/>
        <v>6</v>
      </c>
      <c r="G9" s="69">
        <f t="shared" si="0"/>
        <v>7</v>
      </c>
      <c r="H9" s="70">
        <f t="shared" si="0"/>
        <v>8</v>
      </c>
      <c r="I9" s="70">
        <f t="shared" si="0"/>
        <v>9</v>
      </c>
      <c r="J9" s="95">
        <f t="shared" si="0"/>
        <v>10</v>
      </c>
      <c r="K9" s="71">
        <f t="shared" si="0"/>
        <v>11</v>
      </c>
      <c r="L9" s="71">
        <f t="shared" si="0"/>
        <v>12</v>
      </c>
      <c r="M9" s="71">
        <f t="shared" si="0"/>
        <v>13</v>
      </c>
      <c r="N9" s="95">
        <f t="shared" si="0"/>
        <v>14</v>
      </c>
      <c r="O9" s="72">
        <f t="shared" si="0"/>
        <v>15</v>
      </c>
      <c r="P9" s="72">
        <f t="shared" si="0"/>
        <v>16</v>
      </c>
      <c r="Q9" s="72">
        <f t="shared" si="0"/>
        <v>17</v>
      </c>
    </row>
    <row r="10" spans="1:18" s="13" customFormat="1" ht="31.5" x14ac:dyDescent="0.25">
      <c r="A10" s="10"/>
      <c r="B10" s="62" t="s">
        <v>16</v>
      </c>
      <c r="C10" s="1" t="s">
        <v>304</v>
      </c>
      <c r="D10" s="120" t="s">
        <v>315</v>
      </c>
      <c r="E10" s="3" t="s">
        <v>18</v>
      </c>
      <c r="F10" s="73" t="s">
        <v>322</v>
      </c>
      <c r="G10" s="74" t="s">
        <v>112</v>
      </c>
      <c r="H10" s="75">
        <v>5</v>
      </c>
      <c r="I10" s="76">
        <v>2</v>
      </c>
      <c r="J10" s="98">
        <f>2+1</f>
        <v>3</v>
      </c>
      <c r="K10" s="77">
        <f>4792.51+1138.19</f>
        <v>5930.7000000000007</v>
      </c>
      <c r="L10" s="77"/>
      <c r="M10" s="78">
        <f>K10-L10</f>
        <v>5930.7000000000007</v>
      </c>
      <c r="N10" s="100">
        <f>2+5+1</f>
        <v>8</v>
      </c>
      <c r="O10" s="77">
        <f>9108.77</f>
        <v>9108.77</v>
      </c>
      <c r="P10" s="77"/>
      <c r="Q10" s="79">
        <f>O10-P10</f>
        <v>9108.77</v>
      </c>
      <c r="R10" s="141"/>
    </row>
    <row r="11" spans="1:18" s="13" customFormat="1" ht="31.5" x14ac:dyDescent="0.25">
      <c r="A11" s="10"/>
      <c r="B11" s="22" t="s">
        <v>16</v>
      </c>
      <c r="C11" s="1" t="s">
        <v>304</v>
      </c>
      <c r="D11" s="120" t="s">
        <v>315</v>
      </c>
      <c r="E11" s="3" t="s">
        <v>18</v>
      </c>
      <c r="F11" s="73" t="s">
        <v>322</v>
      </c>
      <c r="G11" s="11" t="s">
        <v>116</v>
      </c>
      <c r="H11" s="1">
        <v>2</v>
      </c>
      <c r="I11" s="49"/>
      <c r="J11" s="46"/>
      <c r="K11" s="31"/>
      <c r="L11" s="31"/>
      <c r="M11" s="38">
        <f t="shared" ref="M11:M82" si="1">K11-L11</f>
        <v>0</v>
      </c>
      <c r="N11" s="41"/>
      <c r="O11" s="31">
        <v>2945</v>
      </c>
      <c r="P11" s="31">
        <v>2945</v>
      </c>
      <c r="Q11" s="12">
        <f t="shared" ref="Q11:Q77" si="2">O11-P11</f>
        <v>0</v>
      </c>
    </row>
    <row r="12" spans="1:18" s="13" customFormat="1" ht="15.75" x14ac:dyDescent="0.25">
      <c r="A12" s="10"/>
      <c r="B12" s="22" t="s">
        <v>490</v>
      </c>
      <c r="C12" s="1"/>
      <c r="D12" s="120"/>
      <c r="E12" s="3"/>
      <c r="F12" s="73"/>
      <c r="G12" s="11" t="s">
        <v>112</v>
      </c>
      <c r="H12" s="1">
        <v>2</v>
      </c>
      <c r="I12" s="49"/>
      <c r="J12" s="46"/>
      <c r="K12" s="31"/>
      <c r="L12" s="31"/>
      <c r="M12" s="38"/>
      <c r="N12" s="41"/>
      <c r="O12" s="31"/>
      <c r="P12" s="31"/>
      <c r="Q12" s="12"/>
    </row>
    <row r="13" spans="1:18" s="15" customFormat="1" ht="15.75" x14ac:dyDescent="0.25">
      <c r="A13" s="14"/>
      <c r="B13" s="80" t="s">
        <v>19</v>
      </c>
      <c r="C13" s="1" t="s">
        <v>17</v>
      </c>
      <c r="D13" s="120"/>
      <c r="E13" s="3" t="s">
        <v>20</v>
      </c>
      <c r="F13" s="73" t="s">
        <v>323</v>
      </c>
      <c r="G13" s="74" t="s">
        <v>112</v>
      </c>
      <c r="H13" s="75">
        <v>7</v>
      </c>
      <c r="I13" s="76">
        <v>5</v>
      </c>
      <c r="J13" s="96">
        <f>1+2+5</f>
        <v>8</v>
      </c>
      <c r="K13" s="77">
        <f>422.62+4792.51+8241.09</f>
        <v>13456.220000000001</v>
      </c>
      <c r="L13" s="77"/>
      <c r="M13" s="78">
        <f t="shared" si="1"/>
        <v>13456.220000000001</v>
      </c>
      <c r="N13" s="100">
        <f>8</f>
        <v>8</v>
      </c>
      <c r="O13" s="81">
        <v>6459.36</v>
      </c>
      <c r="P13" s="81"/>
      <c r="Q13" s="79">
        <f t="shared" si="2"/>
        <v>6459.36</v>
      </c>
      <c r="R13" s="141"/>
    </row>
    <row r="14" spans="1:18" s="15" customFormat="1" ht="15.75" x14ac:dyDescent="0.25">
      <c r="A14" s="14"/>
      <c r="B14" s="23" t="s">
        <v>19</v>
      </c>
      <c r="C14" s="1" t="s">
        <v>17</v>
      </c>
      <c r="D14" s="120"/>
      <c r="E14" s="3" t="s">
        <v>20</v>
      </c>
      <c r="F14" s="73" t="s">
        <v>451</v>
      </c>
      <c r="G14" s="11" t="s">
        <v>114</v>
      </c>
      <c r="H14" s="1">
        <v>4</v>
      </c>
      <c r="I14" s="49">
        <v>1</v>
      </c>
      <c r="J14" s="51">
        <v>1</v>
      </c>
      <c r="K14" s="40"/>
      <c r="L14" s="40"/>
      <c r="M14" s="38">
        <f t="shared" si="1"/>
        <v>0</v>
      </c>
      <c r="N14" s="42">
        <v>7</v>
      </c>
      <c r="O14" s="31">
        <v>3818</v>
      </c>
      <c r="P14" s="31">
        <v>3818</v>
      </c>
      <c r="Q14" s="12">
        <f t="shared" si="2"/>
        <v>0</v>
      </c>
    </row>
    <row r="15" spans="1:18" s="15" customFormat="1" ht="15.75" x14ac:dyDescent="0.25">
      <c r="A15" s="14"/>
      <c r="B15" s="62" t="s">
        <v>153</v>
      </c>
      <c r="C15" s="1" t="s">
        <v>17</v>
      </c>
      <c r="D15" s="120"/>
      <c r="E15" s="3" t="s">
        <v>20</v>
      </c>
      <c r="F15" s="73" t="s">
        <v>324</v>
      </c>
      <c r="G15" s="74" t="s">
        <v>112</v>
      </c>
      <c r="H15" s="75">
        <v>4</v>
      </c>
      <c r="I15" s="82">
        <v>2</v>
      </c>
      <c r="J15" s="96">
        <f>1+1+2</f>
        <v>4</v>
      </c>
      <c r="K15" s="77">
        <f>950.9+2451.87+3074.57</f>
        <v>6477.34</v>
      </c>
      <c r="L15" s="77"/>
      <c r="M15" s="78">
        <f t="shared" si="1"/>
        <v>6477.34</v>
      </c>
      <c r="N15" s="114">
        <f>1+2+1+2</f>
        <v>6</v>
      </c>
      <c r="O15" s="81">
        <f>422.62+945.61+2484.69+7964.81</f>
        <v>11817.73</v>
      </c>
      <c r="P15" s="81">
        <f>422.62</f>
        <v>422.62</v>
      </c>
      <c r="Q15" s="79">
        <f t="shared" si="2"/>
        <v>11395.109999999999</v>
      </c>
      <c r="R15" s="141"/>
    </row>
    <row r="16" spans="1:18" s="15" customFormat="1" ht="15.75" x14ac:dyDescent="0.25">
      <c r="A16" s="14"/>
      <c r="B16" s="50" t="s">
        <v>153</v>
      </c>
      <c r="C16" s="1" t="s">
        <v>17</v>
      </c>
      <c r="D16" s="120"/>
      <c r="E16" s="3" t="s">
        <v>20</v>
      </c>
      <c r="F16" s="73" t="s">
        <v>452</v>
      </c>
      <c r="G16" s="11" t="s">
        <v>114</v>
      </c>
      <c r="H16" s="1">
        <v>1</v>
      </c>
      <c r="I16" s="49">
        <v>1</v>
      </c>
      <c r="J16" s="51">
        <v>1</v>
      </c>
      <c r="K16" s="40"/>
      <c r="L16" s="40"/>
      <c r="M16" s="38">
        <f t="shared" si="1"/>
        <v>0</v>
      </c>
      <c r="N16" s="42">
        <v>5</v>
      </c>
      <c r="O16" s="31">
        <v>13319</v>
      </c>
      <c r="P16" s="31">
        <v>8516.5</v>
      </c>
      <c r="Q16" s="12">
        <f t="shared" si="2"/>
        <v>4802.5</v>
      </c>
    </row>
    <row r="17" spans="1:18" s="13" customFormat="1" ht="15.75" x14ac:dyDescent="0.25">
      <c r="A17" s="10"/>
      <c r="B17" s="30" t="s">
        <v>22</v>
      </c>
      <c r="C17" s="1" t="s">
        <v>17</v>
      </c>
      <c r="D17" s="120"/>
      <c r="E17" s="3" t="s">
        <v>23</v>
      </c>
      <c r="F17" s="73" t="s">
        <v>325</v>
      </c>
      <c r="G17" s="74" t="s">
        <v>112</v>
      </c>
      <c r="H17" s="75">
        <v>8</v>
      </c>
      <c r="I17" s="76">
        <v>1</v>
      </c>
      <c r="J17" s="96">
        <f>1+2</f>
        <v>3</v>
      </c>
      <c r="K17" s="77">
        <f>2698.64</f>
        <v>2698.64</v>
      </c>
      <c r="L17" s="77"/>
      <c r="M17" s="78">
        <f t="shared" si="1"/>
        <v>2698.64</v>
      </c>
      <c r="N17" s="100">
        <f>14+3+7</f>
        <v>24</v>
      </c>
      <c r="O17" s="81">
        <f>22716.4+4171.06</f>
        <v>26887.460000000003</v>
      </c>
      <c r="P17" s="81"/>
      <c r="Q17" s="79">
        <f t="shared" si="2"/>
        <v>26887.460000000003</v>
      </c>
      <c r="R17" s="141"/>
    </row>
    <row r="18" spans="1:18" s="13" customFormat="1" ht="15.75" x14ac:dyDescent="0.25">
      <c r="A18" s="10"/>
      <c r="B18" s="24" t="s">
        <v>154</v>
      </c>
      <c r="C18" s="1" t="s">
        <v>17</v>
      </c>
      <c r="D18" s="120"/>
      <c r="E18" s="3" t="s">
        <v>20</v>
      </c>
      <c r="F18" s="73" t="s">
        <v>453</v>
      </c>
      <c r="G18" s="11" t="s">
        <v>114</v>
      </c>
      <c r="H18" s="1">
        <v>8</v>
      </c>
      <c r="I18" s="47"/>
      <c r="J18" s="51"/>
      <c r="K18" s="37"/>
      <c r="L18" s="37"/>
      <c r="M18" s="38">
        <f t="shared" si="1"/>
        <v>0</v>
      </c>
      <c r="N18" s="39">
        <v>5</v>
      </c>
      <c r="O18" s="31">
        <v>5603</v>
      </c>
      <c r="P18" s="31">
        <v>5603</v>
      </c>
      <c r="Q18" s="12">
        <f t="shared" si="2"/>
        <v>0</v>
      </c>
    </row>
    <row r="19" spans="1:18" s="13" customFormat="1" ht="15.75" x14ac:dyDescent="0.25">
      <c r="A19" s="10"/>
      <c r="B19" s="30" t="s">
        <v>154</v>
      </c>
      <c r="C19" s="1" t="s">
        <v>17</v>
      </c>
      <c r="D19" s="120"/>
      <c r="E19" s="3" t="s">
        <v>20</v>
      </c>
      <c r="F19" s="73" t="s">
        <v>326</v>
      </c>
      <c r="G19" s="74" t="s">
        <v>112</v>
      </c>
      <c r="H19" s="75">
        <v>10</v>
      </c>
      <c r="I19" s="76">
        <v>5</v>
      </c>
      <c r="J19" s="96">
        <f>1+1+2+2</f>
        <v>6</v>
      </c>
      <c r="K19" s="77">
        <f>950.9+864.46</f>
        <v>1815.3600000000001</v>
      </c>
      <c r="L19" s="77"/>
      <c r="M19" s="78">
        <f t="shared" si="1"/>
        <v>1815.3600000000001</v>
      </c>
      <c r="N19" s="100">
        <f>6+3+1</f>
        <v>10</v>
      </c>
      <c r="O19" s="128">
        <f>6681.33+7017+1523.5</f>
        <v>15221.83</v>
      </c>
      <c r="P19" s="81">
        <f>8477.51</f>
        <v>8477.51</v>
      </c>
      <c r="Q19" s="79">
        <f t="shared" si="2"/>
        <v>6744.32</v>
      </c>
      <c r="R19" s="141"/>
    </row>
    <row r="20" spans="1:18" s="13" customFormat="1" ht="15.75" x14ac:dyDescent="0.25">
      <c r="A20" s="10"/>
      <c r="B20" s="62" t="s">
        <v>24</v>
      </c>
      <c r="C20" s="1" t="s">
        <v>17</v>
      </c>
      <c r="D20" s="120"/>
      <c r="E20" s="3" t="s">
        <v>20</v>
      </c>
      <c r="F20" s="73" t="s">
        <v>327</v>
      </c>
      <c r="G20" s="74" t="s">
        <v>112</v>
      </c>
      <c r="H20" s="75">
        <v>3</v>
      </c>
      <c r="I20" s="76"/>
      <c r="J20" s="96"/>
      <c r="K20" s="77"/>
      <c r="L20" s="77"/>
      <c r="M20" s="38">
        <f t="shared" si="1"/>
        <v>0</v>
      </c>
      <c r="N20" s="100">
        <f>1</f>
        <v>1</v>
      </c>
      <c r="O20" s="81">
        <f>576.3</f>
        <v>576.29999999999995</v>
      </c>
      <c r="P20" s="81"/>
      <c r="Q20" s="12">
        <f t="shared" si="2"/>
        <v>576.29999999999995</v>
      </c>
      <c r="R20" s="141"/>
    </row>
    <row r="21" spans="1:18" s="13" customFormat="1" ht="15.75" x14ac:dyDescent="0.25">
      <c r="A21" s="10"/>
      <c r="B21" s="22" t="s">
        <v>24</v>
      </c>
      <c r="C21" s="1" t="s">
        <v>17</v>
      </c>
      <c r="D21" s="120"/>
      <c r="E21" s="3" t="s">
        <v>20</v>
      </c>
      <c r="F21" s="73" t="s">
        <v>454</v>
      </c>
      <c r="G21" s="11" t="s">
        <v>114</v>
      </c>
      <c r="H21" s="1">
        <v>6</v>
      </c>
      <c r="I21" s="49"/>
      <c r="J21" s="51"/>
      <c r="K21" s="40"/>
      <c r="L21" s="40"/>
      <c r="M21" s="78">
        <f t="shared" si="1"/>
        <v>0</v>
      </c>
      <c r="N21" s="41">
        <v>7</v>
      </c>
      <c r="O21" s="31">
        <v>14635.6</v>
      </c>
      <c r="P21" s="31">
        <v>9413</v>
      </c>
      <c r="Q21" s="79">
        <f t="shared" si="2"/>
        <v>5222.6000000000004</v>
      </c>
    </row>
    <row r="22" spans="1:18" s="13" customFormat="1" ht="15.75" x14ac:dyDescent="0.25">
      <c r="A22" s="10"/>
      <c r="B22" s="62" t="s">
        <v>25</v>
      </c>
      <c r="C22" s="1" t="s">
        <v>17</v>
      </c>
      <c r="D22" s="120"/>
      <c r="E22" s="3" t="s">
        <v>20</v>
      </c>
      <c r="F22" s="73" t="s">
        <v>328</v>
      </c>
      <c r="G22" s="74" t="s">
        <v>112</v>
      </c>
      <c r="H22" s="75">
        <v>3</v>
      </c>
      <c r="I22" s="76">
        <v>1</v>
      </c>
      <c r="J22" s="96">
        <f>1</f>
        <v>1</v>
      </c>
      <c r="K22" s="77">
        <v>1743.31</v>
      </c>
      <c r="L22" s="77"/>
      <c r="M22" s="38">
        <f t="shared" si="1"/>
        <v>1743.31</v>
      </c>
      <c r="N22" s="100">
        <f>6</f>
        <v>6</v>
      </c>
      <c r="O22" s="81">
        <v>14526.7</v>
      </c>
      <c r="P22" s="81"/>
      <c r="Q22" s="12">
        <f t="shared" si="2"/>
        <v>14526.7</v>
      </c>
      <c r="R22" s="141"/>
    </row>
    <row r="23" spans="1:18" s="13" customFormat="1" ht="15.75" x14ac:dyDescent="0.25">
      <c r="A23" s="10"/>
      <c r="B23" s="22" t="s">
        <v>25</v>
      </c>
      <c r="C23" s="1" t="s">
        <v>17</v>
      </c>
      <c r="D23" s="120"/>
      <c r="E23" s="3" t="s">
        <v>20</v>
      </c>
      <c r="F23" s="73" t="s">
        <v>455</v>
      </c>
      <c r="G23" s="11" t="s">
        <v>114</v>
      </c>
      <c r="H23" s="1"/>
      <c r="I23" s="49"/>
      <c r="J23" s="51"/>
      <c r="K23" s="40"/>
      <c r="L23" s="40"/>
      <c r="M23" s="78">
        <f t="shared" si="1"/>
        <v>0</v>
      </c>
      <c r="N23" s="41">
        <v>2</v>
      </c>
      <c r="O23" s="31">
        <v>4146.2</v>
      </c>
      <c r="P23" s="31">
        <f>4146.2</f>
        <v>4146.2</v>
      </c>
      <c r="Q23" s="79">
        <f t="shared" si="2"/>
        <v>0</v>
      </c>
    </row>
    <row r="24" spans="1:18" s="13" customFormat="1" ht="15.75" x14ac:dyDescent="0.25">
      <c r="A24" s="10"/>
      <c r="B24" s="62" t="s">
        <v>26</v>
      </c>
      <c r="C24" s="1" t="s">
        <v>17</v>
      </c>
      <c r="D24" s="120"/>
      <c r="E24" s="3" t="s">
        <v>27</v>
      </c>
      <c r="F24" s="73" t="s">
        <v>329</v>
      </c>
      <c r="G24" s="74" t="s">
        <v>112</v>
      </c>
      <c r="H24" s="75">
        <v>8</v>
      </c>
      <c r="I24" s="76">
        <v>2</v>
      </c>
      <c r="J24" s="96">
        <f>2</f>
        <v>2</v>
      </c>
      <c r="K24" s="77">
        <f>845.24</f>
        <v>845.24</v>
      </c>
      <c r="L24" s="77"/>
      <c r="M24" s="38">
        <f t="shared" si="1"/>
        <v>845.24</v>
      </c>
      <c r="N24" s="100">
        <f>6+1+1</f>
        <v>8</v>
      </c>
      <c r="O24" s="81">
        <f>17838.53+2535.75</f>
        <v>20374.28</v>
      </c>
      <c r="P24" s="81">
        <v>14149.86</v>
      </c>
      <c r="Q24" s="12">
        <f t="shared" si="2"/>
        <v>6224.4199999999983</v>
      </c>
      <c r="R24" s="141"/>
    </row>
    <row r="25" spans="1:18" s="15" customFormat="1" ht="15.75" x14ac:dyDescent="0.25">
      <c r="A25" s="14"/>
      <c r="B25" s="80" t="s">
        <v>28</v>
      </c>
      <c r="C25" s="1" t="s">
        <v>17</v>
      </c>
      <c r="D25" s="120"/>
      <c r="E25" s="17" t="s">
        <v>29</v>
      </c>
      <c r="F25" s="73" t="s">
        <v>330</v>
      </c>
      <c r="G25" s="74" t="s">
        <v>112</v>
      </c>
      <c r="H25" s="75">
        <v>3</v>
      </c>
      <c r="I25" s="76"/>
      <c r="J25" s="96">
        <f>2</f>
        <v>2</v>
      </c>
      <c r="K25" s="77"/>
      <c r="L25" s="77"/>
      <c r="M25" s="38">
        <f t="shared" si="1"/>
        <v>0</v>
      </c>
      <c r="N25" s="100">
        <f>3+2+4</f>
        <v>9</v>
      </c>
      <c r="O25" s="81">
        <f>5310.83+4630.52+14679.01</f>
        <v>24620.36</v>
      </c>
      <c r="P25" s="81"/>
      <c r="Q25" s="12">
        <f t="shared" si="2"/>
        <v>24620.36</v>
      </c>
      <c r="R25" s="141"/>
    </row>
    <row r="26" spans="1:18" s="15" customFormat="1" ht="15.75" x14ac:dyDescent="0.25">
      <c r="A26" s="14"/>
      <c r="B26" s="23" t="s">
        <v>28</v>
      </c>
      <c r="C26" s="1" t="s">
        <v>17</v>
      </c>
      <c r="D26" s="120"/>
      <c r="E26" s="17" t="s">
        <v>29</v>
      </c>
      <c r="F26" s="73" t="s">
        <v>420</v>
      </c>
      <c r="G26" s="8" t="s">
        <v>117</v>
      </c>
      <c r="H26" s="1">
        <v>1</v>
      </c>
      <c r="I26" s="48"/>
      <c r="J26" s="45"/>
      <c r="K26" s="40"/>
      <c r="L26" s="40"/>
      <c r="M26" s="78">
        <f t="shared" si="1"/>
        <v>0</v>
      </c>
      <c r="N26" s="42">
        <v>1</v>
      </c>
      <c r="O26" s="31"/>
      <c r="P26" s="31"/>
      <c r="Q26" s="79">
        <f t="shared" si="2"/>
        <v>0</v>
      </c>
    </row>
    <row r="27" spans="1:18" s="13" customFormat="1" ht="15.75" x14ac:dyDescent="0.25">
      <c r="A27" s="10"/>
      <c r="B27" s="27" t="s">
        <v>30</v>
      </c>
      <c r="C27" s="1" t="s">
        <v>17</v>
      </c>
      <c r="D27" s="120"/>
      <c r="E27" s="17" t="s">
        <v>21</v>
      </c>
      <c r="F27" s="73" t="s">
        <v>333</v>
      </c>
      <c r="G27" s="74" t="s">
        <v>112</v>
      </c>
      <c r="H27" s="75">
        <v>9</v>
      </c>
      <c r="I27" s="76">
        <v>4</v>
      </c>
      <c r="J27" s="96">
        <f>3+1+3</f>
        <v>7</v>
      </c>
      <c r="K27" s="77">
        <f>2399.78+806.82</f>
        <v>3206.6000000000004</v>
      </c>
      <c r="L27" s="77"/>
      <c r="M27" s="38">
        <f t="shared" si="1"/>
        <v>3206.6000000000004</v>
      </c>
      <c r="N27" s="100">
        <f>9+1+3+1</f>
        <v>14</v>
      </c>
      <c r="O27" s="81">
        <f>39871.99+5530.04+5890.35</f>
        <v>51292.38</v>
      </c>
      <c r="P27" s="81"/>
      <c r="Q27" s="12">
        <f t="shared" si="2"/>
        <v>51292.38</v>
      </c>
      <c r="R27" s="141"/>
    </row>
    <row r="28" spans="1:18" s="13" customFormat="1" ht="15.75" x14ac:dyDescent="0.25">
      <c r="A28" s="10"/>
      <c r="B28" s="27" t="s">
        <v>491</v>
      </c>
      <c r="C28" s="1" t="s">
        <v>17</v>
      </c>
      <c r="D28" s="120"/>
      <c r="E28" s="3" t="s">
        <v>20</v>
      </c>
      <c r="F28" s="73" t="s">
        <v>495</v>
      </c>
      <c r="G28" s="74" t="s">
        <v>112</v>
      </c>
      <c r="H28" s="75">
        <v>2</v>
      </c>
      <c r="I28" s="76"/>
      <c r="J28" s="96"/>
      <c r="K28" s="77"/>
      <c r="L28" s="77"/>
      <c r="M28" s="38"/>
      <c r="N28" s="100"/>
      <c r="O28" s="81"/>
      <c r="P28" s="81"/>
      <c r="Q28" s="12"/>
      <c r="R28" s="141"/>
    </row>
    <row r="29" spans="1:18" s="13" customFormat="1" ht="15.75" x14ac:dyDescent="0.25">
      <c r="A29" s="10"/>
      <c r="B29" s="30" t="s">
        <v>31</v>
      </c>
      <c r="C29" s="1" t="s">
        <v>17</v>
      </c>
      <c r="D29" s="120"/>
      <c r="E29" s="3" t="s">
        <v>32</v>
      </c>
      <c r="F29" s="73" t="s">
        <v>331</v>
      </c>
      <c r="G29" s="74" t="s">
        <v>112</v>
      </c>
      <c r="H29" s="75">
        <v>7</v>
      </c>
      <c r="I29" s="76">
        <v>3</v>
      </c>
      <c r="J29" s="96">
        <f>1+2+3</f>
        <v>6</v>
      </c>
      <c r="K29" s="77">
        <f>633.93+1045.98</f>
        <v>1679.9099999999999</v>
      </c>
      <c r="L29" s="77"/>
      <c r="M29" s="78">
        <f t="shared" si="1"/>
        <v>1679.9099999999999</v>
      </c>
      <c r="N29" s="100">
        <f>1+3+3+1+1</f>
        <v>9</v>
      </c>
      <c r="O29" s="81">
        <f>2299.8+15239.58+6152.75+2720.49</f>
        <v>26412.620000000003</v>
      </c>
      <c r="P29" s="81">
        <f>2299.8</f>
        <v>2299.8000000000002</v>
      </c>
      <c r="Q29" s="79">
        <f t="shared" si="2"/>
        <v>24112.820000000003</v>
      </c>
      <c r="R29" s="141"/>
    </row>
    <row r="30" spans="1:18" s="13" customFormat="1" ht="15.75" x14ac:dyDescent="0.25">
      <c r="A30" s="10"/>
      <c r="B30" s="24" t="s">
        <v>31</v>
      </c>
      <c r="C30" s="1" t="s">
        <v>17</v>
      </c>
      <c r="D30" s="120"/>
      <c r="E30" s="3" t="s">
        <v>32</v>
      </c>
      <c r="F30" s="73" t="s">
        <v>422</v>
      </c>
      <c r="G30" s="8" t="s">
        <v>117</v>
      </c>
      <c r="H30" s="1">
        <v>7</v>
      </c>
      <c r="I30" s="49">
        <v>1</v>
      </c>
      <c r="J30" s="46">
        <v>1</v>
      </c>
      <c r="K30" s="40">
        <v>2344.3000000000002</v>
      </c>
      <c r="L30" s="40"/>
      <c r="M30" s="38">
        <f t="shared" si="1"/>
        <v>2344.3000000000002</v>
      </c>
      <c r="N30" s="41">
        <v>6</v>
      </c>
      <c r="O30" s="40">
        <v>12150.4</v>
      </c>
      <c r="P30" s="40"/>
      <c r="Q30" s="12">
        <f t="shared" si="2"/>
        <v>12150.4</v>
      </c>
    </row>
    <row r="31" spans="1:18" s="15" customFormat="1" ht="15.75" x14ac:dyDescent="0.25">
      <c r="A31" s="14"/>
      <c r="B31" s="80" t="s">
        <v>33</v>
      </c>
      <c r="C31" s="1" t="s">
        <v>17</v>
      </c>
      <c r="D31" s="120"/>
      <c r="E31" s="145" t="s">
        <v>20</v>
      </c>
      <c r="F31" s="73" t="s">
        <v>332</v>
      </c>
      <c r="G31" s="74" t="s">
        <v>112</v>
      </c>
      <c r="H31" s="75">
        <v>6</v>
      </c>
      <c r="I31" s="76">
        <v>1</v>
      </c>
      <c r="J31" s="96">
        <f>1+1</f>
        <v>2</v>
      </c>
      <c r="K31" s="77">
        <f>845.24</f>
        <v>845.24</v>
      </c>
      <c r="L31" s="77"/>
      <c r="M31" s="78">
        <f t="shared" si="1"/>
        <v>845.24</v>
      </c>
      <c r="N31" s="100">
        <f>2+1+1+1</f>
        <v>5</v>
      </c>
      <c r="O31" s="81">
        <f>845.24+1613.64+3380.96</f>
        <v>5839.84</v>
      </c>
      <c r="P31" s="81">
        <f>1613.64</f>
        <v>1613.64</v>
      </c>
      <c r="Q31" s="79">
        <f t="shared" si="2"/>
        <v>4226.2</v>
      </c>
      <c r="R31" s="141"/>
    </row>
    <row r="32" spans="1:18" s="15" customFormat="1" ht="15.75" x14ac:dyDescent="0.25">
      <c r="A32" s="14"/>
      <c r="B32" s="23" t="s">
        <v>33</v>
      </c>
      <c r="C32" s="1" t="s">
        <v>17</v>
      </c>
      <c r="D32" s="120"/>
      <c r="E32" s="3" t="s">
        <v>20</v>
      </c>
      <c r="F32" s="73" t="s">
        <v>481</v>
      </c>
      <c r="G32" s="11" t="s">
        <v>114</v>
      </c>
      <c r="H32" s="1">
        <v>2</v>
      </c>
      <c r="I32" s="49"/>
      <c r="J32" s="51"/>
      <c r="K32" s="40"/>
      <c r="L32" s="40"/>
      <c r="M32" s="38">
        <f t="shared" si="1"/>
        <v>0</v>
      </c>
      <c r="N32" s="42">
        <v>12</v>
      </c>
      <c r="O32" s="31">
        <v>13071.87</v>
      </c>
      <c r="P32" s="31">
        <v>13071.87</v>
      </c>
      <c r="Q32" s="12">
        <f t="shared" si="2"/>
        <v>0</v>
      </c>
    </row>
    <row r="33" spans="1:18" s="15" customFormat="1" ht="15.75" x14ac:dyDescent="0.25">
      <c r="A33" s="14"/>
      <c r="B33" s="62" t="s">
        <v>147</v>
      </c>
      <c r="C33" s="1" t="s">
        <v>17</v>
      </c>
      <c r="D33" s="120"/>
      <c r="E33" s="3" t="s">
        <v>29</v>
      </c>
      <c r="F33" s="73" t="s">
        <v>334</v>
      </c>
      <c r="G33" s="74" t="s">
        <v>112</v>
      </c>
      <c r="H33" s="75">
        <v>2</v>
      </c>
      <c r="I33" s="102">
        <v>1</v>
      </c>
      <c r="J33" s="97">
        <f>1</f>
        <v>1</v>
      </c>
      <c r="K33" s="77">
        <f>1854.88</f>
        <v>1854.88</v>
      </c>
      <c r="L33" s="77"/>
      <c r="M33" s="78">
        <f t="shared" si="1"/>
        <v>1854.88</v>
      </c>
      <c r="N33" s="114">
        <f>1+1</f>
        <v>2</v>
      </c>
      <c r="O33" s="81">
        <f>1394.65+2473.17</f>
        <v>3867.82</v>
      </c>
      <c r="P33" s="81">
        <f>1394.65</f>
        <v>1394.65</v>
      </c>
      <c r="Q33" s="79">
        <f t="shared" si="2"/>
        <v>2473.17</v>
      </c>
      <c r="R33" s="141"/>
    </row>
    <row r="34" spans="1:18" s="15" customFormat="1" ht="15.75" x14ac:dyDescent="0.25">
      <c r="A34" s="14"/>
      <c r="B34" s="50" t="s">
        <v>147</v>
      </c>
      <c r="C34" s="1" t="s">
        <v>17</v>
      </c>
      <c r="D34" s="120"/>
      <c r="E34" s="3" t="s">
        <v>29</v>
      </c>
      <c r="F34" s="73" t="s">
        <v>423</v>
      </c>
      <c r="G34" s="11" t="s">
        <v>117</v>
      </c>
      <c r="H34" s="1">
        <v>3</v>
      </c>
      <c r="I34" s="48">
        <v>2</v>
      </c>
      <c r="J34" s="45">
        <v>2</v>
      </c>
      <c r="K34" s="40"/>
      <c r="L34" s="40"/>
      <c r="M34" s="38">
        <f t="shared" si="1"/>
        <v>0</v>
      </c>
      <c r="N34" s="42">
        <f>2</f>
        <v>2</v>
      </c>
      <c r="O34" s="31">
        <v>5721.75</v>
      </c>
      <c r="P34" s="31"/>
      <c r="Q34" s="12">
        <f t="shared" si="2"/>
        <v>5721.75</v>
      </c>
    </row>
    <row r="35" spans="1:18" s="13" customFormat="1" ht="15.75" x14ac:dyDescent="0.25">
      <c r="A35" s="10"/>
      <c r="B35" s="62" t="s">
        <v>34</v>
      </c>
      <c r="C35" s="1" t="s">
        <v>17</v>
      </c>
      <c r="D35" s="120"/>
      <c r="E35" s="17" t="s">
        <v>35</v>
      </c>
      <c r="F35" s="73" t="s">
        <v>335</v>
      </c>
      <c r="G35" s="74" t="s">
        <v>112</v>
      </c>
      <c r="H35" s="75">
        <v>11</v>
      </c>
      <c r="I35" s="76">
        <v>6</v>
      </c>
      <c r="J35" s="96">
        <f>4+2</f>
        <v>6</v>
      </c>
      <c r="K35" s="77">
        <f>8288.4+1267.86</f>
        <v>9556.26</v>
      </c>
      <c r="L35" s="77"/>
      <c r="M35" s="78">
        <f t="shared" si="1"/>
        <v>9556.26</v>
      </c>
      <c r="N35" s="100">
        <f>4+4+6+1+3+1</f>
        <v>19</v>
      </c>
      <c r="O35" s="81">
        <f>23915.04+21171.88+6399.1+11460.81</f>
        <v>62946.829999999994</v>
      </c>
      <c r="P35" s="81">
        <f>28915.04</f>
        <v>28915.040000000001</v>
      </c>
      <c r="Q35" s="79">
        <f t="shared" si="2"/>
        <v>34031.789999999994</v>
      </c>
      <c r="R35" s="141"/>
    </row>
    <row r="36" spans="1:18" s="13" customFormat="1" ht="15.75" x14ac:dyDescent="0.25">
      <c r="A36" s="10"/>
      <c r="B36" s="22" t="s">
        <v>34</v>
      </c>
      <c r="C36" s="1" t="s">
        <v>17</v>
      </c>
      <c r="D36" s="120"/>
      <c r="E36" s="17" t="s">
        <v>35</v>
      </c>
      <c r="F36" s="73" t="s">
        <v>424</v>
      </c>
      <c r="G36" s="8" t="s">
        <v>117</v>
      </c>
      <c r="H36" s="1">
        <v>1</v>
      </c>
      <c r="I36" s="49">
        <v>1</v>
      </c>
      <c r="J36" s="46">
        <v>1</v>
      </c>
      <c r="K36" s="40"/>
      <c r="L36" s="40"/>
      <c r="M36" s="38">
        <f t="shared" si="1"/>
        <v>0</v>
      </c>
      <c r="N36" s="41">
        <v>2</v>
      </c>
      <c r="O36" s="31">
        <v>5570.9</v>
      </c>
      <c r="P36" s="31"/>
      <c r="Q36" s="12">
        <f t="shared" si="2"/>
        <v>5570.9</v>
      </c>
    </row>
    <row r="37" spans="1:18" s="13" customFormat="1" ht="15.75" x14ac:dyDescent="0.25">
      <c r="A37" s="10"/>
      <c r="B37" s="27" t="s">
        <v>36</v>
      </c>
      <c r="C37" s="1" t="s">
        <v>17</v>
      </c>
      <c r="D37" s="120"/>
      <c r="E37" s="17" t="s">
        <v>32</v>
      </c>
      <c r="F37" s="73" t="s">
        <v>336</v>
      </c>
      <c r="G37" s="74" t="s">
        <v>112</v>
      </c>
      <c r="H37" s="75">
        <v>7</v>
      </c>
      <c r="I37" s="76">
        <v>1</v>
      </c>
      <c r="J37" s="96">
        <f>1+3</f>
        <v>4</v>
      </c>
      <c r="K37" s="77">
        <f>2091.97</f>
        <v>2091.9699999999998</v>
      </c>
      <c r="L37" s="77"/>
      <c r="M37" s="78">
        <f t="shared" si="1"/>
        <v>2091.9699999999998</v>
      </c>
      <c r="N37" s="100">
        <f>4+2+5+1</f>
        <v>12</v>
      </c>
      <c r="O37" s="81">
        <f>26828.22+3116.2+14162</f>
        <v>44106.42</v>
      </c>
      <c r="P37" s="81">
        <f>8144.95</f>
        <v>8144.95</v>
      </c>
      <c r="Q37" s="79">
        <f t="shared" si="2"/>
        <v>35961.47</v>
      </c>
      <c r="R37" s="141"/>
    </row>
    <row r="38" spans="1:18" s="13" customFormat="1" ht="15.75" x14ac:dyDescent="0.25">
      <c r="A38" s="10"/>
      <c r="B38" s="27" t="s">
        <v>38</v>
      </c>
      <c r="C38" s="1" t="s">
        <v>17</v>
      </c>
      <c r="D38" s="120"/>
      <c r="E38" s="3" t="s">
        <v>20</v>
      </c>
      <c r="F38" s="73" t="s">
        <v>338</v>
      </c>
      <c r="G38" s="74" t="s">
        <v>112</v>
      </c>
      <c r="H38" s="75">
        <v>19</v>
      </c>
      <c r="I38" s="76">
        <v>11</v>
      </c>
      <c r="J38" s="96">
        <f>5+9</f>
        <v>14</v>
      </c>
      <c r="K38" s="77">
        <f>4427.07+14262.52</f>
        <v>18689.59</v>
      </c>
      <c r="L38" s="77"/>
      <c r="M38" s="78">
        <f t="shared" si="1"/>
        <v>18689.59</v>
      </c>
      <c r="N38" s="100">
        <f>1+14+2</f>
        <v>17</v>
      </c>
      <c r="O38" s="81">
        <f>34449.99+27363.78+23604.86</f>
        <v>85418.63</v>
      </c>
      <c r="P38" s="81">
        <f>34449.99</f>
        <v>34449.99</v>
      </c>
      <c r="Q38" s="79">
        <f t="shared" si="2"/>
        <v>50968.640000000007</v>
      </c>
      <c r="R38" s="141"/>
    </row>
    <row r="39" spans="1:18" s="13" customFormat="1" ht="15.75" x14ac:dyDescent="0.25">
      <c r="A39" s="10"/>
      <c r="B39" s="25" t="s">
        <v>38</v>
      </c>
      <c r="C39" s="1" t="s">
        <v>17</v>
      </c>
      <c r="D39" s="120"/>
      <c r="E39" s="3" t="s">
        <v>20</v>
      </c>
      <c r="F39" s="73" t="s">
        <v>268</v>
      </c>
      <c r="G39" s="11" t="s">
        <v>114</v>
      </c>
      <c r="H39" s="1"/>
      <c r="I39" s="49"/>
      <c r="J39" s="51"/>
      <c r="K39" s="40"/>
      <c r="L39" s="40"/>
      <c r="M39" s="38">
        <f t="shared" si="1"/>
        <v>0</v>
      </c>
      <c r="N39" s="41"/>
      <c r="O39" s="31"/>
      <c r="P39" s="31"/>
      <c r="Q39" s="12">
        <f t="shared" si="2"/>
        <v>0</v>
      </c>
    </row>
    <row r="40" spans="1:18" s="13" customFormat="1" ht="15.75" x14ac:dyDescent="0.25">
      <c r="A40" s="10"/>
      <c r="B40" s="25" t="s">
        <v>38</v>
      </c>
      <c r="C40" s="1" t="s">
        <v>17</v>
      </c>
      <c r="D40" s="120"/>
      <c r="E40" s="3" t="s">
        <v>18</v>
      </c>
      <c r="F40" s="73" t="s">
        <v>324</v>
      </c>
      <c r="G40" s="11" t="s">
        <v>116</v>
      </c>
      <c r="H40" s="1">
        <v>3</v>
      </c>
      <c r="I40" s="49"/>
      <c r="J40" s="51"/>
      <c r="K40" s="40"/>
      <c r="L40" s="40"/>
      <c r="M40" s="38">
        <f t="shared" si="1"/>
        <v>0</v>
      </c>
      <c r="N40" s="41"/>
      <c r="O40" s="31"/>
      <c r="P40" s="31"/>
      <c r="Q40" s="12">
        <f t="shared" si="2"/>
        <v>0</v>
      </c>
    </row>
    <row r="41" spans="1:18" s="13" customFormat="1" ht="15.75" x14ac:dyDescent="0.25">
      <c r="A41" s="10"/>
      <c r="B41" s="22" t="s">
        <v>39</v>
      </c>
      <c r="C41" s="1" t="s">
        <v>17</v>
      </c>
      <c r="D41" s="120"/>
      <c r="E41" s="3" t="s">
        <v>20</v>
      </c>
      <c r="F41" s="73" t="s">
        <v>269</v>
      </c>
      <c r="G41" s="11" t="s">
        <v>114</v>
      </c>
      <c r="H41" s="1"/>
      <c r="I41" s="49"/>
      <c r="J41" s="51"/>
      <c r="K41" s="40"/>
      <c r="L41" s="40"/>
      <c r="M41" s="38">
        <f t="shared" si="1"/>
        <v>0</v>
      </c>
      <c r="N41" s="41"/>
      <c r="O41" s="31"/>
      <c r="P41" s="31"/>
      <c r="Q41" s="12">
        <f t="shared" si="2"/>
        <v>0</v>
      </c>
    </row>
    <row r="42" spans="1:18" s="13" customFormat="1" ht="15.75" x14ac:dyDescent="0.25">
      <c r="A42" s="10"/>
      <c r="B42" s="27" t="s">
        <v>40</v>
      </c>
      <c r="C42" s="1" t="s">
        <v>17</v>
      </c>
      <c r="D42" s="120"/>
      <c r="E42" s="17" t="s">
        <v>41</v>
      </c>
      <c r="F42" s="73" t="s">
        <v>339</v>
      </c>
      <c r="G42" s="74" t="s">
        <v>112</v>
      </c>
      <c r="H42" s="75">
        <v>11</v>
      </c>
      <c r="I42" s="76">
        <v>5</v>
      </c>
      <c r="J42" s="96">
        <f>1+1+3</f>
        <v>5</v>
      </c>
      <c r="K42" s="77">
        <f>1045.98+3271.86</f>
        <v>4317.84</v>
      </c>
      <c r="L42" s="77"/>
      <c r="M42" s="78">
        <f t="shared" si="1"/>
        <v>4317.84</v>
      </c>
      <c r="N42" s="100">
        <f>3+13+6</f>
        <v>22</v>
      </c>
      <c r="O42" s="81">
        <f>17269.31+39990.78+16582.12</f>
        <v>73842.209999999992</v>
      </c>
      <c r="P42" s="81">
        <f>17269.31</f>
        <v>17269.310000000001</v>
      </c>
      <c r="Q42" s="79">
        <f t="shared" si="2"/>
        <v>56572.899999999994</v>
      </c>
      <c r="R42" s="141"/>
    </row>
    <row r="43" spans="1:18" s="13" customFormat="1" ht="15.75" x14ac:dyDescent="0.25">
      <c r="A43" s="10"/>
      <c r="B43" s="25" t="s">
        <v>40</v>
      </c>
      <c r="C43" s="1" t="s">
        <v>17</v>
      </c>
      <c r="D43" s="120"/>
      <c r="E43" s="17" t="s">
        <v>41</v>
      </c>
      <c r="F43" s="73" t="s">
        <v>482</v>
      </c>
      <c r="G43" s="11" t="s">
        <v>114</v>
      </c>
      <c r="H43" s="1"/>
      <c r="I43" s="49"/>
      <c r="J43" s="51"/>
      <c r="K43" s="40"/>
      <c r="L43" s="40"/>
      <c r="M43" s="38">
        <f t="shared" si="1"/>
        <v>0</v>
      </c>
      <c r="N43" s="41">
        <v>1</v>
      </c>
      <c r="O43" s="31">
        <v>3073.6</v>
      </c>
      <c r="P43" s="31">
        <f>3073.6</f>
        <v>3073.6</v>
      </c>
      <c r="Q43" s="12">
        <f t="shared" si="2"/>
        <v>0</v>
      </c>
    </row>
    <row r="44" spans="1:18" s="13" customFormat="1" ht="15.75" x14ac:dyDescent="0.25">
      <c r="A44" s="10"/>
      <c r="B44" s="27" t="s">
        <v>148</v>
      </c>
      <c r="C44" s="1" t="s">
        <v>17</v>
      </c>
      <c r="D44" s="120"/>
      <c r="E44" s="3" t="s">
        <v>20</v>
      </c>
      <c r="F44" s="73" t="s">
        <v>340</v>
      </c>
      <c r="G44" s="74" t="s">
        <v>112</v>
      </c>
      <c r="H44" s="75">
        <v>8</v>
      </c>
      <c r="I44" s="82">
        <v>1</v>
      </c>
      <c r="J44" s="96">
        <f>1+2</f>
        <v>3</v>
      </c>
      <c r="K44" s="77">
        <f>537.88</f>
        <v>537.88</v>
      </c>
      <c r="L44" s="77"/>
      <c r="M44" s="78">
        <f t="shared" si="1"/>
        <v>537.88</v>
      </c>
      <c r="N44" s="100">
        <f>6+5+3+1</f>
        <v>15</v>
      </c>
      <c r="O44" s="81">
        <f>9370.6+9456.38+8868.69</f>
        <v>27695.67</v>
      </c>
      <c r="P44" s="81">
        <f>9370.6</f>
        <v>9370.6</v>
      </c>
      <c r="Q44" s="79">
        <f t="shared" si="2"/>
        <v>18325.07</v>
      </c>
      <c r="R44" s="141"/>
    </row>
    <row r="45" spans="1:18" s="13" customFormat="1" ht="15.75" x14ac:dyDescent="0.25">
      <c r="A45" s="10"/>
      <c r="B45" s="25" t="s">
        <v>148</v>
      </c>
      <c r="C45" s="1" t="s">
        <v>17</v>
      </c>
      <c r="D45" s="120"/>
      <c r="E45" s="17" t="s">
        <v>32</v>
      </c>
      <c r="F45" s="73" t="s">
        <v>425</v>
      </c>
      <c r="G45" s="11" t="s">
        <v>117</v>
      </c>
      <c r="H45" s="1">
        <v>4</v>
      </c>
      <c r="I45" s="49"/>
      <c r="J45" s="46"/>
      <c r="K45" s="40"/>
      <c r="L45" s="40"/>
      <c r="M45" s="38">
        <f t="shared" si="1"/>
        <v>0</v>
      </c>
      <c r="N45" s="41">
        <v>2</v>
      </c>
      <c r="O45" s="31">
        <v>7472.69</v>
      </c>
      <c r="P45" s="31"/>
      <c r="Q45" s="12">
        <f t="shared" si="2"/>
        <v>7472.69</v>
      </c>
    </row>
    <row r="46" spans="1:18" s="13" customFormat="1" ht="15.75" x14ac:dyDescent="0.25">
      <c r="A46" s="10"/>
      <c r="B46" s="30" t="s">
        <v>42</v>
      </c>
      <c r="C46" s="1" t="s">
        <v>17</v>
      </c>
      <c r="D46" s="120"/>
      <c r="E46" s="3" t="s">
        <v>23</v>
      </c>
      <c r="F46" s="73" t="s">
        <v>341</v>
      </c>
      <c r="G46" s="74" t="s">
        <v>112</v>
      </c>
      <c r="H46" s="75">
        <v>15</v>
      </c>
      <c r="I46" s="76">
        <v>7</v>
      </c>
      <c r="J46" s="96">
        <f>5+3</f>
        <v>8</v>
      </c>
      <c r="K46" s="77">
        <f>7156.22+3849.11</f>
        <v>11005.33</v>
      </c>
      <c r="L46" s="77"/>
      <c r="M46" s="78">
        <f t="shared" si="1"/>
        <v>11005.33</v>
      </c>
      <c r="N46" s="100">
        <f>4+6+9+2+4+2</f>
        <v>27</v>
      </c>
      <c r="O46" s="81">
        <f>5364.2+26170.88+2849.25+18965.6</f>
        <v>53349.93</v>
      </c>
      <c r="P46" s="81">
        <f>5364.2</f>
        <v>5364.2</v>
      </c>
      <c r="Q46" s="79">
        <f t="shared" si="2"/>
        <v>47985.73</v>
      </c>
      <c r="R46" s="141"/>
    </row>
    <row r="47" spans="1:18" s="13" customFormat="1" ht="15.75" x14ac:dyDescent="0.25">
      <c r="A47" s="10"/>
      <c r="B47" s="24" t="s">
        <v>42</v>
      </c>
      <c r="C47" s="1" t="s">
        <v>17</v>
      </c>
      <c r="D47" s="120"/>
      <c r="E47" s="3" t="s">
        <v>23</v>
      </c>
      <c r="F47" s="73" t="s">
        <v>437</v>
      </c>
      <c r="G47" s="11" t="s">
        <v>118</v>
      </c>
      <c r="H47" s="1">
        <v>2</v>
      </c>
      <c r="I47" s="49"/>
      <c r="J47" s="46"/>
      <c r="K47" s="40"/>
      <c r="L47" s="40"/>
      <c r="M47" s="38">
        <f t="shared" si="1"/>
        <v>0</v>
      </c>
      <c r="N47" s="41"/>
      <c r="O47" s="31">
        <v>4226.2</v>
      </c>
      <c r="P47" s="31">
        <v>4226.2</v>
      </c>
      <c r="Q47" s="12">
        <f t="shared" si="2"/>
        <v>0</v>
      </c>
    </row>
    <row r="48" spans="1:18" s="13" customFormat="1" ht="15.75" x14ac:dyDescent="0.25">
      <c r="A48" s="10"/>
      <c r="B48" s="30" t="s">
        <v>173</v>
      </c>
      <c r="C48" s="1" t="s">
        <v>17</v>
      </c>
      <c r="D48" s="120"/>
      <c r="E48" s="11" t="s">
        <v>118</v>
      </c>
      <c r="F48" s="73" t="s">
        <v>342</v>
      </c>
      <c r="G48" s="74" t="s">
        <v>112</v>
      </c>
      <c r="H48" s="75">
        <v>4</v>
      </c>
      <c r="I48" s="76">
        <v>4</v>
      </c>
      <c r="J48" s="96">
        <f>1+2+1</f>
        <v>4</v>
      </c>
      <c r="K48" s="77">
        <f>6833.76+696.36</f>
        <v>7530.12</v>
      </c>
      <c r="L48" s="77"/>
      <c r="M48" s="78">
        <f t="shared" si="1"/>
        <v>7530.12</v>
      </c>
      <c r="N48" s="100">
        <f>4+2</f>
        <v>6</v>
      </c>
      <c r="O48" s="81">
        <f>5931.9+4183.92+3158.95</f>
        <v>13274.77</v>
      </c>
      <c r="P48" s="81">
        <f>5931.9</f>
        <v>5931.9</v>
      </c>
      <c r="Q48" s="79">
        <f t="shared" si="2"/>
        <v>7342.8700000000008</v>
      </c>
      <c r="R48" s="141"/>
    </row>
    <row r="49" spans="1:18" s="13" customFormat="1" ht="15.75" x14ac:dyDescent="0.25">
      <c r="A49" s="10"/>
      <c r="B49" s="22" t="s">
        <v>143</v>
      </c>
      <c r="C49" s="1" t="s">
        <v>64</v>
      </c>
      <c r="D49" s="120" t="s">
        <v>444</v>
      </c>
      <c r="E49" s="3" t="s">
        <v>20</v>
      </c>
      <c r="F49" s="73" t="s">
        <v>445</v>
      </c>
      <c r="G49" s="11" t="s">
        <v>114</v>
      </c>
      <c r="H49" s="1">
        <v>6</v>
      </c>
      <c r="I49" s="47"/>
      <c r="J49" s="51"/>
      <c r="K49" s="37"/>
      <c r="L49" s="37"/>
      <c r="M49" s="78">
        <f t="shared" si="1"/>
        <v>0</v>
      </c>
      <c r="N49" s="39">
        <v>11</v>
      </c>
      <c r="O49" s="31">
        <v>13367.1</v>
      </c>
      <c r="P49" s="31">
        <v>12078.4</v>
      </c>
      <c r="Q49" s="79">
        <f t="shared" si="2"/>
        <v>1288.7000000000007</v>
      </c>
    </row>
    <row r="50" spans="1:18" s="13" customFormat="1" ht="15.75" x14ac:dyDescent="0.25">
      <c r="A50" s="10"/>
      <c r="B50" s="24" t="s">
        <v>158</v>
      </c>
      <c r="C50" s="1" t="s">
        <v>17</v>
      </c>
      <c r="D50" s="120"/>
      <c r="E50" s="17" t="s">
        <v>32</v>
      </c>
      <c r="F50" s="73" t="s">
        <v>426</v>
      </c>
      <c r="G50" s="11" t="s">
        <v>117</v>
      </c>
      <c r="H50" s="1">
        <v>6</v>
      </c>
      <c r="I50" s="47">
        <v>1</v>
      </c>
      <c r="J50" s="51">
        <v>1</v>
      </c>
      <c r="K50" s="37"/>
      <c r="L50" s="37"/>
      <c r="M50" s="38">
        <f t="shared" si="1"/>
        <v>0</v>
      </c>
      <c r="N50" s="39">
        <v>4</v>
      </c>
      <c r="O50" s="31">
        <v>9789.2000000000007</v>
      </c>
      <c r="P50" s="31"/>
      <c r="Q50" s="12">
        <f t="shared" si="2"/>
        <v>9789.2000000000007</v>
      </c>
    </row>
    <row r="51" spans="1:18" s="15" customFormat="1" ht="15.75" x14ac:dyDescent="0.25">
      <c r="A51" s="14"/>
      <c r="B51" s="80" t="s">
        <v>43</v>
      </c>
      <c r="C51" s="1" t="s">
        <v>17</v>
      </c>
      <c r="D51" s="120"/>
      <c r="E51" s="3" t="s">
        <v>18</v>
      </c>
      <c r="F51" s="73" t="s">
        <v>344</v>
      </c>
      <c r="G51" s="74" t="s">
        <v>112</v>
      </c>
      <c r="H51" s="75">
        <v>12</v>
      </c>
      <c r="I51" s="76">
        <v>4</v>
      </c>
      <c r="J51" s="96">
        <f>1+2+2</f>
        <v>5</v>
      </c>
      <c r="K51" s="77">
        <f>1776.93</f>
        <v>1776.93</v>
      </c>
      <c r="L51" s="77"/>
      <c r="M51" s="78">
        <f t="shared" si="1"/>
        <v>1776.93</v>
      </c>
      <c r="N51" s="100">
        <f>1+5+4+1</f>
        <v>11</v>
      </c>
      <c r="O51" s="81">
        <f>1223.8+3810.29+4959.02+10043.87</f>
        <v>20036.980000000003</v>
      </c>
      <c r="P51" s="81">
        <f>1223.8</f>
        <v>1223.8</v>
      </c>
      <c r="Q51" s="79">
        <f t="shared" si="2"/>
        <v>18813.180000000004</v>
      </c>
      <c r="R51" s="141"/>
    </row>
    <row r="52" spans="1:18" s="15" customFormat="1" ht="31.5" x14ac:dyDescent="0.25">
      <c r="A52" s="14"/>
      <c r="B52" s="22" t="s">
        <v>43</v>
      </c>
      <c r="C52" s="1" t="s">
        <v>304</v>
      </c>
      <c r="D52" s="120" t="s">
        <v>473</v>
      </c>
      <c r="E52" s="3" t="s">
        <v>18</v>
      </c>
      <c r="F52" s="73" t="s">
        <v>323</v>
      </c>
      <c r="G52" s="11" t="s">
        <v>113</v>
      </c>
      <c r="H52" s="1">
        <v>9</v>
      </c>
      <c r="I52" s="126">
        <v>4</v>
      </c>
      <c r="J52" s="125">
        <v>4</v>
      </c>
      <c r="K52" s="40">
        <v>5071</v>
      </c>
      <c r="L52" s="40"/>
      <c r="M52" s="38">
        <f t="shared" si="1"/>
        <v>5071</v>
      </c>
      <c r="N52" s="39">
        <v>10</v>
      </c>
      <c r="O52" s="31">
        <v>19004</v>
      </c>
      <c r="P52" s="31">
        <v>2655</v>
      </c>
      <c r="Q52" s="12">
        <f t="shared" si="2"/>
        <v>16349</v>
      </c>
    </row>
    <row r="53" spans="1:18" s="13" customFormat="1" ht="15.75" x14ac:dyDescent="0.25">
      <c r="A53" s="10"/>
      <c r="B53" s="30" t="s">
        <v>44</v>
      </c>
      <c r="C53" s="1" t="s">
        <v>17</v>
      </c>
      <c r="D53" s="120"/>
      <c r="E53" s="3" t="s">
        <v>20</v>
      </c>
      <c r="F53" s="73" t="s">
        <v>345</v>
      </c>
      <c r="G53" s="74" t="s">
        <v>112</v>
      </c>
      <c r="H53" s="75">
        <v>6</v>
      </c>
      <c r="I53" s="76">
        <v>6</v>
      </c>
      <c r="J53" s="96">
        <f>1+1+1+4</f>
        <v>7</v>
      </c>
      <c r="K53" s="77">
        <f>2422.38+1267.86+15410.58</f>
        <v>19100.82</v>
      </c>
      <c r="L53" s="77"/>
      <c r="M53" s="78">
        <f t="shared" si="1"/>
        <v>19100.82</v>
      </c>
      <c r="N53" s="100">
        <f>1+11</f>
        <v>12</v>
      </c>
      <c r="O53" s="81">
        <f>421.62+4603.39+10559.77+72902.04</f>
        <v>88486.819999999992</v>
      </c>
      <c r="P53" s="81"/>
      <c r="Q53" s="79">
        <f t="shared" si="2"/>
        <v>88486.819999999992</v>
      </c>
      <c r="R53" s="141"/>
    </row>
    <row r="54" spans="1:18" s="13" customFormat="1" ht="15.75" x14ac:dyDescent="0.25">
      <c r="A54" s="10"/>
      <c r="B54" s="24" t="s">
        <v>44</v>
      </c>
      <c r="C54" s="1" t="s">
        <v>17</v>
      </c>
      <c r="D54" s="120"/>
      <c r="E54" s="3" t="s">
        <v>20</v>
      </c>
      <c r="F54" s="73" t="s">
        <v>483</v>
      </c>
      <c r="G54" s="11" t="s">
        <v>114</v>
      </c>
      <c r="H54" s="1"/>
      <c r="I54" s="49"/>
      <c r="J54" s="51"/>
      <c r="K54" s="40"/>
      <c r="L54" s="40"/>
      <c r="M54" s="78">
        <f t="shared" si="1"/>
        <v>0</v>
      </c>
      <c r="N54" s="41">
        <v>2</v>
      </c>
      <c r="O54" s="31"/>
      <c r="P54" s="31"/>
      <c r="Q54" s="12">
        <f t="shared" si="2"/>
        <v>0</v>
      </c>
    </row>
    <row r="55" spans="1:18" s="13" customFormat="1" ht="15.75" x14ac:dyDescent="0.25">
      <c r="A55" s="10"/>
      <c r="B55" s="24" t="s">
        <v>492</v>
      </c>
      <c r="C55" s="1" t="s">
        <v>17</v>
      </c>
      <c r="D55" s="120"/>
      <c r="E55" s="3" t="s">
        <v>20</v>
      </c>
      <c r="F55" s="73" t="s">
        <v>499</v>
      </c>
      <c r="G55" s="11" t="s">
        <v>112</v>
      </c>
      <c r="H55" s="1">
        <v>3</v>
      </c>
      <c r="I55" s="49"/>
      <c r="J55" s="51"/>
      <c r="K55" s="40"/>
      <c r="L55" s="40"/>
      <c r="M55" s="78"/>
      <c r="N55" s="41"/>
      <c r="O55" s="31"/>
      <c r="P55" s="31"/>
      <c r="Q55" s="12"/>
    </row>
    <row r="56" spans="1:18" s="13" customFormat="1" ht="15.75" x14ac:dyDescent="0.25">
      <c r="A56" s="10"/>
      <c r="B56" s="27" t="s">
        <v>45</v>
      </c>
      <c r="C56" s="1" t="s">
        <v>17</v>
      </c>
      <c r="D56" s="120"/>
      <c r="E56" s="3" t="s">
        <v>20</v>
      </c>
      <c r="F56" s="73" t="s">
        <v>346</v>
      </c>
      <c r="G56" s="74" t="s">
        <v>112</v>
      </c>
      <c r="H56" s="75"/>
      <c r="I56" s="76"/>
      <c r="J56" s="96"/>
      <c r="K56" s="77"/>
      <c r="L56" s="77"/>
      <c r="M56" s="38">
        <f t="shared" si="1"/>
        <v>0</v>
      </c>
      <c r="N56" s="100">
        <f>1</f>
        <v>1</v>
      </c>
      <c r="O56" s="81">
        <f>17995.91+2729.8</f>
        <v>20725.71</v>
      </c>
      <c r="P56" s="81"/>
      <c r="Q56" s="79">
        <f t="shared" si="2"/>
        <v>20725.71</v>
      </c>
      <c r="R56" s="141"/>
    </row>
    <row r="57" spans="1:18" s="13" customFormat="1" ht="15.75" x14ac:dyDescent="0.25">
      <c r="A57" s="10"/>
      <c r="B57" s="25" t="s">
        <v>45</v>
      </c>
      <c r="C57" s="1" t="s">
        <v>17</v>
      </c>
      <c r="D57" s="120"/>
      <c r="E57" s="3" t="s">
        <v>20</v>
      </c>
      <c r="F57" s="73" t="s">
        <v>484</v>
      </c>
      <c r="G57" s="11" t="s">
        <v>114</v>
      </c>
      <c r="H57" s="1"/>
      <c r="I57" s="49"/>
      <c r="J57" s="51"/>
      <c r="K57" s="40"/>
      <c r="L57" s="40"/>
      <c r="M57" s="78">
        <f t="shared" si="1"/>
        <v>0</v>
      </c>
      <c r="N57" s="41"/>
      <c r="O57" s="31"/>
      <c r="P57" s="31"/>
      <c r="Q57" s="12">
        <f t="shared" si="2"/>
        <v>0</v>
      </c>
    </row>
    <row r="58" spans="1:18" s="15" customFormat="1" ht="15.75" x14ac:dyDescent="0.25">
      <c r="A58" s="14"/>
      <c r="B58" s="28" t="s">
        <v>46</v>
      </c>
      <c r="C58" s="1" t="s">
        <v>17</v>
      </c>
      <c r="D58" s="120"/>
      <c r="E58" s="3" t="s">
        <v>20</v>
      </c>
      <c r="F58" s="73" t="s">
        <v>347</v>
      </c>
      <c r="G58" s="74" t="s">
        <v>112</v>
      </c>
      <c r="H58" s="75">
        <v>5</v>
      </c>
      <c r="I58" s="76">
        <v>3</v>
      </c>
      <c r="J58" s="96">
        <f>1+2</f>
        <v>3</v>
      </c>
      <c r="K58" s="77">
        <f>1045.98+1068.08</f>
        <v>2114.06</v>
      </c>
      <c r="L58" s="77"/>
      <c r="M58" s="38">
        <f t="shared" si="1"/>
        <v>2114.06</v>
      </c>
      <c r="N58" s="100">
        <f>4+4</f>
        <v>8</v>
      </c>
      <c r="O58" s="81">
        <f>10759.2+10685.34</f>
        <v>21444.54</v>
      </c>
      <c r="P58" s="81"/>
      <c r="Q58" s="79">
        <f t="shared" si="2"/>
        <v>21444.54</v>
      </c>
      <c r="R58" s="141"/>
    </row>
    <row r="59" spans="1:18" s="15" customFormat="1" ht="15.75" x14ac:dyDescent="0.25">
      <c r="A59" s="14"/>
      <c r="B59" s="26" t="s">
        <v>46</v>
      </c>
      <c r="C59" s="1" t="s">
        <v>17</v>
      </c>
      <c r="D59" s="120"/>
      <c r="E59" s="3" t="s">
        <v>20</v>
      </c>
      <c r="F59" s="73" t="s">
        <v>273</v>
      </c>
      <c r="G59" s="11" t="s">
        <v>114</v>
      </c>
      <c r="H59" s="1">
        <v>1</v>
      </c>
      <c r="I59" s="49"/>
      <c r="J59" s="51"/>
      <c r="K59" s="40"/>
      <c r="L59" s="40"/>
      <c r="M59" s="78">
        <f t="shared" si="1"/>
        <v>0</v>
      </c>
      <c r="N59" s="42">
        <v>2</v>
      </c>
      <c r="O59" s="31">
        <v>8068.2</v>
      </c>
      <c r="P59" s="31">
        <f>4034.1</f>
        <v>4034.1</v>
      </c>
      <c r="Q59" s="12">
        <f t="shared" si="2"/>
        <v>4034.1</v>
      </c>
    </row>
    <row r="60" spans="1:18" s="13" customFormat="1" ht="47.25" x14ac:dyDescent="0.25">
      <c r="A60" s="10"/>
      <c r="B60" s="30" t="s">
        <v>47</v>
      </c>
      <c r="C60" s="1" t="s">
        <v>304</v>
      </c>
      <c r="D60" s="120" t="s">
        <v>474</v>
      </c>
      <c r="E60" s="3" t="s">
        <v>18</v>
      </c>
      <c r="F60" s="73" t="s">
        <v>348</v>
      </c>
      <c r="G60" s="74" t="s">
        <v>112</v>
      </c>
      <c r="H60" s="75">
        <v>13</v>
      </c>
      <c r="I60" s="76">
        <v>4</v>
      </c>
      <c r="J60" s="98">
        <f>1+1+3+2</f>
        <v>7</v>
      </c>
      <c r="K60" s="154">
        <f>1129.78+866.14+4090.7</f>
        <v>6086.62</v>
      </c>
      <c r="L60" s="77"/>
      <c r="M60" s="38">
        <f t="shared" si="1"/>
        <v>6086.62</v>
      </c>
      <c r="N60" s="100">
        <f>7+3+4+10+6+1+2</f>
        <v>33</v>
      </c>
      <c r="O60" s="81">
        <f>8477.51+15159.83+14079.46+15414.2+17995.91+2065.56</f>
        <v>73192.47</v>
      </c>
      <c r="P60" s="81">
        <f>8477.51</f>
        <v>8477.51</v>
      </c>
      <c r="Q60" s="79">
        <f t="shared" si="2"/>
        <v>64714.96</v>
      </c>
      <c r="R60" s="141"/>
    </row>
    <row r="61" spans="1:18" s="13" customFormat="1" ht="47.25" x14ac:dyDescent="0.25">
      <c r="A61" s="10"/>
      <c r="B61" s="22" t="s">
        <v>120</v>
      </c>
      <c r="C61" s="1" t="s">
        <v>304</v>
      </c>
      <c r="D61" s="120" t="s">
        <v>474</v>
      </c>
      <c r="E61" s="3" t="s">
        <v>18</v>
      </c>
      <c r="F61" s="73" t="s">
        <v>334</v>
      </c>
      <c r="G61" s="11" t="s">
        <v>116</v>
      </c>
      <c r="H61" s="1">
        <v>15</v>
      </c>
      <c r="I61" s="53">
        <v>3</v>
      </c>
      <c r="J61" s="127">
        <v>3</v>
      </c>
      <c r="K61" s="40">
        <v>4323</v>
      </c>
      <c r="L61" s="40"/>
      <c r="M61" s="78">
        <f t="shared" si="1"/>
        <v>4323</v>
      </c>
      <c r="N61" s="41">
        <v>4</v>
      </c>
      <c r="O61" s="31">
        <v>30280</v>
      </c>
      <c r="P61" s="31">
        <v>13238</v>
      </c>
      <c r="Q61" s="12">
        <f t="shared" si="2"/>
        <v>17042</v>
      </c>
    </row>
    <row r="62" spans="1:18" s="13" customFormat="1" ht="15.75" x14ac:dyDescent="0.25">
      <c r="A62" s="10"/>
      <c r="B62" s="30" t="s">
        <v>134</v>
      </c>
      <c r="C62" s="1" t="s">
        <v>17</v>
      </c>
      <c r="D62" s="120"/>
      <c r="E62" s="3" t="s">
        <v>20</v>
      </c>
      <c r="F62" s="73" t="s">
        <v>349</v>
      </c>
      <c r="G62" s="74" t="s">
        <v>112</v>
      </c>
      <c r="H62" s="75">
        <v>7</v>
      </c>
      <c r="I62" s="76">
        <v>7</v>
      </c>
      <c r="J62" s="96">
        <f>1+4+1</f>
        <v>6</v>
      </c>
      <c r="K62" s="77">
        <f>7301.48+1473.89+1911.09+1690.48</f>
        <v>12376.939999999999</v>
      </c>
      <c r="L62" s="77"/>
      <c r="M62" s="38">
        <f t="shared" si="1"/>
        <v>12376.939999999999</v>
      </c>
      <c r="N62" s="100">
        <f>4+1</f>
        <v>5</v>
      </c>
      <c r="O62" s="81">
        <f>5020.05+3215.31+12312.39+4648.82</f>
        <v>25196.57</v>
      </c>
      <c r="P62" s="81"/>
      <c r="Q62" s="79">
        <f t="shared" si="2"/>
        <v>25196.57</v>
      </c>
      <c r="R62" s="141"/>
    </row>
    <row r="63" spans="1:18" s="13" customFormat="1" ht="15.75" x14ac:dyDescent="0.25">
      <c r="A63" s="10"/>
      <c r="B63" s="24" t="s">
        <v>134</v>
      </c>
      <c r="C63" s="1" t="s">
        <v>17</v>
      </c>
      <c r="D63" s="120"/>
      <c r="E63" s="3" t="s">
        <v>20</v>
      </c>
      <c r="F63" s="73" t="s">
        <v>456</v>
      </c>
      <c r="G63" s="11" t="s">
        <v>114</v>
      </c>
      <c r="H63" s="1">
        <v>12</v>
      </c>
      <c r="I63" s="49"/>
      <c r="J63" s="51"/>
      <c r="K63" s="40"/>
      <c r="L63" s="40"/>
      <c r="M63" s="78">
        <f t="shared" si="1"/>
        <v>0</v>
      </c>
      <c r="N63" s="41">
        <v>19</v>
      </c>
      <c r="O63" s="31">
        <v>16425.57</v>
      </c>
      <c r="P63" s="31">
        <v>16425.57</v>
      </c>
      <c r="Q63" s="12">
        <f t="shared" si="2"/>
        <v>0</v>
      </c>
    </row>
    <row r="64" spans="1:18" s="13" customFormat="1" ht="15.75" x14ac:dyDescent="0.25">
      <c r="A64" s="10"/>
      <c r="B64" s="62" t="s">
        <v>48</v>
      </c>
      <c r="C64" s="1" t="s">
        <v>17</v>
      </c>
      <c r="D64" s="120"/>
      <c r="E64" s="3" t="s">
        <v>20</v>
      </c>
      <c r="F64" s="73" t="s">
        <v>350</v>
      </c>
      <c r="G64" s="74" t="s">
        <v>112</v>
      </c>
      <c r="H64" s="75">
        <v>9</v>
      </c>
      <c r="I64" s="76">
        <v>2</v>
      </c>
      <c r="J64" s="96">
        <f>1</f>
        <v>1</v>
      </c>
      <c r="K64" s="77">
        <f>4805.96</f>
        <v>4805.96</v>
      </c>
      <c r="L64" s="77"/>
      <c r="M64" s="38">
        <f t="shared" si="1"/>
        <v>4805.96</v>
      </c>
      <c r="N64" s="100">
        <f>2+1</f>
        <v>3</v>
      </c>
      <c r="O64" s="81">
        <f>23174.33+2535.72+11633.02</f>
        <v>37343.070000000007</v>
      </c>
      <c r="P64" s="81"/>
      <c r="Q64" s="79">
        <f t="shared" si="2"/>
        <v>37343.070000000007</v>
      </c>
      <c r="R64" s="141"/>
    </row>
    <row r="65" spans="1:18" s="13" customFormat="1" ht="15.75" x14ac:dyDescent="0.25">
      <c r="A65" s="10"/>
      <c r="B65" s="62" t="s">
        <v>49</v>
      </c>
      <c r="C65" s="1" t="s">
        <v>17</v>
      </c>
      <c r="D65" s="120"/>
      <c r="E65" s="3" t="s">
        <v>50</v>
      </c>
      <c r="F65" s="73" t="s">
        <v>351</v>
      </c>
      <c r="G65" s="74" t="s">
        <v>112</v>
      </c>
      <c r="H65" s="75">
        <v>10</v>
      </c>
      <c r="I65" s="76">
        <v>1</v>
      </c>
      <c r="J65" s="96">
        <f>1</f>
        <v>1</v>
      </c>
      <c r="K65" s="77">
        <f>525.65</f>
        <v>525.65</v>
      </c>
      <c r="L65" s="77"/>
      <c r="M65" s="78">
        <f t="shared" si="1"/>
        <v>525.65</v>
      </c>
      <c r="N65" s="100">
        <f>5+1+3</f>
        <v>9</v>
      </c>
      <c r="O65" s="81">
        <f>7374+1806.93+7275.53+4666.9</f>
        <v>21123.360000000001</v>
      </c>
      <c r="P65" s="81">
        <f>7374</f>
        <v>7374</v>
      </c>
      <c r="Q65" s="12">
        <f t="shared" si="2"/>
        <v>13749.36</v>
      </c>
      <c r="R65" s="141"/>
    </row>
    <row r="66" spans="1:18" s="13" customFormat="1" ht="15.75" x14ac:dyDescent="0.25">
      <c r="A66" s="10"/>
      <c r="B66" s="22" t="s">
        <v>49</v>
      </c>
      <c r="C66" s="1" t="s">
        <v>17</v>
      </c>
      <c r="D66" s="120"/>
      <c r="E66" s="3" t="s">
        <v>50</v>
      </c>
      <c r="F66" s="73" t="s">
        <v>427</v>
      </c>
      <c r="G66" s="11" t="s">
        <v>115</v>
      </c>
      <c r="H66" s="1">
        <v>5</v>
      </c>
      <c r="I66" s="49">
        <v>1</v>
      </c>
      <c r="J66" s="46">
        <v>1</v>
      </c>
      <c r="K66" s="40"/>
      <c r="L66" s="40"/>
      <c r="M66" s="38">
        <f t="shared" si="1"/>
        <v>0</v>
      </c>
      <c r="N66" s="41">
        <v>7</v>
      </c>
      <c r="O66" s="31">
        <v>9893.2000000000007</v>
      </c>
      <c r="P66" s="31">
        <v>4898.6000000000004</v>
      </c>
      <c r="Q66" s="79">
        <f t="shared" si="2"/>
        <v>4994.6000000000004</v>
      </c>
    </row>
    <row r="67" spans="1:18" s="13" customFormat="1" ht="15.75" x14ac:dyDescent="0.25">
      <c r="A67" s="10"/>
      <c r="B67" s="27" t="s">
        <v>51</v>
      </c>
      <c r="C67" s="1" t="s">
        <v>17</v>
      </c>
      <c r="D67" s="120"/>
      <c r="E67" s="3" t="s">
        <v>20</v>
      </c>
      <c r="F67" s="73" t="s">
        <v>186</v>
      </c>
      <c r="G67" s="74" t="s">
        <v>112</v>
      </c>
      <c r="H67" s="75"/>
      <c r="I67" s="76"/>
      <c r="J67" s="96"/>
      <c r="K67" s="77"/>
      <c r="L67" s="77"/>
      <c r="M67" s="78">
        <f t="shared" si="1"/>
        <v>0</v>
      </c>
      <c r="N67" s="100">
        <f>1</f>
        <v>1</v>
      </c>
      <c r="O67" s="81">
        <v>2451.87</v>
      </c>
      <c r="P67" s="81">
        <f>2451.87</f>
        <v>2451.87</v>
      </c>
      <c r="Q67" s="12">
        <f t="shared" si="2"/>
        <v>0</v>
      </c>
      <c r="R67" s="141"/>
    </row>
    <row r="68" spans="1:18" s="13" customFormat="1" ht="15.75" x14ac:dyDescent="0.25">
      <c r="A68" s="10"/>
      <c r="B68" s="27" t="s">
        <v>51</v>
      </c>
      <c r="C68" s="1" t="s">
        <v>17</v>
      </c>
      <c r="D68" s="120"/>
      <c r="E68" s="3" t="s">
        <v>20</v>
      </c>
      <c r="F68" s="73" t="s">
        <v>276</v>
      </c>
      <c r="G68" s="11" t="s">
        <v>114</v>
      </c>
      <c r="H68" s="1"/>
      <c r="I68" s="49"/>
      <c r="J68" s="51"/>
      <c r="K68" s="40"/>
      <c r="L68" s="40"/>
      <c r="M68" s="38">
        <f t="shared" si="1"/>
        <v>0</v>
      </c>
      <c r="N68" s="41">
        <v>3</v>
      </c>
      <c r="O68" s="31">
        <v>6763.6</v>
      </c>
      <c r="P68" s="31">
        <v>6763.6</v>
      </c>
      <c r="Q68" s="79">
        <f t="shared" si="2"/>
        <v>0</v>
      </c>
    </row>
    <row r="69" spans="1:18" s="13" customFormat="1" ht="15.75" x14ac:dyDescent="0.25">
      <c r="A69" s="10"/>
      <c r="B69" s="62" t="s">
        <v>52</v>
      </c>
      <c r="C69" s="1" t="s">
        <v>17</v>
      </c>
      <c r="D69" s="120"/>
      <c r="E69" s="3" t="s">
        <v>20</v>
      </c>
      <c r="F69" s="73" t="s">
        <v>352</v>
      </c>
      <c r="G69" s="74" t="s">
        <v>112</v>
      </c>
      <c r="H69" s="75">
        <v>5</v>
      </c>
      <c r="I69" s="76"/>
      <c r="J69" s="96"/>
      <c r="K69" s="77"/>
      <c r="L69" s="77"/>
      <c r="M69" s="78">
        <f t="shared" si="1"/>
        <v>0</v>
      </c>
      <c r="N69" s="100">
        <f>4+3+1+1</f>
        <v>9</v>
      </c>
      <c r="O69" s="81">
        <f>5977.15+48296.91+7596.86+1061.83</f>
        <v>62932.750000000007</v>
      </c>
      <c r="P69" s="81">
        <f>48296.91</f>
        <v>48296.91</v>
      </c>
      <c r="Q69" s="12">
        <f t="shared" si="2"/>
        <v>14635.840000000004</v>
      </c>
      <c r="R69" s="141"/>
    </row>
    <row r="70" spans="1:18" s="13" customFormat="1" ht="15.75" x14ac:dyDescent="0.25">
      <c r="A70" s="10"/>
      <c r="B70" s="22" t="s">
        <v>52</v>
      </c>
      <c r="C70" s="1" t="s">
        <v>17</v>
      </c>
      <c r="D70" s="120"/>
      <c r="E70" s="3" t="s">
        <v>20</v>
      </c>
      <c r="F70" s="73" t="s">
        <v>457</v>
      </c>
      <c r="G70" s="11" t="s">
        <v>114</v>
      </c>
      <c r="H70" s="1">
        <v>5</v>
      </c>
      <c r="I70" s="49"/>
      <c r="J70" s="51"/>
      <c r="K70" s="40"/>
      <c r="L70" s="40"/>
      <c r="M70" s="38">
        <f t="shared" si="1"/>
        <v>0</v>
      </c>
      <c r="N70" s="41">
        <v>12</v>
      </c>
      <c r="O70" s="31">
        <v>19664.86</v>
      </c>
      <c r="P70" s="31">
        <v>11388.46</v>
      </c>
      <c r="Q70" s="79">
        <f t="shared" si="2"/>
        <v>8276.4000000000015</v>
      </c>
    </row>
    <row r="71" spans="1:18" s="13" customFormat="1" ht="15.75" x14ac:dyDescent="0.25">
      <c r="A71" s="10"/>
      <c r="B71" s="27" t="s">
        <v>53</v>
      </c>
      <c r="C71" s="1" t="s">
        <v>17</v>
      </c>
      <c r="D71" s="120"/>
      <c r="E71" s="3" t="s">
        <v>20</v>
      </c>
      <c r="F71" s="73" t="s">
        <v>353</v>
      </c>
      <c r="G71" s="74" t="s">
        <v>112</v>
      </c>
      <c r="H71" s="75">
        <v>5</v>
      </c>
      <c r="I71" s="76"/>
      <c r="J71" s="96"/>
      <c r="K71" s="77"/>
      <c r="L71" s="77"/>
      <c r="M71" s="78">
        <f>K71-L71</f>
        <v>0</v>
      </c>
      <c r="N71" s="100">
        <f>1+2+2</f>
        <v>5</v>
      </c>
      <c r="O71" s="81">
        <f>1743.3+3921.71+422.62</f>
        <v>6087.63</v>
      </c>
      <c r="P71" s="81">
        <f>422.62</f>
        <v>422.62</v>
      </c>
      <c r="Q71" s="12">
        <f t="shared" si="2"/>
        <v>5665.01</v>
      </c>
      <c r="R71" s="141"/>
    </row>
    <row r="72" spans="1:18" s="13" customFormat="1" ht="15.75" x14ac:dyDescent="0.25">
      <c r="A72" s="10"/>
      <c r="B72" s="27" t="s">
        <v>149</v>
      </c>
      <c r="C72" s="1" t="s">
        <v>17</v>
      </c>
      <c r="D72" s="120"/>
      <c r="E72" s="3" t="s">
        <v>383</v>
      </c>
      <c r="F72" s="73" t="s">
        <v>354</v>
      </c>
      <c r="G72" s="74" t="s">
        <v>112</v>
      </c>
      <c r="H72" s="75">
        <v>14</v>
      </c>
      <c r="I72" s="76"/>
      <c r="J72" s="96"/>
      <c r="K72" s="77"/>
      <c r="L72" s="77"/>
      <c r="M72" s="38">
        <f t="shared" si="1"/>
        <v>0</v>
      </c>
      <c r="N72" s="100">
        <f>2+2</f>
        <v>4</v>
      </c>
      <c r="O72" s="81">
        <f>3676.8+3431.65</f>
        <v>7108.4500000000007</v>
      </c>
      <c r="P72" s="81"/>
      <c r="Q72" s="79">
        <f t="shared" si="2"/>
        <v>7108.4500000000007</v>
      </c>
      <c r="R72" s="141"/>
    </row>
    <row r="73" spans="1:18" s="13" customFormat="1" ht="15.75" x14ac:dyDescent="0.25">
      <c r="A73" s="10"/>
      <c r="B73" s="25" t="s">
        <v>149</v>
      </c>
      <c r="C73" s="1" t="s">
        <v>17</v>
      </c>
      <c r="D73" s="120"/>
      <c r="E73" s="3" t="s">
        <v>383</v>
      </c>
      <c r="F73" s="73" t="s">
        <v>438</v>
      </c>
      <c r="G73" s="11" t="s">
        <v>118</v>
      </c>
      <c r="H73" s="1">
        <v>3</v>
      </c>
      <c r="I73" s="47"/>
      <c r="J73" s="51"/>
      <c r="K73" s="37"/>
      <c r="L73" s="37"/>
      <c r="M73" s="78">
        <f t="shared" si="1"/>
        <v>0</v>
      </c>
      <c r="N73" s="39">
        <v>3</v>
      </c>
      <c r="O73" s="31">
        <v>4994.6000000000004</v>
      </c>
      <c r="P73" s="31">
        <v>2689.4</v>
      </c>
      <c r="Q73" s="12">
        <f t="shared" si="2"/>
        <v>2305.2000000000003</v>
      </c>
    </row>
    <row r="74" spans="1:18" s="13" customFormat="1" ht="15.75" x14ac:dyDescent="0.25">
      <c r="A74" s="10"/>
      <c r="B74" s="62" t="s">
        <v>107</v>
      </c>
      <c r="C74" s="1" t="s">
        <v>17</v>
      </c>
      <c r="D74" s="120"/>
      <c r="E74" s="17" t="s">
        <v>20</v>
      </c>
      <c r="F74" s="73" t="s">
        <v>355</v>
      </c>
      <c r="G74" s="74" t="s">
        <v>112</v>
      </c>
      <c r="H74" s="75">
        <v>4</v>
      </c>
      <c r="I74" s="76"/>
      <c r="J74" s="96">
        <f>1</f>
        <v>1</v>
      </c>
      <c r="K74" s="77">
        <f>666.63</f>
        <v>666.63</v>
      </c>
      <c r="L74" s="77"/>
      <c r="M74" s="38">
        <f t="shared" si="1"/>
        <v>666.63</v>
      </c>
      <c r="N74" s="100">
        <f>2+6</f>
        <v>8</v>
      </c>
      <c r="O74" s="81">
        <f>7612.92+18804.48+9163.33</f>
        <v>35580.730000000003</v>
      </c>
      <c r="P74" s="81">
        <f>7612.92</f>
        <v>7612.92</v>
      </c>
      <c r="Q74" s="79">
        <f t="shared" si="2"/>
        <v>27967.810000000005</v>
      </c>
      <c r="R74" s="141"/>
    </row>
    <row r="75" spans="1:18" s="13" customFormat="1" ht="15.75" x14ac:dyDescent="0.25">
      <c r="A75" s="10"/>
      <c r="B75" s="30" t="s">
        <v>54</v>
      </c>
      <c r="C75" s="1" t="s">
        <v>17</v>
      </c>
      <c r="D75" s="120"/>
      <c r="E75" s="17" t="s">
        <v>20</v>
      </c>
      <c r="F75" s="73" t="s">
        <v>356</v>
      </c>
      <c r="G75" s="74" t="s">
        <v>112</v>
      </c>
      <c r="H75" s="75"/>
      <c r="I75" s="76"/>
      <c r="J75" s="96"/>
      <c r="K75" s="77"/>
      <c r="L75" s="77"/>
      <c r="M75" s="38">
        <f t="shared" si="1"/>
        <v>0</v>
      </c>
      <c r="N75" s="100">
        <f>4</f>
        <v>4</v>
      </c>
      <c r="O75" s="81">
        <f>17895.28</f>
        <v>17895.28</v>
      </c>
      <c r="P75" s="81"/>
      <c r="Q75" s="79">
        <f t="shared" si="2"/>
        <v>17895.28</v>
      </c>
      <c r="R75" s="141"/>
    </row>
    <row r="76" spans="1:18" s="13" customFormat="1" ht="31.5" x14ac:dyDescent="0.25">
      <c r="A76" s="10"/>
      <c r="B76" s="27" t="s">
        <v>55</v>
      </c>
      <c r="C76" s="1" t="s">
        <v>304</v>
      </c>
      <c r="D76" s="120" t="s">
        <v>387</v>
      </c>
      <c r="E76" s="3" t="s">
        <v>20</v>
      </c>
      <c r="F76" s="73" t="s">
        <v>357</v>
      </c>
      <c r="G76" s="74" t="s">
        <v>112</v>
      </c>
      <c r="H76" s="75">
        <v>10</v>
      </c>
      <c r="I76" s="76">
        <v>2</v>
      </c>
      <c r="J76" s="96"/>
      <c r="K76" s="77">
        <f>1267.86</f>
        <v>1267.8599999999999</v>
      </c>
      <c r="L76" s="77"/>
      <c r="M76" s="78">
        <f t="shared" si="1"/>
        <v>1267.8599999999999</v>
      </c>
      <c r="N76" s="100">
        <f>2+1+2</f>
        <v>5</v>
      </c>
      <c r="O76" s="81">
        <f>34854.19+2113.1+6430.67</f>
        <v>43397.96</v>
      </c>
      <c r="P76" s="81">
        <f>34854.19</f>
        <v>34854.19</v>
      </c>
      <c r="Q76" s="12">
        <f t="shared" si="2"/>
        <v>8543.7699999999968</v>
      </c>
      <c r="R76" s="141"/>
    </row>
    <row r="77" spans="1:18" s="13" customFormat="1" ht="31.5" x14ac:dyDescent="0.25">
      <c r="A77" s="10"/>
      <c r="B77" s="62" t="s">
        <v>56</v>
      </c>
      <c r="C77" s="1" t="s">
        <v>17</v>
      </c>
      <c r="D77" s="120" t="s">
        <v>386</v>
      </c>
      <c r="E77" s="3" t="s">
        <v>18</v>
      </c>
      <c r="F77" s="73" t="s">
        <v>358</v>
      </c>
      <c r="G77" s="74" t="s">
        <v>112</v>
      </c>
      <c r="H77" s="75">
        <v>2</v>
      </c>
      <c r="I77" s="76">
        <v>1</v>
      </c>
      <c r="J77" s="96">
        <f>1</f>
        <v>1</v>
      </c>
      <c r="K77" s="77">
        <f>678.11</f>
        <v>678.11</v>
      </c>
      <c r="L77" s="77"/>
      <c r="M77" s="38">
        <f t="shared" si="1"/>
        <v>678.11</v>
      </c>
      <c r="N77" s="100"/>
      <c r="O77" s="81"/>
      <c r="P77" s="81"/>
      <c r="Q77" s="79">
        <f t="shared" si="2"/>
        <v>0</v>
      </c>
      <c r="R77" s="141"/>
    </row>
    <row r="78" spans="1:18" s="13" customFormat="1" ht="31.5" x14ac:dyDescent="0.25">
      <c r="A78" s="10"/>
      <c r="B78" s="22" t="s">
        <v>56</v>
      </c>
      <c r="C78" s="1" t="s">
        <v>304</v>
      </c>
      <c r="D78" s="120" t="s">
        <v>386</v>
      </c>
      <c r="E78" s="3" t="s">
        <v>18</v>
      </c>
      <c r="F78" s="73" t="s">
        <v>476</v>
      </c>
      <c r="G78" s="11" t="s">
        <v>113</v>
      </c>
      <c r="H78" s="1">
        <v>1</v>
      </c>
      <c r="I78" s="49">
        <v>1</v>
      </c>
      <c r="J78" s="46">
        <v>1</v>
      </c>
      <c r="K78" s="40">
        <v>1480</v>
      </c>
      <c r="L78" s="40"/>
      <c r="M78" s="78">
        <f t="shared" si="1"/>
        <v>1480</v>
      </c>
      <c r="N78" s="41"/>
      <c r="O78" s="31">
        <v>7612</v>
      </c>
      <c r="P78" s="31">
        <v>1657</v>
      </c>
      <c r="Q78" s="12">
        <f t="shared" ref="Q78:Q145" si="3">O78-P78</f>
        <v>5955</v>
      </c>
    </row>
    <row r="79" spans="1:18" s="13" customFormat="1" ht="15.75" x14ac:dyDescent="0.25">
      <c r="A79" s="10"/>
      <c r="B79" s="62" t="s">
        <v>156</v>
      </c>
      <c r="C79" s="1" t="s">
        <v>304</v>
      </c>
      <c r="D79" s="120"/>
      <c r="E79" s="3" t="s">
        <v>20</v>
      </c>
      <c r="F79" s="73" t="s">
        <v>359</v>
      </c>
      <c r="G79" s="74" t="s">
        <v>112</v>
      </c>
      <c r="H79" s="75">
        <v>3</v>
      </c>
      <c r="I79" s="76"/>
      <c r="J79" s="96">
        <f>2</f>
        <v>2</v>
      </c>
      <c r="K79" s="77"/>
      <c r="L79" s="77"/>
      <c r="M79" s="38">
        <f t="shared" si="1"/>
        <v>0</v>
      </c>
      <c r="N79" s="100">
        <f>3+1</f>
        <v>4</v>
      </c>
      <c r="O79" s="81">
        <f>5488.54+2398.37</f>
        <v>7886.91</v>
      </c>
      <c r="P79" s="81"/>
      <c r="Q79" s="79">
        <f t="shared" si="3"/>
        <v>7886.91</v>
      </c>
      <c r="R79" s="141"/>
    </row>
    <row r="80" spans="1:18" s="15" customFormat="1" ht="15.75" x14ac:dyDescent="0.25">
      <c r="A80" s="14"/>
      <c r="B80" s="80" t="s">
        <v>57</v>
      </c>
      <c r="C80" s="1" t="s">
        <v>17</v>
      </c>
      <c r="D80" s="120"/>
      <c r="E80" s="3" t="s">
        <v>20</v>
      </c>
      <c r="F80" s="73" t="s">
        <v>360</v>
      </c>
      <c r="G80" s="74" t="s">
        <v>112</v>
      </c>
      <c r="H80" s="75">
        <v>4</v>
      </c>
      <c r="I80" s="76">
        <v>2</v>
      </c>
      <c r="J80" s="96">
        <f>2</f>
        <v>2</v>
      </c>
      <c r="K80" s="77">
        <f>806.82</f>
        <v>806.82</v>
      </c>
      <c r="L80" s="77"/>
      <c r="M80" s="78">
        <f t="shared" si="1"/>
        <v>806.82</v>
      </c>
      <c r="N80" s="100">
        <f>2+1</f>
        <v>3</v>
      </c>
      <c r="O80" s="81">
        <f>2745.3</f>
        <v>2745.3</v>
      </c>
      <c r="P80" s="81"/>
      <c r="Q80" s="12">
        <f t="shared" si="3"/>
        <v>2745.3</v>
      </c>
      <c r="R80" s="141"/>
    </row>
    <row r="81" spans="1:18" s="15" customFormat="1" ht="15.75" x14ac:dyDescent="0.25">
      <c r="A81" s="14"/>
      <c r="B81" s="23" t="s">
        <v>57</v>
      </c>
      <c r="C81" s="1" t="s">
        <v>17</v>
      </c>
      <c r="D81" s="120"/>
      <c r="E81" s="3" t="s">
        <v>20</v>
      </c>
      <c r="F81" s="73" t="s">
        <v>458</v>
      </c>
      <c r="G81" s="11" t="s">
        <v>114</v>
      </c>
      <c r="H81" s="1">
        <v>13</v>
      </c>
      <c r="I81" s="49">
        <v>1</v>
      </c>
      <c r="J81" s="51">
        <v>1</v>
      </c>
      <c r="K81" s="40"/>
      <c r="L81" s="40"/>
      <c r="M81" s="38">
        <f t="shared" si="1"/>
        <v>0</v>
      </c>
      <c r="N81" s="42">
        <v>7</v>
      </c>
      <c r="O81" s="31">
        <v>5825.46</v>
      </c>
      <c r="P81" s="31">
        <v>5825.46</v>
      </c>
      <c r="Q81" s="79">
        <f t="shared" si="3"/>
        <v>0</v>
      </c>
    </row>
    <row r="82" spans="1:18" s="13" customFormat="1" ht="15.75" x14ac:dyDescent="0.25">
      <c r="A82" s="10"/>
      <c r="B82" s="62" t="s">
        <v>58</v>
      </c>
      <c r="C82" s="1" t="s">
        <v>17</v>
      </c>
      <c r="D82" s="120"/>
      <c r="E82" s="3" t="s">
        <v>20</v>
      </c>
      <c r="F82" s="73" t="s">
        <v>361</v>
      </c>
      <c r="G82" s="74" t="s">
        <v>112</v>
      </c>
      <c r="H82" s="75">
        <v>2</v>
      </c>
      <c r="I82" s="76"/>
      <c r="J82" s="96"/>
      <c r="K82" s="77"/>
      <c r="L82" s="77"/>
      <c r="M82" s="78">
        <f t="shared" si="1"/>
        <v>0</v>
      </c>
      <c r="N82" s="100">
        <f>1+1+3</f>
        <v>5</v>
      </c>
      <c r="O82" s="81">
        <f>9196.24+2480.78+2954.11+15214.32</f>
        <v>29845.45</v>
      </c>
      <c r="P82" s="81"/>
      <c r="Q82" s="12">
        <f t="shared" si="3"/>
        <v>29845.45</v>
      </c>
      <c r="R82" s="141"/>
    </row>
    <row r="83" spans="1:18" s="13" customFormat="1" ht="15.75" x14ac:dyDescent="0.25">
      <c r="A83" s="10"/>
      <c r="B83" s="22" t="s">
        <v>58</v>
      </c>
      <c r="C83" s="1" t="s">
        <v>17</v>
      </c>
      <c r="D83" s="120"/>
      <c r="E83" s="3" t="s">
        <v>20</v>
      </c>
      <c r="F83" s="73" t="s">
        <v>478</v>
      </c>
      <c r="G83" s="11" t="s">
        <v>114</v>
      </c>
      <c r="H83" s="1">
        <v>2</v>
      </c>
      <c r="I83" s="49"/>
      <c r="J83" s="51"/>
      <c r="K83" s="40"/>
      <c r="L83" s="40"/>
      <c r="M83" s="38">
        <f t="shared" ref="M83:M155" si="4">K83-L83</f>
        <v>0</v>
      </c>
      <c r="N83" s="41">
        <v>15</v>
      </c>
      <c r="O83" s="31">
        <v>23095.57</v>
      </c>
      <c r="P83" s="31">
        <v>16615.25</v>
      </c>
      <c r="Q83" s="79">
        <f t="shared" si="3"/>
        <v>6480.32</v>
      </c>
    </row>
    <row r="84" spans="1:18" s="13" customFormat="1" ht="15.75" x14ac:dyDescent="0.25">
      <c r="A84" s="10"/>
      <c r="B84" s="62" t="s">
        <v>59</v>
      </c>
      <c r="C84" s="1" t="s">
        <v>17</v>
      </c>
      <c r="D84" s="120"/>
      <c r="E84" s="3" t="s">
        <v>20</v>
      </c>
      <c r="F84" s="73" t="s">
        <v>362</v>
      </c>
      <c r="G84" s="74" t="s">
        <v>112</v>
      </c>
      <c r="H84" s="75">
        <v>3</v>
      </c>
      <c r="I84" s="76">
        <v>3</v>
      </c>
      <c r="J84" s="96">
        <f>1+1+1</f>
        <v>3</v>
      </c>
      <c r="K84" s="77">
        <f>403.41</f>
        <v>403.41</v>
      </c>
      <c r="L84" s="77"/>
      <c r="M84" s="78">
        <f t="shared" si="4"/>
        <v>403.41</v>
      </c>
      <c r="N84" s="100">
        <f>1+2+2+1</f>
        <v>6</v>
      </c>
      <c r="O84" s="81">
        <f>6646.05+1267.86+979.71</f>
        <v>8893.619999999999</v>
      </c>
      <c r="P84" s="81">
        <f>2353.23</f>
        <v>2353.23</v>
      </c>
      <c r="Q84" s="12">
        <f t="shared" si="3"/>
        <v>6540.3899999999994</v>
      </c>
      <c r="R84" s="141"/>
    </row>
    <row r="85" spans="1:18" s="13" customFormat="1" ht="15.75" x14ac:dyDescent="0.25">
      <c r="A85" s="10"/>
      <c r="B85" s="22" t="s">
        <v>59</v>
      </c>
      <c r="C85" s="1" t="s">
        <v>17</v>
      </c>
      <c r="D85" s="120"/>
      <c r="E85" s="3" t="s">
        <v>20</v>
      </c>
      <c r="F85" s="73" t="s">
        <v>128</v>
      </c>
      <c r="G85" s="11" t="s">
        <v>114</v>
      </c>
      <c r="H85" s="1"/>
      <c r="I85" s="49"/>
      <c r="J85" s="51"/>
      <c r="K85" s="40"/>
      <c r="L85" s="40"/>
      <c r="M85" s="38">
        <f t="shared" si="4"/>
        <v>0</v>
      </c>
      <c r="N85" s="41"/>
      <c r="O85" s="31"/>
      <c r="P85" s="31"/>
      <c r="Q85" s="79">
        <f t="shared" si="3"/>
        <v>0</v>
      </c>
    </row>
    <row r="86" spans="1:18" s="13" customFormat="1" ht="15.75" x14ac:dyDescent="0.25">
      <c r="A86" s="10"/>
      <c r="B86" s="27" t="s">
        <v>60</v>
      </c>
      <c r="C86" s="1" t="s">
        <v>17</v>
      </c>
      <c r="D86" s="120"/>
      <c r="E86" s="3" t="s">
        <v>20</v>
      </c>
      <c r="F86" s="73" t="s">
        <v>364</v>
      </c>
      <c r="G86" s="74" t="s">
        <v>112</v>
      </c>
      <c r="H86" s="75">
        <v>6</v>
      </c>
      <c r="I86" s="76">
        <v>1</v>
      </c>
      <c r="J86" s="96">
        <f>1</f>
        <v>1</v>
      </c>
      <c r="K86" s="77">
        <f>634.93</f>
        <v>634.92999999999995</v>
      </c>
      <c r="L86" s="77"/>
      <c r="M86" s="78">
        <f t="shared" si="4"/>
        <v>634.92999999999995</v>
      </c>
      <c r="N86" s="100">
        <f>4+1</f>
        <v>5</v>
      </c>
      <c r="O86" s="81">
        <f>15124.53+2065.75</f>
        <v>17190.28</v>
      </c>
      <c r="P86" s="81"/>
      <c r="Q86" s="12">
        <f t="shared" si="3"/>
        <v>17190.28</v>
      </c>
      <c r="R86" s="141"/>
    </row>
    <row r="87" spans="1:18" s="13" customFormat="1" ht="15.75" x14ac:dyDescent="0.25">
      <c r="A87" s="10"/>
      <c r="B87" s="25" t="s">
        <v>60</v>
      </c>
      <c r="C87" s="1" t="s">
        <v>17</v>
      </c>
      <c r="D87" s="120"/>
      <c r="E87" s="3" t="s">
        <v>20</v>
      </c>
      <c r="F87" s="73" t="s">
        <v>479</v>
      </c>
      <c r="G87" s="11" t="s">
        <v>114</v>
      </c>
      <c r="H87" s="1">
        <v>3</v>
      </c>
      <c r="I87" s="49"/>
      <c r="J87" s="51"/>
      <c r="K87" s="40"/>
      <c r="L87" s="40"/>
      <c r="M87" s="38">
        <f t="shared" si="4"/>
        <v>0</v>
      </c>
      <c r="N87" s="41">
        <v>7</v>
      </c>
      <c r="O87" s="31">
        <v>6259.4</v>
      </c>
      <c r="P87" s="31">
        <v>6259.4</v>
      </c>
      <c r="Q87" s="79">
        <f t="shared" si="3"/>
        <v>0</v>
      </c>
    </row>
    <row r="88" spans="1:18" s="13" customFormat="1" ht="15.75" x14ac:dyDescent="0.25">
      <c r="A88" s="10"/>
      <c r="B88" s="25" t="s">
        <v>493</v>
      </c>
      <c r="C88" s="1" t="s">
        <v>17</v>
      </c>
      <c r="D88" s="120"/>
      <c r="E88" s="3" t="s">
        <v>20</v>
      </c>
      <c r="F88" s="73" t="s">
        <v>496</v>
      </c>
      <c r="G88" s="11" t="s">
        <v>112</v>
      </c>
      <c r="H88" s="1">
        <v>2</v>
      </c>
      <c r="I88" s="49"/>
      <c r="J88" s="51"/>
      <c r="K88" s="40"/>
      <c r="L88" s="40"/>
      <c r="M88" s="38"/>
      <c r="N88" s="41"/>
      <c r="O88" s="31"/>
      <c r="P88" s="31"/>
      <c r="Q88" s="79"/>
    </row>
    <row r="89" spans="1:18" s="15" customFormat="1" ht="15.75" x14ac:dyDescent="0.25">
      <c r="A89" s="14"/>
      <c r="B89" s="28" t="s">
        <v>61</v>
      </c>
      <c r="C89" s="1" t="s">
        <v>17</v>
      </c>
      <c r="D89" s="120"/>
      <c r="E89" s="3" t="s">
        <v>20</v>
      </c>
      <c r="F89" s="73" t="s">
        <v>363</v>
      </c>
      <c r="G89" s="74" t="s">
        <v>112</v>
      </c>
      <c r="H89" s="75"/>
      <c r="I89" s="76"/>
      <c r="J89" s="96"/>
      <c r="K89" s="77"/>
      <c r="L89" s="77"/>
      <c r="M89" s="78">
        <f t="shared" si="4"/>
        <v>0</v>
      </c>
      <c r="N89" s="100"/>
      <c r="O89" s="81"/>
      <c r="P89" s="81"/>
      <c r="Q89" s="12">
        <f t="shared" si="3"/>
        <v>0</v>
      </c>
      <c r="R89" s="141"/>
    </row>
    <row r="90" spans="1:18" s="15" customFormat="1" ht="15.75" x14ac:dyDescent="0.25">
      <c r="A90" s="14"/>
      <c r="B90" s="26" t="s">
        <v>61</v>
      </c>
      <c r="C90" s="1" t="s">
        <v>17</v>
      </c>
      <c r="D90" s="120"/>
      <c r="E90" s="3" t="s">
        <v>20</v>
      </c>
      <c r="F90" s="73" t="s">
        <v>121</v>
      </c>
      <c r="G90" s="11" t="s">
        <v>114</v>
      </c>
      <c r="H90" s="1"/>
      <c r="I90" s="49"/>
      <c r="J90" s="51"/>
      <c r="K90" s="40"/>
      <c r="L90" s="40"/>
      <c r="M90" s="38">
        <f t="shared" si="4"/>
        <v>0</v>
      </c>
      <c r="N90" s="42"/>
      <c r="O90" s="31"/>
      <c r="P90" s="31"/>
      <c r="Q90" s="79">
        <f t="shared" si="3"/>
        <v>0</v>
      </c>
    </row>
    <row r="91" spans="1:18" s="15" customFormat="1" ht="15.75" x14ac:dyDescent="0.25">
      <c r="A91" s="14"/>
      <c r="B91" s="20" t="s">
        <v>306</v>
      </c>
      <c r="C91" s="1" t="s">
        <v>17</v>
      </c>
      <c r="D91" s="120"/>
      <c r="E91" s="3" t="s">
        <v>35</v>
      </c>
      <c r="F91" s="73" t="s">
        <v>365</v>
      </c>
      <c r="G91" s="11" t="s">
        <v>112</v>
      </c>
      <c r="H91" s="1">
        <v>14</v>
      </c>
      <c r="I91" s="58">
        <v>4</v>
      </c>
      <c r="J91" s="51">
        <f>1+2+1+3</f>
        <v>7</v>
      </c>
      <c r="K91" s="40">
        <f>1045.98+2658.7+35696.14</f>
        <v>39400.82</v>
      </c>
      <c r="L91" s="40"/>
      <c r="M91" s="78">
        <f t="shared" si="4"/>
        <v>39400.82</v>
      </c>
      <c r="N91" s="39">
        <f>7+2+2+2</f>
        <v>13</v>
      </c>
      <c r="O91" s="31">
        <f>2313.84+6162.57+2330.32+1690.48</f>
        <v>12497.21</v>
      </c>
      <c r="P91" s="31">
        <f>2313.84</f>
        <v>2313.84</v>
      </c>
      <c r="Q91" s="12">
        <f t="shared" si="3"/>
        <v>10183.369999999999</v>
      </c>
      <c r="R91" s="141"/>
    </row>
    <row r="92" spans="1:18" s="13" customFormat="1" ht="15.75" x14ac:dyDescent="0.25">
      <c r="A92" s="10"/>
      <c r="B92" s="22" t="s">
        <v>306</v>
      </c>
      <c r="C92" s="1" t="s">
        <v>17</v>
      </c>
      <c r="D92" s="120"/>
      <c r="E92" s="3" t="s">
        <v>27</v>
      </c>
      <c r="F92" s="73" t="s">
        <v>421</v>
      </c>
      <c r="G92" s="11" t="s">
        <v>117</v>
      </c>
      <c r="H92" s="1">
        <v>2</v>
      </c>
      <c r="I92" s="49"/>
      <c r="J92" s="46"/>
      <c r="K92" s="40"/>
      <c r="L92" s="40"/>
      <c r="M92" s="78">
        <f>K92-L92</f>
        <v>0</v>
      </c>
      <c r="N92" s="41"/>
      <c r="O92" s="40"/>
      <c r="P92" s="40"/>
      <c r="Q92" s="79">
        <f>O92-P92</f>
        <v>0</v>
      </c>
    </row>
    <row r="93" spans="1:18" s="13" customFormat="1" ht="15.75" x14ac:dyDescent="0.25">
      <c r="A93" s="10"/>
      <c r="B93" s="27" t="s">
        <v>62</v>
      </c>
      <c r="C93" s="1" t="s">
        <v>17</v>
      </c>
      <c r="D93" s="120"/>
      <c r="E93" s="3" t="s">
        <v>35</v>
      </c>
      <c r="F93" s="73" t="s">
        <v>366</v>
      </c>
      <c r="G93" s="74" t="s">
        <v>112</v>
      </c>
      <c r="H93" s="75">
        <v>7</v>
      </c>
      <c r="I93" s="76">
        <v>6</v>
      </c>
      <c r="J93" s="96">
        <f>1+3</f>
        <v>4</v>
      </c>
      <c r="K93" s="77">
        <f>3613.4+1872.01</f>
        <v>5485.41</v>
      </c>
      <c r="L93" s="77"/>
      <c r="M93" s="38">
        <f t="shared" si="4"/>
        <v>5485.41</v>
      </c>
      <c r="N93" s="100">
        <f>6+2+1</f>
        <v>9</v>
      </c>
      <c r="O93" s="81">
        <f>19511.33+1270.93+3979.74+2500.85</f>
        <v>27262.85</v>
      </c>
      <c r="P93" s="81"/>
      <c r="Q93" s="79">
        <f t="shared" si="3"/>
        <v>27262.85</v>
      </c>
      <c r="R93" s="141"/>
    </row>
    <row r="94" spans="1:18" s="13" customFormat="1" ht="15.75" x14ac:dyDescent="0.25">
      <c r="A94" s="10"/>
      <c r="B94" s="25" t="s">
        <v>62</v>
      </c>
      <c r="C94" s="1" t="s">
        <v>17</v>
      </c>
      <c r="D94" s="120"/>
      <c r="E94" s="3" t="s">
        <v>35</v>
      </c>
      <c r="F94" s="73" t="s">
        <v>428</v>
      </c>
      <c r="G94" s="11" t="s">
        <v>117</v>
      </c>
      <c r="H94" s="1">
        <v>1</v>
      </c>
      <c r="I94" s="49"/>
      <c r="J94" s="46"/>
      <c r="K94" s="40"/>
      <c r="L94" s="40"/>
      <c r="M94" s="78">
        <f t="shared" si="4"/>
        <v>0</v>
      </c>
      <c r="N94" s="41">
        <v>8</v>
      </c>
      <c r="O94" s="31">
        <v>17217.2</v>
      </c>
      <c r="P94" s="31"/>
      <c r="Q94" s="12">
        <f t="shared" si="3"/>
        <v>17217.2</v>
      </c>
    </row>
    <row r="95" spans="1:18" s="13" customFormat="1" ht="15.75" x14ac:dyDescent="0.25">
      <c r="A95" s="10"/>
      <c r="B95" s="25" t="s">
        <v>63</v>
      </c>
      <c r="C95" s="1" t="s">
        <v>64</v>
      </c>
      <c r="D95" s="120" t="s">
        <v>65</v>
      </c>
      <c r="E95" s="3" t="s">
        <v>20</v>
      </c>
      <c r="F95" s="73" t="s">
        <v>480</v>
      </c>
      <c r="G95" s="11" t="s">
        <v>114</v>
      </c>
      <c r="H95" s="1"/>
      <c r="I95" s="49"/>
      <c r="J95" s="51"/>
      <c r="K95" s="40"/>
      <c r="L95" s="40"/>
      <c r="M95" s="38">
        <f t="shared" si="4"/>
        <v>0</v>
      </c>
      <c r="N95" s="41"/>
      <c r="O95" s="31"/>
      <c r="P95" s="31"/>
      <c r="Q95" s="79">
        <f t="shared" si="3"/>
        <v>0</v>
      </c>
    </row>
    <row r="96" spans="1:18" s="13" customFormat="1" ht="15.75" x14ac:dyDescent="0.25">
      <c r="A96" s="10"/>
      <c r="B96" s="27" t="s">
        <v>155</v>
      </c>
      <c r="C96" s="1" t="s">
        <v>17</v>
      </c>
      <c r="D96" s="120"/>
      <c r="E96" s="3" t="s">
        <v>20</v>
      </c>
      <c r="F96" s="73" t="s">
        <v>367</v>
      </c>
      <c r="G96" s="74" t="s">
        <v>112</v>
      </c>
      <c r="H96" s="75">
        <v>5</v>
      </c>
      <c r="I96" s="82">
        <v>1</v>
      </c>
      <c r="J96" s="96">
        <f>1</f>
        <v>1</v>
      </c>
      <c r="K96" s="77">
        <f>3117.56</f>
        <v>3117.56</v>
      </c>
      <c r="L96" s="77"/>
      <c r="M96" s="78">
        <f t="shared" si="4"/>
        <v>3117.56</v>
      </c>
      <c r="N96" s="100">
        <f>1+1+1</f>
        <v>3</v>
      </c>
      <c r="O96" s="81">
        <f>1798.06+2123.67</f>
        <v>3921.73</v>
      </c>
      <c r="P96" s="81"/>
      <c r="Q96" s="12">
        <f t="shared" si="3"/>
        <v>3921.73</v>
      </c>
      <c r="R96" s="141"/>
    </row>
    <row r="97" spans="1:19" s="13" customFormat="1" ht="15.75" x14ac:dyDescent="0.25">
      <c r="A97" s="10"/>
      <c r="B97" s="25" t="s">
        <v>155</v>
      </c>
      <c r="C97" s="1" t="s">
        <v>17</v>
      </c>
      <c r="D97" s="120"/>
      <c r="E97" s="3" t="s">
        <v>20</v>
      </c>
      <c r="F97" s="73" t="s">
        <v>459</v>
      </c>
      <c r="G97" s="11" t="s">
        <v>114</v>
      </c>
      <c r="H97" s="1">
        <v>6</v>
      </c>
      <c r="I97" s="49"/>
      <c r="J97" s="51"/>
      <c r="K97" s="40"/>
      <c r="L97" s="40"/>
      <c r="M97" s="38">
        <f t="shared" si="4"/>
        <v>0</v>
      </c>
      <c r="N97" s="41">
        <v>13</v>
      </c>
      <c r="O97" s="31">
        <v>17392.43</v>
      </c>
      <c r="P97" s="31">
        <v>17392.43</v>
      </c>
      <c r="Q97" s="79">
        <f t="shared" si="3"/>
        <v>0</v>
      </c>
    </row>
    <row r="98" spans="1:19" s="13" customFormat="1" ht="15.75" x14ac:dyDescent="0.25">
      <c r="A98" s="10"/>
      <c r="B98" s="30" t="s">
        <v>66</v>
      </c>
      <c r="C98" s="1" t="s">
        <v>17</v>
      </c>
      <c r="D98" s="120"/>
      <c r="E98" s="3" t="s">
        <v>21</v>
      </c>
      <c r="F98" s="73" t="s">
        <v>368</v>
      </c>
      <c r="G98" s="74" t="s">
        <v>112</v>
      </c>
      <c r="H98" s="75">
        <v>10</v>
      </c>
      <c r="I98" s="76">
        <v>5</v>
      </c>
      <c r="J98" s="96">
        <f>1+3+2</f>
        <v>6</v>
      </c>
      <c r="K98" s="77">
        <f>1045.98+4309.04+3820.12+1872.01+4253.49</f>
        <v>15300.64</v>
      </c>
      <c r="L98" s="77"/>
      <c r="M98" s="78">
        <f t="shared" si="4"/>
        <v>15300.64</v>
      </c>
      <c r="N98" s="100">
        <f>6+3+8+7+1+1+1</f>
        <v>27</v>
      </c>
      <c r="O98" s="81">
        <f>11911.17+23136+18060.17+1977.84</f>
        <v>55085.179999999993</v>
      </c>
      <c r="P98" s="81"/>
      <c r="Q98" s="12">
        <f t="shared" si="3"/>
        <v>55085.179999999993</v>
      </c>
      <c r="R98" s="141"/>
    </row>
    <row r="99" spans="1:19" s="13" customFormat="1" ht="15.75" x14ac:dyDescent="0.25">
      <c r="A99" s="10"/>
      <c r="B99" s="24" t="s">
        <v>66</v>
      </c>
      <c r="C99" s="1" t="s">
        <v>17</v>
      </c>
      <c r="D99" s="120"/>
      <c r="E99" s="3" t="s">
        <v>21</v>
      </c>
      <c r="F99" s="73" t="s">
        <v>439</v>
      </c>
      <c r="G99" s="11" t="s">
        <v>118</v>
      </c>
      <c r="H99" s="1">
        <v>5</v>
      </c>
      <c r="I99" s="49"/>
      <c r="J99" s="46"/>
      <c r="K99" s="40"/>
      <c r="L99" s="40"/>
      <c r="M99" s="38">
        <f t="shared" si="4"/>
        <v>0</v>
      </c>
      <c r="N99" s="41">
        <v>12</v>
      </c>
      <c r="O99" s="31">
        <v>43819.69</v>
      </c>
      <c r="P99" s="31">
        <v>4471.3599999999997</v>
      </c>
      <c r="Q99" s="79">
        <f t="shared" si="3"/>
        <v>39348.33</v>
      </c>
    </row>
    <row r="100" spans="1:19" s="13" customFormat="1" ht="15.75" x14ac:dyDescent="0.25">
      <c r="A100" s="10"/>
      <c r="B100" s="62" t="s">
        <v>137</v>
      </c>
      <c r="C100" s="1" t="s">
        <v>17</v>
      </c>
      <c r="D100" s="120"/>
      <c r="E100" s="17" t="s">
        <v>35</v>
      </c>
      <c r="F100" s="73" t="s">
        <v>369</v>
      </c>
      <c r="G100" s="74" t="s">
        <v>112</v>
      </c>
      <c r="H100" s="75">
        <v>9</v>
      </c>
      <c r="I100" s="76">
        <v>4</v>
      </c>
      <c r="J100" s="96">
        <f>3</f>
        <v>3</v>
      </c>
      <c r="K100" s="77">
        <f>504.26+845.24</f>
        <v>1349.5</v>
      </c>
      <c r="L100" s="77"/>
      <c r="M100" s="78">
        <f t="shared" si="4"/>
        <v>1349.5</v>
      </c>
      <c r="N100" s="100">
        <f>5+1+1+2</f>
        <v>9</v>
      </c>
      <c r="O100" s="81">
        <f>2617.36+422.62+3852.18</f>
        <v>6892.16</v>
      </c>
      <c r="P100" s="81">
        <f>2617.36</f>
        <v>2617.36</v>
      </c>
      <c r="Q100" s="12">
        <f t="shared" si="3"/>
        <v>4274.7999999999993</v>
      </c>
      <c r="R100" s="141"/>
    </row>
    <row r="101" spans="1:19" s="13" customFormat="1" ht="15.75" x14ac:dyDescent="0.25">
      <c r="A101" s="10"/>
      <c r="B101" s="22" t="s">
        <v>137</v>
      </c>
      <c r="C101" s="1" t="s">
        <v>17</v>
      </c>
      <c r="D101" s="120"/>
      <c r="E101" s="17" t="s">
        <v>35</v>
      </c>
      <c r="F101" s="73" t="s">
        <v>429</v>
      </c>
      <c r="G101" s="11" t="s">
        <v>117</v>
      </c>
      <c r="H101" s="1"/>
      <c r="I101" s="49"/>
      <c r="J101" s="51"/>
      <c r="K101" s="37"/>
      <c r="L101" s="37"/>
      <c r="M101" s="78">
        <f t="shared" si="4"/>
        <v>0</v>
      </c>
      <c r="N101" s="39">
        <v>1</v>
      </c>
      <c r="O101" s="31">
        <v>7299.8</v>
      </c>
      <c r="P101" s="31"/>
      <c r="Q101" s="79">
        <f t="shared" si="3"/>
        <v>7299.8</v>
      </c>
    </row>
    <row r="102" spans="1:19" s="13" customFormat="1" ht="15.75" x14ac:dyDescent="0.25">
      <c r="A102" s="10"/>
      <c r="B102" s="30" t="s">
        <v>67</v>
      </c>
      <c r="C102" s="1" t="s">
        <v>17</v>
      </c>
      <c r="D102" s="120"/>
      <c r="E102" s="17" t="s">
        <v>21</v>
      </c>
      <c r="F102" s="73" t="s">
        <v>370</v>
      </c>
      <c r="G102" s="74" t="s">
        <v>112</v>
      </c>
      <c r="H102" s="75">
        <v>9</v>
      </c>
      <c r="I102" s="76">
        <v>2</v>
      </c>
      <c r="J102" s="96">
        <f>2+1+1</f>
        <v>4</v>
      </c>
      <c r="K102" s="77">
        <f>3319.85</f>
        <v>3319.85</v>
      </c>
      <c r="L102" s="77"/>
      <c r="M102" s="38">
        <f t="shared" si="4"/>
        <v>3319.85</v>
      </c>
      <c r="N102" s="100">
        <f>4+9+4+4+1</f>
        <v>22</v>
      </c>
      <c r="O102" s="81">
        <f>29696.65+38129.03+13567.9+20687.05+2022.79</f>
        <v>104103.41999999998</v>
      </c>
      <c r="P102" s="81">
        <f>34696.65</f>
        <v>34696.65</v>
      </c>
      <c r="Q102" s="12">
        <f t="shared" si="3"/>
        <v>69406.76999999999</v>
      </c>
      <c r="R102" s="141"/>
    </row>
    <row r="103" spans="1:19" s="13" customFormat="1" ht="15.75" x14ac:dyDescent="0.25">
      <c r="A103" s="10"/>
      <c r="B103" s="24" t="s">
        <v>67</v>
      </c>
      <c r="C103" s="1" t="s">
        <v>17</v>
      </c>
      <c r="D103" s="120"/>
      <c r="E103" s="17" t="s">
        <v>21</v>
      </c>
      <c r="F103" s="73" t="s">
        <v>440</v>
      </c>
      <c r="G103" s="11" t="s">
        <v>118</v>
      </c>
      <c r="H103" s="1">
        <v>5</v>
      </c>
      <c r="I103" s="49"/>
      <c r="J103" s="46"/>
      <c r="K103" s="40"/>
      <c r="L103" s="40"/>
      <c r="M103" s="78">
        <f t="shared" si="4"/>
        <v>0</v>
      </c>
      <c r="N103" s="41">
        <v>7</v>
      </c>
      <c r="O103" s="31">
        <v>25515.51</v>
      </c>
      <c r="P103" s="31">
        <v>4866.6000000000004</v>
      </c>
      <c r="Q103" s="79">
        <f t="shared" si="3"/>
        <v>20648.909999999996</v>
      </c>
    </row>
    <row r="104" spans="1:19" s="13" customFormat="1" ht="15.75" x14ac:dyDescent="0.25">
      <c r="A104" s="10"/>
      <c r="B104" s="30" t="s">
        <v>68</v>
      </c>
      <c r="C104" s="1" t="s">
        <v>17</v>
      </c>
      <c r="D104" s="120"/>
      <c r="E104" s="17" t="s">
        <v>32</v>
      </c>
      <c r="F104" s="73" t="s">
        <v>371</v>
      </c>
      <c r="G104" s="74" t="s">
        <v>112</v>
      </c>
      <c r="H104" s="75">
        <v>9</v>
      </c>
      <c r="I104" s="76">
        <v>3</v>
      </c>
      <c r="J104" s="96">
        <f>2+1+2</f>
        <v>5</v>
      </c>
      <c r="K104" s="77">
        <f>1128.59+422.62</f>
        <v>1551.21</v>
      </c>
      <c r="L104" s="77"/>
      <c r="M104" s="38">
        <f t="shared" si="4"/>
        <v>1551.21</v>
      </c>
      <c r="N104" s="100">
        <f>6+5+1+4</f>
        <v>16</v>
      </c>
      <c r="O104" s="81">
        <f>7813.73+8523.5+1452.28+12582.19</f>
        <v>30371.699999999997</v>
      </c>
      <c r="P104" s="81">
        <f>7813.73</f>
        <v>7813.73</v>
      </c>
      <c r="Q104" s="12">
        <f t="shared" si="3"/>
        <v>22557.969999999998</v>
      </c>
      <c r="R104" s="141"/>
    </row>
    <row r="105" spans="1:19" s="13" customFormat="1" ht="15.75" x14ac:dyDescent="0.25">
      <c r="A105" s="10"/>
      <c r="B105" s="24" t="s">
        <v>68</v>
      </c>
      <c r="C105" s="1" t="s">
        <v>17</v>
      </c>
      <c r="D105" s="120"/>
      <c r="E105" s="17" t="s">
        <v>32</v>
      </c>
      <c r="F105" s="73" t="s">
        <v>430</v>
      </c>
      <c r="G105" s="8" t="s">
        <v>117</v>
      </c>
      <c r="H105" s="1"/>
      <c r="I105" s="49"/>
      <c r="J105" s="46"/>
      <c r="K105" s="40"/>
      <c r="L105" s="40"/>
      <c r="M105" s="78">
        <f t="shared" si="4"/>
        <v>0</v>
      </c>
      <c r="N105" s="41"/>
      <c r="O105" s="40"/>
      <c r="P105" s="40"/>
      <c r="Q105" s="79">
        <f t="shared" si="3"/>
        <v>0</v>
      </c>
    </row>
    <row r="106" spans="1:19" s="15" customFormat="1" ht="15.75" x14ac:dyDescent="0.25">
      <c r="A106" s="14"/>
      <c r="B106" s="28" t="s">
        <v>69</v>
      </c>
      <c r="C106" s="1" t="s">
        <v>17</v>
      </c>
      <c r="D106" s="120"/>
      <c r="E106" s="3" t="s">
        <v>20</v>
      </c>
      <c r="F106" s="73" t="s">
        <v>372</v>
      </c>
      <c r="G106" s="74" t="s">
        <v>112</v>
      </c>
      <c r="H106" s="75">
        <v>4</v>
      </c>
      <c r="I106" s="76"/>
      <c r="J106" s="96"/>
      <c r="K106" s="77"/>
      <c r="L106" s="77"/>
      <c r="M106" s="38">
        <f t="shared" si="4"/>
        <v>0</v>
      </c>
      <c r="N106" s="100">
        <f>3+2+1</f>
        <v>6</v>
      </c>
      <c r="O106" s="77">
        <f>7210.31+3647.96+1306.28</f>
        <v>12164.550000000001</v>
      </c>
      <c r="P106" s="77">
        <f>7201.31</f>
        <v>7201.31</v>
      </c>
      <c r="Q106" s="12">
        <f t="shared" si="3"/>
        <v>4963.2400000000007</v>
      </c>
      <c r="R106" s="141"/>
    </row>
    <row r="107" spans="1:19" s="13" customFormat="1" ht="15.75" x14ac:dyDescent="0.25">
      <c r="A107" s="10"/>
      <c r="B107" s="62" t="s">
        <v>70</v>
      </c>
      <c r="C107" s="1" t="s">
        <v>17</v>
      </c>
      <c r="D107" s="120"/>
      <c r="E107" s="3" t="s">
        <v>20</v>
      </c>
      <c r="F107" s="73" t="s">
        <v>373</v>
      </c>
      <c r="G107" s="74" t="s">
        <v>112</v>
      </c>
      <c r="H107" s="75">
        <v>5</v>
      </c>
      <c r="I107" s="76">
        <v>2</v>
      </c>
      <c r="J107" s="96">
        <f>2</f>
        <v>2</v>
      </c>
      <c r="K107" s="77">
        <f>1959.42</f>
        <v>1959.42</v>
      </c>
      <c r="L107" s="77"/>
      <c r="M107" s="78">
        <f t="shared" si="4"/>
        <v>1959.42</v>
      </c>
      <c r="N107" s="100">
        <f>2+3+4</f>
        <v>9</v>
      </c>
      <c r="O107" s="81">
        <v>7606.2</v>
      </c>
      <c r="P107" s="81">
        <f>3534.95</f>
        <v>3534.95</v>
      </c>
      <c r="Q107" s="79">
        <f t="shared" si="3"/>
        <v>4071.25</v>
      </c>
      <c r="R107" s="141"/>
    </row>
    <row r="108" spans="1:19" s="13" customFormat="1" ht="15.75" x14ac:dyDescent="0.25">
      <c r="A108" s="10"/>
      <c r="B108" s="22" t="s">
        <v>70</v>
      </c>
      <c r="C108" s="1" t="s">
        <v>17</v>
      </c>
      <c r="D108" s="120"/>
      <c r="E108" s="3" t="s">
        <v>20</v>
      </c>
      <c r="F108" s="73" t="s">
        <v>460</v>
      </c>
      <c r="G108" s="11" t="s">
        <v>114</v>
      </c>
      <c r="H108" s="1">
        <v>12</v>
      </c>
      <c r="I108" s="49"/>
      <c r="J108" s="51"/>
      <c r="K108" s="40"/>
      <c r="L108" s="40"/>
      <c r="M108" s="38">
        <f t="shared" si="4"/>
        <v>0</v>
      </c>
      <c r="N108" s="41">
        <v>23</v>
      </c>
      <c r="O108" s="31">
        <v>36457.769999999997</v>
      </c>
      <c r="P108" s="31">
        <v>29350.07</v>
      </c>
      <c r="Q108" s="12">
        <f t="shared" si="3"/>
        <v>7107.6999999999971</v>
      </c>
    </row>
    <row r="109" spans="1:19" s="15" customFormat="1" ht="15.75" x14ac:dyDescent="0.25">
      <c r="A109" s="14"/>
      <c r="B109" s="80" t="s">
        <v>71</v>
      </c>
      <c r="C109" s="1" t="s">
        <v>17</v>
      </c>
      <c r="D109" s="120"/>
      <c r="E109" s="3" t="s">
        <v>32</v>
      </c>
      <c r="F109" s="73" t="s">
        <v>374</v>
      </c>
      <c r="G109" s="74" t="s">
        <v>112</v>
      </c>
      <c r="H109" s="75">
        <v>9</v>
      </c>
      <c r="I109" s="76">
        <v>4</v>
      </c>
      <c r="J109" s="96">
        <f>3+1+2</f>
        <v>6</v>
      </c>
      <c r="K109" s="77">
        <f>1536.8+461.04</f>
        <v>1997.84</v>
      </c>
      <c r="L109" s="77"/>
      <c r="M109" s="78">
        <f t="shared" si="4"/>
        <v>1997.84</v>
      </c>
      <c r="N109" s="100">
        <f>3+2+1</f>
        <v>6</v>
      </c>
      <c r="O109" s="81">
        <f>9567.93+3616.67</f>
        <v>13184.6</v>
      </c>
      <c r="P109" s="81">
        <f>9567.93</f>
        <v>9567.93</v>
      </c>
      <c r="Q109" s="79">
        <f t="shared" si="3"/>
        <v>3616.67</v>
      </c>
      <c r="R109" s="141"/>
      <c r="S109" s="36"/>
    </row>
    <row r="110" spans="1:19" s="15" customFormat="1" ht="15.75" x14ac:dyDescent="0.25">
      <c r="A110" s="14"/>
      <c r="B110" s="23" t="s">
        <v>71</v>
      </c>
      <c r="C110" s="1" t="s">
        <v>17</v>
      </c>
      <c r="D110" s="120"/>
      <c r="E110" s="3" t="s">
        <v>32</v>
      </c>
      <c r="F110" s="73" t="s">
        <v>431</v>
      </c>
      <c r="G110" s="11" t="s">
        <v>115</v>
      </c>
      <c r="H110" s="1">
        <v>5</v>
      </c>
      <c r="I110" s="48">
        <v>2</v>
      </c>
      <c r="J110" s="45">
        <v>2</v>
      </c>
      <c r="K110" s="40"/>
      <c r="L110" s="40"/>
      <c r="M110" s="38">
        <f t="shared" si="4"/>
        <v>0</v>
      </c>
      <c r="N110" s="39">
        <f>5</f>
        <v>5</v>
      </c>
      <c r="O110" s="40">
        <v>6595.5</v>
      </c>
      <c r="P110" s="40">
        <v>2945.6</v>
      </c>
      <c r="Q110" s="12">
        <f t="shared" si="3"/>
        <v>3649.9</v>
      </c>
    </row>
    <row r="111" spans="1:19" s="13" customFormat="1" ht="15.75" x14ac:dyDescent="0.25">
      <c r="A111" s="10"/>
      <c r="B111" s="62" t="s">
        <v>319</v>
      </c>
      <c r="C111" s="1" t="s">
        <v>17</v>
      </c>
      <c r="D111" s="120"/>
      <c r="E111" s="3" t="s">
        <v>20</v>
      </c>
      <c r="F111" s="73" t="s">
        <v>375</v>
      </c>
      <c r="G111" s="74" t="s">
        <v>112</v>
      </c>
      <c r="H111" s="75">
        <v>11</v>
      </c>
      <c r="I111" s="76">
        <v>6</v>
      </c>
      <c r="J111" s="96">
        <f>2+1+4+3</f>
        <v>10</v>
      </c>
      <c r="K111" s="77">
        <f>710.77+1523.35+6753.23</f>
        <v>8987.3499999999985</v>
      </c>
      <c r="L111" s="77"/>
      <c r="M111" s="78">
        <f>K111-L111</f>
        <v>8987.3499999999985</v>
      </c>
      <c r="N111" s="100">
        <f>3+1+2+1</f>
        <v>7</v>
      </c>
      <c r="O111" s="77">
        <f>13419.94+726.71+2846.77</f>
        <v>16993.420000000002</v>
      </c>
      <c r="P111" s="77">
        <f>13419.94</f>
        <v>13419.94</v>
      </c>
      <c r="Q111" s="79">
        <f>O111-P111</f>
        <v>3573.4800000000014</v>
      </c>
      <c r="R111" s="141"/>
    </row>
    <row r="112" spans="1:19" s="15" customFormat="1" ht="15.75" x14ac:dyDescent="0.25">
      <c r="A112" s="14"/>
      <c r="B112" s="62" t="s">
        <v>150</v>
      </c>
      <c r="C112" s="1" t="s">
        <v>17</v>
      </c>
      <c r="D112" s="120"/>
      <c r="E112" s="3" t="s">
        <v>35</v>
      </c>
      <c r="F112" s="73" t="s">
        <v>376</v>
      </c>
      <c r="G112" s="74" t="s">
        <v>112</v>
      </c>
      <c r="H112" s="75">
        <v>9</v>
      </c>
      <c r="I112" s="76">
        <v>2</v>
      </c>
      <c r="J112" s="97">
        <f>1+1</f>
        <v>2</v>
      </c>
      <c r="K112" s="77">
        <f>1343.65+384.2</f>
        <v>1727.8500000000001</v>
      </c>
      <c r="L112" s="77"/>
      <c r="M112" s="78">
        <f t="shared" si="4"/>
        <v>1727.8500000000001</v>
      </c>
      <c r="N112" s="114">
        <f>8+1+1+2</f>
        <v>12</v>
      </c>
      <c r="O112" s="77">
        <f>5997.32+3719.39+3054.34+13138.17</f>
        <v>25909.22</v>
      </c>
      <c r="P112" s="81">
        <f>3885.22</f>
        <v>3885.22</v>
      </c>
      <c r="Q112" s="79">
        <f t="shared" si="3"/>
        <v>22024</v>
      </c>
      <c r="R112" s="141"/>
    </row>
    <row r="113" spans="1:18" s="15" customFormat="1" ht="15.75" x14ac:dyDescent="0.25">
      <c r="A113" s="14"/>
      <c r="B113" s="50" t="s">
        <v>150</v>
      </c>
      <c r="C113" s="1" t="s">
        <v>17</v>
      </c>
      <c r="D113" s="120"/>
      <c r="E113" s="3" t="s">
        <v>32</v>
      </c>
      <c r="F113" s="73" t="s">
        <v>487</v>
      </c>
      <c r="G113" s="11" t="s">
        <v>117</v>
      </c>
      <c r="H113" s="1"/>
      <c r="I113" s="48"/>
      <c r="J113" s="45"/>
      <c r="K113" s="40"/>
      <c r="L113" s="37"/>
      <c r="M113" s="38">
        <f t="shared" si="4"/>
        <v>0</v>
      </c>
      <c r="N113" s="42">
        <v>1</v>
      </c>
      <c r="O113" s="40">
        <v>4226.2</v>
      </c>
      <c r="P113" s="40"/>
      <c r="Q113" s="12">
        <f t="shared" si="3"/>
        <v>4226.2</v>
      </c>
    </row>
    <row r="114" spans="1:18" s="13" customFormat="1" ht="15.75" x14ac:dyDescent="0.25">
      <c r="A114" s="10"/>
      <c r="B114" s="30" t="s">
        <v>72</v>
      </c>
      <c r="C114" s="1" t="s">
        <v>17</v>
      </c>
      <c r="D114" s="120"/>
      <c r="E114" s="3" t="s">
        <v>21</v>
      </c>
      <c r="F114" s="73" t="s">
        <v>377</v>
      </c>
      <c r="G114" s="74" t="s">
        <v>112</v>
      </c>
      <c r="H114" s="75">
        <v>9</v>
      </c>
      <c r="I114" s="76">
        <v>1</v>
      </c>
      <c r="J114" s="96">
        <f>1+1+1</f>
        <v>3</v>
      </c>
      <c r="K114" s="77">
        <f>633.93+1415.78</f>
        <v>2049.71</v>
      </c>
      <c r="L114" s="77"/>
      <c r="M114" s="78">
        <f t="shared" si="4"/>
        <v>2049.71</v>
      </c>
      <c r="N114" s="100">
        <f>1+3+1+1+1</f>
        <v>7</v>
      </c>
      <c r="O114" s="81">
        <f>1950.74+10237.13+6595.95+3861.21</f>
        <v>22645.03</v>
      </c>
      <c r="P114" s="81">
        <f>1951.74</f>
        <v>1951.74</v>
      </c>
      <c r="Q114" s="79">
        <f t="shared" si="3"/>
        <v>20693.289999999997</v>
      </c>
      <c r="R114" s="141"/>
    </row>
    <row r="115" spans="1:18" s="13" customFormat="1" ht="15.75" x14ac:dyDescent="0.25">
      <c r="A115" s="10"/>
      <c r="B115" s="24" t="s">
        <v>72</v>
      </c>
      <c r="C115" s="1" t="s">
        <v>17</v>
      </c>
      <c r="D115" s="120"/>
      <c r="E115" s="3" t="s">
        <v>21</v>
      </c>
      <c r="F115" s="73" t="s">
        <v>441</v>
      </c>
      <c r="G115" s="11" t="s">
        <v>118</v>
      </c>
      <c r="H115" s="1">
        <v>5</v>
      </c>
      <c r="I115" s="49"/>
      <c r="J115" s="46"/>
      <c r="K115" s="40"/>
      <c r="L115" s="40"/>
      <c r="M115" s="38">
        <f t="shared" si="4"/>
        <v>0</v>
      </c>
      <c r="N115" s="41">
        <v>9</v>
      </c>
      <c r="O115" s="31">
        <v>30209.03</v>
      </c>
      <c r="P115" s="31">
        <v>2328.87</v>
      </c>
      <c r="Q115" s="12">
        <f t="shared" si="3"/>
        <v>27880.16</v>
      </c>
    </row>
    <row r="116" spans="1:18" s="15" customFormat="1" ht="15.75" x14ac:dyDescent="0.25">
      <c r="A116" s="14"/>
      <c r="B116" s="84" t="s">
        <v>73</v>
      </c>
      <c r="C116" s="1" t="s">
        <v>17</v>
      </c>
      <c r="D116" s="120"/>
      <c r="E116" s="3" t="s">
        <v>74</v>
      </c>
      <c r="F116" s="73" t="s">
        <v>378</v>
      </c>
      <c r="G116" s="74" t="s">
        <v>112</v>
      </c>
      <c r="H116" s="75">
        <v>15</v>
      </c>
      <c r="I116" s="76">
        <v>9</v>
      </c>
      <c r="J116" s="96">
        <f>9</f>
        <v>9</v>
      </c>
      <c r="K116" s="77">
        <f>6305.33</f>
        <v>6305.33</v>
      </c>
      <c r="L116" s="77"/>
      <c r="M116" s="78">
        <f t="shared" si="4"/>
        <v>6305.33</v>
      </c>
      <c r="N116" s="100">
        <f>5+3</f>
        <v>8</v>
      </c>
      <c r="O116" s="81">
        <f>5416.39+9506.99</f>
        <v>14923.380000000001</v>
      </c>
      <c r="P116" s="81"/>
      <c r="Q116" s="79">
        <f t="shared" si="3"/>
        <v>14923.380000000001</v>
      </c>
      <c r="R116" s="141"/>
    </row>
    <row r="117" spans="1:18" s="15" customFormat="1" ht="15.75" x14ac:dyDescent="0.25">
      <c r="A117" s="14"/>
      <c r="B117" s="29" t="s">
        <v>73</v>
      </c>
      <c r="C117" s="1" t="s">
        <v>17</v>
      </c>
      <c r="D117" s="120"/>
      <c r="E117" s="3" t="s">
        <v>74</v>
      </c>
      <c r="F117" s="73" t="s">
        <v>282</v>
      </c>
      <c r="G117" s="11" t="s">
        <v>114</v>
      </c>
      <c r="H117" s="1"/>
      <c r="I117" s="49"/>
      <c r="J117" s="51"/>
      <c r="K117" s="40"/>
      <c r="L117" s="40"/>
      <c r="M117" s="38">
        <f t="shared" si="4"/>
        <v>0</v>
      </c>
      <c r="N117" s="42">
        <v>1</v>
      </c>
      <c r="O117" s="31"/>
      <c r="P117" s="31"/>
      <c r="Q117" s="12">
        <f t="shared" si="3"/>
        <v>0</v>
      </c>
    </row>
    <row r="118" spans="1:18" s="13" customFormat="1" ht="15.75" x14ac:dyDescent="0.25">
      <c r="A118" s="10"/>
      <c r="B118" s="30" t="s">
        <v>135</v>
      </c>
      <c r="C118" s="1" t="s">
        <v>17</v>
      </c>
      <c r="D118" s="120"/>
      <c r="E118" s="17" t="s">
        <v>35</v>
      </c>
      <c r="F118" s="73" t="s">
        <v>379</v>
      </c>
      <c r="G118" s="74" t="s">
        <v>112</v>
      </c>
      <c r="H118" s="75">
        <v>10</v>
      </c>
      <c r="I118" s="76">
        <v>6</v>
      </c>
      <c r="J118" s="96">
        <f>1+6</f>
        <v>7</v>
      </c>
      <c r="K118" s="77">
        <f>697.32+4374.12</f>
        <v>5071.4399999999996</v>
      </c>
      <c r="L118" s="77"/>
      <c r="M118" s="38">
        <f t="shared" si="4"/>
        <v>5071.4399999999996</v>
      </c>
      <c r="N118" s="100">
        <f>2+5+1+2+2</f>
        <v>12</v>
      </c>
      <c r="O118" s="81">
        <f>6432.89+2283.68</f>
        <v>8716.57</v>
      </c>
      <c r="P118" s="81"/>
      <c r="Q118" s="12">
        <f t="shared" si="3"/>
        <v>8716.57</v>
      </c>
      <c r="R118" s="141"/>
    </row>
    <row r="119" spans="1:18" s="13" customFormat="1" ht="15.75" x14ac:dyDescent="0.25">
      <c r="A119" s="10"/>
      <c r="B119" s="24" t="s">
        <v>135</v>
      </c>
      <c r="C119" s="1" t="s">
        <v>17</v>
      </c>
      <c r="D119" s="120"/>
      <c r="E119" s="17" t="s">
        <v>35</v>
      </c>
      <c r="F119" s="73" t="s">
        <v>432</v>
      </c>
      <c r="G119" s="11" t="s">
        <v>115</v>
      </c>
      <c r="H119" s="1"/>
      <c r="I119" s="49"/>
      <c r="J119" s="46"/>
      <c r="K119" s="40"/>
      <c r="L119" s="40"/>
      <c r="M119" s="78">
        <f t="shared" si="4"/>
        <v>0</v>
      </c>
      <c r="N119" s="41"/>
      <c r="O119" s="31"/>
      <c r="P119" s="31"/>
      <c r="Q119" s="79">
        <f t="shared" si="3"/>
        <v>0</v>
      </c>
    </row>
    <row r="120" spans="1:18" s="13" customFormat="1" ht="15.75" x14ac:dyDescent="0.25">
      <c r="A120" s="10"/>
      <c r="B120" s="30" t="s">
        <v>145</v>
      </c>
      <c r="C120" s="1" t="s">
        <v>17</v>
      </c>
      <c r="D120" s="120"/>
      <c r="E120" s="17" t="s">
        <v>20</v>
      </c>
      <c r="F120" s="73" t="s">
        <v>380</v>
      </c>
      <c r="G120" s="74" t="s">
        <v>112</v>
      </c>
      <c r="H120" s="75">
        <v>3</v>
      </c>
      <c r="I120" s="82">
        <v>1</v>
      </c>
      <c r="J120" s="96">
        <f>2</f>
        <v>2</v>
      </c>
      <c r="K120" s="77">
        <f>5169.72+1100</f>
        <v>6269.72</v>
      </c>
      <c r="L120" s="77"/>
      <c r="M120" s="38">
        <f t="shared" si="4"/>
        <v>6269.72</v>
      </c>
      <c r="N120" s="100">
        <f>1+1+2+1</f>
        <v>5</v>
      </c>
      <c r="O120" s="81">
        <f>5120.23+3915.15+1114.12</f>
        <v>10149.5</v>
      </c>
      <c r="P120" s="81">
        <f>5120.23</f>
        <v>5120.2299999999996</v>
      </c>
      <c r="Q120" s="12">
        <f t="shared" si="3"/>
        <v>5029.2700000000004</v>
      </c>
      <c r="R120" s="141"/>
    </row>
    <row r="121" spans="1:18" s="13" customFormat="1" ht="15.75" x14ac:dyDescent="0.25">
      <c r="A121" s="10"/>
      <c r="B121" s="24" t="s">
        <v>145</v>
      </c>
      <c r="C121" s="1" t="s">
        <v>17</v>
      </c>
      <c r="D121" s="120"/>
      <c r="E121" s="17" t="s">
        <v>20</v>
      </c>
      <c r="F121" s="73" t="s">
        <v>461</v>
      </c>
      <c r="G121" s="11" t="s">
        <v>114</v>
      </c>
      <c r="H121" s="1"/>
      <c r="I121" s="49"/>
      <c r="J121" s="51"/>
      <c r="K121" s="40"/>
      <c r="L121" s="40"/>
      <c r="M121" s="78">
        <f t="shared" si="4"/>
        <v>0</v>
      </c>
      <c r="N121" s="41">
        <v>9</v>
      </c>
      <c r="O121" s="31">
        <v>19379.400000000001</v>
      </c>
      <c r="P121" s="31">
        <v>13232.2</v>
      </c>
      <c r="Q121" s="79">
        <f t="shared" si="3"/>
        <v>6147.2000000000007</v>
      </c>
    </row>
    <row r="122" spans="1:18" s="13" customFormat="1" ht="15.75" x14ac:dyDescent="0.25">
      <c r="A122" s="10"/>
      <c r="B122" s="62" t="s">
        <v>76</v>
      </c>
      <c r="C122" s="1" t="s">
        <v>17</v>
      </c>
      <c r="D122" s="120"/>
      <c r="E122" s="3" t="s">
        <v>20</v>
      </c>
      <c r="F122" s="73" t="s">
        <v>381</v>
      </c>
      <c r="G122" s="74" t="s">
        <v>112</v>
      </c>
      <c r="H122" s="75">
        <v>16</v>
      </c>
      <c r="I122" s="76">
        <v>10</v>
      </c>
      <c r="J122" s="96">
        <f>1+6+3+1</f>
        <v>11</v>
      </c>
      <c r="K122" s="77">
        <f>6556.06+2806.39+2697.06+1267.86</f>
        <v>13327.37</v>
      </c>
      <c r="L122" s="77"/>
      <c r="M122" s="38">
        <f t="shared" si="4"/>
        <v>13327.37</v>
      </c>
      <c r="N122" s="100">
        <f>5+6+2</f>
        <v>13</v>
      </c>
      <c r="O122" s="81">
        <f>11527.9+19846.52+1011.91+9641+24581.742</f>
        <v>66609.072</v>
      </c>
      <c r="P122" s="81"/>
      <c r="Q122" s="12">
        <f t="shared" si="3"/>
        <v>66609.072</v>
      </c>
      <c r="R122" s="141"/>
    </row>
    <row r="123" spans="1:18" s="13" customFormat="1" ht="15.75" x14ac:dyDescent="0.25">
      <c r="A123" s="10"/>
      <c r="B123" s="22" t="s">
        <v>76</v>
      </c>
      <c r="C123" s="1" t="s">
        <v>17</v>
      </c>
      <c r="D123" s="120"/>
      <c r="E123" s="3" t="s">
        <v>20</v>
      </c>
      <c r="F123" s="73" t="s">
        <v>462</v>
      </c>
      <c r="G123" s="11" t="s">
        <v>114</v>
      </c>
      <c r="H123" s="1">
        <v>4</v>
      </c>
      <c r="I123" s="49"/>
      <c r="J123" s="51"/>
      <c r="K123" s="40"/>
      <c r="L123" s="40"/>
      <c r="M123" s="78">
        <f t="shared" si="4"/>
        <v>0</v>
      </c>
      <c r="N123" s="41">
        <v>7</v>
      </c>
      <c r="O123" s="31">
        <v>17927.759999999998</v>
      </c>
      <c r="P123" s="31">
        <v>8706.9599999999991</v>
      </c>
      <c r="Q123" s="79">
        <f t="shared" si="3"/>
        <v>9220.7999999999993</v>
      </c>
    </row>
    <row r="124" spans="1:18" s="13" customFormat="1" ht="15.75" x14ac:dyDescent="0.25">
      <c r="A124" s="10"/>
      <c r="B124" s="30" t="s">
        <v>77</v>
      </c>
      <c r="C124" s="1" t="s">
        <v>17</v>
      </c>
      <c r="D124" s="120"/>
      <c r="E124" s="3" t="s">
        <v>32</v>
      </c>
      <c r="F124" s="73" t="s">
        <v>388</v>
      </c>
      <c r="G124" s="74" t="s">
        <v>112</v>
      </c>
      <c r="H124" s="75">
        <v>7</v>
      </c>
      <c r="I124" s="76">
        <v>4</v>
      </c>
      <c r="J124" s="96">
        <f>2+2</f>
        <v>4</v>
      </c>
      <c r="K124" s="77">
        <f>2440.63+1507.02</f>
        <v>3947.65</v>
      </c>
      <c r="L124" s="77"/>
      <c r="M124" s="38">
        <f t="shared" si="4"/>
        <v>3947.65</v>
      </c>
      <c r="N124" s="100">
        <f>5+2+3+3+1</f>
        <v>14</v>
      </c>
      <c r="O124" s="81">
        <f>11716.73+6848.82+4046.18+11166.34</f>
        <v>33778.07</v>
      </c>
      <c r="P124" s="81">
        <f>11716.73</f>
        <v>11716.73</v>
      </c>
      <c r="Q124" s="12">
        <f t="shared" si="3"/>
        <v>22061.34</v>
      </c>
      <c r="R124" s="141"/>
    </row>
    <row r="125" spans="1:18" s="13" customFormat="1" ht="15.75" x14ac:dyDescent="0.25">
      <c r="A125" s="10"/>
      <c r="B125" s="24" t="s">
        <v>77</v>
      </c>
      <c r="C125" s="1" t="s">
        <v>17</v>
      </c>
      <c r="D125" s="120"/>
      <c r="E125" s="3" t="s">
        <v>32</v>
      </c>
      <c r="F125" s="73" t="s">
        <v>433</v>
      </c>
      <c r="G125" s="11" t="s">
        <v>117</v>
      </c>
      <c r="H125" s="1">
        <v>1</v>
      </c>
      <c r="I125" s="49"/>
      <c r="J125" s="46"/>
      <c r="K125" s="40"/>
      <c r="L125" s="40"/>
      <c r="M125" s="78">
        <f t="shared" si="4"/>
        <v>0</v>
      </c>
      <c r="N125" s="41">
        <v>5</v>
      </c>
      <c r="O125" s="31">
        <v>15666.81</v>
      </c>
      <c r="P125" s="31">
        <v>11248.51</v>
      </c>
      <c r="Q125" s="79">
        <f t="shared" si="3"/>
        <v>4418.2999999999993</v>
      </c>
    </row>
    <row r="126" spans="1:18" s="13" customFormat="1" ht="15.75" x14ac:dyDescent="0.25">
      <c r="A126" s="10"/>
      <c r="B126" s="24" t="s">
        <v>321</v>
      </c>
      <c r="C126" s="1" t="s">
        <v>17</v>
      </c>
      <c r="D126" s="120"/>
      <c r="E126" s="3" t="s">
        <v>21</v>
      </c>
      <c r="F126" s="73" t="s">
        <v>489</v>
      </c>
      <c r="G126" s="11" t="s">
        <v>112</v>
      </c>
      <c r="H126" s="1">
        <v>2</v>
      </c>
      <c r="I126" s="49"/>
      <c r="J126" s="46"/>
      <c r="K126" s="40"/>
      <c r="L126" s="40"/>
      <c r="M126" s="78"/>
      <c r="N126" s="41"/>
      <c r="O126" s="31"/>
      <c r="P126" s="31"/>
      <c r="Q126" s="79"/>
      <c r="R126" s="141"/>
    </row>
    <row r="127" spans="1:18" s="13" customFormat="1" ht="31.5" x14ac:dyDescent="0.25">
      <c r="A127" s="10"/>
      <c r="B127" s="62" t="s">
        <v>79</v>
      </c>
      <c r="C127" s="1" t="s">
        <v>304</v>
      </c>
      <c r="D127" s="120" t="s">
        <v>385</v>
      </c>
      <c r="E127" s="3" t="s">
        <v>18</v>
      </c>
      <c r="F127" s="73" t="s">
        <v>389</v>
      </c>
      <c r="G127" s="74" t="s">
        <v>112</v>
      </c>
      <c r="H127" s="75">
        <v>5</v>
      </c>
      <c r="I127" s="76">
        <v>1</v>
      </c>
      <c r="J127" s="96">
        <f>2</f>
        <v>2</v>
      </c>
      <c r="K127" s="77">
        <f>2091.97</f>
        <v>2091.9699999999998</v>
      </c>
      <c r="L127" s="77"/>
      <c r="M127" s="38">
        <f t="shared" si="4"/>
        <v>2091.9699999999998</v>
      </c>
      <c r="N127" s="100">
        <f>2+2+1+2</f>
        <v>7</v>
      </c>
      <c r="O127" s="81">
        <f>1547.4+4166.12+7835.61+1675.01</f>
        <v>15224.140000000001</v>
      </c>
      <c r="P127" s="81"/>
      <c r="Q127" s="12">
        <f t="shared" si="3"/>
        <v>15224.140000000001</v>
      </c>
      <c r="R127" s="141"/>
    </row>
    <row r="128" spans="1:18" s="13" customFormat="1" ht="31.5" x14ac:dyDescent="0.25">
      <c r="A128" s="10"/>
      <c r="B128" s="22" t="s">
        <v>79</v>
      </c>
      <c r="C128" s="1" t="s">
        <v>304</v>
      </c>
      <c r="D128" s="120" t="s">
        <v>475</v>
      </c>
      <c r="E128" s="3" t="s">
        <v>18</v>
      </c>
      <c r="F128" s="73" t="s">
        <v>329</v>
      </c>
      <c r="G128" s="11" t="s">
        <v>113</v>
      </c>
      <c r="H128" s="1">
        <v>17</v>
      </c>
      <c r="I128" s="53">
        <v>2</v>
      </c>
      <c r="J128" s="127">
        <v>2</v>
      </c>
      <c r="K128" s="31">
        <v>3754</v>
      </c>
      <c r="L128" s="31"/>
      <c r="M128" s="78">
        <f t="shared" si="4"/>
        <v>3754</v>
      </c>
      <c r="N128" s="41">
        <v>8</v>
      </c>
      <c r="O128" s="31">
        <v>33212</v>
      </c>
      <c r="P128" s="31">
        <v>9505</v>
      </c>
      <c r="Q128" s="79">
        <f t="shared" si="3"/>
        <v>23707</v>
      </c>
    </row>
    <row r="129" spans="1:18" s="13" customFormat="1" ht="15.75" x14ac:dyDescent="0.25">
      <c r="A129" s="10"/>
      <c r="B129" s="62" t="s">
        <v>151</v>
      </c>
      <c r="C129" s="1" t="s">
        <v>17</v>
      </c>
      <c r="D129" s="120"/>
      <c r="E129" s="3" t="s">
        <v>32</v>
      </c>
      <c r="F129" s="73" t="s">
        <v>390</v>
      </c>
      <c r="G129" s="74" t="s">
        <v>112</v>
      </c>
      <c r="H129" s="75">
        <v>16</v>
      </c>
      <c r="I129" s="82">
        <v>5</v>
      </c>
      <c r="J129" s="96">
        <f>1+3+3</f>
        <v>7</v>
      </c>
      <c r="K129" s="81">
        <f>2317+4640.19</f>
        <v>6957.19</v>
      </c>
      <c r="L129" s="81"/>
      <c r="M129" s="38">
        <f t="shared" si="4"/>
        <v>6957.19</v>
      </c>
      <c r="N129" s="100">
        <f>9+3+5+1</f>
        <v>18</v>
      </c>
      <c r="O129" s="81">
        <f>10726.94+18822.65+5703.53+12846.53</f>
        <v>48099.65</v>
      </c>
      <c r="P129" s="81">
        <f>10726.94</f>
        <v>10726.94</v>
      </c>
      <c r="Q129" s="12">
        <f t="shared" si="3"/>
        <v>37372.71</v>
      </c>
      <c r="R129" s="141"/>
    </row>
    <row r="130" spans="1:18" s="13" customFormat="1" ht="15.75" x14ac:dyDescent="0.25">
      <c r="A130" s="10"/>
      <c r="B130" s="22" t="s">
        <v>151</v>
      </c>
      <c r="C130" s="1" t="s">
        <v>17</v>
      </c>
      <c r="D130" s="120"/>
      <c r="E130" s="3" t="s">
        <v>32</v>
      </c>
      <c r="F130" s="73" t="s">
        <v>434</v>
      </c>
      <c r="G130" s="11" t="s">
        <v>117</v>
      </c>
      <c r="H130" s="1">
        <v>4</v>
      </c>
      <c r="I130" s="49"/>
      <c r="J130" s="46"/>
      <c r="K130" s="40"/>
      <c r="L130" s="40"/>
      <c r="M130" s="78">
        <f t="shared" si="4"/>
        <v>0</v>
      </c>
      <c r="N130" s="41">
        <v>11</v>
      </c>
      <c r="O130" s="31">
        <v>14253.2</v>
      </c>
      <c r="P130" s="31">
        <v>7133.24</v>
      </c>
      <c r="Q130" s="79">
        <f t="shared" si="3"/>
        <v>7119.9600000000009</v>
      </c>
    </row>
    <row r="131" spans="1:18" s="13" customFormat="1" ht="15.75" x14ac:dyDescent="0.25">
      <c r="A131" s="10"/>
      <c r="B131" s="62" t="s">
        <v>80</v>
      </c>
      <c r="C131" s="1" t="s">
        <v>17</v>
      </c>
      <c r="D131" s="120"/>
      <c r="E131" s="3" t="s">
        <v>81</v>
      </c>
      <c r="F131" s="73" t="s">
        <v>417</v>
      </c>
      <c r="G131" s="74" t="s">
        <v>112</v>
      </c>
      <c r="H131" s="75"/>
      <c r="I131" s="76"/>
      <c r="J131" s="96"/>
      <c r="K131" s="77"/>
      <c r="L131" s="77"/>
      <c r="M131" s="38">
        <f t="shared" si="4"/>
        <v>0</v>
      </c>
      <c r="N131" s="100">
        <f>2</f>
        <v>2</v>
      </c>
      <c r="O131" s="81">
        <f>3040.94</f>
        <v>3040.94</v>
      </c>
      <c r="P131" s="81"/>
      <c r="Q131" s="12">
        <f t="shared" si="3"/>
        <v>3040.94</v>
      </c>
      <c r="R131" s="141"/>
    </row>
    <row r="132" spans="1:18" s="13" customFormat="1" ht="15.75" x14ac:dyDescent="0.25">
      <c r="A132" s="10"/>
      <c r="B132" s="22" t="s">
        <v>80</v>
      </c>
      <c r="C132" s="1" t="s">
        <v>17</v>
      </c>
      <c r="D132" s="120"/>
      <c r="E132" s="3" t="s">
        <v>81</v>
      </c>
      <c r="F132" s="73" t="s">
        <v>285</v>
      </c>
      <c r="G132" s="11" t="s">
        <v>114</v>
      </c>
      <c r="H132" s="1"/>
      <c r="I132" s="49"/>
      <c r="J132" s="51"/>
      <c r="K132" s="40"/>
      <c r="L132" s="40"/>
      <c r="M132" s="78">
        <f t="shared" si="4"/>
        <v>0</v>
      </c>
      <c r="N132" s="41">
        <v>15</v>
      </c>
      <c r="O132" s="31">
        <f>21200.04</f>
        <v>21200.04</v>
      </c>
      <c r="P132" s="31">
        <v>16128.6</v>
      </c>
      <c r="Q132" s="79">
        <f t="shared" si="3"/>
        <v>5071.4400000000005</v>
      </c>
    </row>
    <row r="133" spans="1:18" s="13" customFormat="1" ht="15.75" x14ac:dyDescent="0.25">
      <c r="A133" s="10"/>
      <c r="B133" s="30" t="s">
        <v>82</v>
      </c>
      <c r="C133" s="1" t="s">
        <v>17</v>
      </c>
      <c r="D133" s="120"/>
      <c r="E133" s="3" t="s">
        <v>20</v>
      </c>
      <c r="F133" s="73" t="s">
        <v>394</v>
      </c>
      <c r="G133" s="74" t="s">
        <v>112</v>
      </c>
      <c r="H133" s="75">
        <v>5</v>
      </c>
      <c r="I133" s="76"/>
      <c r="J133" s="96"/>
      <c r="K133" s="77"/>
      <c r="L133" s="77"/>
      <c r="M133" s="38">
        <f t="shared" si="4"/>
        <v>0</v>
      </c>
      <c r="N133" s="100">
        <f>3+5</f>
        <v>8</v>
      </c>
      <c r="O133" s="81">
        <f>5975.84+23579.15</f>
        <v>29554.99</v>
      </c>
      <c r="P133" s="81">
        <f>15975.84</f>
        <v>15975.84</v>
      </c>
      <c r="Q133" s="12">
        <f t="shared" si="3"/>
        <v>13579.150000000001</v>
      </c>
      <c r="R133" s="141"/>
    </row>
    <row r="134" spans="1:18" s="13" customFormat="1" ht="15.75" x14ac:dyDescent="0.25">
      <c r="A134" s="10"/>
      <c r="B134" s="24" t="s">
        <v>82</v>
      </c>
      <c r="C134" s="1" t="s">
        <v>17</v>
      </c>
      <c r="D134" s="120"/>
      <c r="E134" s="3" t="s">
        <v>20</v>
      </c>
      <c r="F134" s="73" t="s">
        <v>463</v>
      </c>
      <c r="G134" s="11" t="s">
        <v>114</v>
      </c>
      <c r="H134" s="1">
        <v>11</v>
      </c>
      <c r="I134" s="49"/>
      <c r="J134" s="51"/>
      <c r="K134" s="40"/>
      <c r="L134" s="40"/>
      <c r="M134" s="78">
        <f t="shared" si="4"/>
        <v>0</v>
      </c>
      <c r="N134" s="41">
        <v>7</v>
      </c>
      <c r="O134" s="31">
        <v>10757.8</v>
      </c>
      <c r="P134" s="31">
        <f>4314.3</f>
        <v>4314.3</v>
      </c>
      <c r="Q134" s="79">
        <f t="shared" si="3"/>
        <v>6443.4999999999991</v>
      </c>
    </row>
    <row r="135" spans="1:18" s="13" customFormat="1" ht="15.75" x14ac:dyDescent="0.25">
      <c r="A135" s="10"/>
      <c r="B135" s="24" t="s">
        <v>309</v>
      </c>
      <c r="C135" s="1"/>
      <c r="D135" s="120"/>
      <c r="E135" s="3" t="s">
        <v>20</v>
      </c>
      <c r="F135" s="73" t="s">
        <v>391</v>
      </c>
      <c r="G135" s="11" t="s">
        <v>112</v>
      </c>
      <c r="H135" s="1">
        <v>10</v>
      </c>
      <c r="I135" s="58">
        <v>1</v>
      </c>
      <c r="J135" s="51">
        <f>1</f>
        <v>1</v>
      </c>
      <c r="K135" s="40">
        <f>3606.1</f>
        <v>3606.1</v>
      </c>
      <c r="L135" s="40"/>
      <c r="M135" s="38">
        <f t="shared" si="4"/>
        <v>3606.1</v>
      </c>
      <c r="N135" s="41">
        <f>1+5+1</f>
        <v>7</v>
      </c>
      <c r="O135" s="31">
        <f>3088.97+13147.65+1267.86</f>
        <v>17504.48</v>
      </c>
      <c r="P135" s="31">
        <f>3088.97</f>
        <v>3088.97</v>
      </c>
      <c r="Q135" s="79"/>
      <c r="R135" s="141"/>
    </row>
    <row r="136" spans="1:18" s="13" customFormat="1" ht="15.75" x14ac:dyDescent="0.25">
      <c r="A136" s="10"/>
      <c r="B136" s="30" t="s">
        <v>152</v>
      </c>
      <c r="C136" s="1" t="s">
        <v>17</v>
      </c>
      <c r="D136" s="120"/>
      <c r="E136" s="3" t="s">
        <v>35</v>
      </c>
      <c r="F136" s="73" t="s">
        <v>392</v>
      </c>
      <c r="G136" s="74" t="s">
        <v>112</v>
      </c>
      <c r="H136" s="75">
        <v>7</v>
      </c>
      <c r="I136" s="76">
        <v>4</v>
      </c>
      <c r="J136" s="96">
        <f>1+1+2+1</f>
        <v>5</v>
      </c>
      <c r="K136" s="77">
        <f>403.41+845.24</f>
        <v>1248.6500000000001</v>
      </c>
      <c r="L136" s="77"/>
      <c r="M136" s="38">
        <f t="shared" si="4"/>
        <v>1248.6500000000001</v>
      </c>
      <c r="N136" s="100">
        <f>2+2+2+1+1</f>
        <v>8</v>
      </c>
      <c r="O136" s="81">
        <f>1690.48+3050.26+3661.61+4648.82+1267.86+1690.48+9282.42</f>
        <v>25291.93</v>
      </c>
      <c r="P136" s="81">
        <f>1690.4</f>
        <v>1690.4</v>
      </c>
      <c r="Q136" s="12">
        <f t="shared" si="3"/>
        <v>23601.53</v>
      </c>
      <c r="R136" s="141"/>
    </row>
    <row r="137" spans="1:18" s="13" customFormat="1" ht="15.75" x14ac:dyDescent="0.25">
      <c r="A137" s="10"/>
      <c r="B137" s="24" t="s">
        <v>152</v>
      </c>
      <c r="C137" s="1" t="s">
        <v>17</v>
      </c>
      <c r="D137" s="120"/>
      <c r="E137" s="3" t="s">
        <v>32</v>
      </c>
      <c r="F137" s="73"/>
      <c r="G137" s="11" t="s">
        <v>117</v>
      </c>
      <c r="H137" s="1"/>
      <c r="I137" s="49"/>
      <c r="J137" s="46"/>
      <c r="K137" s="40"/>
      <c r="L137" s="40"/>
      <c r="M137" s="78">
        <f t="shared" si="4"/>
        <v>0</v>
      </c>
      <c r="N137" s="41"/>
      <c r="O137" s="31"/>
      <c r="P137" s="31"/>
      <c r="Q137" s="79">
        <f t="shared" si="3"/>
        <v>0</v>
      </c>
    </row>
    <row r="138" spans="1:18" s="13" customFormat="1" ht="15.75" x14ac:dyDescent="0.25">
      <c r="A138" s="10"/>
      <c r="B138" s="30" t="s">
        <v>83</v>
      </c>
      <c r="C138" s="1" t="s">
        <v>17</v>
      </c>
      <c r="D138" s="120"/>
      <c r="E138" s="3" t="s">
        <v>20</v>
      </c>
      <c r="F138" s="73" t="s">
        <v>393</v>
      </c>
      <c r="G138" s="74" t="s">
        <v>112</v>
      </c>
      <c r="H138" s="75">
        <v>8</v>
      </c>
      <c r="I138" s="76">
        <v>4</v>
      </c>
      <c r="J138" s="96">
        <f>1+1+2</f>
        <v>4</v>
      </c>
      <c r="K138" s="77">
        <f>768.4+2535.72</f>
        <v>3304.12</v>
      </c>
      <c r="L138" s="77"/>
      <c r="M138" s="38">
        <f t="shared" si="4"/>
        <v>3304.12</v>
      </c>
      <c r="N138" s="100">
        <f>1+2+1</f>
        <v>4</v>
      </c>
      <c r="O138" s="81">
        <f>5837.09+1922.92</f>
        <v>7760.01</v>
      </c>
      <c r="P138" s="81"/>
      <c r="Q138" s="12">
        <f t="shared" si="3"/>
        <v>7760.01</v>
      </c>
      <c r="R138" s="141"/>
    </row>
    <row r="139" spans="1:18" s="13" customFormat="1" ht="15.75" x14ac:dyDescent="0.25">
      <c r="A139" s="10"/>
      <c r="B139" s="24" t="s">
        <v>83</v>
      </c>
      <c r="C139" s="1" t="s">
        <v>17</v>
      </c>
      <c r="D139" s="120"/>
      <c r="E139" s="3" t="s">
        <v>20</v>
      </c>
      <c r="F139" s="73" t="s">
        <v>464</v>
      </c>
      <c r="G139" s="11" t="s">
        <v>114</v>
      </c>
      <c r="H139" s="1">
        <v>6</v>
      </c>
      <c r="I139" s="49"/>
      <c r="J139" s="51"/>
      <c r="K139" s="40"/>
      <c r="L139" s="40"/>
      <c r="M139" s="78">
        <f t="shared" si="4"/>
        <v>0</v>
      </c>
      <c r="N139" s="41">
        <v>22</v>
      </c>
      <c r="O139" s="31">
        <v>43871.3</v>
      </c>
      <c r="P139" s="31">
        <v>34650.5</v>
      </c>
      <c r="Q139" s="79">
        <f t="shared" si="3"/>
        <v>9220.8000000000029</v>
      </c>
    </row>
    <row r="140" spans="1:18" s="13" customFormat="1" ht="15.75" x14ac:dyDescent="0.25">
      <c r="A140" s="10"/>
      <c r="B140" s="24" t="s">
        <v>310</v>
      </c>
      <c r="C140" s="1"/>
      <c r="D140" s="120"/>
      <c r="E140" s="3" t="s">
        <v>20</v>
      </c>
      <c r="F140" s="73"/>
      <c r="G140" s="11" t="s">
        <v>114</v>
      </c>
      <c r="H140" s="1"/>
      <c r="I140" s="49"/>
      <c r="J140" s="51"/>
      <c r="K140" s="40"/>
      <c r="L140" s="40"/>
      <c r="M140" s="78"/>
      <c r="N140" s="41"/>
      <c r="O140" s="31"/>
      <c r="P140" s="31"/>
      <c r="Q140" s="79"/>
    </row>
    <row r="141" spans="1:18" s="13" customFormat="1" ht="15.75" x14ac:dyDescent="0.25">
      <c r="A141" s="10"/>
      <c r="B141" s="30" t="s">
        <v>84</v>
      </c>
      <c r="C141" s="1"/>
      <c r="D141" s="120"/>
      <c r="E141" s="3" t="s">
        <v>20</v>
      </c>
      <c r="F141" s="73" t="s">
        <v>287</v>
      </c>
      <c r="G141" s="11" t="s">
        <v>114</v>
      </c>
      <c r="H141" s="1"/>
      <c r="I141" s="49"/>
      <c r="J141" s="51"/>
      <c r="K141" s="40"/>
      <c r="L141" s="40"/>
      <c r="M141" s="38">
        <f t="shared" si="4"/>
        <v>0</v>
      </c>
      <c r="N141" s="41"/>
      <c r="O141" s="31"/>
      <c r="P141" s="31"/>
      <c r="Q141" s="12">
        <f t="shared" si="3"/>
        <v>0</v>
      </c>
    </row>
    <row r="142" spans="1:18" s="13" customFormat="1" ht="47.25" x14ac:dyDescent="0.25">
      <c r="A142" s="10"/>
      <c r="B142" s="30" t="s">
        <v>85</v>
      </c>
      <c r="C142" s="1" t="s">
        <v>304</v>
      </c>
      <c r="D142" s="120" t="s">
        <v>415</v>
      </c>
      <c r="E142" s="3" t="s">
        <v>20</v>
      </c>
      <c r="F142" s="73" t="s">
        <v>395</v>
      </c>
      <c r="G142" s="74" t="s">
        <v>112</v>
      </c>
      <c r="H142" s="75">
        <v>4</v>
      </c>
      <c r="I142" s="76"/>
      <c r="J142" s="96"/>
      <c r="K142" s="77"/>
      <c r="L142" s="77"/>
      <c r="M142" s="38">
        <f t="shared" si="4"/>
        <v>0</v>
      </c>
      <c r="N142" s="100"/>
      <c r="O142" s="81">
        <f>3917.73</f>
        <v>3917.73</v>
      </c>
      <c r="P142" s="81"/>
      <c r="Q142" s="79">
        <f t="shared" si="3"/>
        <v>3917.73</v>
      </c>
      <c r="R142" s="141"/>
    </row>
    <row r="143" spans="1:18" s="13" customFormat="1" ht="15.75" x14ac:dyDescent="0.25">
      <c r="A143" s="10"/>
      <c r="B143" s="27" t="s">
        <v>86</v>
      </c>
      <c r="C143" s="1" t="s">
        <v>17</v>
      </c>
      <c r="D143" s="120"/>
      <c r="E143" s="17" t="s">
        <v>20</v>
      </c>
      <c r="F143" s="73" t="s">
        <v>396</v>
      </c>
      <c r="G143" s="74" t="s">
        <v>112</v>
      </c>
      <c r="H143" s="75">
        <v>5</v>
      </c>
      <c r="I143" s="76">
        <v>2</v>
      </c>
      <c r="J143" s="96">
        <f>1+3+1</f>
        <v>5</v>
      </c>
      <c r="K143" s="77">
        <f>950.9+5134.06</f>
        <v>6084.96</v>
      </c>
      <c r="L143" s="77"/>
      <c r="M143" s="38">
        <f t="shared" si="4"/>
        <v>6084.96</v>
      </c>
      <c r="N143" s="100">
        <f>15+4+2</f>
        <v>21</v>
      </c>
      <c r="O143" s="81">
        <f>30236.61+18366.75+8887.09</f>
        <v>57490.45</v>
      </c>
      <c r="P143" s="81">
        <f>30236.61</f>
        <v>30236.61</v>
      </c>
      <c r="Q143" s="12">
        <f t="shared" si="3"/>
        <v>27253.839999999997</v>
      </c>
      <c r="R143" s="141"/>
    </row>
    <row r="144" spans="1:18" s="13" customFormat="1" ht="15.75" x14ac:dyDescent="0.25">
      <c r="A144" s="10"/>
      <c r="B144" s="25" t="s">
        <v>86</v>
      </c>
      <c r="C144" s="1" t="s">
        <v>17</v>
      </c>
      <c r="D144" s="120"/>
      <c r="E144" s="17" t="s">
        <v>20</v>
      </c>
      <c r="F144" s="73" t="s">
        <v>465</v>
      </c>
      <c r="G144" s="11" t="s">
        <v>114</v>
      </c>
      <c r="H144" s="1"/>
      <c r="I144" s="49"/>
      <c r="J144" s="51"/>
      <c r="K144" s="40"/>
      <c r="L144" s="40"/>
      <c r="M144" s="78">
        <f t="shared" si="4"/>
        <v>0</v>
      </c>
      <c r="N144" s="41">
        <v>3</v>
      </c>
      <c r="O144" s="31">
        <v>3107.23</v>
      </c>
      <c r="P144" s="31">
        <v>3107.23</v>
      </c>
      <c r="Q144" s="79">
        <f t="shared" si="3"/>
        <v>0</v>
      </c>
    </row>
    <row r="145" spans="1:18" s="13" customFormat="1" ht="15.75" x14ac:dyDescent="0.25">
      <c r="A145" s="10"/>
      <c r="B145" s="62" t="s">
        <v>87</v>
      </c>
      <c r="C145" s="1" t="s">
        <v>17</v>
      </c>
      <c r="D145" s="120"/>
      <c r="E145" s="17" t="s">
        <v>78</v>
      </c>
      <c r="F145" s="73" t="s">
        <v>142</v>
      </c>
      <c r="G145" s="74" t="s">
        <v>112</v>
      </c>
      <c r="H145" s="75"/>
      <c r="I145" s="76"/>
      <c r="J145" s="96"/>
      <c r="K145" s="77"/>
      <c r="L145" s="77"/>
      <c r="M145" s="38">
        <f t="shared" si="4"/>
        <v>0</v>
      </c>
      <c r="N145" s="100"/>
      <c r="O145" s="81"/>
      <c r="P145" s="81"/>
      <c r="Q145" s="12">
        <f t="shared" si="3"/>
        <v>0</v>
      </c>
      <c r="R145" s="141"/>
    </row>
    <row r="146" spans="1:18" s="13" customFormat="1" ht="15.75" x14ac:dyDescent="0.25">
      <c r="A146" s="10"/>
      <c r="B146" s="62" t="s">
        <v>312</v>
      </c>
      <c r="C146" s="1" t="s">
        <v>17</v>
      </c>
      <c r="D146" s="120"/>
      <c r="E146" s="17" t="s">
        <v>20</v>
      </c>
      <c r="F146" s="73" t="s">
        <v>320</v>
      </c>
      <c r="G146" s="74" t="s">
        <v>112</v>
      </c>
      <c r="H146" s="75">
        <v>7</v>
      </c>
      <c r="I146" s="76">
        <v>2</v>
      </c>
      <c r="J146" s="96">
        <f>1+1</f>
        <v>2</v>
      </c>
      <c r="K146" s="77">
        <f>3319.49+845.24</f>
        <v>4164.7299999999996</v>
      </c>
      <c r="L146" s="77"/>
      <c r="M146" s="38"/>
      <c r="N146" s="100">
        <f>5+6</f>
        <v>11</v>
      </c>
      <c r="O146" s="81">
        <f>4226.2+6627.45</f>
        <v>10853.65</v>
      </c>
      <c r="P146" s="81">
        <f>4226.2</f>
        <v>4226.2</v>
      </c>
      <c r="Q146" s="12"/>
      <c r="R146" s="141"/>
    </row>
    <row r="147" spans="1:18" s="13" customFormat="1" ht="15.75" x14ac:dyDescent="0.25">
      <c r="A147" s="10"/>
      <c r="B147" s="62" t="s">
        <v>494</v>
      </c>
      <c r="C147" s="1" t="s">
        <v>17</v>
      </c>
      <c r="D147" s="120"/>
      <c r="E147" s="17" t="s">
        <v>20</v>
      </c>
      <c r="F147" s="73" t="s">
        <v>497</v>
      </c>
      <c r="G147" s="74" t="s">
        <v>112</v>
      </c>
      <c r="H147" s="75">
        <v>2</v>
      </c>
      <c r="I147" s="76"/>
      <c r="J147" s="96"/>
      <c r="K147" s="77"/>
      <c r="L147" s="77"/>
      <c r="M147" s="38"/>
      <c r="N147" s="100"/>
      <c r="O147" s="81"/>
      <c r="P147" s="81"/>
      <c r="Q147" s="12"/>
      <c r="R147" s="141"/>
    </row>
    <row r="148" spans="1:18" s="13" customFormat="1" ht="15.75" x14ac:dyDescent="0.25">
      <c r="A148" s="10"/>
      <c r="B148" s="62" t="s">
        <v>494</v>
      </c>
      <c r="C148" s="1"/>
      <c r="D148" s="120"/>
      <c r="E148" s="17"/>
      <c r="F148" s="73"/>
      <c r="G148" s="74" t="s">
        <v>114</v>
      </c>
      <c r="H148" s="75">
        <v>5</v>
      </c>
      <c r="I148" s="76"/>
      <c r="J148" s="96"/>
      <c r="K148" s="77"/>
      <c r="L148" s="77"/>
      <c r="M148" s="38"/>
      <c r="N148" s="100"/>
      <c r="O148" s="81"/>
      <c r="P148" s="81"/>
      <c r="Q148" s="12"/>
      <c r="R148" s="141"/>
    </row>
    <row r="149" spans="1:18" s="13" customFormat="1" ht="15.75" x14ac:dyDescent="0.25">
      <c r="A149" s="10"/>
      <c r="B149" s="30" t="s">
        <v>88</v>
      </c>
      <c r="C149" s="1" t="s">
        <v>17</v>
      </c>
      <c r="D149" s="120"/>
      <c r="E149" s="3" t="s">
        <v>89</v>
      </c>
      <c r="F149" s="73" t="s">
        <v>397</v>
      </c>
      <c r="G149" s="74" t="s">
        <v>112</v>
      </c>
      <c r="H149" s="75">
        <v>4</v>
      </c>
      <c r="I149" s="76">
        <v>1</v>
      </c>
      <c r="J149" s="96">
        <f>1</f>
        <v>1</v>
      </c>
      <c r="K149" s="77">
        <f>4226.2+2394.91</f>
        <v>6621.11</v>
      </c>
      <c r="L149" s="77"/>
      <c r="M149" s="38">
        <f t="shared" si="4"/>
        <v>6621.11</v>
      </c>
      <c r="N149" s="100">
        <f>4+1+3+1+2+2+1</f>
        <v>14</v>
      </c>
      <c r="O149" s="81">
        <f>11967.83+2831.55+10544.37+9418.99+3799.13</f>
        <v>38561.869999999995</v>
      </c>
      <c r="P149" s="81">
        <f>11967.83</f>
        <v>11967.83</v>
      </c>
      <c r="Q149" s="79">
        <f t="shared" ref="Q149:Q191" si="5">O149-P149</f>
        <v>26594.039999999994</v>
      </c>
      <c r="R149" s="141"/>
    </row>
    <row r="150" spans="1:18" s="13" customFormat="1" ht="15.75" x14ac:dyDescent="0.25">
      <c r="A150" s="10"/>
      <c r="B150" s="24" t="s">
        <v>88</v>
      </c>
      <c r="C150" s="1" t="s">
        <v>17</v>
      </c>
      <c r="D150" s="120"/>
      <c r="E150" s="3" t="s">
        <v>89</v>
      </c>
      <c r="F150" s="73" t="s">
        <v>442</v>
      </c>
      <c r="G150" s="11" t="s">
        <v>118</v>
      </c>
      <c r="H150" s="1">
        <v>1</v>
      </c>
      <c r="I150" s="49"/>
      <c r="J150" s="46"/>
      <c r="K150" s="40"/>
      <c r="L150" s="40"/>
      <c r="M150" s="38">
        <f t="shared" si="4"/>
        <v>0</v>
      </c>
      <c r="N150" s="41">
        <v>2</v>
      </c>
      <c r="O150" s="31">
        <v>8523.52</v>
      </c>
      <c r="P150" s="31">
        <v>1417.57</v>
      </c>
      <c r="Q150" s="12">
        <f t="shared" si="5"/>
        <v>7105.9500000000007</v>
      </c>
    </row>
    <row r="151" spans="1:18" s="13" customFormat="1" ht="15.75" x14ac:dyDescent="0.25">
      <c r="A151" s="10"/>
      <c r="B151" s="30" t="s">
        <v>90</v>
      </c>
      <c r="C151" s="1" t="s">
        <v>17</v>
      </c>
      <c r="D151" s="120"/>
      <c r="E151" s="17" t="s">
        <v>20</v>
      </c>
      <c r="F151" s="73" t="s">
        <v>398</v>
      </c>
      <c r="G151" s="74" t="s">
        <v>112</v>
      </c>
      <c r="H151" s="75">
        <v>3</v>
      </c>
      <c r="I151" s="76">
        <v>1</v>
      </c>
      <c r="J151" s="96">
        <f>1</f>
        <v>1</v>
      </c>
      <c r="K151" s="77">
        <f>422.62</f>
        <v>422.62</v>
      </c>
      <c r="L151" s="77"/>
      <c r="M151" s="38">
        <f t="shared" si="4"/>
        <v>422.62</v>
      </c>
      <c r="N151" s="100">
        <f>1+1</f>
        <v>2</v>
      </c>
      <c r="O151" s="81">
        <f>2122.67+787.61</f>
        <v>2910.28</v>
      </c>
      <c r="P151" s="81"/>
      <c r="Q151" s="79">
        <f t="shared" si="5"/>
        <v>2910.28</v>
      </c>
      <c r="R151" s="141"/>
    </row>
    <row r="152" spans="1:18" s="13" customFormat="1" ht="15.75" x14ac:dyDescent="0.25">
      <c r="A152" s="10"/>
      <c r="B152" s="24" t="s">
        <v>90</v>
      </c>
      <c r="C152" s="1" t="s">
        <v>17</v>
      </c>
      <c r="D152" s="120"/>
      <c r="E152" s="17" t="s">
        <v>20</v>
      </c>
      <c r="F152" s="73" t="s">
        <v>466</v>
      </c>
      <c r="G152" s="11" t="s">
        <v>114</v>
      </c>
      <c r="H152" s="1">
        <v>5</v>
      </c>
      <c r="I152" s="49"/>
      <c r="J152" s="51"/>
      <c r="K152" s="40"/>
      <c r="L152" s="40"/>
      <c r="M152" s="78">
        <f t="shared" si="4"/>
        <v>0</v>
      </c>
      <c r="N152" s="41">
        <v>15</v>
      </c>
      <c r="O152" s="31">
        <f>31793</f>
        <v>31793</v>
      </c>
      <c r="P152" s="31">
        <v>20378.8</v>
      </c>
      <c r="Q152" s="12">
        <f t="shared" si="5"/>
        <v>11414.2</v>
      </c>
    </row>
    <row r="153" spans="1:18" s="13" customFormat="1" ht="15.75" x14ac:dyDescent="0.25">
      <c r="A153" s="10"/>
      <c r="B153" s="30" t="s">
        <v>91</v>
      </c>
      <c r="C153" s="1" t="s">
        <v>17</v>
      </c>
      <c r="D153" s="120"/>
      <c r="E153" s="17" t="s">
        <v>20</v>
      </c>
      <c r="F153" s="73" t="s">
        <v>399</v>
      </c>
      <c r="G153" s="74" t="s">
        <v>112</v>
      </c>
      <c r="H153" s="75"/>
      <c r="I153" s="76"/>
      <c r="J153" s="96"/>
      <c r="K153" s="77"/>
      <c r="L153" s="77"/>
      <c r="M153" s="38">
        <f t="shared" si="4"/>
        <v>0</v>
      </c>
      <c r="N153" s="100"/>
      <c r="O153" s="81"/>
      <c r="P153" s="81"/>
      <c r="Q153" s="79">
        <f t="shared" si="5"/>
        <v>0</v>
      </c>
      <c r="R153" s="141"/>
    </row>
    <row r="154" spans="1:18" s="13" customFormat="1" ht="15.75" x14ac:dyDescent="0.25">
      <c r="A154" s="10"/>
      <c r="B154" s="22" t="s">
        <v>138</v>
      </c>
      <c r="C154" s="1" t="s">
        <v>17</v>
      </c>
      <c r="D154" s="120"/>
      <c r="E154" s="17" t="s">
        <v>20</v>
      </c>
      <c r="F154" s="73" t="s">
        <v>467</v>
      </c>
      <c r="G154" s="11" t="s">
        <v>114</v>
      </c>
      <c r="H154" s="1">
        <v>2</v>
      </c>
      <c r="I154" s="49"/>
      <c r="J154" s="51"/>
      <c r="K154" s="37"/>
      <c r="L154" s="37"/>
      <c r="M154" s="78">
        <f t="shared" si="4"/>
        <v>0</v>
      </c>
      <c r="N154" s="39">
        <v>4</v>
      </c>
      <c r="O154" s="31">
        <v>1841</v>
      </c>
      <c r="P154" s="31"/>
      <c r="Q154" s="12">
        <f t="shared" si="5"/>
        <v>1841</v>
      </c>
    </row>
    <row r="155" spans="1:18" s="13" customFormat="1" ht="15.75" x14ac:dyDescent="0.25">
      <c r="A155" s="10"/>
      <c r="B155" s="62" t="s">
        <v>138</v>
      </c>
      <c r="C155" s="1" t="s">
        <v>17</v>
      </c>
      <c r="D155" s="120"/>
      <c r="E155" s="17" t="s">
        <v>20</v>
      </c>
      <c r="F155" s="73" t="s">
        <v>400</v>
      </c>
      <c r="G155" s="74" t="s">
        <v>112</v>
      </c>
      <c r="H155" s="75">
        <v>4</v>
      </c>
      <c r="I155" s="82"/>
      <c r="J155" s="96"/>
      <c r="K155" s="77"/>
      <c r="L155" s="77"/>
      <c r="M155" s="38">
        <f t="shared" si="4"/>
        <v>0</v>
      </c>
      <c r="N155" s="100">
        <f>5</f>
        <v>5</v>
      </c>
      <c r="O155" s="81">
        <v>8995.8700000000008</v>
      </c>
      <c r="P155" s="81"/>
      <c r="Q155" s="79">
        <f t="shared" si="5"/>
        <v>8995.8700000000008</v>
      </c>
      <c r="R155" s="141"/>
    </row>
    <row r="156" spans="1:18" s="13" customFormat="1" ht="15.75" x14ac:dyDescent="0.25">
      <c r="A156" s="10"/>
      <c r="B156" s="62" t="s">
        <v>157</v>
      </c>
      <c r="C156" s="1" t="s">
        <v>17</v>
      </c>
      <c r="D156" s="120"/>
      <c r="E156" s="17" t="s">
        <v>20</v>
      </c>
      <c r="F156" s="73" t="s">
        <v>401</v>
      </c>
      <c r="G156" s="74" t="s">
        <v>112</v>
      </c>
      <c r="H156" s="75">
        <v>3</v>
      </c>
      <c r="I156" s="82"/>
      <c r="J156" s="96"/>
      <c r="K156" s="77"/>
      <c r="L156" s="77"/>
      <c r="M156" s="38">
        <f t="shared" ref="M156:M190" si="6">K156-L156</f>
        <v>0</v>
      </c>
      <c r="N156" s="100"/>
      <c r="O156" s="81"/>
      <c r="P156" s="81"/>
      <c r="Q156" s="12">
        <f t="shared" si="5"/>
        <v>0</v>
      </c>
      <c r="R156" s="141"/>
    </row>
    <row r="157" spans="1:18" s="13" customFormat="1" ht="15.75" x14ac:dyDescent="0.25">
      <c r="A157" s="10"/>
      <c r="B157" s="22" t="s">
        <v>157</v>
      </c>
      <c r="C157" s="1" t="s">
        <v>17</v>
      </c>
      <c r="D157" s="120"/>
      <c r="E157" s="17" t="s">
        <v>20</v>
      </c>
      <c r="F157" s="73"/>
      <c r="G157" s="11" t="s">
        <v>114</v>
      </c>
      <c r="H157" s="1"/>
      <c r="I157" s="49"/>
      <c r="J157" s="51"/>
      <c r="K157" s="37"/>
      <c r="L157" s="37"/>
      <c r="M157" s="38">
        <f t="shared" si="6"/>
        <v>0</v>
      </c>
      <c r="N157" s="39"/>
      <c r="O157" s="31"/>
      <c r="P157" s="31"/>
      <c r="Q157" s="79">
        <f t="shared" si="5"/>
        <v>0</v>
      </c>
    </row>
    <row r="158" spans="1:18" s="15" customFormat="1" ht="15.75" x14ac:dyDescent="0.25">
      <c r="A158" s="14"/>
      <c r="B158" s="80" t="s">
        <v>92</v>
      </c>
      <c r="C158" s="1" t="s">
        <v>17</v>
      </c>
      <c r="D158" s="120"/>
      <c r="E158" s="17" t="s">
        <v>20</v>
      </c>
      <c r="F158" s="73" t="s">
        <v>402</v>
      </c>
      <c r="G158" s="74" t="s">
        <v>112</v>
      </c>
      <c r="H158" s="75">
        <v>3</v>
      </c>
      <c r="I158" s="76">
        <v>1</v>
      </c>
      <c r="J158" s="96">
        <f>1</f>
        <v>1</v>
      </c>
      <c r="K158" s="77">
        <f>1951.74</f>
        <v>1951.74</v>
      </c>
      <c r="L158" s="77"/>
      <c r="M158" s="38">
        <f t="shared" si="6"/>
        <v>1951.74</v>
      </c>
      <c r="N158" s="100">
        <f>4+1</f>
        <v>5</v>
      </c>
      <c r="O158" s="81">
        <f>12624.74+2697.06</f>
        <v>15321.8</v>
      </c>
      <c r="P158" s="81">
        <f>12624.74</f>
        <v>12624.74</v>
      </c>
      <c r="Q158" s="12">
        <f t="shared" si="5"/>
        <v>2697.0599999999995</v>
      </c>
      <c r="R158" s="141"/>
    </row>
    <row r="159" spans="1:18" s="15" customFormat="1" ht="15.75" x14ac:dyDescent="0.25">
      <c r="A159" s="14"/>
      <c r="B159" s="23" t="s">
        <v>92</v>
      </c>
      <c r="C159" s="1" t="s">
        <v>17</v>
      </c>
      <c r="D159" s="120"/>
      <c r="E159" s="17" t="s">
        <v>20</v>
      </c>
      <c r="F159" s="73" t="s">
        <v>129</v>
      </c>
      <c r="G159" s="11" t="s">
        <v>114</v>
      </c>
      <c r="H159" s="1"/>
      <c r="I159" s="49"/>
      <c r="J159" s="51"/>
      <c r="K159" s="40"/>
      <c r="L159" s="40"/>
      <c r="M159" s="38">
        <f t="shared" si="6"/>
        <v>0</v>
      </c>
      <c r="N159" s="39"/>
      <c r="O159" s="31"/>
      <c r="P159" s="31"/>
      <c r="Q159" s="79">
        <f t="shared" si="5"/>
        <v>0</v>
      </c>
    </row>
    <row r="160" spans="1:18" s="13" customFormat="1" ht="15.75" x14ac:dyDescent="0.25">
      <c r="A160" s="10"/>
      <c r="B160" s="30" t="s">
        <v>93</v>
      </c>
      <c r="C160" s="1" t="s">
        <v>17</v>
      </c>
      <c r="D160" s="120"/>
      <c r="E160" s="3" t="s">
        <v>94</v>
      </c>
      <c r="F160" s="73" t="s">
        <v>403</v>
      </c>
      <c r="G160" s="74" t="s">
        <v>112</v>
      </c>
      <c r="H160" s="75">
        <v>7</v>
      </c>
      <c r="I160" s="76">
        <v>2</v>
      </c>
      <c r="J160" s="96">
        <f>2</f>
        <v>2</v>
      </c>
      <c r="K160" s="77">
        <f>2362.84</f>
        <v>2362.84</v>
      </c>
      <c r="L160" s="77">
        <f>2362.84</f>
        <v>2362.84</v>
      </c>
      <c r="M160" s="38">
        <f t="shared" si="6"/>
        <v>0</v>
      </c>
      <c r="N160" s="100">
        <f>3+8</f>
        <v>11</v>
      </c>
      <c r="O160" s="81">
        <f>20117.75</f>
        <v>20117.75</v>
      </c>
      <c r="P160" s="81">
        <f>20117.75</f>
        <v>20117.75</v>
      </c>
      <c r="Q160" s="12">
        <f t="shared" si="5"/>
        <v>0</v>
      </c>
      <c r="R160" s="141"/>
    </row>
    <row r="161" spans="1:18" s="13" customFormat="1" ht="15.75" x14ac:dyDescent="0.25">
      <c r="A161" s="10"/>
      <c r="B161" s="24" t="s">
        <v>93</v>
      </c>
      <c r="C161" s="1" t="s">
        <v>17</v>
      </c>
      <c r="D161" s="120"/>
      <c r="E161" s="3" t="s">
        <v>94</v>
      </c>
      <c r="F161" s="73" t="s">
        <v>130</v>
      </c>
      <c r="G161" s="11" t="s">
        <v>114</v>
      </c>
      <c r="H161" s="1"/>
      <c r="I161" s="49"/>
      <c r="J161" s="51"/>
      <c r="K161" s="40"/>
      <c r="L161" s="77"/>
      <c r="M161" s="38">
        <f t="shared" si="6"/>
        <v>0</v>
      </c>
      <c r="N161" s="41"/>
      <c r="O161" s="31"/>
      <c r="P161" s="31"/>
      <c r="Q161" s="79">
        <f t="shared" si="5"/>
        <v>0</v>
      </c>
    </row>
    <row r="162" spans="1:18" s="13" customFormat="1" ht="15.75" x14ac:dyDescent="0.25">
      <c r="A162" s="10"/>
      <c r="B162" s="24" t="s">
        <v>93</v>
      </c>
      <c r="C162" s="1" t="s">
        <v>17</v>
      </c>
      <c r="D162" s="120"/>
      <c r="E162" s="3" t="s">
        <v>94</v>
      </c>
      <c r="F162" s="73" t="s">
        <v>240</v>
      </c>
      <c r="G162" s="11" t="s">
        <v>118</v>
      </c>
      <c r="H162" s="1"/>
      <c r="I162" s="49"/>
      <c r="J162" s="46"/>
      <c r="K162" s="40"/>
      <c r="L162" s="40"/>
      <c r="M162" s="78">
        <f t="shared" si="6"/>
        <v>0</v>
      </c>
      <c r="N162" s="41"/>
      <c r="O162" s="31"/>
      <c r="P162" s="31"/>
      <c r="Q162" s="12">
        <f t="shared" si="5"/>
        <v>0</v>
      </c>
    </row>
    <row r="163" spans="1:18" s="13" customFormat="1" ht="15.75" x14ac:dyDescent="0.25">
      <c r="A163" s="10"/>
      <c r="B163" s="30" t="s">
        <v>95</v>
      </c>
      <c r="C163" s="1" t="s">
        <v>17</v>
      </c>
      <c r="D163" s="120"/>
      <c r="E163" s="17" t="s">
        <v>20</v>
      </c>
      <c r="F163" s="73" t="s">
        <v>404</v>
      </c>
      <c r="G163" s="74" t="s">
        <v>112</v>
      </c>
      <c r="H163" s="75">
        <v>7</v>
      </c>
      <c r="I163" s="76">
        <v>1</v>
      </c>
      <c r="J163" s="96">
        <f>1</f>
        <v>1</v>
      </c>
      <c r="K163" s="77">
        <f>1061.35</f>
        <v>1061.3499999999999</v>
      </c>
      <c r="L163" s="77"/>
      <c r="M163" s="38">
        <f t="shared" si="6"/>
        <v>1061.3499999999999</v>
      </c>
      <c r="N163" s="100">
        <f>1+6</f>
        <v>7</v>
      </c>
      <c r="O163" s="81">
        <f>11603.82+7559.28</f>
        <v>19163.099999999999</v>
      </c>
      <c r="P163" s="81"/>
      <c r="Q163" s="79">
        <f t="shared" si="5"/>
        <v>19163.099999999999</v>
      </c>
      <c r="R163" s="141"/>
    </row>
    <row r="164" spans="1:18" s="13" customFormat="1" ht="15.75" x14ac:dyDescent="0.25">
      <c r="A164" s="10"/>
      <c r="B164" s="24" t="s">
        <v>95</v>
      </c>
      <c r="C164" s="1" t="s">
        <v>17</v>
      </c>
      <c r="D164" s="120"/>
      <c r="E164" s="17" t="s">
        <v>20</v>
      </c>
      <c r="F164" s="73" t="s">
        <v>291</v>
      </c>
      <c r="G164" s="11" t="s">
        <v>114</v>
      </c>
      <c r="H164" s="1">
        <v>1</v>
      </c>
      <c r="I164" s="49"/>
      <c r="J164" s="51"/>
      <c r="K164" s="40"/>
      <c r="L164" s="40"/>
      <c r="M164" s="78">
        <f t="shared" si="6"/>
        <v>0</v>
      </c>
      <c r="N164" s="41"/>
      <c r="O164" s="31"/>
      <c r="P164" s="31"/>
      <c r="Q164" s="12">
        <f t="shared" si="5"/>
        <v>0</v>
      </c>
    </row>
    <row r="165" spans="1:18" s="13" customFormat="1" ht="15.75" x14ac:dyDescent="0.25">
      <c r="A165" s="10"/>
      <c r="B165" s="30" t="s">
        <v>96</v>
      </c>
      <c r="C165" s="1" t="s">
        <v>17</v>
      </c>
      <c r="D165" s="120"/>
      <c r="E165" s="17" t="s">
        <v>97</v>
      </c>
      <c r="F165" s="73" t="s">
        <v>405</v>
      </c>
      <c r="G165" s="74" t="s">
        <v>112</v>
      </c>
      <c r="H165" s="75">
        <v>1</v>
      </c>
      <c r="I165" s="76"/>
      <c r="J165" s="96"/>
      <c r="K165" s="77"/>
      <c r="L165" s="77"/>
      <c r="M165" s="38">
        <f t="shared" si="6"/>
        <v>0</v>
      </c>
      <c r="N165" s="103">
        <f>1</f>
        <v>1</v>
      </c>
      <c r="O165" s="77">
        <f>1742.31</f>
        <v>1742.31</v>
      </c>
      <c r="P165" s="77"/>
      <c r="Q165" s="79">
        <f t="shared" si="5"/>
        <v>1742.31</v>
      </c>
      <c r="R165" s="141"/>
    </row>
    <row r="166" spans="1:18" s="13" customFormat="1" ht="15.75" x14ac:dyDescent="0.25">
      <c r="A166" s="10"/>
      <c r="B166" s="24" t="s">
        <v>96</v>
      </c>
      <c r="C166" s="1" t="s">
        <v>17</v>
      </c>
      <c r="D166" s="120"/>
      <c r="E166" s="17" t="s">
        <v>97</v>
      </c>
      <c r="F166" s="73" t="s">
        <v>468</v>
      </c>
      <c r="G166" s="11" t="s">
        <v>114</v>
      </c>
      <c r="H166" s="1">
        <v>1</v>
      </c>
      <c r="I166" s="49"/>
      <c r="J166" s="51"/>
      <c r="K166" s="40"/>
      <c r="L166" s="40"/>
      <c r="M166" s="78">
        <f t="shared" si="6"/>
        <v>0</v>
      </c>
      <c r="N166" s="41">
        <v>2</v>
      </c>
      <c r="O166" s="31"/>
      <c r="P166" s="31"/>
      <c r="Q166" s="12">
        <f t="shared" si="5"/>
        <v>0</v>
      </c>
    </row>
    <row r="167" spans="1:18" s="13" customFormat="1" ht="15.75" x14ac:dyDescent="0.25">
      <c r="A167" s="10"/>
      <c r="B167" s="30" t="s">
        <v>98</v>
      </c>
      <c r="C167" s="1" t="s">
        <v>17</v>
      </c>
      <c r="D167" s="120"/>
      <c r="E167" s="17" t="s">
        <v>35</v>
      </c>
      <c r="F167" s="73" t="s">
        <v>406</v>
      </c>
      <c r="G167" s="74" t="s">
        <v>112</v>
      </c>
      <c r="H167" s="75">
        <v>14</v>
      </c>
      <c r="I167" s="76">
        <v>3</v>
      </c>
      <c r="J167" s="96">
        <f>1+2+1</f>
        <v>4</v>
      </c>
      <c r="K167" s="77">
        <f>845.24+1764.25+8353.03</f>
        <v>10962.52</v>
      </c>
      <c r="L167" s="77"/>
      <c r="M167" s="38">
        <f t="shared" si="6"/>
        <v>10962.52</v>
      </c>
      <c r="N167" s="100">
        <f>9+1+1+4+2+1</f>
        <v>18</v>
      </c>
      <c r="O167" s="81">
        <f>17007.01+2697.06+1267.86+31709.38+5331.44</f>
        <v>58012.75</v>
      </c>
      <c r="P167" s="81">
        <f>17007.01+10149.24</f>
        <v>27156.25</v>
      </c>
      <c r="Q167" s="79">
        <f t="shared" si="5"/>
        <v>30856.5</v>
      </c>
      <c r="R167" s="141"/>
    </row>
    <row r="168" spans="1:18" s="13" customFormat="1" ht="15.75" x14ac:dyDescent="0.25">
      <c r="A168" s="10"/>
      <c r="B168" s="24" t="s">
        <v>98</v>
      </c>
      <c r="C168" s="1" t="s">
        <v>17</v>
      </c>
      <c r="D168" s="120"/>
      <c r="E168" s="17" t="s">
        <v>35</v>
      </c>
      <c r="F168" s="73" t="s">
        <v>435</v>
      </c>
      <c r="G168" s="8" t="s">
        <v>117</v>
      </c>
      <c r="H168" s="1">
        <v>2</v>
      </c>
      <c r="I168" s="49"/>
      <c r="J168" s="46"/>
      <c r="K168" s="40"/>
      <c r="L168" s="40"/>
      <c r="M168" s="78">
        <f t="shared" si="6"/>
        <v>0</v>
      </c>
      <c r="N168" s="41">
        <f>4</f>
        <v>4</v>
      </c>
      <c r="O168" s="40">
        <v>10721.75</v>
      </c>
      <c r="P168" s="40"/>
      <c r="Q168" s="12">
        <f t="shared" si="5"/>
        <v>10721.75</v>
      </c>
    </row>
    <row r="169" spans="1:18" s="13" customFormat="1" ht="15.75" x14ac:dyDescent="0.25">
      <c r="A169" s="10"/>
      <c r="B169" s="24" t="s">
        <v>488</v>
      </c>
      <c r="C169" s="1" t="s">
        <v>17</v>
      </c>
      <c r="D169" s="120"/>
      <c r="E169" s="17" t="s">
        <v>97</v>
      </c>
      <c r="F169" s="73" t="s">
        <v>498</v>
      </c>
      <c r="G169" s="8" t="s">
        <v>112</v>
      </c>
      <c r="H169" s="1">
        <v>5</v>
      </c>
      <c r="I169" s="49"/>
      <c r="J169" s="46"/>
      <c r="K169" s="40"/>
      <c r="L169" s="40"/>
      <c r="M169" s="78"/>
      <c r="N169" s="41"/>
      <c r="O169" s="40"/>
      <c r="P169" s="40"/>
      <c r="Q169" s="12"/>
    </row>
    <row r="170" spans="1:18" s="15" customFormat="1" ht="15.75" x14ac:dyDescent="0.25">
      <c r="A170" s="14"/>
      <c r="B170" s="84" t="s">
        <v>99</v>
      </c>
      <c r="C170" s="1" t="s">
        <v>17</v>
      </c>
      <c r="D170" s="120"/>
      <c r="E170" s="3" t="s">
        <v>32</v>
      </c>
      <c r="F170" s="73" t="s">
        <v>418</v>
      </c>
      <c r="G170" s="74" t="s">
        <v>112</v>
      </c>
      <c r="H170" s="75"/>
      <c r="I170" s="76"/>
      <c r="J170" s="96"/>
      <c r="K170" s="77"/>
      <c r="L170" s="77"/>
      <c r="M170" s="38">
        <f t="shared" si="6"/>
        <v>0</v>
      </c>
      <c r="N170" s="100"/>
      <c r="O170" s="81"/>
      <c r="P170" s="81"/>
      <c r="Q170" s="79">
        <f t="shared" si="5"/>
        <v>0</v>
      </c>
      <c r="R170" s="141"/>
    </row>
    <row r="171" spans="1:18" s="15" customFormat="1" ht="15.75" x14ac:dyDescent="0.25">
      <c r="A171" s="14"/>
      <c r="B171" s="29" t="s">
        <v>99</v>
      </c>
      <c r="C171" s="1" t="s">
        <v>17</v>
      </c>
      <c r="D171" s="120"/>
      <c r="E171" s="3" t="s">
        <v>32</v>
      </c>
      <c r="F171" s="73" t="s">
        <v>423</v>
      </c>
      <c r="G171" s="8" t="s">
        <v>117</v>
      </c>
      <c r="H171" s="1"/>
      <c r="I171" s="49"/>
      <c r="J171" s="51"/>
      <c r="K171" s="40"/>
      <c r="L171" s="40"/>
      <c r="M171" s="78">
        <f t="shared" si="6"/>
        <v>0</v>
      </c>
      <c r="N171" s="39"/>
      <c r="O171" s="40"/>
      <c r="P171" s="40"/>
      <c r="Q171" s="12">
        <f t="shared" si="5"/>
        <v>0</v>
      </c>
    </row>
    <row r="172" spans="1:18" s="15" customFormat="1" ht="31.5" x14ac:dyDescent="0.25">
      <c r="A172" s="14"/>
      <c r="B172" s="30" t="s">
        <v>144</v>
      </c>
      <c r="C172" s="1" t="s">
        <v>304</v>
      </c>
      <c r="D172" s="120" t="s">
        <v>313</v>
      </c>
      <c r="E172" s="17" t="s">
        <v>97</v>
      </c>
      <c r="F172" s="73" t="s">
        <v>407</v>
      </c>
      <c r="G172" s="66" t="s">
        <v>112</v>
      </c>
      <c r="H172" s="75">
        <v>6</v>
      </c>
      <c r="I172" s="76">
        <v>4</v>
      </c>
      <c r="J172" s="98">
        <f>2+2+1</f>
        <v>5</v>
      </c>
      <c r="K172" s="77">
        <f>950.9+1449.39+2272.32</f>
        <v>4672.6100000000006</v>
      </c>
      <c r="L172" s="77"/>
      <c r="M172" s="38">
        <f t="shared" si="6"/>
        <v>4672.6100000000006</v>
      </c>
      <c r="N172" s="100">
        <f>3+2+1</f>
        <v>6</v>
      </c>
      <c r="O172" s="77">
        <f>5020.57+5566.06+2694.94</f>
        <v>13281.570000000002</v>
      </c>
      <c r="P172" s="77"/>
      <c r="Q172" s="79">
        <f t="shared" si="5"/>
        <v>13281.570000000002</v>
      </c>
      <c r="R172" s="141"/>
    </row>
    <row r="173" spans="1:18" s="15" customFormat="1" ht="15.75" x14ac:dyDescent="0.25">
      <c r="A173" s="14"/>
      <c r="B173" s="30" t="s">
        <v>488</v>
      </c>
      <c r="C173" s="1"/>
      <c r="D173" s="120"/>
      <c r="E173" s="17"/>
      <c r="F173" s="73"/>
      <c r="G173" s="66" t="s">
        <v>114</v>
      </c>
      <c r="H173" s="75">
        <v>7</v>
      </c>
      <c r="I173" s="76"/>
      <c r="J173" s="98"/>
      <c r="K173" s="77"/>
      <c r="L173" s="77"/>
      <c r="M173" s="38"/>
      <c r="N173" s="100"/>
      <c r="O173" s="77"/>
      <c r="P173" s="77"/>
      <c r="Q173" s="79"/>
    </row>
    <row r="174" spans="1:18" s="15" customFormat="1" ht="15.75" x14ac:dyDescent="0.25">
      <c r="A174" s="14"/>
      <c r="B174" s="30" t="s">
        <v>488</v>
      </c>
      <c r="C174" s="1"/>
      <c r="D174" s="120"/>
      <c r="E174" s="17"/>
      <c r="F174" s="73"/>
      <c r="G174" s="66" t="s">
        <v>113</v>
      </c>
      <c r="H174" s="75">
        <v>1</v>
      </c>
      <c r="I174" s="76"/>
      <c r="J174" s="98"/>
      <c r="K174" s="77"/>
      <c r="L174" s="77"/>
      <c r="M174" s="38"/>
      <c r="N174" s="100"/>
      <c r="O174" s="77"/>
      <c r="P174" s="77"/>
      <c r="Q174" s="79"/>
    </row>
    <row r="175" spans="1:18" s="15" customFormat="1" ht="31.5" x14ac:dyDescent="0.25">
      <c r="A175" s="14"/>
      <c r="B175" s="34" t="s">
        <v>144</v>
      </c>
      <c r="C175" s="1" t="s">
        <v>446</v>
      </c>
      <c r="D175" s="120" t="s">
        <v>313</v>
      </c>
      <c r="E175" s="3" t="s">
        <v>20</v>
      </c>
      <c r="F175" s="73" t="s">
        <v>485</v>
      </c>
      <c r="G175" s="8" t="s">
        <v>114</v>
      </c>
      <c r="H175" s="1">
        <v>9</v>
      </c>
      <c r="I175" s="53">
        <v>1</v>
      </c>
      <c r="J175" s="52">
        <v>1</v>
      </c>
      <c r="K175" s="40"/>
      <c r="L175" s="40"/>
      <c r="M175" s="78">
        <f t="shared" si="6"/>
        <v>0</v>
      </c>
      <c r="N175" s="42">
        <v>17</v>
      </c>
      <c r="O175" s="31">
        <f>10845.7</f>
        <v>10845.7</v>
      </c>
      <c r="P175" s="31">
        <v>10845.7</v>
      </c>
      <c r="Q175" s="12">
        <f t="shared" si="5"/>
        <v>0</v>
      </c>
    </row>
    <row r="176" spans="1:18" s="21" customFormat="1" ht="47.25" x14ac:dyDescent="0.25">
      <c r="A176" s="1"/>
      <c r="B176" s="30" t="s">
        <v>100</v>
      </c>
      <c r="C176" s="1" t="s">
        <v>304</v>
      </c>
      <c r="D176" s="120" t="s">
        <v>416</v>
      </c>
      <c r="E176" s="17" t="s">
        <v>20</v>
      </c>
      <c r="F176" s="73" t="s">
        <v>408</v>
      </c>
      <c r="G176" s="27" t="s">
        <v>112</v>
      </c>
      <c r="H176" s="75">
        <v>7</v>
      </c>
      <c r="I176" s="76"/>
      <c r="J176" s="98">
        <f>5</f>
        <v>5</v>
      </c>
      <c r="K176" s="86"/>
      <c r="L176" s="86"/>
      <c r="M176" s="38">
        <f t="shared" si="6"/>
        <v>0</v>
      </c>
      <c r="N176" s="100">
        <f>1+3</f>
        <v>4</v>
      </c>
      <c r="O176" s="87">
        <f>10770.58</f>
        <v>10770.58</v>
      </c>
      <c r="P176" s="87"/>
      <c r="Q176" s="79">
        <f t="shared" si="5"/>
        <v>10770.58</v>
      </c>
      <c r="R176" s="141"/>
    </row>
    <row r="177" spans="1:18" s="21" customFormat="1" ht="47.25" x14ac:dyDescent="0.25">
      <c r="A177" s="1"/>
      <c r="B177" s="24" t="s">
        <v>100</v>
      </c>
      <c r="C177" s="18" t="s">
        <v>125</v>
      </c>
      <c r="D177" s="120" t="s">
        <v>126</v>
      </c>
      <c r="E177" s="17" t="s">
        <v>20</v>
      </c>
      <c r="F177" s="73" t="s">
        <v>486</v>
      </c>
      <c r="G177" s="20" t="s">
        <v>114</v>
      </c>
      <c r="H177" s="1">
        <v>7</v>
      </c>
      <c r="I177" s="53"/>
      <c r="J177" s="52"/>
      <c r="K177" s="55"/>
      <c r="L177" s="55"/>
      <c r="M177" s="78">
        <f t="shared" si="6"/>
        <v>0</v>
      </c>
      <c r="N177" s="41"/>
      <c r="O177" s="54"/>
      <c r="P177" s="54"/>
      <c r="Q177" s="12">
        <f t="shared" si="5"/>
        <v>0</v>
      </c>
    </row>
    <row r="178" spans="1:18" s="13" customFormat="1" ht="15.75" x14ac:dyDescent="0.25">
      <c r="A178" s="10"/>
      <c r="B178" s="62" t="s">
        <v>101</v>
      </c>
      <c r="C178" s="1" t="s">
        <v>17</v>
      </c>
      <c r="D178" s="120"/>
      <c r="E178" s="17" t="s">
        <v>20</v>
      </c>
      <c r="F178" s="73" t="s">
        <v>409</v>
      </c>
      <c r="G178" s="74" t="s">
        <v>112</v>
      </c>
      <c r="H178" s="75">
        <v>7</v>
      </c>
      <c r="I178" s="76">
        <v>1</v>
      </c>
      <c r="J178" s="96">
        <f>1</f>
        <v>1</v>
      </c>
      <c r="K178" s="77">
        <f>1045.98</f>
        <v>1045.98</v>
      </c>
      <c r="L178" s="77"/>
      <c r="M178" s="38">
        <f t="shared" si="6"/>
        <v>1045.98</v>
      </c>
      <c r="N178" s="100">
        <f>5+2</f>
        <v>7</v>
      </c>
      <c r="O178" s="81">
        <f>6288.07+3061.62</f>
        <v>9349.6899999999987</v>
      </c>
      <c r="P178" s="81"/>
      <c r="Q178" s="79">
        <f t="shared" si="5"/>
        <v>9349.6899999999987</v>
      </c>
      <c r="R178" s="141"/>
    </row>
    <row r="179" spans="1:18" s="13" customFormat="1" ht="15.75" x14ac:dyDescent="0.25">
      <c r="A179" s="10"/>
      <c r="B179" s="62" t="s">
        <v>146</v>
      </c>
      <c r="C179" s="1" t="s">
        <v>17</v>
      </c>
      <c r="D179" s="120"/>
      <c r="E179" s="17" t="s">
        <v>20</v>
      </c>
      <c r="F179" s="73" t="s">
        <v>410</v>
      </c>
      <c r="G179" s="74" t="s">
        <v>112</v>
      </c>
      <c r="H179" s="75">
        <v>5</v>
      </c>
      <c r="I179" s="76">
        <v>4</v>
      </c>
      <c r="J179" s="96">
        <f>4+1</f>
        <v>5</v>
      </c>
      <c r="K179" s="77">
        <f>4610.77+1568.98</f>
        <v>6179.75</v>
      </c>
      <c r="L179" s="77"/>
      <c r="M179" s="38">
        <f t="shared" si="6"/>
        <v>6179.75</v>
      </c>
      <c r="N179" s="100">
        <f>5+1+1</f>
        <v>7</v>
      </c>
      <c r="O179" s="81">
        <f>13579.06+1287.07+2636.18</f>
        <v>17502.309999999998</v>
      </c>
      <c r="P179" s="81">
        <f>13579.06</f>
        <v>13579.06</v>
      </c>
      <c r="Q179" s="12">
        <f t="shared" si="5"/>
        <v>3923.2499999999982</v>
      </c>
      <c r="R179" s="141"/>
    </row>
    <row r="180" spans="1:18" s="13" customFormat="1" ht="15.75" x14ac:dyDescent="0.25">
      <c r="A180" s="10"/>
      <c r="B180" s="22" t="s">
        <v>146</v>
      </c>
      <c r="C180" s="1" t="s">
        <v>17</v>
      </c>
      <c r="D180" s="120"/>
      <c r="E180" s="3" t="s">
        <v>21</v>
      </c>
      <c r="F180" s="73" t="s">
        <v>443</v>
      </c>
      <c r="G180" s="11" t="s">
        <v>118</v>
      </c>
      <c r="H180" s="1">
        <v>3</v>
      </c>
      <c r="I180" s="47"/>
      <c r="J180" s="51"/>
      <c r="K180" s="37"/>
      <c r="L180" s="37"/>
      <c r="M180" s="38">
        <f t="shared" si="6"/>
        <v>0</v>
      </c>
      <c r="N180" s="39">
        <v>3</v>
      </c>
      <c r="O180" s="31">
        <v>3035.18</v>
      </c>
      <c r="P180" s="31"/>
      <c r="Q180" s="79">
        <f t="shared" si="5"/>
        <v>3035.18</v>
      </c>
    </row>
    <row r="181" spans="1:18" s="13" customFormat="1" ht="15.75" x14ac:dyDescent="0.25">
      <c r="A181" s="10"/>
      <c r="B181" s="27" t="s">
        <v>102</v>
      </c>
      <c r="C181" s="1" t="s">
        <v>17</v>
      </c>
      <c r="D181" s="120"/>
      <c r="E181" s="17" t="s">
        <v>20</v>
      </c>
      <c r="F181" s="73" t="s">
        <v>411</v>
      </c>
      <c r="G181" s="74" t="s">
        <v>112</v>
      </c>
      <c r="H181" s="75">
        <v>7</v>
      </c>
      <c r="I181" s="76">
        <v>2</v>
      </c>
      <c r="J181" s="96">
        <f>1+1</f>
        <v>2</v>
      </c>
      <c r="K181" s="77">
        <f>845.24+845.24</f>
        <v>1690.48</v>
      </c>
      <c r="L181" s="77"/>
      <c r="M181" s="38">
        <f t="shared" si="6"/>
        <v>1690.48</v>
      </c>
      <c r="N181" s="100">
        <f>3</f>
        <v>3</v>
      </c>
      <c r="O181" s="81">
        <f>7808.21+30833.77</f>
        <v>38641.980000000003</v>
      </c>
      <c r="P181" s="81"/>
      <c r="Q181" s="12">
        <f t="shared" si="5"/>
        <v>38641.980000000003</v>
      </c>
      <c r="R181" s="141"/>
    </row>
    <row r="182" spans="1:18" s="13" customFormat="1" ht="15.75" x14ac:dyDescent="0.25">
      <c r="A182" s="10"/>
      <c r="B182" s="25" t="s">
        <v>102</v>
      </c>
      <c r="C182" s="1" t="s">
        <v>17</v>
      </c>
      <c r="D182" s="120"/>
      <c r="E182" s="17" t="s">
        <v>20</v>
      </c>
      <c r="F182" s="73" t="s">
        <v>469</v>
      </c>
      <c r="G182" s="11" t="s">
        <v>114</v>
      </c>
      <c r="H182" s="1">
        <v>2</v>
      </c>
      <c r="I182" s="58"/>
      <c r="J182" s="51"/>
      <c r="K182" s="40"/>
      <c r="L182" s="40"/>
      <c r="M182" s="38">
        <f t="shared" si="6"/>
        <v>0</v>
      </c>
      <c r="N182" s="41">
        <v>7</v>
      </c>
      <c r="O182" s="31">
        <f>7604.1</f>
        <v>7604.1</v>
      </c>
      <c r="P182" s="31">
        <v>7604.1</v>
      </c>
      <c r="Q182" s="79">
        <f t="shared" si="5"/>
        <v>0</v>
      </c>
    </row>
    <row r="183" spans="1:18" s="13" customFormat="1" ht="15.75" x14ac:dyDescent="0.25">
      <c r="A183" s="10"/>
      <c r="B183" s="27" t="s">
        <v>103</v>
      </c>
      <c r="C183" s="1" t="s">
        <v>17</v>
      </c>
      <c r="D183" s="120"/>
      <c r="E183" s="3" t="s">
        <v>20</v>
      </c>
      <c r="F183" s="73" t="s">
        <v>412</v>
      </c>
      <c r="G183" s="74" t="s">
        <v>112</v>
      </c>
      <c r="H183" s="75">
        <v>5</v>
      </c>
      <c r="I183" s="76"/>
      <c r="J183" s="96"/>
      <c r="K183" s="77"/>
      <c r="L183" s="77"/>
      <c r="M183" s="38">
        <f t="shared" si="6"/>
        <v>0</v>
      </c>
      <c r="N183" s="100">
        <f>7</f>
        <v>7</v>
      </c>
      <c r="O183" s="77">
        <f>20193.14</f>
        <v>20193.14</v>
      </c>
      <c r="P183" s="81"/>
      <c r="Q183" s="12">
        <f t="shared" si="5"/>
        <v>20193.14</v>
      </c>
      <c r="R183" s="141"/>
    </row>
    <row r="184" spans="1:18" s="13" customFormat="1" ht="15.75" x14ac:dyDescent="0.25">
      <c r="A184" s="10"/>
      <c r="B184" s="25" t="s">
        <v>103</v>
      </c>
      <c r="C184" s="1" t="s">
        <v>17</v>
      </c>
      <c r="D184" s="120"/>
      <c r="E184" s="3" t="s">
        <v>20</v>
      </c>
      <c r="F184" s="73" t="s">
        <v>470</v>
      </c>
      <c r="G184" s="11" t="s">
        <v>114</v>
      </c>
      <c r="H184" s="1">
        <v>3</v>
      </c>
      <c r="I184" s="49"/>
      <c r="J184" s="51"/>
      <c r="K184" s="40"/>
      <c r="L184" s="40"/>
      <c r="M184" s="38">
        <f t="shared" si="6"/>
        <v>0</v>
      </c>
      <c r="N184" s="41">
        <v>3</v>
      </c>
      <c r="O184" s="31">
        <f>8510.89</f>
        <v>8510.89</v>
      </c>
      <c r="P184" s="31">
        <v>8510.89</v>
      </c>
      <c r="Q184" s="79">
        <f t="shared" si="5"/>
        <v>0</v>
      </c>
    </row>
    <row r="185" spans="1:18" s="15" customFormat="1" ht="15.75" x14ac:dyDescent="0.25">
      <c r="A185" s="14"/>
      <c r="B185" s="28" t="s">
        <v>104</v>
      </c>
      <c r="C185" s="1" t="s">
        <v>17</v>
      </c>
      <c r="D185" s="120"/>
      <c r="E185" s="3" t="s">
        <v>20</v>
      </c>
      <c r="F185" s="73" t="s">
        <v>413</v>
      </c>
      <c r="G185" s="74" t="s">
        <v>112</v>
      </c>
      <c r="H185" s="75">
        <v>6</v>
      </c>
      <c r="I185" s="76">
        <v>4</v>
      </c>
      <c r="J185" s="96">
        <f>3+1</f>
        <v>4</v>
      </c>
      <c r="K185" s="77">
        <f>5112.82+422.64</f>
        <v>5535.46</v>
      </c>
      <c r="L185" s="77"/>
      <c r="M185" s="38">
        <f t="shared" si="6"/>
        <v>5535.46</v>
      </c>
      <c r="N185" s="100">
        <f>4+1</f>
        <v>5</v>
      </c>
      <c r="O185" s="81">
        <f>7087.22</f>
        <v>7087.22</v>
      </c>
      <c r="P185" s="81">
        <f>7086.22</f>
        <v>7086.22</v>
      </c>
      <c r="Q185" s="12">
        <f t="shared" si="5"/>
        <v>1</v>
      </c>
      <c r="R185" s="141"/>
    </row>
    <row r="186" spans="1:18" s="15" customFormat="1" ht="15.75" x14ac:dyDescent="0.25">
      <c r="A186" s="14"/>
      <c r="B186" s="26" t="s">
        <v>104</v>
      </c>
      <c r="C186" s="1" t="s">
        <v>17</v>
      </c>
      <c r="D186" s="120"/>
      <c r="E186" s="3" t="s">
        <v>20</v>
      </c>
      <c r="F186" s="73" t="s">
        <v>471</v>
      </c>
      <c r="G186" s="11" t="s">
        <v>114</v>
      </c>
      <c r="H186" s="1">
        <v>19</v>
      </c>
      <c r="I186" s="49"/>
      <c r="J186" s="51"/>
      <c r="K186" s="40"/>
      <c r="L186" s="40"/>
      <c r="M186" s="38">
        <f t="shared" si="6"/>
        <v>0</v>
      </c>
      <c r="N186" s="39">
        <v>12</v>
      </c>
      <c r="O186" s="31">
        <f>8717.37</f>
        <v>8717.3700000000008</v>
      </c>
      <c r="P186" s="31">
        <v>8717.3700000000008</v>
      </c>
      <c r="Q186" s="79">
        <f t="shared" si="5"/>
        <v>0</v>
      </c>
    </row>
    <row r="187" spans="1:18" s="13" customFormat="1" ht="15.75" x14ac:dyDescent="0.25">
      <c r="A187" s="10"/>
      <c r="B187" s="30" t="s">
        <v>105</v>
      </c>
      <c r="C187" s="1" t="s">
        <v>17</v>
      </c>
      <c r="D187" s="120"/>
      <c r="E187" s="17" t="s">
        <v>35</v>
      </c>
      <c r="F187" s="73" t="s">
        <v>419</v>
      </c>
      <c r="G187" s="74" t="s">
        <v>112</v>
      </c>
      <c r="H187" s="75"/>
      <c r="I187" s="76"/>
      <c r="J187" s="96"/>
      <c r="K187" s="77"/>
      <c r="L187" s="77"/>
      <c r="M187" s="38">
        <f t="shared" si="6"/>
        <v>0</v>
      </c>
      <c r="N187" s="100"/>
      <c r="O187" s="81"/>
      <c r="P187" s="81"/>
      <c r="Q187" s="12">
        <f t="shared" si="5"/>
        <v>0</v>
      </c>
      <c r="R187" s="141"/>
    </row>
    <row r="188" spans="1:18" s="13" customFormat="1" ht="15.75" x14ac:dyDescent="0.25">
      <c r="A188" s="10"/>
      <c r="B188" s="30" t="s">
        <v>26</v>
      </c>
      <c r="C188" s="1" t="s">
        <v>17</v>
      </c>
      <c r="D188" s="120"/>
      <c r="E188" s="3" t="s">
        <v>32</v>
      </c>
      <c r="F188" s="73" t="s">
        <v>246</v>
      </c>
      <c r="G188" s="74" t="s">
        <v>117</v>
      </c>
      <c r="H188" s="75"/>
      <c r="I188" s="76"/>
      <c r="J188" s="96"/>
      <c r="K188" s="77"/>
      <c r="L188" s="77"/>
      <c r="M188" s="78">
        <f t="shared" si="6"/>
        <v>0</v>
      </c>
      <c r="N188" s="100">
        <v>3</v>
      </c>
      <c r="O188" s="81">
        <v>3774.05</v>
      </c>
      <c r="P188" s="81">
        <v>3774.05</v>
      </c>
      <c r="Q188" s="12">
        <f t="shared" si="5"/>
        <v>0</v>
      </c>
    </row>
    <row r="189" spans="1:18" s="13" customFormat="1" ht="15.75" x14ac:dyDescent="0.25">
      <c r="A189" s="10"/>
      <c r="B189" s="24" t="s">
        <v>105</v>
      </c>
      <c r="C189" s="1" t="s">
        <v>17</v>
      </c>
      <c r="D189" s="120"/>
      <c r="E189" s="17" t="s">
        <v>35</v>
      </c>
      <c r="F189" s="73" t="s">
        <v>436</v>
      </c>
      <c r="G189" s="11" t="s">
        <v>117</v>
      </c>
      <c r="H189" s="1"/>
      <c r="I189" s="47"/>
      <c r="J189" s="46"/>
      <c r="K189" s="40"/>
      <c r="L189" s="40"/>
      <c r="M189" s="38">
        <f t="shared" si="6"/>
        <v>0</v>
      </c>
      <c r="N189" s="41"/>
      <c r="O189" s="31"/>
      <c r="P189" s="31"/>
      <c r="Q189" s="79">
        <f t="shared" si="5"/>
        <v>0</v>
      </c>
    </row>
    <row r="190" spans="1:18" s="13" customFormat="1" ht="15.75" x14ac:dyDescent="0.25">
      <c r="A190" s="10"/>
      <c r="B190" s="62" t="s">
        <v>106</v>
      </c>
      <c r="C190" s="1" t="s">
        <v>17</v>
      </c>
      <c r="D190" s="2"/>
      <c r="E190" s="17" t="s">
        <v>20</v>
      </c>
      <c r="F190" s="73" t="s">
        <v>414</v>
      </c>
      <c r="G190" s="74" t="s">
        <v>112</v>
      </c>
      <c r="H190" s="75">
        <v>6</v>
      </c>
      <c r="I190" s="76"/>
      <c r="J190" s="96"/>
      <c r="K190" s="77"/>
      <c r="L190" s="77"/>
      <c r="M190" s="38">
        <f t="shared" si="6"/>
        <v>0</v>
      </c>
      <c r="N190" s="100">
        <f>3</f>
        <v>3</v>
      </c>
      <c r="O190" s="81">
        <f>15956.85</f>
        <v>15956.85</v>
      </c>
      <c r="P190" s="81"/>
      <c r="Q190" s="12">
        <f t="shared" si="5"/>
        <v>15956.85</v>
      </c>
      <c r="R190" s="141"/>
    </row>
    <row r="191" spans="1:18" ht="15.75" x14ac:dyDescent="0.25">
      <c r="A191" s="7"/>
      <c r="B191" s="32"/>
      <c r="C191" s="107"/>
      <c r="D191" s="33"/>
      <c r="E191" s="33"/>
      <c r="F191" s="73"/>
      <c r="G191" s="8" t="s">
        <v>131</v>
      </c>
      <c r="H191" s="106">
        <f t="shared" ref="H191:P191" si="7">SUM(H10:H190)</f>
        <v>888</v>
      </c>
      <c r="I191" s="59">
        <f t="shared" si="7"/>
        <v>233</v>
      </c>
      <c r="J191" s="43">
        <f t="shared" si="7"/>
        <v>295</v>
      </c>
      <c r="K191" s="56">
        <f t="shared" si="7"/>
        <v>353632.31999999989</v>
      </c>
      <c r="L191" s="56">
        <f t="shared" si="7"/>
        <v>2362.84</v>
      </c>
      <c r="M191" s="44">
        <f>K191-L191</f>
        <v>351269.47999999986</v>
      </c>
      <c r="N191" s="43">
        <f t="shared" si="7"/>
        <v>1155</v>
      </c>
      <c r="O191" s="57">
        <f t="shared" si="7"/>
        <v>2856638.7620000006</v>
      </c>
      <c r="P191" s="57">
        <f t="shared" si="7"/>
        <v>903159.11999999965</v>
      </c>
      <c r="Q191" s="79">
        <f t="shared" si="5"/>
        <v>1953479.6420000009</v>
      </c>
      <c r="R191" s="129"/>
    </row>
    <row r="192" spans="1:18" x14ac:dyDescent="0.25">
      <c r="K192" s="91" t="s">
        <v>305</v>
      </c>
    </row>
    <row r="193" spans="2:17" ht="45" x14ac:dyDescent="0.25">
      <c r="B193" s="89" t="s">
        <v>316</v>
      </c>
      <c r="F193" s="104" t="s">
        <v>317</v>
      </c>
      <c r="M193" s="142"/>
      <c r="Q193" s="133"/>
    </row>
  </sheetData>
  <mergeCells count="7">
    <mergeCell ref="O1:Q1"/>
    <mergeCell ref="A3:Q3"/>
    <mergeCell ref="A4:Q4"/>
    <mergeCell ref="A5:Q5"/>
    <mergeCell ref="B7:G7"/>
    <mergeCell ref="H7:M7"/>
    <mergeCell ref="N7:Q7"/>
  </mergeCells>
  <pageMargins left="0.7" right="0.7" top="0.75" bottom="0.75" header="0.3" footer="0.3"/>
  <pageSetup paperSize="9" orientation="portrait" verticalDpi="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95"/>
  <sheetViews>
    <sheetView workbookViewId="0">
      <selection sqref="A1:XFD1048576"/>
    </sheetView>
  </sheetViews>
  <sheetFormatPr defaultRowHeight="15" x14ac:dyDescent="0.25"/>
  <cols>
    <col min="1" max="1" width="1.85546875" style="6" customWidth="1"/>
    <col min="2" max="2" width="38.28515625" style="88" customWidth="1"/>
    <col min="3" max="3" width="6.5703125" style="19" customWidth="1"/>
    <col min="4" max="4" width="17.42578125" style="19" customWidth="1"/>
    <col min="5" max="5" width="19" style="19" customWidth="1"/>
    <col min="6" max="6" width="18.140625" style="89" customWidth="1"/>
    <col min="7" max="7" width="21.42578125" style="89" customWidth="1"/>
    <col min="8" max="8" width="11.85546875" style="90" customWidth="1"/>
    <col min="9" max="9" width="10.7109375" style="90" customWidth="1"/>
    <col min="10" max="10" width="7.42578125" style="99" customWidth="1"/>
    <col min="11" max="11" width="16.5703125" style="91" customWidth="1"/>
    <col min="12" max="12" width="13.28515625" style="91" customWidth="1"/>
    <col min="13" max="13" width="15.7109375" style="91" customWidth="1"/>
    <col min="14" max="14" width="10.7109375" style="99" customWidth="1"/>
    <col min="15" max="15" width="14" style="92" customWidth="1"/>
    <col min="16" max="16" width="16" style="92" customWidth="1"/>
    <col min="17" max="17" width="14.42578125" style="92" customWidth="1"/>
    <col min="18" max="18" width="11.7109375" style="6" customWidth="1"/>
    <col min="19" max="19" width="9.42578125" style="6" customWidth="1"/>
    <col min="20" max="21" width="9.140625" style="6" customWidth="1"/>
    <col min="22" max="16384" width="9.140625" style="6"/>
  </cols>
  <sheetData>
    <row r="1" spans="1:18" s="105" customFormat="1" x14ac:dyDescent="0.25">
      <c r="B1" s="60"/>
      <c r="C1" s="4"/>
      <c r="D1" s="4"/>
      <c r="E1" s="4"/>
      <c r="F1" s="63"/>
      <c r="G1" s="63"/>
      <c r="H1" s="64"/>
      <c r="I1" s="64"/>
      <c r="J1" s="93"/>
      <c r="K1" s="65"/>
      <c r="L1" s="65"/>
      <c r="M1" s="65"/>
      <c r="N1" s="93"/>
      <c r="O1" s="362" t="s">
        <v>15</v>
      </c>
      <c r="P1" s="362"/>
      <c r="Q1" s="362"/>
    </row>
    <row r="2" spans="1:18" s="105" customFormat="1" x14ac:dyDescent="0.25">
      <c r="A2" s="7"/>
      <c r="B2" s="156"/>
      <c r="C2" s="107"/>
      <c r="D2" s="107"/>
      <c r="E2" s="107"/>
      <c r="F2" s="66"/>
      <c r="G2" s="66"/>
      <c r="H2" s="155"/>
      <c r="I2" s="155"/>
      <c r="J2" s="94"/>
      <c r="K2" s="67"/>
      <c r="L2" s="67"/>
      <c r="M2" s="67"/>
      <c r="N2" s="94"/>
      <c r="O2" s="68"/>
      <c r="P2" s="68"/>
      <c r="Q2" s="68"/>
    </row>
    <row r="3" spans="1:18" s="105" customFormat="1" x14ac:dyDescent="0.25">
      <c r="A3" s="363" t="s">
        <v>318</v>
      </c>
      <c r="B3" s="364"/>
      <c r="C3" s="363"/>
      <c r="D3" s="363"/>
      <c r="E3" s="363"/>
      <c r="F3" s="364"/>
      <c r="G3" s="364"/>
      <c r="H3" s="365"/>
      <c r="I3" s="366"/>
      <c r="J3" s="367"/>
      <c r="K3" s="364"/>
      <c r="L3" s="364"/>
      <c r="M3" s="364"/>
      <c r="N3" s="364"/>
      <c r="O3" s="364"/>
      <c r="P3" s="364"/>
      <c r="Q3" s="364"/>
    </row>
    <row r="4" spans="1:18" s="105" customFormat="1" x14ac:dyDescent="0.25">
      <c r="A4" s="368">
        <v>43570</v>
      </c>
      <c r="B4" s="369"/>
      <c r="C4" s="370"/>
      <c r="D4" s="370"/>
      <c r="E4" s="370"/>
      <c r="F4" s="369"/>
      <c r="G4" s="369"/>
      <c r="H4" s="371"/>
      <c r="I4" s="372"/>
      <c r="J4" s="373"/>
      <c r="K4" s="369"/>
      <c r="L4" s="369"/>
      <c r="M4" s="369"/>
      <c r="N4" s="369"/>
      <c r="O4" s="369"/>
      <c r="P4" s="369"/>
      <c r="Q4" s="369"/>
    </row>
    <row r="5" spans="1:18" s="105" customFormat="1" x14ac:dyDescent="0.25">
      <c r="A5" s="374" t="s">
        <v>14</v>
      </c>
      <c r="B5" s="367"/>
      <c r="C5" s="374"/>
      <c r="D5" s="374"/>
      <c r="E5" s="374"/>
      <c r="F5" s="367"/>
      <c r="G5" s="367"/>
      <c r="H5" s="366"/>
      <c r="I5" s="366"/>
      <c r="J5" s="367"/>
      <c r="K5" s="367"/>
      <c r="L5" s="367"/>
      <c r="M5" s="367"/>
      <c r="N5" s="367"/>
      <c r="O5" s="367"/>
      <c r="P5" s="367"/>
      <c r="Q5" s="367"/>
    </row>
    <row r="6" spans="1:18" s="105" customFormat="1" x14ac:dyDescent="0.25">
      <c r="A6" s="7"/>
      <c r="B6" s="156"/>
      <c r="C6" s="107"/>
      <c r="D6" s="107"/>
      <c r="E6" s="107"/>
      <c r="F6" s="66"/>
      <c r="G6" s="66"/>
      <c r="H6" s="155"/>
      <c r="I6" s="155"/>
      <c r="J6" s="94"/>
      <c r="K6" s="67"/>
      <c r="L6" s="67"/>
      <c r="M6" s="67"/>
      <c r="N6" s="94"/>
      <c r="O6" s="68"/>
      <c r="P6" s="68"/>
      <c r="Q6" s="68"/>
    </row>
    <row r="7" spans="1:18" x14ac:dyDescent="0.25">
      <c r="A7" s="5" t="s">
        <v>0</v>
      </c>
      <c r="B7" s="364" t="s">
        <v>10</v>
      </c>
      <c r="C7" s="375"/>
      <c r="D7" s="375"/>
      <c r="E7" s="375"/>
      <c r="F7" s="364"/>
      <c r="G7" s="364"/>
      <c r="H7" s="365" t="s">
        <v>472</v>
      </c>
      <c r="I7" s="366"/>
      <c r="J7" s="367"/>
      <c r="K7" s="364"/>
      <c r="L7" s="364"/>
      <c r="M7" s="364"/>
      <c r="N7" s="364" t="s">
        <v>132</v>
      </c>
      <c r="O7" s="364"/>
      <c r="P7" s="364"/>
      <c r="Q7" s="364"/>
    </row>
    <row r="8" spans="1:18" ht="195" x14ac:dyDescent="0.25">
      <c r="A8" s="5"/>
      <c r="B8" s="156" t="s">
        <v>4</v>
      </c>
      <c r="C8" s="107" t="s">
        <v>1</v>
      </c>
      <c r="D8" s="107" t="s">
        <v>3</v>
      </c>
      <c r="E8" s="107" t="s">
        <v>2</v>
      </c>
      <c r="F8" s="122" t="s">
        <v>6</v>
      </c>
      <c r="G8" s="66" t="s">
        <v>5</v>
      </c>
      <c r="H8" s="156" t="s">
        <v>7</v>
      </c>
      <c r="I8" s="156" t="s">
        <v>8</v>
      </c>
      <c r="J8" s="94" t="s">
        <v>9</v>
      </c>
      <c r="K8" s="67" t="s">
        <v>11</v>
      </c>
      <c r="L8" s="67" t="s">
        <v>12</v>
      </c>
      <c r="M8" s="67" t="s">
        <v>13</v>
      </c>
      <c r="N8" s="94" t="s">
        <v>9</v>
      </c>
      <c r="O8" s="68" t="s">
        <v>11</v>
      </c>
      <c r="P8" s="68" t="s">
        <v>12</v>
      </c>
      <c r="Q8" s="68" t="s">
        <v>13</v>
      </c>
    </row>
    <row r="9" spans="1:18" ht="15" customHeight="1" x14ac:dyDescent="0.25">
      <c r="A9" s="9">
        <v>1</v>
      </c>
      <c r="B9" s="61">
        <f>A9+1</f>
        <v>2</v>
      </c>
      <c r="C9" s="9">
        <f t="shared" ref="C9:Q9" si="0">B9+1</f>
        <v>3</v>
      </c>
      <c r="D9" s="9">
        <f t="shared" si="0"/>
        <v>4</v>
      </c>
      <c r="E9" s="9">
        <f t="shared" si="0"/>
        <v>5</v>
      </c>
      <c r="F9" s="69">
        <f t="shared" si="0"/>
        <v>6</v>
      </c>
      <c r="G9" s="69">
        <f t="shared" si="0"/>
        <v>7</v>
      </c>
      <c r="H9" s="70">
        <f t="shared" si="0"/>
        <v>8</v>
      </c>
      <c r="I9" s="70">
        <f t="shared" si="0"/>
        <v>9</v>
      </c>
      <c r="J9" s="95">
        <f t="shared" si="0"/>
        <v>10</v>
      </c>
      <c r="K9" s="71">
        <f t="shared" si="0"/>
        <v>11</v>
      </c>
      <c r="L9" s="71">
        <f t="shared" si="0"/>
        <v>12</v>
      </c>
      <c r="M9" s="71">
        <f t="shared" si="0"/>
        <v>13</v>
      </c>
      <c r="N9" s="95">
        <f t="shared" si="0"/>
        <v>14</v>
      </c>
      <c r="O9" s="72">
        <f t="shared" si="0"/>
        <v>15</v>
      </c>
      <c r="P9" s="72">
        <f t="shared" si="0"/>
        <v>16</v>
      </c>
      <c r="Q9" s="72">
        <f t="shared" si="0"/>
        <v>17</v>
      </c>
    </row>
    <row r="10" spans="1:18" s="13" customFormat="1" ht="31.5" customHeight="1" x14ac:dyDescent="0.25">
      <c r="A10" s="10"/>
      <c r="B10" s="62" t="s">
        <v>16</v>
      </c>
      <c r="C10" s="1" t="s">
        <v>304</v>
      </c>
      <c r="D10" s="120" t="s">
        <v>315</v>
      </c>
      <c r="E10" s="3" t="s">
        <v>18</v>
      </c>
      <c r="F10" s="73" t="s">
        <v>322</v>
      </c>
      <c r="G10" s="74" t="s">
        <v>112</v>
      </c>
      <c r="H10" s="75">
        <v>7</v>
      </c>
      <c r="I10" s="76">
        <v>3</v>
      </c>
      <c r="J10" s="98">
        <f>2+1</f>
        <v>3</v>
      </c>
      <c r="K10" s="77">
        <f>4792.51+1138.19</f>
        <v>5930.7000000000007</v>
      </c>
      <c r="L10" s="77"/>
      <c r="M10" s="78">
        <f>K10-L10</f>
        <v>5930.7000000000007</v>
      </c>
      <c r="N10" s="100">
        <f>2+5+1</f>
        <v>8</v>
      </c>
      <c r="O10" s="77">
        <f>9108.77</f>
        <v>9108.77</v>
      </c>
      <c r="P10" s="77"/>
      <c r="Q10" s="79">
        <f>O10-P10</f>
        <v>9108.77</v>
      </c>
      <c r="R10" s="141"/>
    </row>
    <row r="11" spans="1:18" s="13" customFormat="1" ht="31.5" x14ac:dyDescent="0.25">
      <c r="A11" s="10"/>
      <c r="B11" s="22" t="s">
        <v>16</v>
      </c>
      <c r="C11" s="1" t="s">
        <v>304</v>
      </c>
      <c r="D11" s="120" t="s">
        <v>315</v>
      </c>
      <c r="E11" s="3" t="s">
        <v>18</v>
      </c>
      <c r="F11" s="73" t="s">
        <v>322</v>
      </c>
      <c r="G11" s="11" t="s">
        <v>116</v>
      </c>
      <c r="H11" s="1">
        <v>2</v>
      </c>
      <c r="I11" s="49"/>
      <c r="J11" s="46"/>
      <c r="K11" s="31"/>
      <c r="L11" s="31"/>
      <c r="M11" s="38">
        <f t="shared" ref="M11:M83" si="1">K11-L11</f>
        <v>0</v>
      </c>
      <c r="N11" s="41"/>
      <c r="O11" s="31">
        <v>2945</v>
      </c>
      <c r="P11" s="31">
        <v>2945</v>
      </c>
      <c r="Q11" s="12">
        <f t="shared" ref="Q11:Q78" si="2">O11-P11</f>
        <v>0</v>
      </c>
    </row>
    <row r="12" spans="1:18" s="13" customFormat="1" ht="15.75" customHeight="1" x14ac:dyDescent="0.25">
      <c r="A12" s="10"/>
      <c r="B12" s="22" t="s">
        <v>490</v>
      </c>
      <c r="C12" s="1"/>
      <c r="D12" s="120"/>
      <c r="E12" s="3"/>
      <c r="F12" s="73"/>
      <c r="G12" s="11" t="s">
        <v>112</v>
      </c>
      <c r="H12" s="1">
        <v>2</v>
      </c>
      <c r="I12" s="49"/>
      <c r="J12" s="46"/>
      <c r="K12" s="31"/>
      <c r="L12" s="31"/>
      <c r="M12" s="38"/>
      <c r="N12" s="41"/>
      <c r="O12" s="31"/>
      <c r="P12" s="31"/>
      <c r="Q12" s="12"/>
    </row>
    <row r="13" spans="1:18" s="15" customFormat="1" ht="15.75" customHeight="1" x14ac:dyDescent="0.25">
      <c r="A13" s="14"/>
      <c r="B13" s="80" t="s">
        <v>19</v>
      </c>
      <c r="C13" s="1" t="s">
        <v>17</v>
      </c>
      <c r="D13" s="120"/>
      <c r="E13" s="3" t="s">
        <v>20</v>
      </c>
      <c r="F13" s="73" t="s">
        <v>323</v>
      </c>
      <c r="G13" s="74" t="s">
        <v>112</v>
      </c>
      <c r="H13" s="75">
        <v>8</v>
      </c>
      <c r="I13" s="76">
        <v>5</v>
      </c>
      <c r="J13" s="96">
        <f>1+2+5</f>
        <v>8</v>
      </c>
      <c r="K13" s="77">
        <f>422.62+4792.51+8241.09</f>
        <v>13456.220000000001</v>
      </c>
      <c r="L13" s="77"/>
      <c r="M13" s="78">
        <f t="shared" si="1"/>
        <v>13456.220000000001</v>
      </c>
      <c r="N13" s="100">
        <f>8</f>
        <v>8</v>
      </c>
      <c r="O13" s="81">
        <v>6459.36</v>
      </c>
      <c r="P13" s="81"/>
      <c r="Q13" s="79">
        <f t="shared" si="2"/>
        <v>6459.36</v>
      </c>
      <c r="R13" s="141"/>
    </row>
    <row r="14" spans="1:18" s="15" customFormat="1" ht="15.75" customHeight="1" x14ac:dyDescent="0.25">
      <c r="A14" s="14"/>
      <c r="B14" s="23" t="s">
        <v>19</v>
      </c>
      <c r="C14" s="1" t="s">
        <v>17</v>
      </c>
      <c r="D14" s="120"/>
      <c r="E14" s="3" t="s">
        <v>20</v>
      </c>
      <c r="F14" s="73" t="s">
        <v>451</v>
      </c>
      <c r="G14" s="11" t="s">
        <v>114</v>
      </c>
      <c r="H14" s="1">
        <v>4</v>
      </c>
      <c r="I14" s="49">
        <v>1</v>
      </c>
      <c r="J14" s="51">
        <v>1</v>
      </c>
      <c r="K14" s="40"/>
      <c r="L14" s="40"/>
      <c r="M14" s="38">
        <f t="shared" si="1"/>
        <v>0</v>
      </c>
      <c r="N14" s="42">
        <v>7</v>
      </c>
      <c r="O14" s="31">
        <v>3818</v>
      </c>
      <c r="P14" s="31">
        <v>3818</v>
      </c>
      <c r="Q14" s="12">
        <f t="shared" si="2"/>
        <v>0</v>
      </c>
    </row>
    <row r="15" spans="1:18" s="15" customFormat="1" ht="15.75" customHeight="1" x14ac:dyDescent="0.25">
      <c r="A15" s="14"/>
      <c r="B15" s="62" t="s">
        <v>153</v>
      </c>
      <c r="C15" s="1" t="s">
        <v>17</v>
      </c>
      <c r="D15" s="120"/>
      <c r="E15" s="3" t="s">
        <v>20</v>
      </c>
      <c r="F15" s="73" t="s">
        <v>324</v>
      </c>
      <c r="G15" s="74" t="s">
        <v>112</v>
      </c>
      <c r="H15" s="75">
        <v>5</v>
      </c>
      <c r="I15" s="82">
        <v>2</v>
      </c>
      <c r="J15" s="96">
        <f>1+1+2</f>
        <v>4</v>
      </c>
      <c r="K15" s="77">
        <f>950.9+2451.87+3074.57</f>
        <v>6477.34</v>
      </c>
      <c r="L15" s="77"/>
      <c r="M15" s="78">
        <f t="shared" si="1"/>
        <v>6477.34</v>
      </c>
      <c r="N15" s="114">
        <f>1+2+1+2</f>
        <v>6</v>
      </c>
      <c r="O15" s="81">
        <f>422.62+945.61+2484.69+7964.81</f>
        <v>11817.73</v>
      </c>
      <c r="P15" s="81">
        <f>422.62</f>
        <v>422.62</v>
      </c>
      <c r="Q15" s="79">
        <f t="shared" si="2"/>
        <v>11395.109999999999</v>
      </c>
      <c r="R15" s="141"/>
    </row>
    <row r="16" spans="1:18" s="15" customFormat="1" ht="15.75" customHeight="1" x14ac:dyDescent="0.25">
      <c r="A16" s="14"/>
      <c r="B16" s="50" t="s">
        <v>153</v>
      </c>
      <c r="C16" s="1" t="s">
        <v>17</v>
      </c>
      <c r="D16" s="120"/>
      <c r="E16" s="3" t="s">
        <v>20</v>
      </c>
      <c r="F16" s="73" t="s">
        <v>452</v>
      </c>
      <c r="G16" s="11" t="s">
        <v>114</v>
      </c>
      <c r="H16" s="1">
        <v>3</v>
      </c>
      <c r="I16" s="49">
        <v>1</v>
      </c>
      <c r="J16" s="51">
        <v>1</v>
      </c>
      <c r="K16" s="40"/>
      <c r="L16" s="40"/>
      <c r="M16" s="38">
        <f t="shared" si="1"/>
        <v>0</v>
      </c>
      <c r="N16" s="42">
        <v>5</v>
      </c>
      <c r="O16" s="31">
        <v>13319</v>
      </c>
      <c r="P16" s="31">
        <v>8516.5</v>
      </c>
      <c r="Q16" s="12">
        <f t="shared" si="2"/>
        <v>4802.5</v>
      </c>
    </row>
    <row r="17" spans="1:18" s="13" customFormat="1" ht="15.75" customHeight="1" x14ac:dyDescent="0.25">
      <c r="A17" s="10"/>
      <c r="B17" s="30" t="s">
        <v>22</v>
      </c>
      <c r="C17" s="1" t="s">
        <v>17</v>
      </c>
      <c r="D17" s="120"/>
      <c r="E17" s="3" t="s">
        <v>23</v>
      </c>
      <c r="F17" s="73" t="s">
        <v>325</v>
      </c>
      <c r="G17" s="74" t="s">
        <v>112</v>
      </c>
      <c r="H17" s="75">
        <v>10</v>
      </c>
      <c r="I17" s="76">
        <v>3</v>
      </c>
      <c r="J17" s="96">
        <f>1+2</f>
        <v>3</v>
      </c>
      <c r="K17" s="77">
        <f>2698.64+1402.33</f>
        <v>4100.9699999999993</v>
      </c>
      <c r="L17" s="77"/>
      <c r="M17" s="78">
        <f t="shared" si="1"/>
        <v>4100.9699999999993</v>
      </c>
      <c r="N17" s="100">
        <f>14+3+7</f>
        <v>24</v>
      </c>
      <c r="O17" s="81">
        <f>22716.4+4171.06+18768.39</f>
        <v>45655.850000000006</v>
      </c>
      <c r="P17" s="81"/>
      <c r="Q17" s="79">
        <f t="shared" si="2"/>
        <v>45655.850000000006</v>
      </c>
      <c r="R17" s="141"/>
    </row>
    <row r="18" spans="1:18" s="13" customFormat="1" ht="15.75" customHeight="1" x14ac:dyDescent="0.25">
      <c r="A18" s="10"/>
      <c r="B18" s="24" t="s">
        <v>154</v>
      </c>
      <c r="C18" s="1" t="s">
        <v>17</v>
      </c>
      <c r="D18" s="120"/>
      <c r="E18" s="3" t="s">
        <v>20</v>
      </c>
      <c r="F18" s="73" t="s">
        <v>453</v>
      </c>
      <c r="G18" s="11" t="s">
        <v>114</v>
      </c>
      <c r="H18" s="1">
        <v>8</v>
      </c>
      <c r="I18" s="47"/>
      <c r="J18" s="51"/>
      <c r="K18" s="37"/>
      <c r="L18" s="37"/>
      <c r="M18" s="38">
        <f t="shared" si="1"/>
        <v>0</v>
      </c>
      <c r="N18" s="39">
        <v>5</v>
      </c>
      <c r="O18" s="31">
        <v>5603</v>
      </c>
      <c r="P18" s="31">
        <v>5603</v>
      </c>
      <c r="Q18" s="12">
        <f t="shared" si="2"/>
        <v>0</v>
      </c>
    </row>
    <row r="19" spans="1:18" s="13" customFormat="1" ht="15.75" customHeight="1" x14ac:dyDescent="0.25">
      <c r="A19" s="10"/>
      <c r="B19" s="30" t="s">
        <v>154</v>
      </c>
      <c r="C19" s="1" t="s">
        <v>17</v>
      </c>
      <c r="D19" s="120"/>
      <c r="E19" s="3" t="s">
        <v>20</v>
      </c>
      <c r="F19" s="73" t="s">
        <v>326</v>
      </c>
      <c r="G19" s="74" t="s">
        <v>112</v>
      </c>
      <c r="H19" s="75">
        <v>11</v>
      </c>
      <c r="I19" s="76">
        <v>5</v>
      </c>
      <c r="J19" s="96">
        <f>1+1+2+2</f>
        <v>6</v>
      </c>
      <c r="K19" s="77">
        <f>950.9+864.46+845.24</f>
        <v>2660.6000000000004</v>
      </c>
      <c r="L19" s="77"/>
      <c r="M19" s="78">
        <f t="shared" si="1"/>
        <v>2660.6000000000004</v>
      </c>
      <c r="N19" s="100">
        <f>6+3+1+1</f>
        <v>11</v>
      </c>
      <c r="O19" s="128">
        <f>6681.33+7017+1523.5</f>
        <v>15221.83</v>
      </c>
      <c r="P19" s="81">
        <f>8477.51</f>
        <v>8477.51</v>
      </c>
      <c r="Q19" s="79">
        <f t="shared" si="2"/>
        <v>6744.32</v>
      </c>
      <c r="R19" s="141"/>
    </row>
    <row r="20" spans="1:18" s="13" customFormat="1" ht="15.75" customHeight="1" x14ac:dyDescent="0.25">
      <c r="A20" s="10"/>
      <c r="B20" s="62" t="s">
        <v>24</v>
      </c>
      <c r="C20" s="1" t="s">
        <v>17</v>
      </c>
      <c r="D20" s="120"/>
      <c r="E20" s="3" t="s">
        <v>20</v>
      </c>
      <c r="F20" s="73" t="s">
        <v>327</v>
      </c>
      <c r="G20" s="74" t="s">
        <v>112</v>
      </c>
      <c r="H20" s="75">
        <v>3</v>
      </c>
      <c r="I20" s="76"/>
      <c r="J20" s="96"/>
      <c r="K20" s="77"/>
      <c r="L20" s="77"/>
      <c r="M20" s="38">
        <f t="shared" si="1"/>
        <v>0</v>
      </c>
      <c r="N20" s="100">
        <f>1</f>
        <v>1</v>
      </c>
      <c r="O20" s="81">
        <f>576.3</f>
        <v>576.29999999999995</v>
      </c>
      <c r="P20" s="81"/>
      <c r="Q20" s="12">
        <f t="shared" si="2"/>
        <v>576.29999999999995</v>
      </c>
      <c r="R20" s="141"/>
    </row>
    <row r="21" spans="1:18" s="13" customFormat="1" ht="15.75" customHeight="1" x14ac:dyDescent="0.25">
      <c r="A21" s="10"/>
      <c r="B21" s="22" t="s">
        <v>24</v>
      </c>
      <c r="C21" s="1" t="s">
        <v>17</v>
      </c>
      <c r="D21" s="120"/>
      <c r="E21" s="3" t="s">
        <v>20</v>
      </c>
      <c r="F21" s="73" t="s">
        <v>454</v>
      </c>
      <c r="G21" s="11" t="s">
        <v>114</v>
      </c>
      <c r="H21" s="1">
        <v>6</v>
      </c>
      <c r="I21" s="49"/>
      <c r="J21" s="51"/>
      <c r="K21" s="40"/>
      <c r="L21" s="40"/>
      <c r="M21" s="78">
        <f t="shared" si="1"/>
        <v>0</v>
      </c>
      <c r="N21" s="41">
        <v>7</v>
      </c>
      <c r="O21" s="31">
        <v>14635.6</v>
      </c>
      <c r="P21" s="31">
        <v>9413</v>
      </c>
      <c r="Q21" s="79">
        <f t="shared" si="2"/>
        <v>5222.6000000000004</v>
      </c>
    </row>
    <row r="22" spans="1:18" s="13" customFormat="1" ht="15.75" customHeight="1" x14ac:dyDescent="0.25">
      <c r="A22" s="10"/>
      <c r="B22" s="62" t="s">
        <v>25</v>
      </c>
      <c r="C22" s="1" t="s">
        <v>17</v>
      </c>
      <c r="D22" s="120"/>
      <c r="E22" s="3" t="s">
        <v>20</v>
      </c>
      <c r="F22" s="73" t="s">
        <v>328</v>
      </c>
      <c r="G22" s="74" t="s">
        <v>112</v>
      </c>
      <c r="H22" s="75">
        <v>4</v>
      </c>
      <c r="I22" s="76">
        <v>1</v>
      </c>
      <c r="J22" s="96">
        <f>1</f>
        <v>1</v>
      </c>
      <c r="K22" s="77">
        <v>1743.31</v>
      </c>
      <c r="L22" s="77"/>
      <c r="M22" s="38">
        <f t="shared" si="1"/>
        <v>1743.31</v>
      </c>
      <c r="N22" s="100">
        <f>6</f>
        <v>6</v>
      </c>
      <c r="O22" s="81">
        <v>14526.7</v>
      </c>
      <c r="P22" s="81"/>
      <c r="Q22" s="12">
        <f t="shared" si="2"/>
        <v>14526.7</v>
      </c>
      <c r="R22" s="141"/>
    </row>
    <row r="23" spans="1:18" s="13" customFormat="1" ht="15.75" customHeight="1" x14ac:dyDescent="0.25">
      <c r="A23" s="10"/>
      <c r="B23" s="22" t="s">
        <v>25</v>
      </c>
      <c r="C23" s="1" t="s">
        <v>17</v>
      </c>
      <c r="D23" s="120"/>
      <c r="E23" s="3" t="s">
        <v>20</v>
      </c>
      <c r="F23" s="73" t="s">
        <v>455</v>
      </c>
      <c r="G23" s="11" t="s">
        <v>114</v>
      </c>
      <c r="H23" s="1"/>
      <c r="I23" s="49"/>
      <c r="J23" s="51"/>
      <c r="K23" s="40"/>
      <c r="L23" s="40"/>
      <c r="M23" s="78">
        <f t="shared" si="1"/>
        <v>0</v>
      </c>
      <c r="N23" s="41">
        <v>2</v>
      </c>
      <c r="O23" s="31">
        <v>4146.2</v>
      </c>
      <c r="P23" s="31">
        <f>4146.2</f>
        <v>4146.2</v>
      </c>
      <c r="Q23" s="79">
        <f t="shared" si="2"/>
        <v>0</v>
      </c>
    </row>
    <row r="24" spans="1:18" s="13" customFormat="1" ht="15.75" customHeight="1" x14ac:dyDescent="0.25">
      <c r="A24" s="10"/>
      <c r="B24" s="62" t="s">
        <v>26</v>
      </c>
      <c r="C24" s="1" t="s">
        <v>17</v>
      </c>
      <c r="D24" s="120"/>
      <c r="E24" s="3" t="s">
        <v>27</v>
      </c>
      <c r="F24" s="73" t="s">
        <v>329</v>
      </c>
      <c r="G24" s="74" t="s">
        <v>112</v>
      </c>
      <c r="H24" s="75">
        <v>10</v>
      </c>
      <c r="I24" s="76">
        <v>2</v>
      </c>
      <c r="J24" s="96">
        <f>2</f>
        <v>2</v>
      </c>
      <c r="K24" s="77">
        <f>845.24</f>
        <v>845.24</v>
      </c>
      <c r="L24" s="77"/>
      <c r="M24" s="38">
        <f t="shared" si="1"/>
        <v>845.24</v>
      </c>
      <c r="N24" s="100">
        <f>6+1+1</f>
        <v>8</v>
      </c>
      <c r="O24" s="81">
        <f>17838.53+2535.75+7238.9</f>
        <v>27613.18</v>
      </c>
      <c r="P24" s="81">
        <f>14149.86</f>
        <v>14149.86</v>
      </c>
      <c r="Q24" s="12">
        <f t="shared" si="2"/>
        <v>13463.32</v>
      </c>
      <c r="R24" s="141"/>
    </row>
    <row r="25" spans="1:18" s="15" customFormat="1" ht="15.75" customHeight="1" x14ac:dyDescent="0.25">
      <c r="A25" s="14"/>
      <c r="B25" s="80" t="s">
        <v>28</v>
      </c>
      <c r="C25" s="1" t="s">
        <v>17</v>
      </c>
      <c r="D25" s="120"/>
      <c r="E25" s="17" t="s">
        <v>29</v>
      </c>
      <c r="F25" s="73" t="s">
        <v>330</v>
      </c>
      <c r="G25" s="74" t="s">
        <v>112</v>
      </c>
      <c r="H25" s="75">
        <v>3</v>
      </c>
      <c r="I25" s="76">
        <v>2</v>
      </c>
      <c r="J25" s="96">
        <f>2</f>
        <v>2</v>
      </c>
      <c r="K25" s="77">
        <f>6135.14</f>
        <v>6135.14</v>
      </c>
      <c r="L25" s="77"/>
      <c r="M25" s="38">
        <f t="shared" si="1"/>
        <v>6135.14</v>
      </c>
      <c r="N25" s="100">
        <f>3+2+4</f>
        <v>9</v>
      </c>
      <c r="O25" s="81">
        <f>5310.83+4630.52+14679.01</f>
        <v>24620.36</v>
      </c>
      <c r="P25" s="81"/>
      <c r="Q25" s="12">
        <f t="shared" si="2"/>
        <v>24620.36</v>
      </c>
      <c r="R25" s="141"/>
    </row>
    <row r="26" spans="1:18" s="15" customFormat="1" ht="15.75" customHeight="1" x14ac:dyDescent="0.25">
      <c r="A26" s="14"/>
      <c r="B26" s="23" t="s">
        <v>28</v>
      </c>
      <c r="C26" s="1" t="s">
        <v>17</v>
      </c>
      <c r="D26" s="120"/>
      <c r="E26" s="17" t="s">
        <v>29</v>
      </c>
      <c r="F26" s="73" t="s">
        <v>420</v>
      </c>
      <c r="G26" s="8" t="s">
        <v>117</v>
      </c>
      <c r="H26" s="1">
        <v>1</v>
      </c>
      <c r="I26" s="48"/>
      <c r="J26" s="45"/>
      <c r="K26" s="40"/>
      <c r="L26" s="40"/>
      <c r="M26" s="78">
        <f t="shared" si="1"/>
        <v>0</v>
      </c>
      <c r="N26" s="42">
        <v>1</v>
      </c>
      <c r="O26" s="31"/>
      <c r="P26" s="31"/>
      <c r="Q26" s="79">
        <f t="shared" si="2"/>
        <v>0</v>
      </c>
    </row>
    <row r="27" spans="1:18" s="13" customFormat="1" ht="15.75" customHeight="1" x14ac:dyDescent="0.25">
      <c r="A27" s="10"/>
      <c r="B27" s="27" t="s">
        <v>30</v>
      </c>
      <c r="C27" s="1" t="s">
        <v>17</v>
      </c>
      <c r="D27" s="120"/>
      <c r="E27" s="17" t="s">
        <v>21</v>
      </c>
      <c r="F27" s="73" t="s">
        <v>333</v>
      </c>
      <c r="G27" s="74" t="s">
        <v>112</v>
      </c>
      <c r="H27" s="75">
        <v>9</v>
      </c>
      <c r="I27" s="76">
        <v>5</v>
      </c>
      <c r="J27" s="96">
        <f>3+1+3</f>
        <v>7</v>
      </c>
      <c r="K27" s="77">
        <f>2399.78+806.82+6240.86</f>
        <v>9447.4599999999991</v>
      </c>
      <c r="L27" s="77"/>
      <c r="M27" s="38">
        <f t="shared" si="1"/>
        <v>9447.4599999999991</v>
      </c>
      <c r="N27" s="100">
        <f>9+1+3+1</f>
        <v>14</v>
      </c>
      <c r="O27" s="81">
        <f>39871.99+5530.04+5890.35+1728.9</f>
        <v>53021.279999999999</v>
      </c>
      <c r="P27" s="81"/>
      <c r="Q27" s="12">
        <f t="shared" si="2"/>
        <v>53021.279999999999</v>
      </c>
      <c r="R27" s="141"/>
    </row>
    <row r="28" spans="1:18" s="13" customFormat="1" ht="15.75" customHeight="1" x14ac:dyDescent="0.25">
      <c r="A28" s="10"/>
      <c r="B28" s="27" t="s">
        <v>491</v>
      </c>
      <c r="C28" s="1" t="s">
        <v>17</v>
      </c>
      <c r="D28" s="120"/>
      <c r="E28" s="3" t="s">
        <v>20</v>
      </c>
      <c r="F28" s="73" t="s">
        <v>495</v>
      </c>
      <c r="G28" s="74" t="s">
        <v>112</v>
      </c>
      <c r="H28" s="75">
        <v>2</v>
      </c>
      <c r="I28" s="76"/>
      <c r="J28" s="96"/>
      <c r="K28" s="77"/>
      <c r="L28" s="77"/>
      <c r="M28" s="38"/>
      <c r="N28" s="100"/>
      <c r="O28" s="81"/>
      <c r="P28" s="81"/>
      <c r="Q28" s="12"/>
      <c r="R28" s="141"/>
    </row>
    <row r="29" spans="1:18" s="13" customFormat="1" ht="15.75" customHeight="1" x14ac:dyDescent="0.25">
      <c r="A29" s="10"/>
      <c r="B29" s="27" t="s">
        <v>491</v>
      </c>
      <c r="C29" s="1"/>
      <c r="D29" s="120"/>
      <c r="E29" s="3"/>
      <c r="F29" s="73"/>
      <c r="G29" s="74" t="s">
        <v>114</v>
      </c>
      <c r="H29" s="75">
        <v>1</v>
      </c>
      <c r="I29" s="76"/>
      <c r="J29" s="96"/>
      <c r="K29" s="77"/>
      <c r="L29" s="77"/>
      <c r="M29" s="38"/>
      <c r="N29" s="100"/>
      <c r="O29" s="81"/>
      <c r="P29" s="81"/>
      <c r="Q29" s="12"/>
      <c r="R29" s="141"/>
    </row>
    <row r="30" spans="1:18" s="13" customFormat="1" ht="15.75" customHeight="1" x14ac:dyDescent="0.25">
      <c r="A30" s="10"/>
      <c r="B30" s="30" t="s">
        <v>31</v>
      </c>
      <c r="C30" s="1" t="s">
        <v>17</v>
      </c>
      <c r="D30" s="120"/>
      <c r="E30" s="3" t="s">
        <v>32</v>
      </c>
      <c r="F30" s="73" t="s">
        <v>331</v>
      </c>
      <c r="G30" s="74" t="s">
        <v>112</v>
      </c>
      <c r="H30" s="75">
        <v>8</v>
      </c>
      <c r="I30" s="76">
        <v>4</v>
      </c>
      <c r="J30" s="96">
        <f>1+2+3</f>
        <v>6</v>
      </c>
      <c r="K30" s="77">
        <f>633.93+1045.98+5377.62</f>
        <v>7057.53</v>
      </c>
      <c r="L30" s="77"/>
      <c r="M30" s="78">
        <f t="shared" si="1"/>
        <v>7057.53</v>
      </c>
      <c r="N30" s="100">
        <f>1+3+3+1+1</f>
        <v>9</v>
      </c>
      <c r="O30" s="81">
        <f>2299.8+15239.58+6152.75+2720.49+1483.38</f>
        <v>27896.000000000004</v>
      </c>
      <c r="P30" s="81">
        <f>2299.8</f>
        <v>2299.8000000000002</v>
      </c>
      <c r="Q30" s="79">
        <f t="shared" si="2"/>
        <v>25596.200000000004</v>
      </c>
      <c r="R30" s="141"/>
    </row>
    <row r="31" spans="1:18" s="13" customFormat="1" ht="15.75" customHeight="1" x14ac:dyDescent="0.25">
      <c r="A31" s="10"/>
      <c r="B31" s="24" t="s">
        <v>31</v>
      </c>
      <c r="C31" s="1" t="s">
        <v>17</v>
      </c>
      <c r="D31" s="120"/>
      <c r="E31" s="3" t="s">
        <v>32</v>
      </c>
      <c r="F31" s="73" t="s">
        <v>422</v>
      </c>
      <c r="G31" s="8" t="s">
        <v>117</v>
      </c>
      <c r="H31" s="1">
        <v>8</v>
      </c>
      <c r="I31" s="49">
        <v>1</v>
      </c>
      <c r="J31" s="46">
        <v>1</v>
      </c>
      <c r="K31" s="40">
        <v>2344.3000000000002</v>
      </c>
      <c r="L31" s="40"/>
      <c r="M31" s="38">
        <f t="shared" si="1"/>
        <v>2344.3000000000002</v>
      </c>
      <c r="N31" s="41">
        <v>6</v>
      </c>
      <c r="O31" s="40">
        <v>12150.4</v>
      </c>
      <c r="P31" s="40"/>
      <c r="Q31" s="12">
        <f t="shared" si="2"/>
        <v>12150.4</v>
      </c>
    </row>
    <row r="32" spans="1:18" s="15" customFormat="1" ht="15.75" customHeight="1" x14ac:dyDescent="0.25">
      <c r="A32" s="14"/>
      <c r="B32" s="80" t="s">
        <v>33</v>
      </c>
      <c r="C32" s="1" t="s">
        <v>17</v>
      </c>
      <c r="D32" s="120"/>
      <c r="E32" s="145" t="s">
        <v>20</v>
      </c>
      <c r="F32" s="73" t="s">
        <v>332</v>
      </c>
      <c r="G32" s="74" t="s">
        <v>112</v>
      </c>
      <c r="H32" s="75">
        <v>6</v>
      </c>
      <c r="I32" s="76">
        <v>3</v>
      </c>
      <c r="J32" s="96">
        <f>1+1+1</f>
        <v>3</v>
      </c>
      <c r="K32" s="77">
        <f>845.245+5363.43</f>
        <v>6208.6750000000002</v>
      </c>
      <c r="L32" s="77"/>
      <c r="M32" s="78">
        <f t="shared" si="1"/>
        <v>6208.6750000000002</v>
      </c>
      <c r="N32" s="100">
        <f>2+1+1+1</f>
        <v>5</v>
      </c>
      <c r="O32" s="81">
        <f>845.24+1613.64+3380.96</f>
        <v>5839.84</v>
      </c>
      <c r="P32" s="81">
        <f>1613.64</f>
        <v>1613.64</v>
      </c>
      <c r="Q32" s="79">
        <f t="shared" si="2"/>
        <v>4226.2</v>
      </c>
      <c r="R32" s="141"/>
    </row>
    <row r="33" spans="1:18" s="15" customFormat="1" ht="15.75" customHeight="1" x14ac:dyDescent="0.25">
      <c r="A33" s="14"/>
      <c r="B33" s="23" t="s">
        <v>33</v>
      </c>
      <c r="C33" s="1" t="s">
        <v>17</v>
      </c>
      <c r="D33" s="120"/>
      <c r="E33" s="3" t="s">
        <v>20</v>
      </c>
      <c r="F33" s="73" t="s">
        <v>481</v>
      </c>
      <c r="G33" s="11" t="s">
        <v>114</v>
      </c>
      <c r="H33" s="1">
        <v>2</v>
      </c>
      <c r="I33" s="49"/>
      <c r="J33" s="51"/>
      <c r="K33" s="40"/>
      <c r="L33" s="40"/>
      <c r="M33" s="38">
        <f t="shared" si="1"/>
        <v>0</v>
      </c>
      <c r="N33" s="42">
        <v>12</v>
      </c>
      <c r="O33" s="31">
        <v>13071.87</v>
      </c>
      <c r="P33" s="31">
        <v>13071.87</v>
      </c>
      <c r="Q33" s="12">
        <f t="shared" si="2"/>
        <v>0</v>
      </c>
    </row>
    <row r="34" spans="1:18" s="15" customFormat="1" ht="15.75" customHeight="1" x14ac:dyDescent="0.25">
      <c r="A34" s="14"/>
      <c r="B34" s="62" t="s">
        <v>147</v>
      </c>
      <c r="C34" s="1" t="s">
        <v>17</v>
      </c>
      <c r="D34" s="120"/>
      <c r="E34" s="3" t="s">
        <v>29</v>
      </c>
      <c r="F34" s="73" t="s">
        <v>334</v>
      </c>
      <c r="G34" s="74" t="s">
        <v>112</v>
      </c>
      <c r="H34" s="75">
        <v>2</v>
      </c>
      <c r="I34" s="102">
        <v>1</v>
      </c>
      <c r="J34" s="97">
        <f>1</f>
        <v>1</v>
      </c>
      <c r="K34" s="77">
        <f>1854.88</f>
        <v>1854.88</v>
      </c>
      <c r="L34" s="77"/>
      <c r="M34" s="78">
        <f t="shared" si="1"/>
        <v>1854.88</v>
      </c>
      <c r="N34" s="114">
        <f>1+1</f>
        <v>2</v>
      </c>
      <c r="O34" s="81">
        <f>1394.65+2473.17</f>
        <v>3867.82</v>
      </c>
      <c r="P34" s="81">
        <f>1394.65</f>
        <v>1394.65</v>
      </c>
      <c r="Q34" s="79">
        <f t="shared" si="2"/>
        <v>2473.17</v>
      </c>
      <c r="R34" s="141"/>
    </row>
    <row r="35" spans="1:18" s="15" customFormat="1" ht="15.75" customHeight="1" x14ac:dyDescent="0.25">
      <c r="A35" s="14"/>
      <c r="B35" s="50" t="s">
        <v>147</v>
      </c>
      <c r="C35" s="1" t="s">
        <v>17</v>
      </c>
      <c r="D35" s="120"/>
      <c r="E35" s="3" t="s">
        <v>29</v>
      </c>
      <c r="F35" s="73" t="s">
        <v>423</v>
      </c>
      <c r="G35" s="11" t="s">
        <v>117</v>
      </c>
      <c r="H35" s="1">
        <v>3</v>
      </c>
      <c r="I35" s="48">
        <v>2</v>
      </c>
      <c r="J35" s="45">
        <v>2</v>
      </c>
      <c r="K35" s="40"/>
      <c r="L35" s="40"/>
      <c r="M35" s="38">
        <f t="shared" si="1"/>
        <v>0</v>
      </c>
      <c r="N35" s="42">
        <f>2</f>
        <v>2</v>
      </c>
      <c r="O35" s="31">
        <v>5721.75</v>
      </c>
      <c r="P35" s="31"/>
      <c r="Q35" s="12">
        <f t="shared" si="2"/>
        <v>5721.75</v>
      </c>
    </row>
    <row r="36" spans="1:18" s="13" customFormat="1" ht="15.75" customHeight="1" x14ac:dyDescent="0.25">
      <c r="A36" s="10"/>
      <c r="B36" s="62" t="s">
        <v>34</v>
      </c>
      <c r="C36" s="1" t="s">
        <v>17</v>
      </c>
      <c r="D36" s="120"/>
      <c r="E36" s="17" t="s">
        <v>35</v>
      </c>
      <c r="F36" s="73" t="s">
        <v>335</v>
      </c>
      <c r="G36" s="74" t="s">
        <v>112</v>
      </c>
      <c r="H36" s="75">
        <v>11</v>
      </c>
      <c r="I36" s="76">
        <v>7</v>
      </c>
      <c r="J36" s="96">
        <f>4+2+2</f>
        <v>8</v>
      </c>
      <c r="K36" s="77">
        <f>8288.4+1267.86+845.24</f>
        <v>10401.5</v>
      </c>
      <c r="L36" s="77"/>
      <c r="M36" s="78">
        <f t="shared" si="1"/>
        <v>10401.5</v>
      </c>
      <c r="N36" s="100">
        <f>4+4+6+1+3+1</f>
        <v>19</v>
      </c>
      <c r="O36" s="81">
        <f>23915.04+21171.88+6399.1+11460.81</f>
        <v>62946.829999999994</v>
      </c>
      <c r="P36" s="81">
        <f>28915.04</f>
        <v>28915.040000000001</v>
      </c>
      <c r="Q36" s="79">
        <f t="shared" si="2"/>
        <v>34031.789999999994</v>
      </c>
      <c r="R36" s="141"/>
    </row>
    <row r="37" spans="1:18" s="13" customFormat="1" ht="15.75" customHeight="1" x14ac:dyDescent="0.25">
      <c r="A37" s="10"/>
      <c r="B37" s="22" t="s">
        <v>34</v>
      </c>
      <c r="C37" s="1" t="s">
        <v>17</v>
      </c>
      <c r="D37" s="120"/>
      <c r="E37" s="17" t="s">
        <v>35</v>
      </c>
      <c r="F37" s="73" t="s">
        <v>424</v>
      </c>
      <c r="G37" s="8" t="s">
        <v>117</v>
      </c>
      <c r="H37" s="1">
        <v>2</v>
      </c>
      <c r="I37" s="49">
        <v>1</v>
      </c>
      <c r="J37" s="46">
        <v>1</v>
      </c>
      <c r="K37" s="40"/>
      <c r="L37" s="40"/>
      <c r="M37" s="38">
        <f t="shared" si="1"/>
        <v>0</v>
      </c>
      <c r="N37" s="41">
        <v>2</v>
      </c>
      <c r="O37" s="31">
        <v>5570.9</v>
      </c>
      <c r="P37" s="31"/>
      <c r="Q37" s="12">
        <f t="shared" si="2"/>
        <v>5570.9</v>
      </c>
    </row>
    <row r="38" spans="1:18" s="13" customFormat="1" ht="15.75" customHeight="1" x14ac:dyDescent="0.25">
      <c r="A38" s="10"/>
      <c r="B38" s="27" t="s">
        <v>36</v>
      </c>
      <c r="C38" s="1" t="s">
        <v>17</v>
      </c>
      <c r="D38" s="120"/>
      <c r="E38" s="17" t="s">
        <v>32</v>
      </c>
      <c r="F38" s="73" t="s">
        <v>336</v>
      </c>
      <c r="G38" s="74" t="s">
        <v>112</v>
      </c>
      <c r="H38" s="75">
        <v>10</v>
      </c>
      <c r="I38" s="76">
        <v>4</v>
      </c>
      <c r="J38" s="96">
        <f>1+3</f>
        <v>4</v>
      </c>
      <c r="K38" s="77">
        <f>2091.97+4201.22</f>
        <v>6293.1900000000005</v>
      </c>
      <c r="L38" s="77"/>
      <c r="M38" s="78">
        <f t="shared" si="1"/>
        <v>6293.1900000000005</v>
      </c>
      <c r="N38" s="100">
        <f>4+2+5+1</f>
        <v>12</v>
      </c>
      <c r="O38" s="81">
        <f>26828.22+3116.2+14162+4691</f>
        <v>48797.42</v>
      </c>
      <c r="P38" s="81">
        <f>8144.95</f>
        <v>8144.95</v>
      </c>
      <c r="Q38" s="79">
        <f t="shared" si="2"/>
        <v>40652.47</v>
      </c>
      <c r="R38" s="141"/>
    </row>
    <row r="39" spans="1:18" s="13" customFormat="1" ht="15.75" customHeight="1" x14ac:dyDescent="0.25">
      <c r="A39" s="10"/>
      <c r="B39" s="27" t="s">
        <v>38</v>
      </c>
      <c r="C39" s="1" t="s">
        <v>17</v>
      </c>
      <c r="D39" s="120"/>
      <c r="E39" s="3" t="s">
        <v>20</v>
      </c>
      <c r="F39" s="73" t="s">
        <v>338</v>
      </c>
      <c r="G39" s="74" t="s">
        <v>112</v>
      </c>
      <c r="H39" s="75">
        <v>21</v>
      </c>
      <c r="I39" s="76">
        <v>11</v>
      </c>
      <c r="J39" s="96">
        <f>5+9</f>
        <v>14</v>
      </c>
      <c r="K39" s="77">
        <f>4427.07+14262.52</f>
        <v>18689.59</v>
      </c>
      <c r="L39" s="77"/>
      <c r="M39" s="78">
        <f t="shared" si="1"/>
        <v>18689.59</v>
      </c>
      <c r="N39" s="100">
        <f>1+14+2</f>
        <v>17</v>
      </c>
      <c r="O39" s="81">
        <f>34449.99+27363.78+23604.86</f>
        <v>85418.63</v>
      </c>
      <c r="P39" s="81">
        <f>34449.99</f>
        <v>34449.99</v>
      </c>
      <c r="Q39" s="79">
        <f t="shared" si="2"/>
        <v>50968.640000000007</v>
      </c>
      <c r="R39" s="141"/>
    </row>
    <row r="40" spans="1:18" s="13" customFormat="1" ht="15.75" customHeight="1" x14ac:dyDescent="0.25">
      <c r="A40" s="10"/>
      <c r="B40" s="25" t="s">
        <v>38</v>
      </c>
      <c r="C40" s="1" t="s">
        <v>17</v>
      </c>
      <c r="D40" s="120"/>
      <c r="E40" s="3" t="s">
        <v>20</v>
      </c>
      <c r="F40" s="73" t="s">
        <v>268</v>
      </c>
      <c r="G40" s="11" t="s">
        <v>114</v>
      </c>
      <c r="H40" s="1"/>
      <c r="I40" s="49"/>
      <c r="J40" s="51"/>
      <c r="K40" s="40"/>
      <c r="L40" s="40"/>
      <c r="M40" s="38">
        <f t="shared" si="1"/>
        <v>0</v>
      </c>
      <c r="N40" s="41"/>
      <c r="O40" s="31"/>
      <c r="P40" s="31"/>
      <c r="Q40" s="12">
        <f t="shared" si="2"/>
        <v>0</v>
      </c>
    </row>
    <row r="41" spans="1:18" s="13" customFormat="1" ht="15.75" x14ac:dyDescent="0.25">
      <c r="A41" s="10"/>
      <c r="B41" s="25" t="s">
        <v>38</v>
      </c>
      <c r="C41" s="1" t="s">
        <v>17</v>
      </c>
      <c r="D41" s="120"/>
      <c r="E41" s="3" t="s">
        <v>18</v>
      </c>
      <c r="F41" s="73" t="s">
        <v>324</v>
      </c>
      <c r="G41" s="11" t="s">
        <v>116</v>
      </c>
      <c r="H41" s="1">
        <v>3</v>
      </c>
      <c r="I41" s="49"/>
      <c r="J41" s="51"/>
      <c r="K41" s="40"/>
      <c r="L41" s="40"/>
      <c r="M41" s="38">
        <f t="shared" si="1"/>
        <v>0</v>
      </c>
      <c r="N41" s="41"/>
      <c r="O41" s="31"/>
      <c r="P41" s="31"/>
      <c r="Q41" s="12">
        <f t="shared" si="2"/>
        <v>0</v>
      </c>
    </row>
    <row r="42" spans="1:18" s="13" customFormat="1" ht="15.75" customHeight="1" x14ac:dyDescent="0.25">
      <c r="A42" s="10"/>
      <c r="B42" s="22" t="s">
        <v>39</v>
      </c>
      <c r="C42" s="1" t="s">
        <v>17</v>
      </c>
      <c r="D42" s="120"/>
      <c r="E42" s="3" t="s">
        <v>20</v>
      </c>
      <c r="F42" s="73" t="s">
        <v>269</v>
      </c>
      <c r="G42" s="11" t="s">
        <v>114</v>
      </c>
      <c r="H42" s="1"/>
      <c r="I42" s="49"/>
      <c r="J42" s="51"/>
      <c r="K42" s="40"/>
      <c r="L42" s="40"/>
      <c r="M42" s="38">
        <f t="shared" si="1"/>
        <v>0</v>
      </c>
      <c r="N42" s="41"/>
      <c r="O42" s="31"/>
      <c r="P42" s="31"/>
      <c r="Q42" s="12">
        <f t="shared" si="2"/>
        <v>0</v>
      </c>
    </row>
    <row r="43" spans="1:18" s="13" customFormat="1" ht="15.75" customHeight="1" x14ac:dyDescent="0.25">
      <c r="A43" s="10"/>
      <c r="B43" s="27" t="s">
        <v>40</v>
      </c>
      <c r="C43" s="1" t="s">
        <v>17</v>
      </c>
      <c r="D43" s="120"/>
      <c r="E43" s="17" t="s">
        <v>41</v>
      </c>
      <c r="F43" s="73" t="s">
        <v>339</v>
      </c>
      <c r="G43" s="74" t="s">
        <v>112</v>
      </c>
      <c r="H43" s="75">
        <v>13</v>
      </c>
      <c r="I43" s="76">
        <v>5</v>
      </c>
      <c r="J43" s="96">
        <f>1+1+3</f>
        <v>5</v>
      </c>
      <c r="K43" s="77">
        <f>1045.98+3271.86</f>
        <v>4317.84</v>
      </c>
      <c r="L43" s="77"/>
      <c r="M43" s="78">
        <f t="shared" si="1"/>
        <v>4317.84</v>
      </c>
      <c r="N43" s="100">
        <f>3+13+6</f>
        <v>22</v>
      </c>
      <c r="O43" s="81">
        <f>17269.31+39990.78+16582.12</f>
        <v>73842.209999999992</v>
      </c>
      <c r="P43" s="81">
        <f>17269.31</f>
        <v>17269.310000000001</v>
      </c>
      <c r="Q43" s="79">
        <f t="shared" si="2"/>
        <v>56572.899999999994</v>
      </c>
      <c r="R43" s="141"/>
    </row>
    <row r="44" spans="1:18" s="13" customFormat="1" ht="15.75" customHeight="1" x14ac:dyDescent="0.25">
      <c r="A44" s="10"/>
      <c r="B44" s="25" t="s">
        <v>40</v>
      </c>
      <c r="C44" s="1" t="s">
        <v>17</v>
      </c>
      <c r="D44" s="120"/>
      <c r="E44" s="17" t="s">
        <v>41</v>
      </c>
      <c r="F44" s="73" t="s">
        <v>482</v>
      </c>
      <c r="G44" s="11" t="s">
        <v>114</v>
      </c>
      <c r="H44" s="1"/>
      <c r="I44" s="49"/>
      <c r="J44" s="51"/>
      <c r="K44" s="40"/>
      <c r="L44" s="40"/>
      <c r="M44" s="38">
        <f t="shared" si="1"/>
        <v>0</v>
      </c>
      <c r="N44" s="41">
        <v>1</v>
      </c>
      <c r="O44" s="31">
        <v>3073.6</v>
      </c>
      <c r="P44" s="31">
        <f>3073.6</f>
        <v>3073.6</v>
      </c>
      <c r="Q44" s="12">
        <f t="shared" si="2"/>
        <v>0</v>
      </c>
    </row>
    <row r="45" spans="1:18" s="13" customFormat="1" ht="15.75" customHeight="1" x14ac:dyDescent="0.25">
      <c r="A45" s="10"/>
      <c r="B45" s="27" t="s">
        <v>148</v>
      </c>
      <c r="C45" s="1" t="s">
        <v>17</v>
      </c>
      <c r="D45" s="120"/>
      <c r="E45" s="3" t="s">
        <v>20</v>
      </c>
      <c r="F45" s="73" t="s">
        <v>340</v>
      </c>
      <c r="G45" s="74" t="s">
        <v>112</v>
      </c>
      <c r="H45" s="75">
        <v>9</v>
      </c>
      <c r="I45" s="82">
        <v>2</v>
      </c>
      <c r="J45" s="96">
        <f>1+2</f>
        <v>3</v>
      </c>
      <c r="K45" s="77">
        <f>537.88+2110.03</f>
        <v>2647.9100000000003</v>
      </c>
      <c r="L45" s="77"/>
      <c r="M45" s="78">
        <f t="shared" si="1"/>
        <v>2647.9100000000003</v>
      </c>
      <c r="N45" s="100">
        <f>6+5+3+1</f>
        <v>15</v>
      </c>
      <c r="O45" s="81">
        <f>9370.6+9456.38+8868.69+5367.27</f>
        <v>33062.94</v>
      </c>
      <c r="P45" s="81">
        <f>9370.6</f>
        <v>9370.6</v>
      </c>
      <c r="Q45" s="79">
        <f t="shared" si="2"/>
        <v>23692.340000000004</v>
      </c>
      <c r="R45" s="141"/>
    </row>
    <row r="46" spans="1:18" s="13" customFormat="1" ht="15.75" customHeight="1" x14ac:dyDescent="0.25">
      <c r="A46" s="10"/>
      <c r="B46" s="25" t="s">
        <v>148</v>
      </c>
      <c r="C46" s="1" t="s">
        <v>17</v>
      </c>
      <c r="D46" s="120"/>
      <c r="E46" s="17" t="s">
        <v>32</v>
      </c>
      <c r="F46" s="73" t="s">
        <v>425</v>
      </c>
      <c r="G46" s="11" t="s">
        <v>117</v>
      </c>
      <c r="H46" s="1">
        <v>4</v>
      </c>
      <c r="I46" s="49"/>
      <c r="J46" s="46"/>
      <c r="K46" s="40"/>
      <c r="L46" s="40"/>
      <c r="M46" s="38">
        <f t="shared" si="1"/>
        <v>0</v>
      </c>
      <c r="N46" s="41">
        <v>2</v>
      </c>
      <c r="O46" s="31">
        <v>7472.69</v>
      </c>
      <c r="P46" s="31"/>
      <c r="Q46" s="12">
        <f t="shared" si="2"/>
        <v>7472.69</v>
      </c>
    </row>
    <row r="47" spans="1:18" s="13" customFormat="1" ht="15.75" customHeight="1" x14ac:dyDescent="0.25">
      <c r="A47" s="10"/>
      <c r="B47" s="30" t="s">
        <v>42</v>
      </c>
      <c r="C47" s="1" t="s">
        <v>17</v>
      </c>
      <c r="D47" s="120"/>
      <c r="E47" s="3" t="s">
        <v>23</v>
      </c>
      <c r="F47" s="73" t="s">
        <v>341</v>
      </c>
      <c r="G47" s="74" t="s">
        <v>112</v>
      </c>
      <c r="H47" s="75">
        <v>17</v>
      </c>
      <c r="I47" s="76">
        <v>7</v>
      </c>
      <c r="J47" s="96">
        <f>5+3</f>
        <v>8</v>
      </c>
      <c r="K47" s="77">
        <f>7156.22+3849.11</f>
        <v>11005.33</v>
      </c>
      <c r="L47" s="77"/>
      <c r="M47" s="78">
        <f t="shared" si="1"/>
        <v>11005.33</v>
      </c>
      <c r="N47" s="100">
        <f>4+6+9+2+4+2</f>
        <v>27</v>
      </c>
      <c r="O47" s="81">
        <f>5364.2+26170.88+2849.25+18965.6</f>
        <v>53349.93</v>
      </c>
      <c r="P47" s="81">
        <f>5364.2</f>
        <v>5364.2</v>
      </c>
      <c r="Q47" s="79">
        <f t="shared" si="2"/>
        <v>47985.73</v>
      </c>
      <c r="R47" s="141"/>
    </row>
    <row r="48" spans="1:18" s="13" customFormat="1" ht="15.75" customHeight="1" x14ac:dyDescent="0.25">
      <c r="A48" s="10"/>
      <c r="B48" s="24" t="s">
        <v>42</v>
      </c>
      <c r="C48" s="1" t="s">
        <v>17</v>
      </c>
      <c r="D48" s="120"/>
      <c r="E48" s="3" t="s">
        <v>23</v>
      </c>
      <c r="F48" s="73" t="s">
        <v>437</v>
      </c>
      <c r="G48" s="11" t="s">
        <v>118</v>
      </c>
      <c r="H48" s="1">
        <v>2</v>
      </c>
      <c r="I48" s="49"/>
      <c r="J48" s="46"/>
      <c r="K48" s="40"/>
      <c r="L48" s="40"/>
      <c r="M48" s="38">
        <f t="shared" si="1"/>
        <v>0</v>
      </c>
      <c r="N48" s="41"/>
      <c r="O48" s="31">
        <v>4226.2</v>
      </c>
      <c r="P48" s="31">
        <v>4226.2</v>
      </c>
      <c r="Q48" s="12">
        <f t="shared" si="2"/>
        <v>0</v>
      </c>
    </row>
    <row r="49" spans="1:18" s="13" customFormat="1" ht="15.75" customHeight="1" x14ac:dyDescent="0.25">
      <c r="A49" s="10"/>
      <c r="B49" s="30" t="s">
        <v>173</v>
      </c>
      <c r="C49" s="1" t="s">
        <v>17</v>
      </c>
      <c r="D49" s="120"/>
      <c r="E49" s="11" t="s">
        <v>118</v>
      </c>
      <c r="F49" s="73" t="s">
        <v>342</v>
      </c>
      <c r="G49" s="74" t="s">
        <v>112</v>
      </c>
      <c r="H49" s="75">
        <v>4</v>
      </c>
      <c r="I49" s="76">
        <v>4</v>
      </c>
      <c r="J49" s="96">
        <f>1+2+1</f>
        <v>4</v>
      </c>
      <c r="K49" s="77">
        <f>6833.76+696.36</f>
        <v>7530.12</v>
      </c>
      <c r="L49" s="77"/>
      <c r="M49" s="78">
        <f t="shared" si="1"/>
        <v>7530.12</v>
      </c>
      <c r="N49" s="100">
        <f>4+2</f>
        <v>6</v>
      </c>
      <c r="O49" s="81">
        <f>5931.9+4183.92+3158.95</f>
        <v>13274.77</v>
      </c>
      <c r="P49" s="81">
        <f>5931.9</f>
        <v>5931.9</v>
      </c>
      <c r="Q49" s="79">
        <f t="shared" si="2"/>
        <v>7342.8700000000008</v>
      </c>
      <c r="R49" s="141"/>
    </row>
    <row r="50" spans="1:18" s="13" customFormat="1" ht="15.75" customHeight="1" x14ac:dyDescent="0.25">
      <c r="A50" s="10"/>
      <c r="B50" s="22" t="s">
        <v>143</v>
      </c>
      <c r="C50" s="1" t="s">
        <v>64</v>
      </c>
      <c r="D50" s="120" t="s">
        <v>444</v>
      </c>
      <c r="E50" s="3" t="s">
        <v>20</v>
      </c>
      <c r="F50" s="73" t="s">
        <v>445</v>
      </c>
      <c r="G50" s="11" t="s">
        <v>114</v>
      </c>
      <c r="H50" s="1">
        <v>7</v>
      </c>
      <c r="I50" s="47"/>
      <c r="J50" s="51"/>
      <c r="K50" s="37"/>
      <c r="L50" s="37"/>
      <c r="M50" s="78">
        <f t="shared" si="1"/>
        <v>0</v>
      </c>
      <c r="N50" s="39">
        <v>11</v>
      </c>
      <c r="O50" s="31">
        <v>13367.1</v>
      </c>
      <c r="P50" s="31">
        <v>12078.4</v>
      </c>
      <c r="Q50" s="79">
        <f t="shared" si="2"/>
        <v>1288.7000000000007</v>
      </c>
    </row>
    <row r="51" spans="1:18" s="13" customFormat="1" ht="15.75" customHeight="1" x14ac:dyDescent="0.25">
      <c r="A51" s="10"/>
      <c r="B51" s="24" t="s">
        <v>158</v>
      </c>
      <c r="C51" s="1" t="s">
        <v>17</v>
      </c>
      <c r="D51" s="120"/>
      <c r="E51" s="17" t="s">
        <v>32</v>
      </c>
      <c r="F51" s="73" t="s">
        <v>426</v>
      </c>
      <c r="G51" s="11" t="s">
        <v>117</v>
      </c>
      <c r="H51" s="1">
        <v>6</v>
      </c>
      <c r="I51" s="47">
        <v>1</v>
      </c>
      <c r="J51" s="51">
        <v>1</v>
      </c>
      <c r="K51" s="37"/>
      <c r="L51" s="37"/>
      <c r="M51" s="38">
        <f t="shared" si="1"/>
        <v>0</v>
      </c>
      <c r="N51" s="39">
        <v>4</v>
      </c>
      <c r="O51" s="31">
        <v>9789.2000000000007</v>
      </c>
      <c r="P51" s="31"/>
      <c r="Q51" s="12">
        <f t="shared" si="2"/>
        <v>9789.2000000000007</v>
      </c>
    </row>
    <row r="52" spans="1:18" s="15" customFormat="1" ht="15.75" customHeight="1" x14ac:dyDescent="0.25">
      <c r="A52" s="14"/>
      <c r="B52" s="80" t="s">
        <v>43</v>
      </c>
      <c r="C52" s="1" t="s">
        <v>17</v>
      </c>
      <c r="D52" s="120"/>
      <c r="E52" s="3" t="s">
        <v>18</v>
      </c>
      <c r="F52" s="73" t="s">
        <v>344</v>
      </c>
      <c r="G52" s="74" t="s">
        <v>112</v>
      </c>
      <c r="H52" s="75">
        <v>16</v>
      </c>
      <c r="I52" s="76">
        <v>6</v>
      </c>
      <c r="J52" s="96">
        <f>1+2+2</f>
        <v>5</v>
      </c>
      <c r="K52" s="77">
        <f>1776.93</f>
        <v>1776.93</v>
      </c>
      <c r="L52" s="77"/>
      <c r="M52" s="78">
        <f t="shared" si="1"/>
        <v>1776.93</v>
      </c>
      <c r="N52" s="100">
        <f>1+5+4+1</f>
        <v>11</v>
      </c>
      <c r="O52" s="81">
        <f>1223.8+3810.29+4959.02+10043.87</f>
        <v>20036.980000000003</v>
      </c>
      <c r="P52" s="81">
        <f>1223.8</f>
        <v>1223.8</v>
      </c>
      <c r="Q52" s="79">
        <f t="shared" si="2"/>
        <v>18813.180000000004</v>
      </c>
      <c r="R52" s="141"/>
    </row>
    <row r="53" spans="1:18" s="15" customFormat="1" ht="31.5" x14ac:dyDescent="0.25">
      <c r="A53" s="14"/>
      <c r="B53" s="22" t="s">
        <v>43</v>
      </c>
      <c r="C53" s="1" t="s">
        <v>304</v>
      </c>
      <c r="D53" s="120" t="s">
        <v>473</v>
      </c>
      <c r="E53" s="3" t="s">
        <v>18</v>
      </c>
      <c r="F53" s="73" t="s">
        <v>323</v>
      </c>
      <c r="G53" s="11" t="s">
        <v>113</v>
      </c>
      <c r="H53" s="1">
        <v>10</v>
      </c>
      <c r="I53" s="126">
        <v>4</v>
      </c>
      <c r="J53" s="125">
        <v>4</v>
      </c>
      <c r="K53" s="40">
        <v>5071</v>
      </c>
      <c r="L53" s="40"/>
      <c r="M53" s="38">
        <f t="shared" si="1"/>
        <v>5071</v>
      </c>
      <c r="N53" s="39">
        <v>10</v>
      </c>
      <c r="O53" s="31">
        <v>19004</v>
      </c>
      <c r="P53" s="31">
        <v>2655</v>
      </c>
      <c r="Q53" s="12">
        <f t="shared" si="2"/>
        <v>16349</v>
      </c>
    </row>
    <row r="54" spans="1:18" s="13" customFormat="1" ht="15.75" customHeight="1" x14ac:dyDescent="0.25">
      <c r="A54" s="10"/>
      <c r="B54" s="30" t="s">
        <v>44</v>
      </c>
      <c r="C54" s="1" t="s">
        <v>17</v>
      </c>
      <c r="D54" s="120"/>
      <c r="E54" s="3" t="s">
        <v>20</v>
      </c>
      <c r="F54" s="73" t="s">
        <v>345</v>
      </c>
      <c r="G54" s="74" t="s">
        <v>112</v>
      </c>
      <c r="H54" s="75">
        <v>6</v>
      </c>
      <c r="I54" s="76">
        <v>6</v>
      </c>
      <c r="J54" s="96">
        <f>1+1+1+4</f>
        <v>7</v>
      </c>
      <c r="K54" s="77">
        <f>2422.38+1267.86+15410.58</f>
        <v>19100.82</v>
      </c>
      <c r="L54" s="77"/>
      <c r="M54" s="78">
        <f t="shared" si="1"/>
        <v>19100.82</v>
      </c>
      <c r="N54" s="100">
        <f>1+11</f>
        <v>12</v>
      </c>
      <c r="O54" s="81">
        <f>421.62+4603.39+10559.77+72902.04</f>
        <v>88486.819999999992</v>
      </c>
      <c r="P54" s="81"/>
      <c r="Q54" s="79">
        <f t="shared" si="2"/>
        <v>88486.819999999992</v>
      </c>
      <c r="R54" s="141"/>
    </row>
    <row r="55" spans="1:18" s="13" customFormat="1" ht="15.75" customHeight="1" x14ac:dyDescent="0.25">
      <c r="A55" s="10"/>
      <c r="B55" s="24" t="s">
        <v>44</v>
      </c>
      <c r="C55" s="1" t="s">
        <v>17</v>
      </c>
      <c r="D55" s="120"/>
      <c r="E55" s="3" t="s">
        <v>20</v>
      </c>
      <c r="F55" s="73" t="s">
        <v>483</v>
      </c>
      <c r="G55" s="11" t="s">
        <v>114</v>
      </c>
      <c r="H55" s="1"/>
      <c r="I55" s="49"/>
      <c r="J55" s="51"/>
      <c r="K55" s="40"/>
      <c r="L55" s="40"/>
      <c r="M55" s="78">
        <f t="shared" si="1"/>
        <v>0</v>
      </c>
      <c r="N55" s="41">
        <v>2</v>
      </c>
      <c r="O55" s="31"/>
      <c r="P55" s="31"/>
      <c r="Q55" s="12">
        <f t="shared" si="2"/>
        <v>0</v>
      </c>
    </row>
    <row r="56" spans="1:18" s="13" customFormat="1" ht="15.75" customHeight="1" x14ac:dyDescent="0.25">
      <c r="A56" s="10"/>
      <c r="B56" s="24" t="s">
        <v>492</v>
      </c>
      <c r="C56" s="1" t="s">
        <v>17</v>
      </c>
      <c r="D56" s="120"/>
      <c r="E56" s="3" t="s">
        <v>20</v>
      </c>
      <c r="F56" s="73" t="s">
        <v>499</v>
      </c>
      <c r="G56" s="11" t="s">
        <v>112</v>
      </c>
      <c r="H56" s="1">
        <v>4</v>
      </c>
      <c r="I56" s="49"/>
      <c r="J56" s="51"/>
      <c r="K56" s="40"/>
      <c r="L56" s="40"/>
      <c r="M56" s="78"/>
      <c r="N56" s="41"/>
      <c r="O56" s="31"/>
      <c r="P56" s="31"/>
      <c r="Q56" s="12"/>
    </row>
    <row r="57" spans="1:18" s="13" customFormat="1" ht="15.75" customHeight="1" x14ac:dyDescent="0.25">
      <c r="A57" s="10"/>
      <c r="B57" s="27" t="s">
        <v>45</v>
      </c>
      <c r="C57" s="1" t="s">
        <v>17</v>
      </c>
      <c r="D57" s="120"/>
      <c r="E57" s="3" t="s">
        <v>20</v>
      </c>
      <c r="F57" s="73" t="s">
        <v>346</v>
      </c>
      <c r="G57" s="74" t="s">
        <v>112</v>
      </c>
      <c r="H57" s="75"/>
      <c r="I57" s="76"/>
      <c r="J57" s="96"/>
      <c r="K57" s="77"/>
      <c r="L57" s="77"/>
      <c r="M57" s="38">
        <f t="shared" si="1"/>
        <v>0</v>
      </c>
      <c r="N57" s="100">
        <f>1</f>
        <v>1</v>
      </c>
      <c r="O57" s="81">
        <f>17995.91+2729.8</f>
        <v>20725.71</v>
      </c>
      <c r="P57" s="81"/>
      <c r="Q57" s="79">
        <f t="shared" si="2"/>
        <v>20725.71</v>
      </c>
      <c r="R57" s="141"/>
    </row>
    <row r="58" spans="1:18" s="13" customFormat="1" ht="15.75" customHeight="1" x14ac:dyDescent="0.25">
      <c r="A58" s="10"/>
      <c r="B58" s="25" t="s">
        <v>45</v>
      </c>
      <c r="C58" s="1" t="s">
        <v>17</v>
      </c>
      <c r="D58" s="120"/>
      <c r="E58" s="3" t="s">
        <v>20</v>
      </c>
      <c r="F58" s="73" t="s">
        <v>484</v>
      </c>
      <c r="G58" s="11" t="s">
        <v>114</v>
      </c>
      <c r="H58" s="1"/>
      <c r="I58" s="49"/>
      <c r="J58" s="51"/>
      <c r="K58" s="40"/>
      <c r="L58" s="40"/>
      <c r="M58" s="78">
        <f t="shared" si="1"/>
        <v>0</v>
      </c>
      <c r="N58" s="41"/>
      <c r="O58" s="31"/>
      <c r="P58" s="31"/>
      <c r="Q58" s="12">
        <f t="shared" si="2"/>
        <v>0</v>
      </c>
    </row>
    <row r="59" spans="1:18" s="15" customFormat="1" ht="15.75" customHeight="1" x14ac:dyDescent="0.25">
      <c r="A59" s="14"/>
      <c r="B59" s="28" t="s">
        <v>46</v>
      </c>
      <c r="C59" s="1" t="s">
        <v>17</v>
      </c>
      <c r="D59" s="120"/>
      <c r="E59" s="3" t="s">
        <v>20</v>
      </c>
      <c r="F59" s="73" t="s">
        <v>347</v>
      </c>
      <c r="G59" s="74" t="s">
        <v>112</v>
      </c>
      <c r="H59" s="75">
        <v>6</v>
      </c>
      <c r="I59" s="76">
        <v>3</v>
      </c>
      <c r="J59" s="96">
        <f>1+2</f>
        <v>3</v>
      </c>
      <c r="K59" s="77">
        <f>1045.98+1068.08</f>
        <v>2114.06</v>
      </c>
      <c r="L59" s="77"/>
      <c r="M59" s="38">
        <f t="shared" si="1"/>
        <v>2114.06</v>
      </c>
      <c r="N59" s="100">
        <f>4+4</f>
        <v>8</v>
      </c>
      <c r="O59" s="81">
        <f>10759.2+10685.34</f>
        <v>21444.54</v>
      </c>
      <c r="P59" s="81"/>
      <c r="Q59" s="79">
        <f t="shared" si="2"/>
        <v>21444.54</v>
      </c>
      <c r="R59" s="141"/>
    </row>
    <row r="60" spans="1:18" s="15" customFormat="1" ht="15.75" customHeight="1" x14ac:dyDescent="0.25">
      <c r="A60" s="14"/>
      <c r="B60" s="26" t="s">
        <v>46</v>
      </c>
      <c r="C60" s="1" t="s">
        <v>17</v>
      </c>
      <c r="D60" s="120"/>
      <c r="E60" s="3" t="s">
        <v>20</v>
      </c>
      <c r="F60" s="73" t="s">
        <v>273</v>
      </c>
      <c r="G60" s="11" t="s">
        <v>114</v>
      </c>
      <c r="H60" s="1">
        <v>1</v>
      </c>
      <c r="I60" s="49"/>
      <c r="J60" s="51"/>
      <c r="K60" s="40"/>
      <c r="L60" s="40"/>
      <c r="M60" s="78">
        <f t="shared" si="1"/>
        <v>0</v>
      </c>
      <c r="N60" s="42">
        <v>2</v>
      </c>
      <c r="O60" s="31">
        <v>8068.2</v>
      </c>
      <c r="P60" s="31">
        <f>4034.1</f>
        <v>4034.1</v>
      </c>
      <c r="Q60" s="12">
        <f t="shared" si="2"/>
        <v>4034.1</v>
      </c>
    </row>
    <row r="61" spans="1:18" s="13" customFormat="1" ht="47.25" customHeight="1" x14ac:dyDescent="0.25">
      <c r="A61" s="10"/>
      <c r="B61" s="30" t="s">
        <v>47</v>
      </c>
      <c r="C61" s="1" t="s">
        <v>304</v>
      </c>
      <c r="D61" s="120" t="s">
        <v>474</v>
      </c>
      <c r="E61" s="3" t="s">
        <v>18</v>
      </c>
      <c r="F61" s="73" t="s">
        <v>348</v>
      </c>
      <c r="G61" s="74" t="s">
        <v>112</v>
      </c>
      <c r="H61" s="75">
        <v>19</v>
      </c>
      <c r="I61" s="76">
        <v>6</v>
      </c>
      <c r="J61" s="98">
        <f>1+1+3+2</f>
        <v>7</v>
      </c>
      <c r="K61" s="154">
        <f>1129.78+866.14+4090.7</f>
        <v>6086.62</v>
      </c>
      <c r="L61" s="77"/>
      <c r="M61" s="38">
        <f t="shared" si="1"/>
        <v>6086.62</v>
      </c>
      <c r="N61" s="100">
        <f>7+3+4+10+6+1+2</f>
        <v>33</v>
      </c>
      <c r="O61" s="81">
        <f>8477.51+15159.83+14079.46+15414.2+17995.91+2065.56</f>
        <v>73192.47</v>
      </c>
      <c r="P61" s="81">
        <f>8477.51</f>
        <v>8477.51</v>
      </c>
      <c r="Q61" s="79">
        <f t="shared" si="2"/>
        <v>64714.96</v>
      </c>
      <c r="R61" s="141"/>
    </row>
    <row r="62" spans="1:18" s="13" customFormat="1" ht="47.25" x14ac:dyDescent="0.25">
      <c r="A62" s="10"/>
      <c r="B62" s="22" t="s">
        <v>120</v>
      </c>
      <c r="C62" s="1" t="s">
        <v>304</v>
      </c>
      <c r="D62" s="120" t="s">
        <v>474</v>
      </c>
      <c r="E62" s="3" t="s">
        <v>18</v>
      </c>
      <c r="F62" s="73" t="s">
        <v>334</v>
      </c>
      <c r="G62" s="11" t="s">
        <v>116</v>
      </c>
      <c r="H62" s="1">
        <v>16</v>
      </c>
      <c r="I62" s="53">
        <v>3</v>
      </c>
      <c r="J62" s="127">
        <v>3</v>
      </c>
      <c r="K62" s="40">
        <v>4323</v>
      </c>
      <c r="L62" s="40"/>
      <c r="M62" s="78">
        <f t="shared" si="1"/>
        <v>4323</v>
      </c>
      <c r="N62" s="41">
        <v>4</v>
      </c>
      <c r="O62" s="31">
        <v>30280</v>
      </c>
      <c r="P62" s="31">
        <v>13238</v>
      </c>
      <c r="Q62" s="12">
        <f t="shared" si="2"/>
        <v>17042</v>
      </c>
    </row>
    <row r="63" spans="1:18" s="13" customFormat="1" ht="15.75" customHeight="1" x14ac:dyDescent="0.25">
      <c r="A63" s="10"/>
      <c r="B63" s="30" t="s">
        <v>134</v>
      </c>
      <c r="C63" s="1" t="s">
        <v>17</v>
      </c>
      <c r="D63" s="120"/>
      <c r="E63" s="3" t="s">
        <v>20</v>
      </c>
      <c r="F63" s="73" t="s">
        <v>349</v>
      </c>
      <c r="G63" s="74" t="s">
        <v>112</v>
      </c>
      <c r="H63" s="75">
        <v>8</v>
      </c>
      <c r="I63" s="76">
        <v>7</v>
      </c>
      <c r="J63" s="96">
        <f>1+4+1</f>
        <v>6</v>
      </c>
      <c r="K63" s="77">
        <f>7301.48+1473.89+1911.09+1690.48</f>
        <v>12376.939999999999</v>
      </c>
      <c r="L63" s="77"/>
      <c r="M63" s="38">
        <f t="shared" si="1"/>
        <v>12376.939999999999</v>
      </c>
      <c r="N63" s="100">
        <f>4+1</f>
        <v>5</v>
      </c>
      <c r="O63" s="81">
        <f>5020.05+3215.31+12312.39+4648.82+32425.98</f>
        <v>57622.55</v>
      </c>
      <c r="P63" s="81"/>
      <c r="Q63" s="79">
        <f t="shared" si="2"/>
        <v>57622.55</v>
      </c>
      <c r="R63" s="141"/>
    </row>
    <row r="64" spans="1:18" s="13" customFormat="1" ht="15.75" customHeight="1" x14ac:dyDescent="0.25">
      <c r="A64" s="10"/>
      <c r="B64" s="24" t="s">
        <v>134</v>
      </c>
      <c r="C64" s="1" t="s">
        <v>17</v>
      </c>
      <c r="D64" s="120"/>
      <c r="E64" s="3" t="s">
        <v>20</v>
      </c>
      <c r="F64" s="73" t="s">
        <v>456</v>
      </c>
      <c r="G64" s="11" t="s">
        <v>114</v>
      </c>
      <c r="H64" s="1">
        <v>12</v>
      </c>
      <c r="I64" s="49"/>
      <c r="J64" s="51"/>
      <c r="K64" s="40"/>
      <c r="L64" s="40"/>
      <c r="M64" s="78">
        <f t="shared" si="1"/>
        <v>0</v>
      </c>
      <c r="N64" s="41">
        <v>19</v>
      </c>
      <c r="O64" s="31">
        <v>16425.57</v>
      </c>
      <c r="P64" s="31">
        <v>16425.57</v>
      </c>
      <c r="Q64" s="12">
        <f t="shared" si="2"/>
        <v>0</v>
      </c>
    </row>
    <row r="65" spans="1:18" s="13" customFormat="1" ht="15.75" customHeight="1" x14ac:dyDescent="0.25">
      <c r="A65" s="10"/>
      <c r="B65" s="62" t="s">
        <v>48</v>
      </c>
      <c r="C65" s="1" t="s">
        <v>17</v>
      </c>
      <c r="D65" s="120"/>
      <c r="E65" s="3" t="s">
        <v>20</v>
      </c>
      <c r="F65" s="73" t="s">
        <v>350</v>
      </c>
      <c r="G65" s="74" t="s">
        <v>112</v>
      </c>
      <c r="H65" s="75">
        <v>9</v>
      </c>
      <c r="I65" s="76">
        <v>4</v>
      </c>
      <c r="J65" s="96">
        <f>1</f>
        <v>1</v>
      </c>
      <c r="K65" s="77">
        <f>4805.96+2585.78</f>
        <v>7391.74</v>
      </c>
      <c r="L65" s="77"/>
      <c r="M65" s="38">
        <f t="shared" si="1"/>
        <v>7391.74</v>
      </c>
      <c r="N65" s="100">
        <f>2+1</f>
        <v>3</v>
      </c>
      <c r="O65" s="81">
        <f>23174.33+2535.72+11633.02+6993.42</f>
        <v>44336.490000000005</v>
      </c>
      <c r="P65" s="81"/>
      <c r="Q65" s="79">
        <f t="shared" si="2"/>
        <v>44336.490000000005</v>
      </c>
      <c r="R65" s="141"/>
    </row>
    <row r="66" spans="1:18" s="13" customFormat="1" ht="15.75" customHeight="1" x14ac:dyDescent="0.25">
      <c r="A66" s="10"/>
      <c r="B66" s="62" t="s">
        <v>49</v>
      </c>
      <c r="C66" s="1" t="s">
        <v>17</v>
      </c>
      <c r="D66" s="120"/>
      <c r="E66" s="3" t="s">
        <v>50</v>
      </c>
      <c r="F66" s="73" t="s">
        <v>351</v>
      </c>
      <c r="G66" s="74" t="s">
        <v>112</v>
      </c>
      <c r="H66" s="75">
        <v>12</v>
      </c>
      <c r="I66" s="76">
        <v>2</v>
      </c>
      <c r="J66" s="96">
        <f>1</f>
        <v>1</v>
      </c>
      <c r="K66" s="77">
        <f>525.65+1267.86</f>
        <v>1793.5099999999998</v>
      </c>
      <c r="L66" s="77"/>
      <c r="M66" s="78">
        <f t="shared" si="1"/>
        <v>1793.5099999999998</v>
      </c>
      <c r="N66" s="100">
        <f>5+1+3</f>
        <v>9</v>
      </c>
      <c r="O66" s="81">
        <f>7374+1806.93+7275.53+4666.9+2684.03</f>
        <v>23807.39</v>
      </c>
      <c r="P66" s="81">
        <f>7374</f>
        <v>7374</v>
      </c>
      <c r="Q66" s="12">
        <f t="shared" si="2"/>
        <v>16433.39</v>
      </c>
      <c r="R66" s="141"/>
    </row>
    <row r="67" spans="1:18" s="13" customFormat="1" ht="15.75" customHeight="1" x14ac:dyDescent="0.25">
      <c r="A67" s="10"/>
      <c r="B67" s="22" t="s">
        <v>49</v>
      </c>
      <c r="C67" s="1" t="s">
        <v>17</v>
      </c>
      <c r="D67" s="120"/>
      <c r="E67" s="3" t="s">
        <v>50</v>
      </c>
      <c r="F67" s="73" t="s">
        <v>427</v>
      </c>
      <c r="G67" s="11" t="s">
        <v>115</v>
      </c>
      <c r="H67" s="1">
        <v>6</v>
      </c>
      <c r="I67" s="49">
        <v>1</v>
      </c>
      <c r="J67" s="46">
        <v>1</v>
      </c>
      <c r="K67" s="40"/>
      <c r="L67" s="40"/>
      <c r="M67" s="38">
        <f t="shared" si="1"/>
        <v>0</v>
      </c>
      <c r="N67" s="41">
        <v>8</v>
      </c>
      <c r="O67" s="31">
        <v>9893.2000000000007</v>
      </c>
      <c r="P67" s="31">
        <v>4898.6000000000004</v>
      </c>
      <c r="Q67" s="79">
        <f t="shared" si="2"/>
        <v>4994.6000000000004</v>
      </c>
    </row>
    <row r="68" spans="1:18" s="13" customFormat="1" ht="15.75" customHeight="1" x14ac:dyDescent="0.25">
      <c r="A68" s="10"/>
      <c r="B68" s="27" t="s">
        <v>51</v>
      </c>
      <c r="C68" s="1" t="s">
        <v>17</v>
      </c>
      <c r="D68" s="120"/>
      <c r="E68" s="3" t="s">
        <v>20</v>
      </c>
      <c r="F68" s="73" t="s">
        <v>186</v>
      </c>
      <c r="G68" s="74" t="s">
        <v>112</v>
      </c>
      <c r="H68" s="75"/>
      <c r="I68" s="76"/>
      <c r="J68" s="96"/>
      <c r="K68" s="77"/>
      <c r="L68" s="77"/>
      <c r="M68" s="78">
        <f t="shared" si="1"/>
        <v>0</v>
      </c>
      <c r="N68" s="100">
        <f>1</f>
        <v>1</v>
      </c>
      <c r="O68" s="81">
        <v>2451.87</v>
      </c>
      <c r="P68" s="81">
        <f>2451.87</f>
        <v>2451.87</v>
      </c>
      <c r="Q68" s="12">
        <f t="shared" si="2"/>
        <v>0</v>
      </c>
      <c r="R68" s="141"/>
    </row>
    <row r="69" spans="1:18" s="13" customFormat="1" ht="15.75" customHeight="1" x14ac:dyDescent="0.25">
      <c r="A69" s="10"/>
      <c r="B69" s="27" t="s">
        <v>51</v>
      </c>
      <c r="C69" s="1" t="s">
        <v>17</v>
      </c>
      <c r="D69" s="120"/>
      <c r="E69" s="3" t="s">
        <v>20</v>
      </c>
      <c r="F69" s="73" t="s">
        <v>276</v>
      </c>
      <c r="G69" s="11" t="s">
        <v>114</v>
      </c>
      <c r="H69" s="1"/>
      <c r="I69" s="49"/>
      <c r="J69" s="51"/>
      <c r="K69" s="40"/>
      <c r="L69" s="40"/>
      <c r="M69" s="38">
        <f t="shared" si="1"/>
        <v>0</v>
      </c>
      <c r="N69" s="41">
        <v>3</v>
      </c>
      <c r="O69" s="31">
        <v>6763.6</v>
      </c>
      <c r="P69" s="31">
        <v>6763.6</v>
      </c>
      <c r="Q69" s="79">
        <f t="shared" si="2"/>
        <v>0</v>
      </c>
    </row>
    <row r="70" spans="1:18" s="13" customFormat="1" ht="15.75" customHeight="1" x14ac:dyDescent="0.25">
      <c r="A70" s="10"/>
      <c r="B70" s="62" t="s">
        <v>52</v>
      </c>
      <c r="C70" s="1" t="s">
        <v>17</v>
      </c>
      <c r="D70" s="120"/>
      <c r="E70" s="3" t="s">
        <v>20</v>
      </c>
      <c r="F70" s="73" t="s">
        <v>352</v>
      </c>
      <c r="G70" s="74" t="s">
        <v>112</v>
      </c>
      <c r="H70" s="75">
        <v>6</v>
      </c>
      <c r="I70" s="76"/>
      <c r="J70" s="96"/>
      <c r="K70" s="77"/>
      <c r="L70" s="77"/>
      <c r="M70" s="78">
        <f t="shared" si="1"/>
        <v>0</v>
      </c>
      <c r="N70" s="100">
        <f>4+3+1+1</f>
        <v>9</v>
      </c>
      <c r="O70" s="81">
        <f>5977.15+48296.91+7596.86+1061.83</f>
        <v>62932.750000000007</v>
      </c>
      <c r="P70" s="81">
        <f>48296.91</f>
        <v>48296.91</v>
      </c>
      <c r="Q70" s="12">
        <f t="shared" si="2"/>
        <v>14635.840000000004</v>
      </c>
      <c r="R70" s="141"/>
    </row>
    <row r="71" spans="1:18" s="13" customFormat="1" ht="15.75" customHeight="1" x14ac:dyDescent="0.25">
      <c r="A71" s="10"/>
      <c r="B71" s="22" t="s">
        <v>52</v>
      </c>
      <c r="C71" s="1" t="s">
        <v>17</v>
      </c>
      <c r="D71" s="120"/>
      <c r="E71" s="3" t="s">
        <v>20</v>
      </c>
      <c r="F71" s="73" t="s">
        <v>457</v>
      </c>
      <c r="G71" s="11" t="s">
        <v>114</v>
      </c>
      <c r="H71" s="1">
        <v>5</v>
      </c>
      <c r="I71" s="49"/>
      <c r="J71" s="51"/>
      <c r="K71" s="40"/>
      <c r="L71" s="40"/>
      <c r="M71" s="38">
        <f t="shared" si="1"/>
        <v>0</v>
      </c>
      <c r="N71" s="41">
        <v>12</v>
      </c>
      <c r="O71" s="31">
        <v>19664.86</v>
      </c>
      <c r="P71" s="31">
        <v>11388.46</v>
      </c>
      <c r="Q71" s="79">
        <f t="shared" si="2"/>
        <v>8276.4000000000015</v>
      </c>
    </row>
    <row r="72" spans="1:18" s="13" customFormat="1" ht="15.75" customHeight="1" x14ac:dyDescent="0.25">
      <c r="A72" s="10"/>
      <c r="B72" s="27" t="s">
        <v>53</v>
      </c>
      <c r="C72" s="1" t="s">
        <v>17</v>
      </c>
      <c r="D72" s="120"/>
      <c r="E72" s="3" t="s">
        <v>20</v>
      </c>
      <c r="F72" s="73" t="s">
        <v>353</v>
      </c>
      <c r="G72" s="74" t="s">
        <v>112</v>
      </c>
      <c r="H72" s="75">
        <v>5</v>
      </c>
      <c r="I72" s="76"/>
      <c r="J72" s="96"/>
      <c r="K72" s="77"/>
      <c r="L72" s="77"/>
      <c r="M72" s="78">
        <f>K72-L72</f>
        <v>0</v>
      </c>
      <c r="N72" s="100">
        <f>1+2+2</f>
        <v>5</v>
      </c>
      <c r="O72" s="81">
        <f>1743.3+3921.71+422.62</f>
        <v>6087.63</v>
      </c>
      <c r="P72" s="81">
        <f>422.62</f>
        <v>422.62</v>
      </c>
      <c r="Q72" s="12">
        <f t="shared" si="2"/>
        <v>5665.01</v>
      </c>
      <c r="R72" s="141"/>
    </row>
    <row r="73" spans="1:18" s="13" customFormat="1" ht="15.75" customHeight="1" x14ac:dyDescent="0.25">
      <c r="A73" s="10"/>
      <c r="B73" s="27" t="s">
        <v>149</v>
      </c>
      <c r="C73" s="1" t="s">
        <v>17</v>
      </c>
      <c r="D73" s="120"/>
      <c r="E73" s="3" t="s">
        <v>383</v>
      </c>
      <c r="F73" s="73" t="s">
        <v>354</v>
      </c>
      <c r="G73" s="74" t="s">
        <v>112</v>
      </c>
      <c r="H73" s="75">
        <v>16</v>
      </c>
      <c r="I73" s="76"/>
      <c r="J73" s="96"/>
      <c r="K73" s="77"/>
      <c r="L73" s="77"/>
      <c r="M73" s="38">
        <f t="shared" si="1"/>
        <v>0</v>
      </c>
      <c r="N73" s="100">
        <f>2+2</f>
        <v>4</v>
      </c>
      <c r="O73" s="81">
        <f>3676.8+3431.65</f>
        <v>7108.4500000000007</v>
      </c>
      <c r="P73" s="81"/>
      <c r="Q73" s="79">
        <f t="shared" si="2"/>
        <v>7108.4500000000007</v>
      </c>
      <c r="R73" s="141"/>
    </row>
    <row r="74" spans="1:18" s="13" customFormat="1" ht="15.75" customHeight="1" x14ac:dyDescent="0.25">
      <c r="A74" s="10"/>
      <c r="B74" s="25" t="s">
        <v>149</v>
      </c>
      <c r="C74" s="1" t="s">
        <v>17</v>
      </c>
      <c r="D74" s="120"/>
      <c r="E74" s="3" t="s">
        <v>383</v>
      </c>
      <c r="F74" s="73" t="s">
        <v>438</v>
      </c>
      <c r="G74" s="11" t="s">
        <v>118</v>
      </c>
      <c r="H74" s="1">
        <v>3</v>
      </c>
      <c r="I74" s="47"/>
      <c r="J74" s="51"/>
      <c r="K74" s="37"/>
      <c r="L74" s="37"/>
      <c r="M74" s="78">
        <f t="shared" si="1"/>
        <v>0</v>
      </c>
      <c r="N74" s="39">
        <v>3</v>
      </c>
      <c r="O74" s="31">
        <v>4994.6000000000004</v>
      </c>
      <c r="P74" s="31">
        <v>2689.4</v>
      </c>
      <c r="Q74" s="12">
        <f t="shared" si="2"/>
        <v>2305.2000000000003</v>
      </c>
    </row>
    <row r="75" spans="1:18" s="13" customFormat="1" ht="15.75" customHeight="1" x14ac:dyDescent="0.25">
      <c r="A75" s="10"/>
      <c r="B75" s="62" t="s">
        <v>107</v>
      </c>
      <c r="C75" s="1" t="s">
        <v>17</v>
      </c>
      <c r="D75" s="120"/>
      <c r="E75" s="17" t="s">
        <v>20</v>
      </c>
      <c r="F75" s="73" t="s">
        <v>355</v>
      </c>
      <c r="G75" s="74" t="s">
        <v>112</v>
      </c>
      <c r="H75" s="75">
        <v>6</v>
      </c>
      <c r="I75" s="76"/>
      <c r="J75" s="96">
        <f>1</f>
        <v>1</v>
      </c>
      <c r="K75" s="77">
        <f>666.63</f>
        <v>666.63</v>
      </c>
      <c r="L75" s="77"/>
      <c r="M75" s="38">
        <f t="shared" si="1"/>
        <v>666.63</v>
      </c>
      <c r="N75" s="100">
        <f>2+6</f>
        <v>8</v>
      </c>
      <c r="O75" s="81">
        <f>7612.92+18804.48+9163.33</f>
        <v>35580.730000000003</v>
      </c>
      <c r="P75" s="81">
        <f>7612.92</f>
        <v>7612.92</v>
      </c>
      <c r="Q75" s="79">
        <f t="shared" si="2"/>
        <v>27967.810000000005</v>
      </c>
      <c r="R75" s="141"/>
    </row>
    <row r="76" spans="1:18" s="13" customFormat="1" ht="15.75" customHeight="1" x14ac:dyDescent="0.25">
      <c r="A76" s="10"/>
      <c r="B76" s="30" t="s">
        <v>54</v>
      </c>
      <c r="C76" s="1" t="s">
        <v>17</v>
      </c>
      <c r="D76" s="120"/>
      <c r="E76" s="17" t="s">
        <v>20</v>
      </c>
      <c r="F76" s="73" t="s">
        <v>356</v>
      </c>
      <c r="G76" s="74" t="s">
        <v>112</v>
      </c>
      <c r="H76" s="75"/>
      <c r="I76" s="76"/>
      <c r="J76" s="96"/>
      <c r="K76" s="77"/>
      <c r="L76" s="77"/>
      <c r="M76" s="38">
        <f t="shared" si="1"/>
        <v>0</v>
      </c>
      <c r="N76" s="100">
        <f>4</f>
        <v>4</v>
      </c>
      <c r="O76" s="81">
        <f>17895.28</f>
        <v>17895.28</v>
      </c>
      <c r="P76" s="81"/>
      <c r="Q76" s="79">
        <f t="shared" si="2"/>
        <v>17895.28</v>
      </c>
      <c r="R76" s="141"/>
    </row>
    <row r="77" spans="1:18" s="13" customFormat="1" ht="31.5" customHeight="1" x14ac:dyDescent="0.25">
      <c r="A77" s="10"/>
      <c r="B77" s="27" t="s">
        <v>55</v>
      </c>
      <c r="C77" s="1" t="s">
        <v>304</v>
      </c>
      <c r="D77" s="120" t="s">
        <v>387</v>
      </c>
      <c r="E77" s="3" t="s">
        <v>20</v>
      </c>
      <c r="F77" s="73" t="s">
        <v>357</v>
      </c>
      <c r="G77" s="74" t="s">
        <v>112</v>
      </c>
      <c r="H77" s="75">
        <v>11</v>
      </c>
      <c r="I77" s="76">
        <v>5</v>
      </c>
      <c r="J77" s="96"/>
      <c r="K77" s="77">
        <f>1267.86+6667.8</f>
        <v>7935.66</v>
      </c>
      <c r="L77" s="77"/>
      <c r="M77" s="78">
        <f t="shared" si="1"/>
        <v>7935.66</v>
      </c>
      <c r="N77" s="100">
        <f>2+1+2</f>
        <v>5</v>
      </c>
      <c r="O77" s="81">
        <f>34854.19+2113.1+6430.67+5463.42</f>
        <v>48861.38</v>
      </c>
      <c r="P77" s="81">
        <f>34854.19</f>
        <v>34854.19</v>
      </c>
      <c r="Q77" s="12">
        <f t="shared" si="2"/>
        <v>14007.189999999995</v>
      </c>
      <c r="R77" s="141"/>
    </row>
    <row r="78" spans="1:18" s="13" customFormat="1" ht="31.5" customHeight="1" x14ac:dyDescent="0.25">
      <c r="A78" s="10"/>
      <c r="B78" s="62" t="s">
        <v>56</v>
      </c>
      <c r="C78" s="1" t="s">
        <v>17</v>
      </c>
      <c r="D78" s="120" t="s">
        <v>386</v>
      </c>
      <c r="E78" s="3" t="s">
        <v>18</v>
      </c>
      <c r="F78" s="73" t="s">
        <v>358</v>
      </c>
      <c r="G78" s="74" t="s">
        <v>112</v>
      </c>
      <c r="H78" s="75">
        <v>3</v>
      </c>
      <c r="I78" s="76">
        <v>1</v>
      </c>
      <c r="J78" s="96">
        <f>1</f>
        <v>1</v>
      </c>
      <c r="K78" s="77">
        <f>678.11</f>
        <v>678.11</v>
      </c>
      <c r="L78" s="77"/>
      <c r="M78" s="38">
        <f t="shared" si="1"/>
        <v>678.11</v>
      </c>
      <c r="N78" s="100"/>
      <c r="O78" s="81"/>
      <c r="P78" s="81"/>
      <c r="Q78" s="79">
        <f t="shared" si="2"/>
        <v>0</v>
      </c>
      <c r="R78" s="141"/>
    </row>
    <row r="79" spans="1:18" s="13" customFormat="1" ht="31.5" x14ac:dyDescent="0.25">
      <c r="A79" s="10"/>
      <c r="B79" s="22" t="s">
        <v>56</v>
      </c>
      <c r="C79" s="1" t="s">
        <v>304</v>
      </c>
      <c r="D79" s="120" t="s">
        <v>386</v>
      </c>
      <c r="E79" s="3" t="s">
        <v>18</v>
      </c>
      <c r="F79" s="73" t="s">
        <v>476</v>
      </c>
      <c r="G79" s="11" t="s">
        <v>113</v>
      </c>
      <c r="H79" s="1">
        <v>2</v>
      </c>
      <c r="I79" s="49">
        <v>1</v>
      </c>
      <c r="J79" s="46">
        <v>1</v>
      </c>
      <c r="K79" s="40">
        <v>1480</v>
      </c>
      <c r="L79" s="40"/>
      <c r="M79" s="78">
        <f t="shared" si="1"/>
        <v>1480</v>
      </c>
      <c r="N79" s="41"/>
      <c r="O79" s="31">
        <v>7612</v>
      </c>
      <c r="P79" s="31">
        <v>1657</v>
      </c>
      <c r="Q79" s="12">
        <f t="shared" ref="Q79:Q146" si="3">O79-P79</f>
        <v>5955</v>
      </c>
    </row>
    <row r="80" spans="1:18" s="13" customFormat="1" ht="15.75" customHeight="1" x14ac:dyDescent="0.25">
      <c r="A80" s="10"/>
      <c r="B80" s="62" t="s">
        <v>156</v>
      </c>
      <c r="C80" s="1" t="s">
        <v>304</v>
      </c>
      <c r="D80" s="120"/>
      <c r="E80" s="3" t="s">
        <v>20</v>
      </c>
      <c r="F80" s="73" t="s">
        <v>359</v>
      </c>
      <c r="G80" s="74" t="s">
        <v>112</v>
      </c>
      <c r="H80" s="75">
        <v>3</v>
      </c>
      <c r="I80" s="76">
        <v>2</v>
      </c>
      <c r="J80" s="96">
        <f>2</f>
        <v>2</v>
      </c>
      <c r="K80" s="77">
        <f>1690.48</f>
        <v>1690.48</v>
      </c>
      <c r="L80" s="77"/>
      <c r="M80" s="38">
        <f t="shared" si="1"/>
        <v>1690.48</v>
      </c>
      <c r="N80" s="100">
        <f>3+1</f>
        <v>4</v>
      </c>
      <c r="O80" s="81">
        <f>5488.54+2398.37+422.62</f>
        <v>8309.5300000000007</v>
      </c>
      <c r="P80" s="81"/>
      <c r="Q80" s="79">
        <f t="shared" si="3"/>
        <v>8309.5300000000007</v>
      </c>
      <c r="R80" s="141"/>
    </row>
    <row r="81" spans="1:18" s="15" customFormat="1" ht="15.75" customHeight="1" x14ac:dyDescent="0.25">
      <c r="A81" s="14"/>
      <c r="B81" s="80" t="s">
        <v>57</v>
      </c>
      <c r="C81" s="1" t="s">
        <v>17</v>
      </c>
      <c r="D81" s="120"/>
      <c r="E81" s="3" t="s">
        <v>20</v>
      </c>
      <c r="F81" s="73" t="s">
        <v>360</v>
      </c>
      <c r="G81" s="74" t="s">
        <v>112</v>
      </c>
      <c r="H81" s="75">
        <v>4</v>
      </c>
      <c r="I81" s="76">
        <v>2</v>
      </c>
      <c r="J81" s="96">
        <f>2</f>
        <v>2</v>
      </c>
      <c r="K81" s="77">
        <f>806.82</f>
        <v>806.82</v>
      </c>
      <c r="L81" s="77"/>
      <c r="M81" s="78">
        <f t="shared" si="1"/>
        <v>806.82</v>
      </c>
      <c r="N81" s="100">
        <f>2+1</f>
        <v>3</v>
      </c>
      <c r="O81" s="81">
        <f>2745.3</f>
        <v>2745.3</v>
      </c>
      <c r="P81" s="81"/>
      <c r="Q81" s="12">
        <f t="shared" si="3"/>
        <v>2745.3</v>
      </c>
      <c r="R81" s="141"/>
    </row>
    <row r="82" spans="1:18" s="15" customFormat="1" ht="15.75" customHeight="1" x14ac:dyDescent="0.25">
      <c r="A82" s="14"/>
      <c r="B82" s="23" t="s">
        <v>57</v>
      </c>
      <c r="C82" s="1" t="s">
        <v>17</v>
      </c>
      <c r="D82" s="120"/>
      <c r="E82" s="3" t="s">
        <v>20</v>
      </c>
      <c r="F82" s="73" t="s">
        <v>458</v>
      </c>
      <c r="G82" s="11" t="s">
        <v>114</v>
      </c>
      <c r="H82" s="1">
        <v>13</v>
      </c>
      <c r="I82" s="49">
        <v>1</v>
      </c>
      <c r="J82" s="51">
        <v>1</v>
      </c>
      <c r="K82" s="40"/>
      <c r="L82" s="40"/>
      <c r="M82" s="38">
        <f t="shared" si="1"/>
        <v>0</v>
      </c>
      <c r="N82" s="42">
        <v>7</v>
      </c>
      <c r="O82" s="31">
        <v>5825.46</v>
      </c>
      <c r="P82" s="31">
        <v>5825.46</v>
      </c>
      <c r="Q82" s="79">
        <f t="shared" si="3"/>
        <v>0</v>
      </c>
    </row>
    <row r="83" spans="1:18" s="13" customFormat="1" ht="15.75" customHeight="1" x14ac:dyDescent="0.25">
      <c r="A83" s="10"/>
      <c r="B83" s="62" t="s">
        <v>58</v>
      </c>
      <c r="C83" s="1" t="s">
        <v>17</v>
      </c>
      <c r="D83" s="120"/>
      <c r="E83" s="3" t="s">
        <v>20</v>
      </c>
      <c r="F83" s="73" t="s">
        <v>361</v>
      </c>
      <c r="G83" s="74" t="s">
        <v>112</v>
      </c>
      <c r="H83" s="75">
        <v>2</v>
      </c>
      <c r="I83" s="76"/>
      <c r="J83" s="96"/>
      <c r="K83" s="77"/>
      <c r="L83" s="77"/>
      <c r="M83" s="78">
        <f t="shared" si="1"/>
        <v>0</v>
      </c>
      <c r="N83" s="100">
        <f>1+1+3</f>
        <v>5</v>
      </c>
      <c r="O83" s="81">
        <f>9196.24+2480.78+2954.11+15214.32</f>
        <v>29845.45</v>
      </c>
      <c r="P83" s="81"/>
      <c r="Q83" s="12">
        <f t="shared" si="3"/>
        <v>29845.45</v>
      </c>
      <c r="R83" s="141"/>
    </row>
    <row r="84" spans="1:18" s="13" customFormat="1" ht="15.75" customHeight="1" x14ac:dyDescent="0.25">
      <c r="A84" s="10"/>
      <c r="B84" s="22" t="s">
        <v>58</v>
      </c>
      <c r="C84" s="1" t="s">
        <v>17</v>
      </c>
      <c r="D84" s="120"/>
      <c r="E84" s="3" t="s">
        <v>20</v>
      </c>
      <c r="F84" s="73" t="s">
        <v>478</v>
      </c>
      <c r="G84" s="11" t="s">
        <v>114</v>
      </c>
      <c r="H84" s="1">
        <v>3</v>
      </c>
      <c r="I84" s="49"/>
      <c r="J84" s="51"/>
      <c r="K84" s="40"/>
      <c r="L84" s="40"/>
      <c r="M84" s="38">
        <f t="shared" ref="M84:M157" si="4">K84-L84</f>
        <v>0</v>
      </c>
      <c r="N84" s="41">
        <v>15</v>
      </c>
      <c r="O84" s="31">
        <v>23095.57</v>
      </c>
      <c r="P84" s="31">
        <v>16615.25</v>
      </c>
      <c r="Q84" s="79">
        <f t="shared" si="3"/>
        <v>6480.32</v>
      </c>
    </row>
    <row r="85" spans="1:18" s="13" customFormat="1" ht="15.75" customHeight="1" x14ac:dyDescent="0.25">
      <c r="A85" s="10"/>
      <c r="B85" s="62" t="s">
        <v>59</v>
      </c>
      <c r="C85" s="1" t="s">
        <v>17</v>
      </c>
      <c r="D85" s="120"/>
      <c r="E85" s="3" t="s">
        <v>20</v>
      </c>
      <c r="F85" s="73" t="s">
        <v>362</v>
      </c>
      <c r="G85" s="74" t="s">
        <v>112</v>
      </c>
      <c r="H85" s="75">
        <v>3</v>
      </c>
      <c r="I85" s="76">
        <v>3</v>
      </c>
      <c r="J85" s="96">
        <f>1+1+1</f>
        <v>3</v>
      </c>
      <c r="K85" s="77">
        <f>403.41</f>
        <v>403.41</v>
      </c>
      <c r="L85" s="77"/>
      <c r="M85" s="78">
        <f t="shared" si="4"/>
        <v>403.41</v>
      </c>
      <c r="N85" s="100">
        <f>1+2+2+1</f>
        <v>6</v>
      </c>
      <c r="O85" s="81">
        <f>6646.05+1267.86+979.71</f>
        <v>8893.619999999999</v>
      </c>
      <c r="P85" s="81">
        <f>2353.23</f>
        <v>2353.23</v>
      </c>
      <c r="Q85" s="12">
        <f t="shared" si="3"/>
        <v>6540.3899999999994</v>
      </c>
      <c r="R85" s="141"/>
    </row>
    <row r="86" spans="1:18" s="13" customFormat="1" ht="15.75" customHeight="1" x14ac:dyDescent="0.25">
      <c r="A86" s="10"/>
      <c r="B86" s="22" t="s">
        <v>59</v>
      </c>
      <c r="C86" s="1" t="s">
        <v>17</v>
      </c>
      <c r="D86" s="120"/>
      <c r="E86" s="3" t="s">
        <v>20</v>
      </c>
      <c r="F86" s="73" t="s">
        <v>128</v>
      </c>
      <c r="G86" s="11" t="s">
        <v>114</v>
      </c>
      <c r="H86" s="1"/>
      <c r="I86" s="49"/>
      <c r="J86" s="51"/>
      <c r="K86" s="40"/>
      <c r="L86" s="40"/>
      <c r="M86" s="38">
        <f t="shared" si="4"/>
        <v>0</v>
      </c>
      <c r="N86" s="41"/>
      <c r="O86" s="31"/>
      <c r="P86" s="31"/>
      <c r="Q86" s="79">
        <f t="shared" si="3"/>
        <v>0</v>
      </c>
    </row>
    <row r="87" spans="1:18" s="13" customFormat="1" ht="15.75" customHeight="1" x14ac:dyDescent="0.25">
      <c r="A87" s="10"/>
      <c r="B87" s="27" t="s">
        <v>60</v>
      </c>
      <c r="C87" s="1" t="s">
        <v>17</v>
      </c>
      <c r="D87" s="120"/>
      <c r="E87" s="3" t="s">
        <v>20</v>
      </c>
      <c r="F87" s="73" t="s">
        <v>364</v>
      </c>
      <c r="G87" s="74" t="s">
        <v>112</v>
      </c>
      <c r="H87" s="75">
        <v>6</v>
      </c>
      <c r="I87" s="76">
        <v>1</v>
      </c>
      <c r="J87" s="96">
        <f>1</f>
        <v>1</v>
      </c>
      <c r="K87" s="77">
        <f>634.93</f>
        <v>634.92999999999995</v>
      </c>
      <c r="L87" s="77"/>
      <c r="M87" s="78">
        <f t="shared" si="4"/>
        <v>634.92999999999995</v>
      </c>
      <c r="N87" s="100">
        <f>4+1</f>
        <v>5</v>
      </c>
      <c r="O87" s="81">
        <f>15124.53+2065.75</f>
        <v>17190.28</v>
      </c>
      <c r="P87" s="81"/>
      <c r="Q87" s="12">
        <f t="shared" si="3"/>
        <v>17190.28</v>
      </c>
      <c r="R87" s="141"/>
    </row>
    <row r="88" spans="1:18" s="13" customFormat="1" ht="15.75" customHeight="1" x14ac:dyDescent="0.25">
      <c r="A88" s="10"/>
      <c r="B88" s="25" t="s">
        <v>60</v>
      </c>
      <c r="C88" s="1" t="s">
        <v>17</v>
      </c>
      <c r="D88" s="120"/>
      <c r="E88" s="3" t="s">
        <v>20</v>
      </c>
      <c r="F88" s="73" t="s">
        <v>479</v>
      </c>
      <c r="G88" s="11" t="s">
        <v>114</v>
      </c>
      <c r="H88" s="1">
        <v>3</v>
      </c>
      <c r="I88" s="49"/>
      <c r="J88" s="51"/>
      <c r="K88" s="40"/>
      <c r="L88" s="40"/>
      <c r="M88" s="38">
        <f t="shared" si="4"/>
        <v>0</v>
      </c>
      <c r="N88" s="41">
        <v>7</v>
      </c>
      <c r="O88" s="31">
        <v>6259.4</v>
      </c>
      <c r="P88" s="31">
        <v>6259.4</v>
      </c>
      <c r="Q88" s="79">
        <f t="shared" si="3"/>
        <v>0</v>
      </c>
    </row>
    <row r="89" spans="1:18" s="13" customFormat="1" ht="15.75" customHeight="1" x14ac:dyDescent="0.25">
      <c r="A89" s="10"/>
      <c r="B89" s="25" t="s">
        <v>493</v>
      </c>
      <c r="C89" s="1" t="s">
        <v>17</v>
      </c>
      <c r="D89" s="120"/>
      <c r="E89" s="3" t="s">
        <v>20</v>
      </c>
      <c r="F89" s="73" t="s">
        <v>496</v>
      </c>
      <c r="G89" s="11" t="s">
        <v>112</v>
      </c>
      <c r="H89" s="1">
        <v>2</v>
      </c>
      <c r="I89" s="49"/>
      <c r="J89" s="51"/>
      <c r="K89" s="40"/>
      <c r="L89" s="40"/>
      <c r="M89" s="38"/>
      <c r="N89" s="41"/>
      <c r="O89" s="31"/>
      <c r="P89" s="31"/>
      <c r="Q89" s="79"/>
    </row>
    <row r="90" spans="1:18" s="15" customFormat="1" ht="15.75" customHeight="1" x14ac:dyDescent="0.25">
      <c r="A90" s="14"/>
      <c r="B90" s="28" t="s">
        <v>61</v>
      </c>
      <c r="C90" s="1" t="s">
        <v>17</v>
      </c>
      <c r="D90" s="120"/>
      <c r="E90" s="3" t="s">
        <v>20</v>
      </c>
      <c r="F90" s="73" t="s">
        <v>363</v>
      </c>
      <c r="G90" s="74" t="s">
        <v>112</v>
      </c>
      <c r="H90" s="75"/>
      <c r="I90" s="76"/>
      <c r="J90" s="96"/>
      <c r="K90" s="77"/>
      <c r="L90" s="77"/>
      <c r="M90" s="78">
        <f t="shared" si="4"/>
        <v>0</v>
      </c>
      <c r="N90" s="100"/>
      <c r="O90" s="81"/>
      <c r="P90" s="81"/>
      <c r="Q90" s="12">
        <f t="shared" si="3"/>
        <v>0</v>
      </c>
      <c r="R90" s="141"/>
    </row>
    <row r="91" spans="1:18" s="15" customFormat="1" ht="15.75" customHeight="1" x14ac:dyDescent="0.25">
      <c r="A91" s="14"/>
      <c r="B91" s="26" t="s">
        <v>61</v>
      </c>
      <c r="C91" s="1" t="s">
        <v>17</v>
      </c>
      <c r="D91" s="120"/>
      <c r="E91" s="3" t="s">
        <v>20</v>
      </c>
      <c r="F91" s="73" t="s">
        <v>121</v>
      </c>
      <c r="G91" s="11" t="s">
        <v>114</v>
      </c>
      <c r="H91" s="1"/>
      <c r="I91" s="49"/>
      <c r="J91" s="51"/>
      <c r="K91" s="40"/>
      <c r="L91" s="40"/>
      <c r="M91" s="38">
        <f t="shared" si="4"/>
        <v>0</v>
      </c>
      <c r="N91" s="42"/>
      <c r="O91" s="31"/>
      <c r="P91" s="31"/>
      <c r="Q91" s="79">
        <f t="shared" si="3"/>
        <v>0</v>
      </c>
    </row>
    <row r="92" spans="1:18" s="15" customFormat="1" ht="15.75" customHeight="1" x14ac:dyDescent="0.25">
      <c r="A92" s="14"/>
      <c r="B92" s="20" t="s">
        <v>306</v>
      </c>
      <c r="C92" s="1" t="s">
        <v>17</v>
      </c>
      <c r="D92" s="120"/>
      <c r="E92" s="3" t="s">
        <v>35</v>
      </c>
      <c r="F92" s="73" t="s">
        <v>365</v>
      </c>
      <c r="G92" s="11" t="s">
        <v>112</v>
      </c>
      <c r="H92" s="1">
        <v>18</v>
      </c>
      <c r="I92" s="58">
        <v>7</v>
      </c>
      <c r="J92" s="51">
        <f>1+2+1+3</f>
        <v>7</v>
      </c>
      <c r="K92" s="40">
        <f>1045.98+2658.7+35696.14+4892.46</f>
        <v>44293.279999999999</v>
      </c>
      <c r="L92" s="40"/>
      <c r="M92" s="78">
        <f t="shared" si="4"/>
        <v>44293.279999999999</v>
      </c>
      <c r="N92" s="39">
        <f>7+2+2+2</f>
        <v>13</v>
      </c>
      <c r="O92" s="31">
        <f>2313.84+6162.57+2330.32+1690.48</f>
        <v>12497.21</v>
      </c>
      <c r="P92" s="31">
        <f>2313.84</f>
        <v>2313.84</v>
      </c>
      <c r="Q92" s="12">
        <f t="shared" si="3"/>
        <v>10183.369999999999</v>
      </c>
      <c r="R92" s="141"/>
    </row>
    <row r="93" spans="1:18" s="13" customFormat="1" ht="15.75" customHeight="1" x14ac:dyDescent="0.25">
      <c r="A93" s="10"/>
      <c r="B93" s="22" t="s">
        <v>306</v>
      </c>
      <c r="C93" s="1" t="s">
        <v>17</v>
      </c>
      <c r="D93" s="120"/>
      <c r="E93" s="3" t="s">
        <v>27</v>
      </c>
      <c r="F93" s="73" t="s">
        <v>421</v>
      </c>
      <c r="G93" s="11" t="s">
        <v>117</v>
      </c>
      <c r="H93" s="1">
        <v>2</v>
      </c>
      <c r="I93" s="49"/>
      <c r="J93" s="46"/>
      <c r="K93" s="40"/>
      <c r="L93" s="40"/>
      <c r="M93" s="78">
        <f>K93-L93</f>
        <v>0</v>
      </c>
      <c r="N93" s="41"/>
      <c r="O93" s="40"/>
      <c r="P93" s="40"/>
      <c r="Q93" s="79">
        <f>O93-P93</f>
        <v>0</v>
      </c>
    </row>
    <row r="94" spans="1:18" s="13" customFormat="1" ht="15.75" customHeight="1" x14ac:dyDescent="0.25">
      <c r="A94" s="10"/>
      <c r="B94" s="27" t="s">
        <v>62</v>
      </c>
      <c r="C94" s="1" t="s">
        <v>17</v>
      </c>
      <c r="D94" s="120"/>
      <c r="E94" s="3" t="s">
        <v>35</v>
      </c>
      <c r="F94" s="73" t="s">
        <v>366</v>
      </c>
      <c r="G94" s="74" t="s">
        <v>112</v>
      </c>
      <c r="H94" s="75">
        <v>8</v>
      </c>
      <c r="I94" s="76">
        <v>7</v>
      </c>
      <c r="J94" s="96">
        <f>1+3+1</f>
        <v>5</v>
      </c>
      <c r="K94" s="77">
        <f>3613.4+1872.01</f>
        <v>5485.41</v>
      </c>
      <c r="L94" s="77"/>
      <c r="M94" s="38">
        <f t="shared" si="4"/>
        <v>5485.41</v>
      </c>
      <c r="N94" s="100">
        <f>6+2+1+2</f>
        <v>11</v>
      </c>
      <c r="O94" s="81">
        <f>19511.33+1270.93+3979.74+2500.85+8530.18</f>
        <v>35793.03</v>
      </c>
      <c r="P94" s="81"/>
      <c r="Q94" s="79">
        <f t="shared" si="3"/>
        <v>35793.03</v>
      </c>
      <c r="R94" s="141"/>
    </row>
    <row r="95" spans="1:18" s="13" customFormat="1" ht="15.75" customHeight="1" x14ac:dyDescent="0.25">
      <c r="A95" s="10"/>
      <c r="B95" s="25" t="s">
        <v>62</v>
      </c>
      <c r="C95" s="1" t="s">
        <v>17</v>
      </c>
      <c r="D95" s="120"/>
      <c r="E95" s="3" t="s">
        <v>35</v>
      </c>
      <c r="F95" s="73" t="s">
        <v>428</v>
      </c>
      <c r="G95" s="11" t="s">
        <v>117</v>
      </c>
      <c r="H95" s="1">
        <v>1</v>
      </c>
      <c r="I95" s="49"/>
      <c r="J95" s="46"/>
      <c r="K95" s="40"/>
      <c r="L95" s="40"/>
      <c r="M95" s="78">
        <f t="shared" si="4"/>
        <v>0</v>
      </c>
      <c r="N95" s="41">
        <v>8</v>
      </c>
      <c r="O95" s="31">
        <v>17217.2</v>
      </c>
      <c r="P95" s="31"/>
      <c r="Q95" s="12">
        <f t="shared" si="3"/>
        <v>17217.2</v>
      </c>
    </row>
    <row r="96" spans="1:18" s="13" customFormat="1" ht="15.75" customHeight="1" x14ac:dyDescent="0.25">
      <c r="A96" s="10"/>
      <c r="B96" s="25" t="s">
        <v>63</v>
      </c>
      <c r="C96" s="1" t="s">
        <v>64</v>
      </c>
      <c r="D96" s="120" t="s">
        <v>65</v>
      </c>
      <c r="E96" s="3" t="s">
        <v>20</v>
      </c>
      <c r="F96" s="73" t="s">
        <v>480</v>
      </c>
      <c r="G96" s="11" t="s">
        <v>114</v>
      </c>
      <c r="H96" s="1"/>
      <c r="I96" s="49"/>
      <c r="J96" s="51"/>
      <c r="K96" s="40"/>
      <c r="L96" s="40"/>
      <c r="M96" s="38">
        <f t="shared" si="4"/>
        <v>0</v>
      </c>
      <c r="N96" s="41"/>
      <c r="O96" s="31"/>
      <c r="P96" s="31"/>
      <c r="Q96" s="79">
        <f t="shared" si="3"/>
        <v>0</v>
      </c>
    </row>
    <row r="97" spans="1:19" s="13" customFormat="1" ht="15.75" customHeight="1" x14ac:dyDescent="0.25">
      <c r="A97" s="10"/>
      <c r="B97" s="27" t="s">
        <v>155</v>
      </c>
      <c r="C97" s="1" t="s">
        <v>17</v>
      </c>
      <c r="D97" s="120"/>
      <c r="E97" s="3" t="s">
        <v>20</v>
      </c>
      <c r="F97" s="73" t="s">
        <v>367</v>
      </c>
      <c r="G97" s="74" t="s">
        <v>112</v>
      </c>
      <c r="H97" s="75">
        <v>5</v>
      </c>
      <c r="I97" s="82">
        <v>1</v>
      </c>
      <c r="J97" s="96">
        <f>1</f>
        <v>1</v>
      </c>
      <c r="K97" s="77">
        <f>3117.56</f>
        <v>3117.56</v>
      </c>
      <c r="L97" s="77"/>
      <c r="M97" s="78">
        <f t="shared" si="4"/>
        <v>3117.56</v>
      </c>
      <c r="N97" s="100">
        <f>1+1+1</f>
        <v>3</v>
      </c>
      <c r="O97" s="81">
        <f>1798.06+2123.67</f>
        <v>3921.73</v>
      </c>
      <c r="P97" s="81"/>
      <c r="Q97" s="12">
        <f t="shared" si="3"/>
        <v>3921.73</v>
      </c>
      <c r="R97" s="141"/>
    </row>
    <row r="98" spans="1:19" s="13" customFormat="1" ht="15.75" customHeight="1" x14ac:dyDescent="0.25">
      <c r="A98" s="10"/>
      <c r="B98" s="25" t="s">
        <v>155</v>
      </c>
      <c r="C98" s="1" t="s">
        <v>17</v>
      </c>
      <c r="D98" s="120"/>
      <c r="E98" s="3" t="s">
        <v>20</v>
      </c>
      <c r="F98" s="73" t="s">
        <v>459</v>
      </c>
      <c r="G98" s="11" t="s">
        <v>114</v>
      </c>
      <c r="H98" s="1">
        <v>6</v>
      </c>
      <c r="I98" s="49"/>
      <c r="J98" s="51"/>
      <c r="K98" s="40"/>
      <c r="L98" s="40"/>
      <c r="M98" s="38">
        <f t="shared" si="4"/>
        <v>0</v>
      </c>
      <c r="N98" s="41">
        <v>13</v>
      </c>
      <c r="O98" s="31">
        <v>17392.43</v>
      </c>
      <c r="P98" s="31">
        <v>17392.43</v>
      </c>
      <c r="Q98" s="79">
        <f t="shared" si="3"/>
        <v>0</v>
      </c>
    </row>
    <row r="99" spans="1:19" s="13" customFormat="1" ht="15.75" customHeight="1" x14ac:dyDescent="0.25">
      <c r="A99" s="10"/>
      <c r="B99" s="30" t="s">
        <v>66</v>
      </c>
      <c r="C99" s="1" t="s">
        <v>17</v>
      </c>
      <c r="D99" s="120"/>
      <c r="E99" s="3" t="s">
        <v>21</v>
      </c>
      <c r="F99" s="73" t="s">
        <v>368</v>
      </c>
      <c r="G99" s="74" t="s">
        <v>112</v>
      </c>
      <c r="H99" s="75">
        <v>11</v>
      </c>
      <c r="I99" s="76">
        <v>5</v>
      </c>
      <c r="J99" s="96">
        <f>1+3+2</f>
        <v>6</v>
      </c>
      <c r="K99" s="77">
        <f>1045.98+4309.04+3820.12+1872.01+4253.49</f>
        <v>15300.64</v>
      </c>
      <c r="L99" s="77"/>
      <c r="M99" s="78">
        <f t="shared" si="4"/>
        <v>15300.64</v>
      </c>
      <c r="N99" s="100">
        <f>6+3+8+7+1+1+1</f>
        <v>27</v>
      </c>
      <c r="O99" s="81">
        <f>11911.17+23136+18060.17+1977.84+2091.97</f>
        <v>57177.149999999994</v>
      </c>
      <c r="P99" s="81">
        <f>1152.6</f>
        <v>1152.5999999999999</v>
      </c>
      <c r="Q99" s="12">
        <f t="shared" si="3"/>
        <v>56024.549999999996</v>
      </c>
      <c r="R99" s="141"/>
    </row>
    <row r="100" spans="1:19" s="13" customFormat="1" ht="15.75" customHeight="1" x14ac:dyDescent="0.25">
      <c r="A100" s="10"/>
      <c r="B100" s="24" t="s">
        <v>66</v>
      </c>
      <c r="C100" s="1" t="s">
        <v>17</v>
      </c>
      <c r="D100" s="120"/>
      <c r="E100" s="3" t="s">
        <v>21</v>
      </c>
      <c r="F100" s="73" t="s">
        <v>439</v>
      </c>
      <c r="G100" s="11" t="s">
        <v>118</v>
      </c>
      <c r="H100" s="1">
        <v>5</v>
      </c>
      <c r="I100" s="49"/>
      <c r="J100" s="46"/>
      <c r="K100" s="40"/>
      <c r="L100" s="40"/>
      <c r="M100" s="38">
        <f t="shared" si="4"/>
        <v>0</v>
      </c>
      <c r="N100" s="41">
        <v>12</v>
      </c>
      <c r="O100" s="31">
        <v>43819.69</v>
      </c>
      <c r="P100" s="31">
        <v>4471.3599999999997</v>
      </c>
      <c r="Q100" s="79">
        <f t="shared" si="3"/>
        <v>39348.33</v>
      </c>
    </row>
    <row r="101" spans="1:19" s="13" customFormat="1" ht="15.75" customHeight="1" x14ac:dyDescent="0.25">
      <c r="A101" s="10"/>
      <c r="B101" s="62" t="s">
        <v>137</v>
      </c>
      <c r="C101" s="1" t="s">
        <v>17</v>
      </c>
      <c r="D101" s="120"/>
      <c r="E101" s="17" t="s">
        <v>35</v>
      </c>
      <c r="F101" s="73" t="s">
        <v>369</v>
      </c>
      <c r="G101" s="74" t="s">
        <v>112</v>
      </c>
      <c r="H101" s="75">
        <v>11</v>
      </c>
      <c r="I101" s="76">
        <v>7</v>
      </c>
      <c r="J101" s="96">
        <f>3+3</f>
        <v>6</v>
      </c>
      <c r="K101" s="77">
        <f>504.26+845.24+3380.96</f>
        <v>4730.46</v>
      </c>
      <c r="L101" s="77"/>
      <c r="M101" s="78">
        <f t="shared" si="4"/>
        <v>4730.46</v>
      </c>
      <c r="N101" s="100">
        <f>5+1+1+2</f>
        <v>9</v>
      </c>
      <c r="O101" s="81">
        <f>2617.36+422.62+3852.18+3380.96</f>
        <v>10273.119999999999</v>
      </c>
      <c r="P101" s="81">
        <f>2617.36</f>
        <v>2617.36</v>
      </c>
      <c r="Q101" s="12">
        <f t="shared" si="3"/>
        <v>7655.7599999999984</v>
      </c>
      <c r="R101" s="141"/>
    </row>
    <row r="102" spans="1:19" s="13" customFormat="1" ht="15.75" customHeight="1" x14ac:dyDescent="0.25">
      <c r="A102" s="10"/>
      <c r="B102" s="22" t="s">
        <v>137</v>
      </c>
      <c r="C102" s="1" t="s">
        <v>17</v>
      </c>
      <c r="D102" s="120"/>
      <c r="E102" s="17" t="s">
        <v>35</v>
      </c>
      <c r="F102" s="73" t="s">
        <v>429</v>
      </c>
      <c r="G102" s="11" t="s">
        <v>117</v>
      </c>
      <c r="H102" s="1">
        <v>1</v>
      </c>
      <c r="I102" s="49"/>
      <c r="J102" s="51"/>
      <c r="K102" s="37"/>
      <c r="L102" s="37"/>
      <c r="M102" s="78">
        <f t="shared" si="4"/>
        <v>0</v>
      </c>
      <c r="N102" s="39">
        <v>1</v>
      </c>
      <c r="O102" s="31">
        <v>7299.8</v>
      </c>
      <c r="P102" s="31"/>
      <c r="Q102" s="79">
        <f t="shared" si="3"/>
        <v>7299.8</v>
      </c>
    </row>
    <row r="103" spans="1:19" s="13" customFormat="1" ht="15.75" customHeight="1" x14ac:dyDescent="0.25">
      <c r="A103" s="10"/>
      <c r="B103" s="30" t="s">
        <v>67</v>
      </c>
      <c r="C103" s="1" t="s">
        <v>17</v>
      </c>
      <c r="D103" s="120"/>
      <c r="E103" s="17" t="s">
        <v>21</v>
      </c>
      <c r="F103" s="73" t="s">
        <v>370</v>
      </c>
      <c r="G103" s="74" t="s">
        <v>112</v>
      </c>
      <c r="H103" s="75">
        <v>12</v>
      </c>
      <c r="I103" s="76">
        <v>3</v>
      </c>
      <c r="J103" s="96">
        <f>2+1+1</f>
        <v>4</v>
      </c>
      <c r="K103" s="77">
        <f>3319.85+1198.9</f>
        <v>4518.75</v>
      </c>
      <c r="L103" s="77"/>
      <c r="M103" s="38">
        <f t="shared" si="4"/>
        <v>4518.75</v>
      </c>
      <c r="N103" s="100">
        <f>4+9+4+4+1</f>
        <v>22</v>
      </c>
      <c r="O103" s="81">
        <f>29696.65+38129.03+13567.9+20687.05+2022.79</f>
        <v>104103.41999999998</v>
      </c>
      <c r="P103" s="81">
        <f>34696.65</f>
        <v>34696.65</v>
      </c>
      <c r="Q103" s="12">
        <f t="shared" si="3"/>
        <v>69406.76999999999</v>
      </c>
      <c r="R103" s="141"/>
    </row>
    <row r="104" spans="1:19" s="13" customFormat="1" ht="15.75" customHeight="1" x14ac:dyDescent="0.25">
      <c r="A104" s="10"/>
      <c r="B104" s="24" t="s">
        <v>67</v>
      </c>
      <c r="C104" s="1" t="s">
        <v>17</v>
      </c>
      <c r="D104" s="120"/>
      <c r="E104" s="17" t="s">
        <v>21</v>
      </c>
      <c r="F104" s="73" t="s">
        <v>440</v>
      </c>
      <c r="G104" s="11" t="s">
        <v>118</v>
      </c>
      <c r="H104" s="1">
        <v>6</v>
      </c>
      <c r="I104" s="49"/>
      <c r="J104" s="46"/>
      <c r="K104" s="40"/>
      <c r="L104" s="40"/>
      <c r="M104" s="78">
        <f t="shared" si="4"/>
        <v>0</v>
      </c>
      <c r="N104" s="41">
        <v>8</v>
      </c>
      <c r="O104" s="31">
        <v>31078.83</v>
      </c>
      <c r="P104" s="31">
        <v>4866.6000000000004</v>
      </c>
      <c r="Q104" s="79">
        <f t="shared" si="3"/>
        <v>26212.230000000003</v>
      </c>
    </row>
    <row r="105" spans="1:19" s="13" customFormat="1" ht="15.75" customHeight="1" x14ac:dyDescent="0.25">
      <c r="A105" s="10"/>
      <c r="B105" s="30" t="s">
        <v>68</v>
      </c>
      <c r="C105" s="1" t="s">
        <v>17</v>
      </c>
      <c r="D105" s="120"/>
      <c r="E105" s="17" t="s">
        <v>32</v>
      </c>
      <c r="F105" s="73" t="s">
        <v>371</v>
      </c>
      <c r="G105" s="74" t="s">
        <v>112</v>
      </c>
      <c r="H105" s="75">
        <v>10</v>
      </c>
      <c r="I105" s="76">
        <v>5</v>
      </c>
      <c r="J105" s="96">
        <f>2+1+2</f>
        <v>5</v>
      </c>
      <c r="K105" s="77">
        <f>1128.59+422.62+1152.6</f>
        <v>2703.81</v>
      </c>
      <c r="L105" s="77"/>
      <c r="M105" s="38">
        <f t="shared" si="4"/>
        <v>2703.81</v>
      </c>
      <c r="N105" s="100">
        <f>6+5+1+4</f>
        <v>16</v>
      </c>
      <c r="O105" s="81">
        <f>7813.73+8523.5+1452.28+12582.19</f>
        <v>30371.699999999997</v>
      </c>
      <c r="P105" s="81">
        <f>7813.73</f>
        <v>7813.73</v>
      </c>
      <c r="Q105" s="12">
        <f t="shared" si="3"/>
        <v>22557.969999999998</v>
      </c>
      <c r="R105" s="141"/>
    </row>
    <row r="106" spans="1:19" s="13" customFormat="1" ht="15.75" customHeight="1" x14ac:dyDescent="0.25">
      <c r="A106" s="10"/>
      <c r="B106" s="24" t="s">
        <v>68</v>
      </c>
      <c r="C106" s="1" t="s">
        <v>17</v>
      </c>
      <c r="D106" s="120"/>
      <c r="E106" s="17" t="s">
        <v>32</v>
      </c>
      <c r="F106" s="73" t="s">
        <v>430</v>
      </c>
      <c r="G106" s="8" t="s">
        <v>117</v>
      </c>
      <c r="H106" s="1">
        <v>1</v>
      </c>
      <c r="I106" s="49"/>
      <c r="J106" s="46"/>
      <c r="K106" s="40"/>
      <c r="L106" s="40"/>
      <c r="M106" s="78">
        <f t="shared" si="4"/>
        <v>0</v>
      </c>
      <c r="N106" s="41"/>
      <c r="O106" s="40"/>
      <c r="P106" s="40"/>
      <c r="Q106" s="79">
        <f t="shared" si="3"/>
        <v>0</v>
      </c>
    </row>
    <row r="107" spans="1:19" s="15" customFormat="1" ht="15.75" customHeight="1" x14ac:dyDescent="0.25">
      <c r="A107" s="14"/>
      <c r="B107" s="28" t="s">
        <v>69</v>
      </c>
      <c r="C107" s="1" t="s">
        <v>17</v>
      </c>
      <c r="D107" s="120"/>
      <c r="E107" s="3" t="s">
        <v>20</v>
      </c>
      <c r="F107" s="73" t="s">
        <v>372</v>
      </c>
      <c r="G107" s="74" t="s">
        <v>112</v>
      </c>
      <c r="H107" s="75">
        <v>4</v>
      </c>
      <c r="I107" s="76"/>
      <c r="J107" s="96"/>
      <c r="K107" s="77"/>
      <c r="L107" s="77"/>
      <c r="M107" s="38">
        <f t="shared" si="4"/>
        <v>0</v>
      </c>
      <c r="N107" s="100">
        <f>3+2+1</f>
        <v>6</v>
      </c>
      <c r="O107" s="77">
        <f>7210.31+3647.96+1306.28</f>
        <v>12164.550000000001</v>
      </c>
      <c r="P107" s="77">
        <f>7201.31</f>
        <v>7201.31</v>
      </c>
      <c r="Q107" s="12">
        <f t="shared" si="3"/>
        <v>4963.2400000000007</v>
      </c>
      <c r="R107" s="141"/>
    </row>
    <row r="108" spans="1:19" s="13" customFormat="1" ht="15.75" customHeight="1" x14ac:dyDescent="0.25">
      <c r="A108" s="10"/>
      <c r="B108" s="62" t="s">
        <v>70</v>
      </c>
      <c r="C108" s="1" t="s">
        <v>17</v>
      </c>
      <c r="D108" s="120"/>
      <c r="E108" s="3" t="s">
        <v>20</v>
      </c>
      <c r="F108" s="73" t="s">
        <v>373</v>
      </c>
      <c r="G108" s="74" t="s">
        <v>112</v>
      </c>
      <c r="H108" s="75">
        <v>6</v>
      </c>
      <c r="I108" s="76">
        <v>2</v>
      </c>
      <c r="J108" s="96">
        <f>2</f>
        <v>2</v>
      </c>
      <c r="K108" s="77">
        <f>1959.42</f>
        <v>1959.42</v>
      </c>
      <c r="L108" s="77"/>
      <c r="M108" s="78">
        <f t="shared" si="4"/>
        <v>1959.42</v>
      </c>
      <c r="N108" s="100">
        <f>2+3+4</f>
        <v>9</v>
      </c>
      <c r="O108" s="81">
        <v>7606.2</v>
      </c>
      <c r="P108" s="81">
        <f>3534.95</f>
        <v>3534.95</v>
      </c>
      <c r="Q108" s="79">
        <f t="shared" si="3"/>
        <v>4071.25</v>
      </c>
      <c r="R108" s="141"/>
    </row>
    <row r="109" spans="1:19" s="13" customFormat="1" ht="15.75" customHeight="1" x14ac:dyDescent="0.25">
      <c r="A109" s="10"/>
      <c r="B109" s="22" t="s">
        <v>70</v>
      </c>
      <c r="C109" s="1" t="s">
        <v>17</v>
      </c>
      <c r="D109" s="120"/>
      <c r="E109" s="3" t="s">
        <v>20</v>
      </c>
      <c r="F109" s="73" t="s">
        <v>460</v>
      </c>
      <c r="G109" s="11" t="s">
        <v>114</v>
      </c>
      <c r="H109" s="1">
        <v>12</v>
      </c>
      <c r="I109" s="49"/>
      <c r="J109" s="51"/>
      <c r="K109" s="40"/>
      <c r="L109" s="40"/>
      <c r="M109" s="38">
        <f t="shared" si="4"/>
        <v>0</v>
      </c>
      <c r="N109" s="41">
        <v>23</v>
      </c>
      <c r="O109" s="31">
        <v>36457.769999999997</v>
      </c>
      <c r="P109" s="31">
        <v>29350.07</v>
      </c>
      <c r="Q109" s="12">
        <f t="shared" si="3"/>
        <v>7107.6999999999971</v>
      </c>
    </row>
    <row r="110" spans="1:19" s="15" customFormat="1" ht="15.75" customHeight="1" x14ac:dyDescent="0.25">
      <c r="A110" s="14"/>
      <c r="B110" s="80" t="s">
        <v>71</v>
      </c>
      <c r="C110" s="1" t="s">
        <v>17</v>
      </c>
      <c r="D110" s="120"/>
      <c r="E110" s="3" t="s">
        <v>32</v>
      </c>
      <c r="F110" s="73" t="s">
        <v>374</v>
      </c>
      <c r="G110" s="74" t="s">
        <v>112</v>
      </c>
      <c r="H110" s="75">
        <v>10</v>
      </c>
      <c r="I110" s="76">
        <v>6</v>
      </c>
      <c r="J110" s="96">
        <f>3+1+2</f>
        <v>6</v>
      </c>
      <c r="K110" s="77">
        <f>1536.8+461.04+1748.88</f>
        <v>3746.7200000000003</v>
      </c>
      <c r="L110" s="77"/>
      <c r="M110" s="78">
        <f t="shared" si="4"/>
        <v>3746.7200000000003</v>
      </c>
      <c r="N110" s="100">
        <f>3+2+1</f>
        <v>6</v>
      </c>
      <c r="O110" s="81">
        <f>9567.93+3616.67+403.41</f>
        <v>13588.01</v>
      </c>
      <c r="P110" s="81">
        <f>9567.93</f>
        <v>9567.93</v>
      </c>
      <c r="Q110" s="79">
        <f t="shared" si="3"/>
        <v>4020.08</v>
      </c>
      <c r="R110" s="141"/>
      <c r="S110" s="36"/>
    </row>
    <row r="111" spans="1:19" s="15" customFormat="1" ht="15.75" customHeight="1" x14ac:dyDescent="0.25">
      <c r="A111" s="14"/>
      <c r="B111" s="23" t="s">
        <v>71</v>
      </c>
      <c r="C111" s="1" t="s">
        <v>17</v>
      </c>
      <c r="D111" s="120"/>
      <c r="E111" s="3" t="s">
        <v>32</v>
      </c>
      <c r="F111" s="73" t="s">
        <v>431</v>
      </c>
      <c r="G111" s="11" t="s">
        <v>115</v>
      </c>
      <c r="H111" s="1">
        <v>5</v>
      </c>
      <c r="I111" s="48">
        <v>2</v>
      </c>
      <c r="J111" s="45">
        <v>2</v>
      </c>
      <c r="K111" s="40">
        <v>3842</v>
      </c>
      <c r="L111" s="40"/>
      <c r="M111" s="38">
        <f t="shared" si="4"/>
        <v>3842</v>
      </c>
      <c r="N111" s="39">
        <f>5</f>
        <v>5</v>
      </c>
      <c r="O111" s="40">
        <v>6595.5</v>
      </c>
      <c r="P111" s="40">
        <v>2945.6</v>
      </c>
      <c r="Q111" s="12">
        <f t="shared" si="3"/>
        <v>3649.9</v>
      </c>
    </row>
    <row r="112" spans="1:19" s="13" customFormat="1" ht="15.75" customHeight="1" x14ac:dyDescent="0.25">
      <c r="A112" s="10"/>
      <c r="B112" s="62" t="s">
        <v>319</v>
      </c>
      <c r="C112" s="1" t="s">
        <v>17</v>
      </c>
      <c r="D112" s="120"/>
      <c r="E112" s="3" t="s">
        <v>20</v>
      </c>
      <c r="F112" s="73" t="s">
        <v>375</v>
      </c>
      <c r="G112" s="74" t="s">
        <v>112</v>
      </c>
      <c r="H112" s="75">
        <v>13</v>
      </c>
      <c r="I112" s="76">
        <v>8</v>
      </c>
      <c r="J112" s="96">
        <f>2+1+4+3</f>
        <v>10</v>
      </c>
      <c r="K112" s="77">
        <f>710.77+1523.35+6753.23+7215.52</f>
        <v>16202.869999999999</v>
      </c>
      <c r="L112" s="77"/>
      <c r="M112" s="78">
        <f>K112-L112</f>
        <v>16202.869999999999</v>
      </c>
      <c r="N112" s="100">
        <f>3+1+2+1</f>
        <v>7</v>
      </c>
      <c r="O112" s="77">
        <f>13419.94+726.71+2846.77+3770.56</f>
        <v>20763.980000000003</v>
      </c>
      <c r="P112" s="77">
        <f>13419.94</f>
        <v>13419.94</v>
      </c>
      <c r="Q112" s="79">
        <f>O112-P112</f>
        <v>7344.0400000000027</v>
      </c>
      <c r="R112" s="141"/>
    </row>
    <row r="113" spans="1:18" s="15" customFormat="1" ht="15.75" customHeight="1" x14ac:dyDescent="0.25">
      <c r="A113" s="14"/>
      <c r="B113" s="62" t="s">
        <v>150</v>
      </c>
      <c r="C113" s="1" t="s">
        <v>17</v>
      </c>
      <c r="D113" s="120"/>
      <c r="E113" s="3" t="s">
        <v>35</v>
      </c>
      <c r="F113" s="73" t="s">
        <v>376</v>
      </c>
      <c r="G113" s="74" t="s">
        <v>112</v>
      </c>
      <c r="H113" s="75">
        <v>9</v>
      </c>
      <c r="I113" s="76">
        <v>2</v>
      </c>
      <c r="J113" s="97">
        <f>1+1</f>
        <v>2</v>
      </c>
      <c r="K113" s="77">
        <f>1343.65+384.2</f>
        <v>1727.8500000000001</v>
      </c>
      <c r="L113" s="77"/>
      <c r="M113" s="78">
        <f t="shared" si="4"/>
        <v>1727.8500000000001</v>
      </c>
      <c r="N113" s="114">
        <f>8+1+1+2</f>
        <v>12</v>
      </c>
      <c r="O113" s="77">
        <f>5997.32+3719.39+3054.34+13138.17</f>
        <v>25909.22</v>
      </c>
      <c r="P113" s="81">
        <f>3885.22</f>
        <v>3885.22</v>
      </c>
      <c r="Q113" s="79">
        <f t="shared" si="3"/>
        <v>22024</v>
      </c>
      <c r="R113" s="141"/>
    </row>
    <row r="114" spans="1:18" s="15" customFormat="1" ht="15.75" customHeight="1" x14ac:dyDescent="0.25">
      <c r="A114" s="14"/>
      <c r="B114" s="50" t="s">
        <v>150</v>
      </c>
      <c r="C114" s="1" t="s">
        <v>17</v>
      </c>
      <c r="D114" s="120"/>
      <c r="E114" s="3" t="s">
        <v>32</v>
      </c>
      <c r="F114" s="73" t="s">
        <v>487</v>
      </c>
      <c r="G114" s="11" t="s">
        <v>117</v>
      </c>
      <c r="H114" s="1"/>
      <c r="I114" s="48"/>
      <c r="J114" s="45"/>
      <c r="K114" s="40"/>
      <c r="L114" s="37"/>
      <c r="M114" s="38">
        <f t="shared" si="4"/>
        <v>0</v>
      </c>
      <c r="N114" s="42">
        <v>1</v>
      </c>
      <c r="O114" s="40">
        <v>4226.2</v>
      </c>
      <c r="P114" s="40"/>
      <c r="Q114" s="12">
        <f t="shared" si="3"/>
        <v>4226.2</v>
      </c>
    </row>
    <row r="115" spans="1:18" s="13" customFormat="1" ht="15.75" customHeight="1" x14ac:dyDescent="0.25">
      <c r="A115" s="10"/>
      <c r="B115" s="30" t="s">
        <v>72</v>
      </c>
      <c r="C115" s="1" t="s">
        <v>17</v>
      </c>
      <c r="D115" s="120"/>
      <c r="E115" s="3" t="s">
        <v>21</v>
      </c>
      <c r="F115" s="73" t="s">
        <v>377</v>
      </c>
      <c r="G115" s="74" t="s">
        <v>112</v>
      </c>
      <c r="H115" s="75">
        <v>11</v>
      </c>
      <c r="I115" s="76">
        <v>2</v>
      </c>
      <c r="J115" s="96">
        <f>1+1+1</f>
        <v>3</v>
      </c>
      <c r="K115" s="77">
        <f>633.93+1415.78+1610.18</f>
        <v>3659.8900000000003</v>
      </c>
      <c r="L115" s="77"/>
      <c r="M115" s="78">
        <f t="shared" si="4"/>
        <v>3659.8900000000003</v>
      </c>
      <c r="N115" s="100">
        <f>1+3+1+1+1</f>
        <v>7</v>
      </c>
      <c r="O115" s="81">
        <f>1950.74+10237.13+6595.95+3861.21+1348.53</f>
        <v>23993.559999999998</v>
      </c>
      <c r="P115" s="81">
        <f>1951.74</f>
        <v>1951.74</v>
      </c>
      <c r="Q115" s="79">
        <f t="shared" si="3"/>
        <v>22041.819999999996</v>
      </c>
      <c r="R115" s="141"/>
    </row>
    <row r="116" spans="1:18" s="13" customFormat="1" ht="15.75" customHeight="1" x14ac:dyDescent="0.25">
      <c r="A116" s="10"/>
      <c r="B116" s="24" t="s">
        <v>72</v>
      </c>
      <c r="C116" s="1" t="s">
        <v>17</v>
      </c>
      <c r="D116" s="120"/>
      <c r="E116" s="3" t="s">
        <v>21</v>
      </c>
      <c r="F116" s="73" t="s">
        <v>441</v>
      </c>
      <c r="G116" s="11" t="s">
        <v>118</v>
      </c>
      <c r="H116" s="1">
        <v>5</v>
      </c>
      <c r="I116" s="49"/>
      <c r="J116" s="46"/>
      <c r="K116" s="40"/>
      <c r="L116" s="40"/>
      <c r="M116" s="38">
        <f t="shared" si="4"/>
        <v>0</v>
      </c>
      <c r="N116" s="41">
        <v>12</v>
      </c>
      <c r="O116" s="31">
        <v>35203.03</v>
      </c>
      <c r="P116" s="31">
        <v>2328.87</v>
      </c>
      <c r="Q116" s="12">
        <f t="shared" si="3"/>
        <v>32874.159999999996</v>
      </c>
    </row>
    <row r="117" spans="1:18" s="15" customFormat="1" ht="15.75" customHeight="1" x14ac:dyDescent="0.25">
      <c r="A117" s="14"/>
      <c r="B117" s="84" t="s">
        <v>73</v>
      </c>
      <c r="C117" s="1" t="s">
        <v>17</v>
      </c>
      <c r="D117" s="120"/>
      <c r="E117" s="3" t="s">
        <v>74</v>
      </c>
      <c r="F117" s="73" t="s">
        <v>378</v>
      </c>
      <c r="G117" s="74" t="s">
        <v>112</v>
      </c>
      <c r="H117" s="75">
        <v>16</v>
      </c>
      <c r="I117" s="76">
        <v>9</v>
      </c>
      <c r="J117" s="96">
        <f>9</f>
        <v>9</v>
      </c>
      <c r="K117" s="77">
        <f>6305.33</f>
        <v>6305.33</v>
      </c>
      <c r="L117" s="77"/>
      <c r="M117" s="78">
        <f t="shared" si="4"/>
        <v>6305.33</v>
      </c>
      <c r="N117" s="100">
        <f>5+3</f>
        <v>8</v>
      </c>
      <c r="O117" s="81">
        <f>5416.39+9506.99</f>
        <v>14923.380000000001</v>
      </c>
      <c r="P117" s="81"/>
      <c r="Q117" s="79">
        <f t="shared" si="3"/>
        <v>14923.380000000001</v>
      </c>
      <c r="R117" s="141"/>
    </row>
    <row r="118" spans="1:18" s="15" customFormat="1" ht="15.75" customHeight="1" x14ac:dyDescent="0.25">
      <c r="A118" s="14"/>
      <c r="B118" s="29" t="s">
        <v>73</v>
      </c>
      <c r="C118" s="1" t="s">
        <v>17</v>
      </c>
      <c r="D118" s="120"/>
      <c r="E118" s="3" t="s">
        <v>74</v>
      </c>
      <c r="F118" s="73" t="s">
        <v>282</v>
      </c>
      <c r="G118" s="11" t="s">
        <v>114</v>
      </c>
      <c r="H118" s="1"/>
      <c r="I118" s="49"/>
      <c r="J118" s="51"/>
      <c r="K118" s="40"/>
      <c r="L118" s="40"/>
      <c r="M118" s="38">
        <f t="shared" si="4"/>
        <v>0</v>
      </c>
      <c r="N118" s="42">
        <v>1</v>
      </c>
      <c r="O118" s="31"/>
      <c r="P118" s="31"/>
      <c r="Q118" s="12">
        <f t="shared" si="3"/>
        <v>0</v>
      </c>
    </row>
    <row r="119" spans="1:18" s="13" customFormat="1" ht="15.75" customHeight="1" x14ac:dyDescent="0.25">
      <c r="A119" s="10"/>
      <c r="B119" s="30" t="s">
        <v>135</v>
      </c>
      <c r="C119" s="1" t="s">
        <v>17</v>
      </c>
      <c r="D119" s="120"/>
      <c r="E119" s="17" t="s">
        <v>35</v>
      </c>
      <c r="F119" s="73" t="s">
        <v>379</v>
      </c>
      <c r="G119" s="74" t="s">
        <v>112</v>
      </c>
      <c r="H119" s="75">
        <v>11</v>
      </c>
      <c r="I119" s="76">
        <v>6</v>
      </c>
      <c r="J119" s="96">
        <f>1+6</f>
        <v>7</v>
      </c>
      <c r="K119" s="77">
        <f>697.32+4374.12</f>
        <v>5071.4399999999996</v>
      </c>
      <c r="L119" s="77"/>
      <c r="M119" s="38">
        <f t="shared" si="4"/>
        <v>5071.4399999999996</v>
      </c>
      <c r="N119" s="100">
        <f>2+5+1+2+2</f>
        <v>12</v>
      </c>
      <c r="O119" s="81">
        <f>6432.89+2283.68</f>
        <v>8716.57</v>
      </c>
      <c r="P119" s="81"/>
      <c r="Q119" s="12">
        <f t="shared" si="3"/>
        <v>8716.57</v>
      </c>
      <c r="R119" s="141"/>
    </row>
    <row r="120" spans="1:18" s="13" customFormat="1" ht="15.75" customHeight="1" x14ac:dyDescent="0.25">
      <c r="A120" s="10"/>
      <c r="B120" s="24" t="s">
        <v>135</v>
      </c>
      <c r="C120" s="1" t="s">
        <v>17</v>
      </c>
      <c r="D120" s="120"/>
      <c r="E120" s="17" t="s">
        <v>35</v>
      </c>
      <c r="F120" s="73" t="s">
        <v>432</v>
      </c>
      <c r="G120" s="11" t="s">
        <v>115</v>
      </c>
      <c r="H120" s="1"/>
      <c r="I120" s="49"/>
      <c r="J120" s="46"/>
      <c r="K120" s="40"/>
      <c r="L120" s="40"/>
      <c r="M120" s="78">
        <f t="shared" si="4"/>
        <v>0</v>
      </c>
      <c r="N120" s="41">
        <v>1</v>
      </c>
      <c r="O120" s="31"/>
      <c r="P120" s="31"/>
      <c r="Q120" s="79">
        <f t="shared" si="3"/>
        <v>0</v>
      </c>
    </row>
    <row r="121" spans="1:18" s="13" customFormat="1" ht="15.75" customHeight="1" x14ac:dyDescent="0.25">
      <c r="A121" s="10"/>
      <c r="B121" s="30" t="s">
        <v>145</v>
      </c>
      <c r="C121" s="1" t="s">
        <v>17</v>
      </c>
      <c r="D121" s="120"/>
      <c r="E121" s="17" t="s">
        <v>20</v>
      </c>
      <c r="F121" s="73" t="s">
        <v>380</v>
      </c>
      <c r="G121" s="74" t="s">
        <v>112</v>
      </c>
      <c r="H121" s="75">
        <v>3</v>
      </c>
      <c r="I121" s="82">
        <v>1</v>
      </c>
      <c r="J121" s="96">
        <f>2</f>
        <v>2</v>
      </c>
      <c r="K121" s="77">
        <f>5169.72+1100</f>
        <v>6269.72</v>
      </c>
      <c r="L121" s="77"/>
      <c r="M121" s="38">
        <f t="shared" si="4"/>
        <v>6269.72</v>
      </c>
      <c r="N121" s="100">
        <f>1+1+2+1</f>
        <v>5</v>
      </c>
      <c r="O121" s="81">
        <f>5120.23+3915.15+1114.12</f>
        <v>10149.5</v>
      </c>
      <c r="P121" s="81">
        <f>5120.23</f>
        <v>5120.2299999999996</v>
      </c>
      <c r="Q121" s="12">
        <f t="shared" si="3"/>
        <v>5029.2700000000004</v>
      </c>
      <c r="R121" s="141"/>
    </row>
    <row r="122" spans="1:18" s="13" customFormat="1" ht="15.75" customHeight="1" x14ac:dyDescent="0.25">
      <c r="A122" s="10"/>
      <c r="B122" s="24" t="s">
        <v>145</v>
      </c>
      <c r="C122" s="1" t="s">
        <v>17</v>
      </c>
      <c r="D122" s="120"/>
      <c r="E122" s="17" t="s">
        <v>20</v>
      </c>
      <c r="F122" s="73" t="s">
        <v>461</v>
      </c>
      <c r="G122" s="11" t="s">
        <v>114</v>
      </c>
      <c r="H122" s="1"/>
      <c r="I122" s="49"/>
      <c r="J122" s="51"/>
      <c r="K122" s="40"/>
      <c r="L122" s="40"/>
      <c r="M122" s="78">
        <f t="shared" si="4"/>
        <v>0</v>
      </c>
      <c r="N122" s="41">
        <v>9</v>
      </c>
      <c r="O122" s="31">
        <v>19379.400000000001</v>
      </c>
      <c r="P122" s="31">
        <v>13232.2</v>
      </c>
      <c r="Q122" s="79">
        <f t="shared" si="3"/>
        <v>6147.2000000000007</v>
      </c>
    </row>
    <row r="123" spans="1:18" s="13" customFormat="1" ht="15.75" customHeight="1" x14ac:dyDescent="0.25">
      <c r="A123" s="10"/>
      <c r="B123" s="62" t="s">
        <v>76</v>
      </c>
      <c r="C123" s="1" t="s">
        <v>17</v>
      </c>
      <c r="D123" s="120"/>
      <c r="E123" s="3" t="s">
        <v>20</v>
      </c>
      <c r="F123" s="73" t="s">
        <v>381</v>
      </c>
      <c r="G123" s="74" t="s">
        <v>112</v>
      </c>
      <c r="H123" s="75">
        <v>17</v>
      </c>
      <c r="I123" s="76">
        <v>10</v>
      </c>
      <c r="J123" s="96">
        <f>1+6+3+1</f>
        <v>11</v>
      </c>
      <c r="K123" s="77">
        <f>6556.06+2806.39+2697.06+1267.86</f>
        <v>13327.37</v>
      </c>
      <c r="L123" s="77"/>
      <c r="M123" s="38">
        <f t="shared" si="4"/>
        <v>13327.37</v>
      </c>
      <c r="N123" s="100">
        <f>5+6+2</f>
        <v>13</v>
      </c>
      <c r="O123" s="81">
        <f>11527.9+19846.52+1011.91+9641+2451.87</f>
        <v>44479.200000000004</v>
      </c>
      <c r="P123" s="81"/>
      <c r="Q123" s="12">
        <f t="shared" si="3"/>
        <v>44479.200000000004</v>
      </c>
      <c r="R123" s="141"/>
    </row>
    <row r="124" spans="1:18" s="13" customFormat="1" ht="15.75" customHeight="1" x14ac:dyDescent="0.25">
      <c r="A124" s="10"/>
      <c r="B124" s="22" t="s">
        <v>76</v>
      </c>
      <c r="C124" s="1" t="s">
        <v>17</v>
      </c>
      <c r="D124" s="120"/>
      <c r="E124" s="3" t="s">
        <v>20</v>
      </c>
      <c r="F124" s="73" t="s">
        <v>462</v>
      </c>
      <c r="G124" s="11" t="s">
        <v>114</v>
      </c>
      <c r="H124" s="1">
        <v>6</v>
      </c>
      <c r="I124" s="49"/>
      <c r="J124" s="51"/>
      <c r="K124" s="40"/>
      <c r="L124" s="40"/>
      <c r="M124" s="78">
        <f t="shared" si="4"/>
        <v>0</v>
      </c>
      <c r="N124" s="41">
        <v>7</v>
      </c>
      <c r="O124" s="31">
        <v>17927.759999999998</v>
      </c>
      <c r="P124" s="31">
        <v>8706.9599999999991</v>
      </c>
      <c r="Q124" s="79">
        <f t="shared" si="3"/>
        <v>9220.7999999999993</v>
      </c>
    </row>
    <row r="125" spans="1:18" s="13" customFormat="1" ht="15.75" customHeight="1" x14ac:dyDescent="0.25">
      <c r="A125" s="10"/>
      <c r="B125" s="30" t="s">
        <v>77</v>
      </c>
      <c r="C125" s="1" t="s">
        <v>17</v>
      </c>
      <c r="D125" s="120"/>
      <c r="E125" s="3" t="s">
        <v>32</v>
      </c>
      <c r="F125" s="73" t="s">
        <v>388</v>
      </c>
      <c r="G125" s="74" t="s">
        <v>112</v>
      </c>
      <c r="H125" s="75">
        <v>8</v>
      </c>
      <c r="I125" s="76">
        <v>4</v>
      </c>
      <c r="J125" s="96">
        <f>2+2</f>
        <v>4</v>
      </c>
      <c r="K125" s="77">
        <f>2440.63+1507.02</f>
        <v>3947.65</v>
      </c>
      <c r="L125" s="77"/>
      <c r="M125" s="38">
        <f t="shared" si="4"/>
        <v>3947.65</v>
      </c>
      <c r="N125" s="100">
        <f>5+2+3+3+1</f>
        <v>14</v>
      </c>
      <c r="O125" s="81">
        <f>11716.73+6848.82+4046.18+11166.34+8845.95</f>
        <v>42624.020000000004</v>
      </c>
      <c r="P125" s="81">
        <f>11716.73</f>
        <v>11716.73</v>
      </c>
      <c r="Q125" s="12">
        <f t="shared" si="3"/>
        <v>30907.290000000005</v>
      </c>
      <c r="R125" s="141"/>
    </row>
    <row r="126" spans="1:18" s="13" customFormat="1" ht="15.75" customHeight="1" x14ac:dyDescent="0.25">
      <c r="A126" s="10"/>
      <c r="B126" s="24" t="s">
        <v>77</v>
      </c>
      <c r="C126" s="1" t="s">
        <v>17</v>
      </c>
      <c r="D126" s="120"/>
      <c r="E126" s="3" t="s">
        <v>32</v>
      </c>
      <c r="F126" s="73" t="s">
        <v>433</v>
      </c>
      <c r="G126" s="11" t="s">
        <v>117</v>
      </c>
      <c r="H126" s="1">
        <v>1</v>
      </c>
      <c r="I126" s="49"/>
      <c r="J126" s="46"/>
      <c r="K126" s="40"/>
      <c r="L126" s="40"/>
      <c r="M126" s="78">
        <f t="shared" si="4"/>
        <v>0</v>
      </c>
      <c r="N126" s="41">
        <v>5</v>
      </c>
      <c r="O126" s="31">
        <v>15666.81</v>
      </c>
      <c r="P126" s="31">
        <v>11248.51</v>
      </c>
      <c r="Q126" s="79">
        <f t="shared" si="3"/>
        <v>4418.2999999999993</v>
      </c>
    </row>
    <row r="127" spans="1:18" s="13" customFormat="1" ht="15.75" customHeight="1" x14ac:dyDescent="0.25">
      <c r="A127" s="10"/>
      <c r="B127" s="24" t="s">
        <v>321</v>
      </c>
      <c r="C127" s="1" t="s">
        <v>17</v>
      </c>
      <c r="D127" s="120"/>
      <c r="E127" s="3" t="s">
        <v>21</v>
      </c>
      <c r="F127" s="73" t="s">
        <v>489</v>
      </c>
      <c r="G127" s="11" t="s">
        <v>112</v>
      </c>
      <c r="H127" s="1">
        <v>2</v>
      </c>
      <c r="I127" s="49"/>
      <c r="J127" s="46"/>
      <c r="K127" s="40"/>
      <c r="L127" s="40"/>
      <c r="M127" s="78"/>
      <c r="N127" s="41"/>
      <c r="O127" s="31"/>
      <c r="P127" s="31"/>
      <c r="Q127" s="79"/>
      <c r="R127" s="141"/>
    </row>
    <row r="128" spans="1:18" s="13" customFormat="1" ht="31.5" customHeight="1" x14ac:dyDescent="0.25">
      <c r="A128" s="10"/>
      <c r="B128" s="62" t="s">
        <v>79</v>
      </c>
      <c r="C128" s="1" t="s">
        <v>304</v>
      </c>
      <c r="D128" s="120" t="s">
        <v>385</v>
      </c>
      <c r="E128" s="3" t="s">
        <v>18</v>
      </c>
      <c r="F128" s="73" t="s">
        <v>389</v>
      </c>
      <c r="G128" s="74" t="s">
        <v>112</v>
      </c>
      <c r="H128" s="75">
        <v>7</v>
      </c>
      <c r="I128" s="76">
        <v>2</v>
      </c>
      <c r="J128" s="96">
        <f>2</f>
        <v>2</v>
      </c>
      <c r="K128" s="77">
        <f>2091.97</f>
        <v>2091.9699999999998</v>
      </c>
      <c r="L128" s="77"/>
      <c r="M128" s="38">
        <f t="shared" si="4"/>
        <v>2091.9699999999998</v>
      </c>
      <c r="N128" s="100">
        <f>2+2+1+2</f>
        <v>7</v>
      </c>
      <c r="O128" s="81">
        <f>1547.4+4166.12+7835.61+1675.01</f>
        <v>15224.140000000001</v>
      </c>
      <c r="P128" s="81"/>
      <c r="Q128" s="12">
        <f t="shared" si="3"/>
        <v>15224.140000000001</v>
      </c>
      <c r="R128" s="141"/>
    </row>
    <row r="129" spans="1:18" s="13" customFormat="1" ht="31.5" x14ac:dyDescent="0.25">
      <c r="A129" s="10"/>
      <c r="B129" s="22" t="s">
        <v>79</v>
      </c>
      <c r="C129" s="1" t="s">
        <v>304</v>
      </c>
      <c r="D129" s="120" t="s">
        <v>475</v>
      </c>
      <c r="E129" s="3" t="s">
        <v>18</v>
      </c>
      <c r="F129" s="73" t="s">
        <v>329</v>
      </c>
      <c r="G129" s="11" t="s">
        <v>113</v>
      </c>
      <c r="H129" s="1">
        <v>19</v>
      </c>
      <c r="I129" s="53">
        <v>2</v>
      </c>
      <c r="J129" s="127">
        <v>2</v>
      </c>
      <c r="K129" s="31">
        <v>3754</v>
      </c>
      <c r="L129" s="31"/>
      <c r="M129" s="78">
        <f t="shared" si="4"/>
        <v>3754</v>
      </c>
      <c r="N129" s="41">
        <v>8</v>
      </c>
      <c r="O129" s="31">
        <v>33212</v>
      </c>
      <c r="P129" s="31">
        <v>9505</v>
      </c>
      <c r="Q129" s="79">
        <f t="shared" si="3"/>
        <v>23707</v>
      </c>
    </row>
    <row r="130" spans="1:18" s="13" customFormat="1" ht="15.75" customHeight="1" x14ac:dyDescent="0.25">
      <c r="A130" s="10"/>
      <c r="B130" s="62" t="s">
        <v>151</v>
      </c>
      <c r="C130" s="1" t="s">
        <v>17</v>
      </c>
      <c r="D130" s="120"/>
      <c r="E130" s="3" t="s">
        <v>32</v>
      </c>
      <c r="F130" s="73" t="s">
        <v>390</v>
      </c>
      <c r="G130" s="74" t="s">
        <v>112</v>
      </c>
      <c r="H130" s="75">
        <v>20</v>
      </c>
      <c r="I130" s="82">
        <v>8</v>
      </c>
      <c r="J130" s="96">
        <f>1+3+3</f>
        <v>7</v>
      </c>
      <c r="K130" s="81">
        <f>2317+4640.19+5864.19</f>
        <v>12821.38</v>
      </c>
      <c r="L130" s="81"/>
      <c r="M130" s="38">
        <f t="shared" si="4"/>
        <v>12821.38</v>
      </c>
      <c r="N130" s="100">
        <f>9+3+5+1</f>
        <v>18</v>
      </c>
      <c r="O130" s="81">
        <f>10726.94+18822.65+5703.53+12846.53+1320.36</f>
        <v>49420.01</v>
      </c>
      <c r="P130" s="81">
        <f>10726.94</f>
        <v>10726.94</v>
      </c>
      <c r="Q130" s="12">
        <f t="shared" si="3"/>
        <v>38693.07</v>
      </c>
      <c r="R130" s="141"/>
    </row>
    <row r="131" spans="1:18" s="13" customFormat="1" ht="15.75" customHeight="1" x14ac:dyDescent="0.25">
      <c r="A131" s="10"/>
      <c r="B131" s="22" t="s">
        <v>151</v>
      </c>
      <c r="C131" s="1" t="s">
        <v>17</v>
      </c>
      <c r="D131" s="120"/>
      <c r="E131" s="3" t="s">
        <v>32</v>
      </c>
      <c r="F131" s="73" t="s">
        <v>434</v>
      </c>
      <c r="G131" s="11" t="s">
        <v>117</v>
      </c>
      <c r="H131" s="1">
        <v>5</v>
      </c>
      <c r="I131" s="49"/>
      <c r="J131" s="46"/>
      <c r="K131" s="40"/>
      <c r="L131" s="40"/>
      <c r="M131" s="78">
        <f t="shared" si="4"/>
        <v>0</v>
      </c>
      <c r="N131" s="41">
        <v>11</v>
      </c>
      <c r="O131" s="31">
        <v>19824.099999999999</v>
      </c>
      <c r="P131" s="31">
        <v>7133.24</v>
      </c>
      <c r="Q131" s="79">
        <f t="shared" si="3"/>
        <v>12690.859999999999</v>
      </c>
    </row>
    <row r="132" spans="1:18" s="13" customFormat="1" ht="15.75" customHeight="1" x14ac:dyDescent="0.25">
      <c r="A132" s="10"/>
      <c r="B132" s="62" t="s">
        <v>80</v>
      </c>
      <c r="C132" s="1" t="s">
        <v>17</v>
      </c>
      <c r="D132" s="120"/>
      <c r="E132" s="3" t="s">
        <v>81</v>
      </c>
      <c r="F132" s="73" t="s">
        <v>417</v>
      </c>
      <c r="G132" s="74" t="s">
        <v>112</v>
      </c>
      <c r="H132" s="75"/>
      <c r="I132" s="76"/>
      <c r="J132" s="96"/>
      <c r="K132" s="77"/>
      <c r="L132" s="77"/>
      <c r="M132" s="38">
        <f t="shared" si="4"/>
        <v>0</v>
      </c>
      <c r="N132" s="100">
        <f>2</f>
        <v>2</v>
      </c>
      <c r="O132" s="81">
        <f>3040.94</f>
        <v>3040.94</v>
      </c>
      <c r="P132" s="81"/>
      <c r="Q132" s="12">
        <f t="shared" si="3"/>
        <v>3040.94</v>
      </c>
      <c r="R132" s="141"/>
    </row>
    <row r="133" spans="1:18" s="13" customFormat="1" ht="15.75" customHeight="1" x14ac:dyDescent="0.25">
      <c r="A133" s="10"/>
      <c r="B133" s="22" t="s">
        <v>80</v>
      </c>
      <c r="C133" s="1" t="s">
        <v>17</v>
      </c>
      <c r="D133" s="120"/>
      <c r="E133" s="3" t="s">
        <v>81</v>
      </c>
      <c r="F133" s="73" t="s">
        <v>285</v>
      </c>
      <c r="G133" s="11" t="s">
        <v>114</v>
      </c>
      <c r="H133" s="1"/>
      <c r="I133" s="49"/>
      <c r="J133" s="51"/>
      <c r="K133" s="40"/>
      <c r="L133" s="40"/>
      <c r="M133" s="78">
        <f t="shared" si="4"/>
        <v>0</v>
      </c>
      <c r="N133" s="41">
        <v>15</v>
      </c>
      <c r="O133" s="31">
        <f>21200.04</f>
        <v>21200.04</v>
      </c>
      <c r="P133" s="31">
        <v>16128.6</v>
      </c>
      <c r="Q133" s="79">
        <f t="shared" si="3"/>
        <v>5071.4400000000005</v>
      </c>
    </row>
    <row r="134" spans="1:18" s="13" customFormat="1" ht="15.75" customHeight="1" x14ac:dyDescent="0.25">
      <c r="A134" s="10"/>
      <c r="B134" s="30" t="s">
        <v>82</v>
      </c>
      <c r="C134" s="1" t="s">
        <v>17</v>
      </c>
      <c r="D134" s="120"/>
      <c r="E134" s="3" t="s">
        <v>20</v>
      </c>
      <c r="F134" s="73" t="s">
        <v>394</v>
      </c>
      <c r="G134" s="74" t="s">
        <v>112</v>
      </c>
      <c r="H134" s="75">
        <v>5</v>
      </c>
      <c r="I134" s="76"/>
      <c r="J134" s="96"/>
      <c r="K134" s="77"/>
      <c r="L134" s="77"/>
      <c r="M134" s="38">
        <f t="shared" si="4"/>
        <v>0</v>
      </c>
      <c r="N134" s="100">
        <f>3+5</f>
        <v>8</v>
      </c>
      <c r="O134" s="81">
        <f>5975.84+23579.15</f>
        <v>29554.99</v>
      </c>
      <c r="P134" s="81">
        <f>15975.84</f>
        <v>15975.84</v>
      </c>
      <c r="Q134" s="12">
        <f t="shared" si="3"/>
        <v>13579.150000000001</v>
      </c>
      <c r="R134" s="141"/>
    </row>
    <row r="135" spans="1:18" s="13" customFormat="1" ht="15.75" customHeight="1" x14ac:dyDescent="0.25">
      <c r="A135" s="10"/>
      <c r="B135" s="24" t="s">
        <v>82</v>
      </c>
      <c r="C135" s="1" t="s">
        <v>17</v>
      </c>
      <c r="D135" s="120"/>
      <c r="E135" s="3" t="s">
        <v>20</v>
      </c>
      <c r="F135" s="73" t="s">
        <v>463</v>
      </c>
      <c r="G135" s="11" t="s">
        <v>114</v>
      </c>
      <c r="H135" s="1">
        <v>11</v>
      </c>
      <c r="I135" s="49"/>
      <c r="J135" s="51"/>
      <c r="K135" s="40"/>
      <c r="L135" s="40"/>
      <c r="M135" s="78">
        <f t="shared" si="4"/>
        <v>0</v>
      </c>
      <c r="N135" s="41">
        <v>7</v>
      </c>
      <c r="O135" s="31">
        <v>10757.8</v>
      </c>
      <c r="P135" s="31">
        <f>4314.3</f>
        <v>4314.3</v>
      </c>
      <c r="Q135" s="79">
        <f t="shared" si="3"/>
        <v>6443.4999999999991</v>
      </c>
    </row>
    <row r="136" spans="1:18" s="13" customFormat="1" ht="15.75" customHeight="1" x14ac:dyDescent="0.25">
      <c r="A136" s="10"/>
      <c r="B136" s="24" t="s">
        <v>309</v>
      </c>
      <c r="C136" s="1"/>
      <c r="D136" s="120"/>
      <c r="E136" s="3" t="s">
        <v>20</v>
      </c>
      <c r="F136" s="73" t="s">
        <v>391</v>
      </c>
      <c r="G136" s="11" t="s">
        <v>112</v>
      </c>
      <c r="H136" s="1">
        <v>10</v>
      </c>
      <c r="I136" s="58">
        <v>1</v>
      </c>
      <c r="J136" s="51">
        <f>1</f>
        <v>1</v>
      </c>
      <c r="K136" s="40">
        <f>3606.1</f>
        <v>3606.1</v>
      </c>
      <c r="L136" s="40"/>
      <c r="M136" s="38">
        <f t="shared" si="4"/>
        <v>3606.1</v>
      </c>
      <c r="N136" s="41">
        <f>1+5+1</f>
        <v>7</v>
      </c>
      <c r="O136" s="31">
        <f>3088.97+13147.65+1267.86</f>
        <v>17504.48</v>
      </c>
      <c r="P136" s="31">
        <f>3088.97</f>
        <v>3088.97</v>
      </c>
      <c r="Q136" s="79"/>
      <c r="R136" s="141"/>
    </row>
    <row r="137" spans="1:18" s="13" customFormat="1" ht="15.75" customHeight="1" x14ac:dyDescent="0.25">
      <c r="A137" s="10"/>
      <c r="B137" s="30" t="s">
        <v>152</v>
      </c>
      <c r="C137" s="1" t="s">
        <v>17</v>
      </c>
      <c r="D137" s="120"/>
      <c r="E137" s="3" t="s">
        <v>35</v>
      </c>
      <c r="F137" s="73" t="s">
        <v>392</v>
      </c>
      <c r="G137" s="74" t="s">
        <v>112</v>
      </c>
      <c r="H137" s="75">
        <v>7</v>
      </c>
      <c r="I137" s="76">
        <v>5</v>
      </c>
      <c r="J137" s="96">
        <f>1+1+2+1</f>
        <v>5</v>
      </c>
      <c r="K137" s="77">
        <f>403.41+845.24</f>
        <v>1248.6500000000001</v>
      </c>
      <c r="L137" s="77"/>
      <c r="M137" s="38">
        <f t="shared" si="4"/>
        <v>1248.6500000000001</v>
      </c>
      <c r="N137" s="100">
        <f>2+2+2+1+1</f>
        <v>8</v>
      </c>
      <c r="O137" s="81">
        <f>1690.48+3050.26+3661.61+4648.82+1267.86+1690.48+9282.42</f>
        <v>25291.93</v>
      </c>
      <c r="P137" s="81">
        <f>1690.4</f>
        <v>1690.4</v>
      </c>
      <c r="Q137" s="12">
        <f t="shared" si="3"/>
        <v>23601.53</v>
      </c>
      <c r="R137" s="141"/>
    </row>
    <row r="138" spans="1:18" s="13" customFormat="1" ht="15.75" customHeight="1" x14ac:dyDescent="0.25">
      <c r="A138" s="10"/>
      <c r="B138" s="24" t="s">
        <v>152</v>
      </c>
      <c r="C138" s="1" t="s">
        <v>17</v>
      </c>
      <c r="D138" s="120"/>
      <c r="E138" s="3" t="s">
        <v>32</v>
      </c>
      <c r="F138" s="73"/>
      <c r="G138" s="11" t="s">
        <v>117</v>
      </c>
      <c r="H138" s="1"/>
      <c r="I138" s="49"/>
      <c r="J138" s="46"/>
      <c r="K138" s="40"/>
      <c r="L138" s="40"/>
      <c r="M138" s="78">
        <f t="shared" si="4"/>
        <v>0</v>
      </c>
      <c r="N138" s="41"/>
      <c r="O138" s="31"/>
      <c r="P138" s="31"/>
      <c r="Q138" s="79">
        <f t="shared" si="3"/>
        <v>0</v>
      </c>
    </row>
    <row r="139" spans="1:18" s="13" customFormat="1" ht="15.75" customHeight="1" x14ac:dyDescent="0.25">
      <c r="A139" s="10"/>
      <c r="B139" s="30" t="s">
        <v>83</v>
      </c>
      <c r="C139" s="1" t="s">
        <v>17</v>
      </c>
      <c r="D139" s="120"/>
      <c r="E139" s="3" t="s">
        <v>20</v>
      </c>
      <c r="F139" s="73" t="s">
        <v>393</v>
      </c>
      <c r="G139" s="74" t="s">
        <v>112</v>
      </c>
      <c r="H139" s="75">
        <v>9</v>
      </c>
      <c r="I139" s="76">
        <v>4</v>
      </c>
      <c r="J139" s="96">
        <f>1+1+2</f>
        <v>4</v>
      </c>
      <c r="K139" s="77">
        <f>768.4+2535.72</f>
        <v>3304.12</v>
      </c>
      <c r="L139" s="77"/>
      <c r="M139" s="38">
        <f t="shared" si="4"/>
        <v>3304.12</v>
      </c>
      <c r="N139" s="100">
        <f>1+2+1</f>
        <v>4</v>
      </c>
      <c r="O139" s="81">
        <f>5837.09+1922.92</f>
        <v>7760.01</v>
      </c>
      <c r="P139" s="81"/>
      <c r="Q139" s="12">
        <f t="shared" si="3"/>
        <v>7760.01</v>
      </c>
      <c r="R139" s="141"/>
    </row>
    <row r="140" spans="1:18" s="13" customFormat="1" ht="15.75" customHeight="1" x14ac:dyDescent="0.25">
      <c r="A140" s="10"/>
      <c r="B140" s="24" t="s">
        <v>83</v>
      </c>
      <c r="C140" s="1" t="s">
        <v>17</v>
      </c>
      <c r="D140" s="120"/>
      <c r="E140" s="3" t="s">
        <v>20</v>
      </c>
      <c r="F140" s="73" t="s">
        <v>464</v>
      </c>
      <c r="G140" s="11" t="s">
        <v>114</v>
      </c>
      <c r="H140" s="1">
        <v>6</v>
      </c>
      <c r="I140" s="49"/>
      <c r="J140" s="51"/>
      <c r="K140" s="40"/>
      <c r="L140" s="40"/>
      <c r="M140" s="78">
        <f t="shared" si="4"/>
        <v>0</v>
      </c>
      <c r="N140" s="41">
        <v>22</v>
      </c>
      <c r="O140" s="31">
        <v>43871.3</v>
      </c>
      <c r="P140" s="31">
        <v>34650.5</v>
      </c>
      <c r="Q140" s="79">
        <f t="shared" si="3"/>
        <v>9220.8000000000029</v>
      </c>
    </row>
    <row r="141" spans="1:18" s="13" customFormat="1" ht="15.75" customHeight="1" x14ac:dyDescent="0.25">
      <c r="A141" s="10"/>
      <c r="B141" s="24" t="s">
        <v>310</v>
      </c>
      <c r="C141" s="1"/>
      <c r="D141" s="120"/>
      <c r="E141" s="3" t="s">
        <v>20</v>
      </c>
      <c r="F141" s="73"/>
      <c r="G141" s="11" t="s">
        <v>114</v>
      </c>
      <c r="H141" s="1"/>
      <c r="I141" s="49"/>
      <c r="J141" s="51"/>
      <c r="K141" s="40"/>
      <c r="L141" s="40"/>
      <c r="M141" s="78"/>
      <c r="N141" s="41"/>
      <c r="O141" s="31"/>
      <c r="P141" s="31"/>
      <c r="Q141" s="79"/>
    </row>
    <row r="142" spans="1:18" s="13" customFormat="1" ht="15.75" customHeight="1" x14ac:dyDescent="0.25">
      <c r="A142" s="10"/>
      <c r="B142" s="30" t="s">
        <v>84</v>
      </c>
      <c r="C142" s="1"/>
      <c r="D142" s="120"/>
      <c r="E142" s="3" t="s">
        <v>20</v>
      </c>
      <c r="F142" s="73" t="s">
        <v>287</v>
      </c>
      <c r="G142" s="11" t="s">
        <v>114</v>
      </c>
      <c r="H142" s="1"/>
      <c r="I142" s="49"/>
      <c r="J142" s="51"/>
      <c r="K142" s="40"/>
      <c r="L142" s="40"/>
      <c r="M142" s="38">
        <f t="shared" si="4"/>
        <v>0</v>
      </c>
      <c r="N142" s="41"/>
      <c r="O142" s="31"/>
      <c r="P142" s="31"/>
      <c r="Q142" s="12">
        <f t="shared" si="3"/>
        <v>0</v>
      </c>
    </row>
    <row r="143" spans="1:18" s="13" customFormat="1" ht="47.25" customHeight="1" x14ac:dyDescent="0.25">
      <c r="A143" s="10"/>
      <c r="B143" s="30" t="s">
        <v>85</v>
      </c>
      <c r="C143" s="1" t="s">
        <v>304</v>
      </c>
      <c r="D143" s="120" t="s">
        <v>415</v>
      </c>
      <c r="E143" s="3" t="s">
        <v>20</v>
      </c>
      <c r="F143" s="73" t="s">
        <v>395</v>
      </c>
      <c r="G143" s="74" t="s">
        <v>112</v>
      </c>
      <c r="H143" s="75">
        <v>4</v>
      </c>
      <c r="I143" s="76"/>
      <c r="J143" s="96"/>
      <c r="K143" s="77"/>
      <c r="L143" s="77"/>
      <c r="M143" s="38">
        <f t="shared" si="4"/>
        <v>0</v>
      </c>
      <c r="N143" s="100"/>
      <c r="O143" s="81">
        <f>3917.73</f>
        <v>3917.73</v>
      </c>
      <c r="P143" s="81"/>
      <c r="Q143" s="79">
        <f t="shared" si="3"/>
        <v>3917.73</v>
      </c>
      <c r="R143" s="141"/>
    </row>
    <row r="144" spans="1:18" s="13" customFormat="1" ht="15.75" customHeight="1" x14ac:dyDescent="0.25">
      <c r="A144" s="10"/>
      <c r="B144" s="27" t="s">
        <v>86</v>
      </c>
      <c r="C144" s="1" t="s">
        <v>17</v>
      </c>
      <c r="D144" s="120"/>
      <c r="E144" s="17" t="s">
        <v>20</v>
      </c>
      <c r="F144" s="73" t="s">
        <v>396</v>
      </c>
      <c r="G144" s="74" t="s">
        <v>112</v>
      </c>
      <c r="H144" s="75">
        <v>6</v>
      </c>
      <c r="I144" s="76">
        <v>3</v>
      </c>
      <c r="J144" s="96">
        <f>1+3+1</f>
        <v>5</v>
      </c>
      <c r="K144" s="77">
        <f>950.9+5134.06+2091.97</f>
        <v>8176.93</v>
      </c>
      <c r="L144" s="77"/>
      <c r="M144" s="38">
        <f t="shared" si="4"/>
        <v>8176.93</v>
      </c>
      <c r="N144" s="100">
        <f>15+4+2</f>
        <v>21</v>
      </c>
      <c r="O144" s="81">
        <f>30236.61+18366.75+8887.09</f>
        <v>57490.45</v>
      </c>
      <c r="P144" s="81">
        <f>30236.61</f>
        <v>30236.61</v>
      </c>
      <c r="Q144" s="12">
        <f t="shared" si="3"/>
        <v>27253.839999999997</v>
      </c>
      <c r="R144" s="141"/>
    </row>
    <row r="145" spans="1:18" s="13" customFormat="1" ht="15.75" customHeight="1" x14ac:dyDescent="0.25">
      <c r="A145" s="10"/>
      <c r="B145" s="25" t="s">
        <v>86</v>
      </c>
      <c r="C145" s="1" t="s">
        <v>17</v>
      </c>
      <c r="D145" s="120"/>
      <c r="E145" s="17" t="s">
        <v>20</v>
      </c>
      <c r="F145" s="73" t="s">
        <v>465</v>
      </c>
      <c r="G145" s="11" t="s">
        <v>114</v>
      </c>
      <c r="H145" s="1">
        <v>1</v>
      </c>
      <c r="I145" s="49"/>
      <c r="J145" s="51"/>
      <c r="K145" s="40"/>
      <c r="L145" s="40"/>
      <c r="M145" s="78">
        <f t="shared" si="4"/>
        <v>0</v>
      </c>
      <c r="N145" s="41">
        <v>3</v>
      </c>
      <c r="O145" s="31">
        <v>3107.23</v>
      </c>
      <c r="P145" s="31">
        <v>3107.23</v>
      </c>
      <c r="Q145" s="79">
        <f t="shared" si="3"/>
        <v>0</v>
      </c>
    </row>
    <row r="146" spans="1:18" s="13" customFormat="1" ht="15.75" customHeight="1" x14ac:dyDescent="0.25">
      <c r="A146" s="10"/>
      <c r="B146" s="62" t="s">
        <v>87</v>
      </c>
      <c r="C146" s="1" t="s">
        <v>17</v>
      </c>
      <c r="D146" s="120"/>
      <c r="E146" s="17" t="s">
        <v>78</v>
      </c>
      <c r="F146" s="73" t="s">
        <v>142</v>
      </c>
      <c r="G146" s="74" t="s">
        <v>112</v>
      </c>
      <c r="H146" s="75"/>
      <c r="I146" s="76"/>
      <c r="J146" s="96"/>
      <c r="K146" s="77"/>
      <c r="L146" s="77"/>
      <c r="M146" s="38">
        <f t="shared" si="4"/>
        <v>0</v>
      </c>
      <c r="N146" s="100"/>
      <c r="O146" s="81"/>
      <c r="P146" s="81"/>
      <c r="Q146" s="12">
        <f t="shared" si="3"/>
        <v>0</v>
      </c>
      <c r="R146" s="141"/>
    </row>
    <row r="147" spans="1:18" s="13" customFormat="1" ht="15.75" customHeight="1" x14ac:dyDescent="0.25">
      <c r="A147" s="10"/>
      <c r="B147" s="62" t="s">
        <v>312</v>
      </c>
      <c r="C147" s="1" t="s">
        <v>17</v>
      </c>
      <c r="D147" s="120"/>
      <c r="E147" s="17" t="s">
        <v>20</v>
      </c>
      <c r="F147" s="73" t="s">
        <v>320</v>
      </c>
      <c r="G147" s="74" t="s">
        <v>112</v>
      </c>
      <c r="H147" s="75">
        <v>8</v>
      </c>
      <c r="I147" s="76">
        <v>2</v>
      </c>
      <c r="J147" s="96">
        <f>1+1</f>
        <v>2</v>
      </c>
      <c r="K147" s="77">
        <f>3319.49+845.24</f>
        <v>4164.7299999999996</v>
      </c>
      <c r="L147" s="77"/>
      <c r="M147" s="38"/>
      <c r="N147" s="100">
        <f>5+6</f>
        <v>11</v>
      </c>
      <c r="O147" s="81">
        <f>4226.2+6627.45</f>
        <v>10853.65</v>
      </c>
      <c r="P147" s="81">
        <f>4226.2</f>
        <v>4226.2</v>
      </c>
      <c r="Q147" s="12"/>
      <c r="R147" s="141"/>
    </row>
    <row r="148" spans="1:18" s="13" customFormat="1" ht="15.75" customHeight="1" x14ac:dyDescent="0.25">
      <c r="A148" s="10"/>
      <c r="B148" s="62" t="s">
        <v>494</v>
      </c>
      <c r="C148" s="1" t="s">
        <v>17</v>
      </c>
      <c r="D148" s="120"/>
      <c r="E148" s="17" t="s">
        <v>20</v>
      </c>
      <c r="F148" s="73" t="s">
        <v>497</v>
      </c>
      <c r="G148" s="74" t="s">
        <v>112</v>
      </c>
      <c r="H148" s="75">
        <v>4</v>
      </c>
      <c r="I148" s="76"/>
      <c r="J148" s="96"/>
      <c r="K148" s="77"/>
      <c r="L148" s="77"/>
      <c r="M148" s="38"/>
      <c r="N148" s="100"/>
      <c r="O148" s="81"/>
      <c r="P148" s="81"/>
      <c r="Q148" s="12"/>
      <c r="R148" s="141"/>
    </row>
    <row r="149" spans="1:18" s="13" customFormat="1" ht="15.75" customHeight="1" x14ac:dyDescent="0.25">
      <c r="A149" s="10"/>
      <c r="B149" s="62" t="s">
        <v>494</v>
      </c>
      <c r="C149" s="1"/>
      <c r="D149" s="120"/>
      <c r="E149" s="17"/>
      <c r="F149" s="73"/>
      <c r="G149" s="74" t="s">
        <v>114</v>
      </c>
      <c r="H149" s="75">
        <v>7</v>
      </c>
      <c r="I149" s="76"/>
      <c r="J149" s="96"/>
      <c r="K149" s="77"/>
      <c r="L149" s="77"/>
      <c r="M149" s="38"/>
      <c r="N149" s="100"/>
      <c r="O149" s="81"/>
      <c r="P149" s="81"/>
      <c r="Q149" s="12"/>
      <c r="R149" s="141"/>
    </row>
    <row r="150" spans="1:18" s="13" customFormat="1" ht="15.75" customHeight="1" x14ac:dyDescent="0.25">
      <c r="A150" s="10"/>
      <c r="B150" s="30" t="s">
        <v>88</v>
      </c>
      <c r="C150" s="1" t="s">
        <v>17</v>
      </c>
      <c r="D150" s="120"/>
      <c r="E150" s="3" t="s">
        <v>89</v>
      </c>
      <c r="F150" s="73" t="s">
        <v>397</v>
      </c>
      <c r="G150" s="74" t="s">
        <v>112</v>
      </c>
      <c r="H150" s="75">
        <v>4</v>
      </c>
      <c r="I150" s="76">
        <v>1</v>
      </c>
      <c r="J150" s="96">
        <f>1</f>
        <v>1</v>
      </c>
      <c r="K150" s="77">
        <f>4226.2+2394.91</f>
        <v>6621.11</v>
      </c>
      <c r="L150" s="77"/>
      <c r="M150" s="38">
        <f t="shared" si="4"/>
        <v>6621.11</v>
      </c>
      <c r="N150" s="100">
        <f>4+1+3+1+2+2+1+1</f>
        <v>15</v>
      </c>
      <c r="O150" s="81">
        <f>11967.83+2831.55+10544.37+9418.99+3799.13+1798.04</f>
        <v>40359.909999999996</v>
      </c>
      <c r="P150" s="81">
        <f>11967.83</f>
        <v>11967.83</v>
      </c>
      <c r="Q150" s="79">
        <f t="shared" ref="Q150:Q193" si="5">O150-P150</f>
        <v>28392.079999999994</v>
      </c>
      <c r="R150" s="141"/>
    </row>
    <row r="151" spans="1:18" s="13" customFormat="1" ht="15.75" customHeight="1" x14ac:dyDescent="0.25">
      <c r="A151" s="10"/>
      <c r="B151" s="24" t="s">
        <v>88</v>
      </c>
      <c r="C151" s="1" t="s">
        <v>17</v>
      </c>
      <c r="D151" s="120"/>
      <c r="E151" s="3" t="s">
        <v>89</v>
      </c>
      <c r="F151" s="73" t="s">
        <v>442</v>
      </c>
      <c r="G151" s="11" t="s">
        <v>118</v>
      </c>
      <c r="H151" s="1">
        <v>1</v>
      </c>
      <c r="I151" s="49"/>
      <c r="J151" s="46"/>
      <c r="K151" s="40"/>
      <c r="L151" s="40"/>
      <c r="M151" s="38">
        <f t="shared" si="4"/>
        <v>0</v>
      </c>
      <c r="N151" s="41">
        <v>2</v>
      </c>
      <c r="O151" s="31">
        <v>8523.52</v>
      </c>
      <c r="P151" s="31">
        <v>1417.57</v>
      </c>
      <c r="Q151" s="12">
        <f t="shared" si="5"/>
        <v>7105.9500000000007</v>
      </c>
    </row>
    <row r="152" spans="1:18" s="13" customFormat="1" ht="15.75" customHeight="1" x14ac:dyDescent="0.25">
      <c r="A152" s="10"/>
      <c r="B152" s="24" t="s">
        <v>88</v>
      </c>
      <c r="C152" s="1"/>
      <c r="D152" s="120"/>
      <c r="E152" s="3"/>
      <c r="F152" s="73"/>
      <c r="G152" s="11" t="s">
        <v>114</v>
      </c>
      <c r="H152" s="1">
        <v>1</v>
      </c>
      <c r="I152" s="49"/>
      <c r="J152" s="46"/>
      <c r="K152" s="40"/>
      <c r="L152" s="40"/>
      <c r="M152" s="38"/>
      <c r="N152" s="41"/>
      <c r="O152" s="31"/>
      <c r="P152" s="31"/>
      <c r="Q152" s="12"/>
    </row>
    <row r="153" spans="1:18" s="13" customFormat="1" ht="15.75" customHeight="1" x14ac:dyDescent="0.25">
      <c r="A153" s="10"/>
      <c r="B153" s="30" t="s">
        <v>90</v>
      </c>
      <c r="C153" s="1" t="s">
        <v>17</v>
      </c>
      <c r="D153" s="120"/>
      <c r="E153" s="17" t="s">
        <v>20</v>
      </c>
      <c r="F153" s="73" t="s">
        <v>398</v>
      </c>
      <c r="G153" s="74" t="s">
        <v>112</v>
      </c>
      <c r="H153" s="75">
        <v>3</v>
      </c>
      <c r="I153" s="76">
        <v>1</v>
      </c>
      <c r="J153" s="96">
        <f>1</f>
        <v>1</v>
      </c>
      <c r="K153" s="77">
        <f>422.62</f>
        <v>422.62</v>
      </c>
      <c r="L153" s="77"/>
      <c r="M153" s="38">
        <f t="shared" si="4"/>
        <v>422.62</v>
      </c>
      <c r="N153" s="100">
        <f>1+1</f>
        <v>2</v>
      </c>
      <c r="O153" s="81">
        <f>2122.67+787.61</f>
        <v>2910.28</v>
      </c>
      <c r="P153" s="81"/>
      <c r="Q153" s="79">
        <f t="shared" si="5"/>
        <v>2910.28</v>
      </c>
      <c r="R153" s="141"/>
    </row>
    <row r="154" spans="1:18" s="13" customFormat="1" ht="15.75" customHeight="1" x14ac:dyDescent="0.25">
      <c r="A154" s="10"/>
      <c r="B154" s="24" t="s">
        <v>90</v>
      </c>
      <c r="C154" s="1" t="s">
        <v>17</v>
      </c>
      <c r="D154" s="120"/>
      <c r="E154" s="17" t="s">
        <v>20</v>
      </c>
      <c r="F154" s="73" t="s">
        <v>466</v>
      </c>
      <c r="G154" s="11" t="s">
        <v>114</v>
      </c>
      <c r="H154" s="1">
        <v>6</v>
      </c>
      <c r="I154" s="49"/>
      <c r="J154" s="51"/>
      <c r="K154" s="40"/>
      <c r="L154" s="40"/>
      <c r="M154" s="78">
        <f t="shared" si="4"/>
        <v>0</v>
      </c>
      <c r="N154" s="41">
        <v>15</v>
      </c>
      <c r="O154" s="31">
        <f>31793</f>
        <v>31793</v>
      </c>
      <c r="P154" s="31">
        <v>20378.8</v>
      </c>
      <c r="Q154" s="12">
        <f t="shared" si="5"/>
        <v>11414.2</v>
      </c>
    </row>
    <row r="155" spans="1:18" s="13" customFormat="1" ht="15.75" customHeight="1" x14ac:dyDescent="0.25">
      <c r="A155" s="10"/>
      <c r="B155" s="30" t="s">
        <v>91</v>
      </c>
      <c r="C155" s="1" t="s">
        <v>17</v>
      </c>
      <c r="D155" s="120"/>
      <c r="E155" s="17" t="s">
        <v>20</v>
      </c>
      <c r="F155" s="73" t="s">
        <v>399</v>
      </c>
      <c r="G155" s="74" t="s">
        <v>112</v>
      </c>
      <c r="H155" s="75"/>
      <c r="I155" s="76"/>
      <c r="J155" s="96"/>
      <c r="K155" s="77"/>
      <c r="L155" s="77"/>
      <c r="M155" s="38">
        <f t="shared" si="4"/>
        <v>0</v>
      </c>
      <c r="N155" s="100"/>
      <c r="O155" s="81"/>
      <c r="P155" s="81"/>
      <c r="Q155" s="79">
        <f t="shared" si="5"/>
        <v>0</v>
      </c>
      <c r="R155" s="141"/>
    </row>
    <row r="156" spans="1:18" s="13" customFormat="1" ht="15.75" customHeight="1" x14ac:dyDescent="0.25">
      <c r="A156" s="10"/>
      <c r="B156" s="22" t="s">
        <v>138</v>
      </c>
      <c r="C156" s="1" t="s">
        <v>17</v>
      </c>
      <c r="D156" s="120"/>
      <c r="E156" s="17" t="s">
        <v>20</v>
      </c>
      <c r="F156" s="73" t="s">
        <v>467</v>
      </c>
      <c r="G156" s="11" t="s">
        <v>114</v>
      </c>
      <c r="H156" s="1">
        <v>2</v>
      </c>
      <c r="I156" s="49"/>
      <c r="J156" s="51"/>
      <c r="K156" s="37"/>
      <c r="L156" s="37"/>
      <c r="M156" s="78">
        <f t="shared" si="4"/>
        <v>0</v>
      </c>
      <c r="N156" s="39">
        <v>4</v>
      </c>
      <c r="O156" s="31">
        <v>1841</v>
      </c>
      <c r="P156" s="31"/>
      <c r="Q156" s="12">
        <f t="shared" si="5"/>
        <v>1841</v>
      </c>
    </row>
    <row r="157" spans="1:18" s="13" customFormat="1" ht="15.75" customHeight="1" x14ac:dyDescent="0.25">
      <c r="A157" s="10"/>
      <c r="B157" s="62" t="s">
        <v>138</v>
      </c>
      <c r="C157" s="1" t="s">
        <v>17</v>
      </c>
      <c r="D157" s="120"/>
      <c r="E157" s="17" t="s">
        <v>20</v>
      </c>
      <c r="F157" s="73" t="s">
        <v>400</v>
      </c>
      <c r="G157" s="74" t="s">
        <v>112</v>
      </c>
      <c r="H157" s="75">
        <v>4</v>
      </c>
      <c r="I157" s="82"/>
      <c r="J157" s="96"/>
      <c r="K157" s="77"/>
      <c r="L157" s="77"/>
      <c r="M157" s="38">
        <f t="shared" si="4"/>
        <v>0</v>
      </c>
      <c r="N157" s="100">
        <f>5</f>
        <v>5</v>
      </c>
      <c r="O157" s="81">
        <v>8995.8700000000008</v>
      </c>
      <c r="P157" s="81"/>
      <c r="Q157" s="79">
        <f t="shared" si="5"/>
        <v>8995.8700000000008</v>
      </c>
      <c r="R157" s="141"/>
    </row>
    <row r="158" spans="1:18" s="13" customFormat="1" ht="15.75" customHeight="1" x14ac:dyDescent="0.25">
      <c r="A158" s="10"/>
      <c r="B158" s="62" t="s">
        <v>157</v>
      </c>
      <c r="C158" s="1" t="s">
        <v>17</v>
      </c>
      <c r="D158" s="120"/>
      <c r="E158" s="17" t="s">
        <v>20</v>
      </c>
      <c r="F158" s="73" t="s">
        <v>401</v>
      </c>
      <c r="G158" s="74" t="s">
        <v>112</v>
      </c>
      <c r="H158" s="75">
        <v>5</v>
      </c>
      <c r="I158" s="82"/>
      <c r="J158" s="96"/>
      <c r="K158" s="77"/>
      <c r="L158" s="77"/>
      <c r="M158" s="38">
        <f t="shared" ref="M158:M192" si="6">K158-L158</f>
        <v>0</v>
      </c>
      <c r="N158" s="100"/>
      <c r="O158" s="81"/>
      <c r="P158" s="81"/>
      <c r="Q158" s="12">
        <f t="shared" si="5"/>
        <v>0</v>
      </c>
      <c r="R158" s="141"/>
    </row>
    <row r="159" spans="1:18" s="13" customFormat="1" ht="15.75" customHeight="1" x14ac:dyDescent="0.25">
      <c r="A159" s="10"/>
      <c r="B159" s="22" t="s">
        <v>157</v>
      </c>
      <c r="C159" s="1" t="s">
        <v>17</v>
      </c>
      <c r="D159" s="120"/>
      <c r="E159" s="17" t="s">
        <v>20</v>
      </c>
      <c r="F159" s="73"/>
      <c r="G159" s="11" t="s">
        <v>114</v>
      </c>
      <c r="H159" s="1"/>
      <c r="I159" s="49"/>
      <c r="J159" s="51"/>
      <c r="K159" s="37"/>
      <c r="L159" s="37"/>
      <c r="M159" s="38">
        <f t="shared" si="6"/>
        <v>0</v>
      </c>
      <c r="N159" s="39"/>
      <c r="O159" s="31"/>
      <c r="P159" s="31"/>
      <c r="Q159" s="79">
        <f t="shared" si="5"/>
        <v>0</v>
      </c>
    </row>
    <row r="160" spans="1:18" s="15" customFormat="1" ht="15.75" customHeight="1" x14ac:dyDescent="0.25">
      <c r="A160" s="14"/>
      <c r="B160" s="80" t="s">
        <v>92</v>
      </c>
      <c r="C160" s="1" t="s">
        <v>17</v>
      </c>
      <c r="D160" s="120"/>
      <c r="E160" s="17" t="s">
        <v>20</v>
      </c>
      <c r="F160" s="73" t="s">
        <v>402</v>
      </c>
      <c r="G160" s="74" t="s">
        <v>112</v>
      </c>
      <c r="H160" s="75">
        <v>4</v>
      </c>
      <c r="I160" s="76">
        <v>1</v>
      </c>
      <c r="J160" s="96">
        <f>1</f>
        <v>1</v>
      </c>
      <c r="K160" s="77">
        <f>1951.74</f>
        <v>1951.74</v>
      </c>
      <c r="L160" s="77"/>
      <c r="M160" s="38">
        <f t="shared" si="6"/>
        <v>1951.74</v>
      </c>
      <c r="N160" s="100">
        <f>4+1</f>
        <v>5</v>
      </c>
      <c r="O160" s="81">
        <f>12624.74+2697.06</f>
        <v>15321.8</v>
      </c>
      <c r="P160" s="81">
        <f>12624.74</f>
        <v>12624.74</v>
      </c>
      <c r="Q160" s="12">
        <f t="shared" si="5"/>
        <v>2697.0599999999995</v>
      </c>
      <c r="R160" s="141"/>
    </row>
    <row r="161" spans="1:18" s="15" customFormat="1" ht="15.75" customHeight="1" x14ac:dyDescent="0.25">
      <c r="A161" s="14"/>
      <c r="B161" s="23" t="s">
        <v>92</v>
      </c>
      <c r="C161" s="1" t="s">
        <v>17</v>
      </c>
      <c r="D161" s="120"/>
      <c r="E161" s="17" t="s">
        <v>20</v>
      </c>
      <c r="F161" s="73" t="s">
        <v>129</v>
      </c>
      <c r="G161" s="11" t="s">
        <v>114</v>
      </c>
      <c r="H161" s="1"/>
      <c r="I161" s="49"/>
      <c r="J161" s="51"/>
      <c r="K161" s="40"/>
      <c r="L161" s="40"/>
      <c r="M161" s="38">
        <f t="shared" si="6"/>
        <v>0</v>
      </c>
      <c r="N161" s="39"/>
      <c r="O161" s="31"/>
      <c r="P161" s="31"/>
      <c r="Q161" s="79">
        <f t="shared" si="5"/>
        <v>0</v>
      </c>
    </row>
    <row r="162" spans="1:18" s="13" customFormat="1" ht="15.75" customHeight="1" x14ac:dyDescent="0.25">
      <c r="A162" s="10"/>
      <c r="B162" s="30" t="s">
        <v>93</v>
      </c>
      <c r="C162" s="1" t="s">
        <v>17</v>
      </c>
      <c r="D162" s="120"/>
      <c r="E162" s="3" t="s">
        <v>94</v>
      </c>
      <c r="F162" s="73" t="s">
        <v>403</v>
      </c>
      <c r="G162" s="74" t="s">
        <v>112</v>
      </c>
      <c r="H162" s="75">
        <v>7</v>
      </c>
      <c r="I162" s="76">
        <v>2</v>
      </c>
      <c r="J162" s="96">
        <f>2</f>
        <v>2</v>
      </c>
      <c r="K162" s="77">
        <f>2362.84</f>
        <v>2362.84</v>
      </c>
      <c r="L162" s="77">
        <f>2362.84</f>
        <v>2362.84</v>
      </c>
      <c r="M162" s="38">
        <f t="shared" si="6"/>
        <v>0</v>
      </c>
      <c r="N162" s="100">
        <f>3+8</f>
        <v>11</v>
      </c>
      <c r="O162" s="81">
        <f>20117.75</f>
        <v>20117.75</v>
      </c>
      <c r="P162" s="81">
        <f>20117.75</f>
        <v>20117.75</v>
      </c>
      <c r="Q162" s="12">
        <f t="shared" si="5"/>
        <v>0</v>
      </c>
      <c r="R162" s="141"/>
    </row>
    <row r="163" spans="1:18" s="13" customFormat="1" ht="15.75" customHeight="1" x14ac:dyDescent="0.25">
      <c r="A163" s="10"/>
      <c r="B163" s="24" t="s">
        <v>93</v>
      </c>
      <c r="C163" s="1" t="s">
        <v>17</v>
      </c>
      <c r="D163" s="120"/>
      <c r="E163" s="3" t="s">
        <v>94</v>
      </c>
      <c r="F163" s="73" t="s">
        <v>130</v>
      </c>
      <c r="G163" s="11" t="s">
        <v>114</v>
      </c>
      <c r="H163" s="1"/>
      <c r="I163" s="49"/>
      <c r="J163" s="51"/>
      <c r="K163" s="40"/>
      <c r="L163" s="77"/>
      <c r="M163" s="38">
        <f t="shared" si="6"/>
        <v>0</v>
      </c>
      <c r="N163" s="41"/>
      <c r="O163" s="31"/>
      <c r="P163" s="31"/>
      <c r="Q163" s="79">
        <f t="shared" si="5"/>
        <v>0</v>
      </c>
    </row>
    <row r="164" spans="1:18" s="13" customFormat="1" ht="15.75" customHeight="1" x14ac:dyDescent="0.25">
      <c r="A164" s="10"/>
      <c r="B164" s="24" t="s">
        <v>93</v>
      </c>
      <c r="C164" s="1" t="s">
        <v>17</v>
      </c>
      <c r="D164" s="120"/>
      <c r="E164" s="3" t="s">
        <v>94</v>
      </c>
      <c r="F164" s="73" t="s">
        <v>240</v>
      </c>
      <c r="G164" s="11" t="s">
        <v>118</v>
      </c>
      <c r="H164" s="1"/>
      <c r="I164" s="49"/>
      <c r="J164" s="46"/>
      <c r="K164" s="40"/>
      <c r="L164" s="40"/>
      <c r="M164" s="78">
        <f t="shared" si="6"/>
        <v>0</v>
      </c>
      <c r="N164" s="41"/>
      <c r="O164" s="31"/>
      <c r="P164" s="31"/>
      <c r="Q164" s="12">
        <f t="shared" si="5"/>
        <v>0</v>
      </c>
    </row>
    <row r="165" spans="1:18" s="13" customFormat="1" ht="15.75" customHeight="1" x14ac:dyDescent="0.25">
      <c r="A165" s="10"/>
      <c r="B165" s="30" t="s">
        <v>95</v>
      </c>
      <c r="C165" s="1" t="s">
        <v>17</v>
      </c>
      <c r="D165" s="120"/>
      <c r="E165" s="17" t="s">
        <v>20</v>
      </c>
      <c r="F165" s="73" t="s">
        <v>404</v>
      </c>
      <c r="G165" s="74" t="s">
        <v>112</v>
      </c>
      <c r="H165" s="75">
        <v>9</v>
      </c>
      <c r="I165" s="76">
        <v>1</v>
      </c>
      <c r="J165" s="96">
        <f>1</f>
        <v>1</v>
      </c>
      <c r="K165" s="77">
        <f>1061.35</f>
        <v>1061.3499999999999</v>
      </c>
      <c r="L165" s="77"/>
      <c r="M165" s="38">
        <f t="shared" si="6"/>
        <v>1061.3499999999999</v>
      </c>
      <c r="N165" s="100">
        <f>1+6</f>
        <v>7</v>
      </c>
      <c r="O165" s="81">
        <f>11603.82+7559.28</f>
        <v>19163.099999999999</v>
      </c>
      <c r="P165" s="81"/>
      <c r="Q165" s="79">
        <f t="shared" si="5"/>
        <v>19163.099999999999</v>
      </c>
      <c r="R165" s="141"/>
    </row>
    <row r="166" spans="1:18" s="13" customFormat="1" ht="15.75" customHeight="1" x14ac:dyDescent="0.25">
      <c r="A166" s="10"/>
      <c r="B166" s="24" t="s">
        <v>95</v>
      </c>
      <c r="C166" s="1" t="s">
        <v>17</v>
      </c>
      <c r="D166" s="120"/>
      <c r="E166" s="17" t="s">
        <v>20</v>
      </c>
      <c r="F166" s="73" t="s">
        <v>291</v>
      </c>
      <c r="G166" s="11" t="s">
        <v>114</v>
      </c>
      <c r="H166" s="1">
        <v>2</v>
      </c>
      <c r="I166" s="49"/>
      <c r="J166" s="51"/>
      <c r="K166" s="40"/>
      <c r="L166" s="40"/>
      <c r="M166" s="78">
        <f t="shared" si="6"/>
        <v>0</v>
      </c>
      <c r="N166" s="41"/>
      <c r="O166" s="31"/>
      <c r="P166" s="31"/>
      <c r="Q166" s="12">
        <f t="shared" si="5"/>
        <v>0</v>
      </c>
    </row>
    <row r="167" spans="1:18" s="13" customFormat="1" ht="15.75" customHeight="1" x14ac:dyDescent="0.25">
      <c r="A167" s="10"/>
      <c r="B167" s="30" t="s">
        <v>96</v>
      </c>
      <c r="C167" s="1" t="s">
        <v>17</v>
      </c>
      <c r="D167" s="120"/>
      <c r="E167" s="17" t="s">
        <v>97</v>
      </c>
      <c r="F167" s="73" t="s">
        <v>405</v>
      </c>
      <c r="G167" s="74" t="s">
        <v>112</v>
      </c>
      <c r="H167" s="75">
        <v>1</v>
      </c>
      <c r="I167" s="76"/>
      <c r="J167" s="96"/>
      <c r="K167" s="77"/>
      <c r="L167" s="77"/>
      <c r="M167" s="38">
        <f t="shared" si="6"/>
        <v>0</v>
      </c>
      <c r="N167" s="103">
        <f>1</f>
        <v>1</v>
      </c>
      <c r="O167" s="77">
        <f>1742.31</f>
        <v>1742.31</v>
      </c>
      <c r="P167" s="77"/>
      <c r="Q167" s="79">
        <f t="shared" si="5"/>
        <v>1742.31</v>
      </c>
      <c r="R167" s="141"/>
    </row>
    <row r="168" spans="1:18" s="13" customFormat="1" ht="15.75" customHeight="1" x14ac:dyDescent="0.25">
      <c r="A168" s="10"/>
      <c r="B168" s="24" t="s">
        <v>96</v>
      </c>
      <c r="C168" s="1" t="s">
        <v>17</v>
      </c>
      <c r="D168" s="120"/>
      <c r="E168" s="17" t="s">
        <v>97</v>
      </c>
      <c r="F168" s="73" t="s">
        <v>468</v>
      </c>
      <c r="G168" s="11" t="s">
        <v>114</v>
      </c>
      <c r="H168" s="1">
        <v>1</v>
      </c>
      <c r="I168" s="49"/>
      <c r="J168" s="51"/>
      <c r="K168" s="40"/>
      <c r="L168" s="40"/>
      <c r="M168" s="78">
        <f t="shared" si="6"/>
        <v>0</v>
      </c>
      <c r="N168" s="41">
        <v>2</v>
      </c>
      <c r="O168" s="31"/>
      <c r="P168" s="31"/>
      <c r="Q168" s="12">
        <f t="shared" si="5"/>
        <v>0</v>
      </c>
    </row>
    <row r="169" spans="1:18" s="13" customFormat="1" ht="15.75" customHeight="1" x14ac:dyDescent="0.25">
      <c r="A169" s="10"/>
      <c r="B169" s="30" t="s">
        <v>98</v>
      </c>
      <c r="C169" s="1" t="s">
        <v>17</v>
      </c>
      <c r="D169" s="120"/>
      <c r="E169" s="17" t="s">
        <v>35</v>
      </c>
      <c r="F169" s="73" t="s">
        <v>406</v>
      </c>
      <c r="G169" s="74" t="s">
        <v>112</v>
      </c>
      <c r="H169" s="75">
        <v>16</v>
      </c>
      <c r="I169" s="76">
        <v>4</v>
      </c>
      <c r="J169" s="96">
        <f>1+2+1</f>
        <v>4</v>
      </c>
      <c r="K169" s="77">
        <f>845.24+1764.25+8353.03</f>
        <v>10962.52</v>
      </c>
      <c r="L169" s="77"/>
      <c r="M169" s="38">
        <f t="shared" si="6"/>
        <v>10962.52</v>
      </c>
      <c r="N169" s="100">
        <f>9+1+1+4+2+1</f>
        <v>18</v>
      </c>
      <c r="O169" s="81">
        <f>17007.01+2697.06+1267.86+31709.38+5331.44-10826.79</f>
        <v>47185.96</v>
      </c>
      <c r="P169" s="81">
        <f>17007.01+10149.24</f>
        <v>27156.25</v>
      </c>
      <c r="Q169" s="79">
        <f t="shared" si="5"/>
        <v>20029.71</v>
      </c>
      <c r="R169" s="141"/>
    </row>
    <row r="170" spans="1:18" s="13" customFormat="1" ht="15.75" customHeight="1" x14ac:dyDescent="0.25">
      <c r="A170" s="10"/>
      <c r="B170" s="24" t="s">
        <v>98</v>
      </c>
      <c r="C170" s="1" t="s">
        <v>17</v>
      </c>
      <c r="D170" s="120"/>
      <c r="E170" s="17" t="s">
        <v>35</v>
      </c>
      <c r="F170" s="73" t="s">
        <v>435</v>
      </c>
      <c r="G170" s="8" t="s">
        <v>117</v>
      </c>
      <c r="H170" s="1">
        <v>2</v>
      </c>
      <c r="I170" s="49"/>
      <c r="J170" s="46"/>
      <c r="K170" s="40"/>
      <c r="L170" s="40"/>
      <c r="M170" s="78">
        <f t="shared" si="6"/>
        <v>0</v>
      </c>
      <c r="N170" s="41">
        <f>4</f>
        <v>4</v>
      </c>
      <c r="O170" s="40">
        <v>10721.75</v>
      </c>
      <c r="P170" s="40"/>
      <c r="Q170" s="12">
        <f t="shared" si="5"/>
        <v>10721.75</v>
      </c>
    </row>
    <row r="171" spans="1:18" s="13" customFormat="1" ht="15.75" customHeight="1" x14ac:dyDescent="0.25">
      <c r="A171" s="10"/>
      <c r="B171" s="24" t="s">
        <v>488</v>
      </c>
      <c r="C171" s="1" t="s">
        <v>17</v>
      </c>
      <c r="D171" s="120"/>
      <c r="E171" s="17" t="s">
        <v>97</v>
      </c>
      <c r="F171" s="73" t="s">
        <v>498</v>
      </c>
      <c r="G171" s="8" t="s">
        <v>112</v>
      </c>
      <c r="H171" s="1">
        <v>5</v>
      </c>
      <c r="I171" s="49"/>
      <c r="J171" s="46"/>
      <c r="K171" s="40"/>
      <c r="L171" s="40"/>
      <c r="M171" s="78"/>
      <c r="N171" s="41"/>
      <c r="O171" s="40"/>
      <c r="P171" s="40"/>
      <c r="Q171" s="12"/>
    </row>
    <row r="172" spans="1:18" s="15" customFormat="1" ht="15.75" customHeight="1" x14ac:dyDescent="0.25">
      <c r="A172" s="14"/>
      <c r="B172" s="84" t="s">
        <v>99</v>
      </c>
      <c r="C172" s="1" t="s">
        <v>17</v>
      </c>
      <c r="D172" s="120"/>
      <c r="E172" s="3" t="s">
        <v>32</v>
      </c>
      <c r="F172" s="73" t="s">
        <v>418</v>
      </c>
      <c r="G172" s="74" t="s">
        <v>112</v>
      </c>
      <c r="H172" s="75"/>
      <c r="I172" s="76"/>
      <c r="J172" s="96"/>
      <c r="K172" s="77"/>
      <c r="L172" s="77"/>
      <c r="M172" s="38">
        <f t="shared" si="6"/>
        <v>0</v>
      </c>
      <c r="N172" s="100"/>
      <c r="O172" s="81"/>
      <c r="P172" s="81"/>
      <c r="Q172" s="79">
        <f t="shared" si="5"/>
        <v>0</v>
      </c>
      <c r="R172" s="141"/>
    </row>
    <row r="173" spans="1:18" s="15" customFormat="1" ht="15.75" customHeight="1" x14ac:dyDescent="0.25">
      <c r="A173" s="14"/>
      <c r="B173" s="29" t="s">
        <v>99</v>
      </c>
      <c r="C173" s="1" t="s">
        <v>17</v>
      </c>
      <c r="D173" s="120"/>
      <c r="E173" s="3" t="s">
        <v>32</v>
      </c>
      <c r="F173" s="73" t="s">
        <v>423</v>
      </c>
      <c r="G173" s="8" t="s">
        <v>117</v>
      </c>
      <c r="H173" s="1"/>
      <c r="I173" s="49"/>
      <c r="J173" s="51"/>
      <c r="K173" s="40"/>
      <c r="L173" s="40"/>
      <c r="M173" s="78">
        <f t="shared" si="6"/>
        <v>0</v>
      </c>
      <c r="N173" s="39"/>
      <c r="O173" s="40"/>
      <c r="P173" s="40"/>
      <c r="Q173" s="12">
        <f t="shared" si="5"/>
        <v>0</v>
      </c>
    </row>
    <row r="174" spans="1:18" s="15" customFormat="1" ht="31.5" customHeight="1" x14ac:dyDescent="0.25">
      <c r="A174" s="14"/>
      <c r="B174" s="30" t="s">
        <v>144</v>
      </c>
      <c r="C174" s="1" t="s">
        <v>304</v>
      </c>
      <c r="D174" s="120" t="s">
        <v>313</v>
      </c>
      <c r="E174" s="17" t="s">
        <v>97</v>
      </c>
      <c r="F174" s="73" t="s">
        <v>407</v>
      </c>
      <c r="G174" s="66" t="s">
        <v>112</v>
      </c>
      <c r="H174" s="75">
        <v>7</v>
      </c>
      <c r="I174" s="76">
        <v>4</v>
      </c>
      <c r="J174" s="98">
        <f>2+2+1</f>
        <v>5</v>
      </c>
      <c r="K174" s="77">
        <f>950.9+1449.39+2272.32</f>
        <v>4672.6100000000006</v>
      </c>
      <c r="L174" s="77"/>
      <c r="M174" s="38">
        <f t="shared" si="6"/>
        <v>4672.6100000000006</v>
      </c>
      <c r="N174" s="100">
        <f>3+2+1</f>
        <v>6</v>
      </c>
      <c r="O174" s="77">
        <f>5020.57+5566.06+2694.94</f>
        <v>13281.570000000002</v>
      </c>
      <c r="P174" s="77"/>
      <c r="Q174" s="79">
        <f t="shared" si="5"/>
        <v>13281.570000000002</v>
      </c>
      <c r="R174" s="141"/>
    </row>
    <row r="175" spans="1:18" s="15" customFormat="1" ht="15.75" customHeight="1" x14ac:dyDescent="0.25">
      <c r="A175" s="14"/>
      <c r="B175" s="30" t="s">
        <v>488</v>
      </c>
      <c r="C175" s="1"/>
      <c r="D175" s="120"/>
      <c r="E175" s="17"/>
      <c r="F175" s="73"/>
      <c r="G175" s="66" t="s">
        <v>114</v>
      </c>
      <c r="H175" s="75">
        <v>8</v>
      </c>
      <c r="I175" s="76"/>
      <c r="J175" s="98"/>
      <c r="K175" s="77"/>
      <c r="L175" s="77"/>
      <c r="M175" s="38"/>
      <c r="N175" s="100"/>
      <c r="O175" s="77"/>
      <c r="P175" s="77"/>
      <c r="Q175" s="79"/>
    </row>
    <row r="176" spans="1:18" s="15" customFormat="1" ht="15.75" x14ac:dyDescent="0.25">
      <c r="A176" s="14"/>
      <c r="B176" s="30" t="s">
        <v>488</v>
      </c>
      <c r="C176" s="1"/>
      <c r="D176" s="120"/>
      <c r="E176" s="17"/>
      <c r="F176" s="73"/>
      <c r="G176" s="66" t="s">
        <v>113</v>
      </c>
      <c r="H176" s="75">
        <v>1</v>
      </c>
      <c r="I176" s="76"/>
      <c r="J176" s="98"/>
      <c r="K176" s="77"/>
      <c r="L176" s="77"/>
      <c r="M176" s="38"/>
      <c r="N176" s="100"/>
      <c r="O176" s="77"/>
      <c r="P176" s="77"/>
      <c r="Q176" s="79"/>
    </row>
    <row r="177" spans="1:18" s="15" customFormat="1" ht="31.5" customHeight="1" x14ac:dyDescent="0.25">
      <c r="A177" s="14"/>
      <c r="B177" s="34" t="s">
        <v>144</v>
      </c>
      <c r="C177" s="1" t="s">
        <v>446</v>
      </c>
      <c r="D177" s="120" t="s">
        <v>313</v>
      </c>
      <c r="E177" s="3" t="s">
        <v>20</v>
      </c>
      <c r="F177" s="73" t="s">
        <v>485</v>
      </c>
      <c r="G177" s="8" t="s">
        <v>114</v>
      </c>
      <c r="H177" s="1">
        <v>9</v>
      </c>
      <c r="I177" s="53">
        <v>1</v>
      </c>
      <c r="J177" s="52">
        <v>1</v>
      </c>
      <c r="K177" s="40"/>
      <c r="L177" s="40"/>
      <c r="M177" s="78">
        <f t="shared" si="6"/>
        <v>0</v>
      </c>
      <c r="N177" s="42">
        <v>17</v>
      </c>
      <c r="O177" s="31">
        <f>10845.7</f>
        <v>10845.7</v>
      </c>
      <c r="P177" s="31">
        <v>10845.7</v>
      </c>
      <c r="Q177" s="12">
        <f t="shared" si="5"/>
        <v>0</v>
      </c>
    </row>
    <row r="178" spans="1:18" s="21" customFormat="1" ht="47.25" customHeight="1" x14ac:dyDescent="0.25">
      <c r="A178" s="1"/>
      <c r="B178" s="30" t="s">
        <v>100</v>
      </c>
      <c r="C178" s="1" t="s">
        <v>304</v>
      </c>
      <c r="D178" s="120" t="s">
        <v>416</v>
      </c>
      <c r="E178" s="17" t="s">
        <v>20</v>
      </c>
      <c r="F178" s="73" t="s">
        <v>408</v>
      </c>
      <c r="G178" s="27" t="s">
        <v>112</v>
      </c>
      <c r="H178" s="75">
        <v>10</v>
      </c>
      <c r="I178" s="76">
        <v>5</v>
      </c>
      <c r="J178" s="98">
        <f>5</f>
        <v>5</v>
      </c>
      <c r="K178" s="86">
        <f>6524.55</f>
        <v>6524.55</v>
      </c>
      <c r="L178" s="86"/>
      <c r="M178" s="38">
        <f t="shared" si="6"/>
        <v>6524.55</v>
      </c>
      <c r="N178" s="100">
        <f>1+3</f>
        <v>4</v>
      </c>
      <c r="O178" s="87">
        <f>10770.58+2113.01</f>
        <v>12883.59</v>
      </c>
      <c r="P178" s="87"/>
      <c r="Q178" s="79">
        <f t="shared" si="5"/>
        <v>12883.59</v>
      </c>
      <c r="R178" s="141"/>
    </row>
    <row r="179" spans="1:18" s="21" customFormat="1" ht="47.25" customHeight="1" x14ac:dyDescent="0.25">
      <c r="A179" s="1"/>
      <c r="B179" s="24" t="s">
        <v>100</v>
      </c>
      <c r="C179" s="18" t="s">
        <v>125</v>
      </c>
      <c r="D179" s="120" t="s">
        <v>126</v>
      </c>
      <c r="E179" s="17" t="s">
        <v>20</v>
      </c>
      <c r="F179" s="73" t="s">
        <v>486</v>
      </c>
      <c r="G179" s="20" t="s">
        <v>114</v>
      </c>
      <c r="H179" s="1">
        <v>7</v>
      </c>
      <c r="I179" s="53"/>
      <c r="J179" s="52"/>
      <c r="K179" s="55"/>
      <c r="L179" s="55"/>
      <c r="M179" s="78">
        <f t="shared" si="6"/>
        <v>0</v>
      </c>
      <c r="N179" s="41"/>
      <c r="O179" s="54"/>
      <c r="P179" s="54"/>
      <c r="Q179" s="12">
        <f t="shared" si="5"/>
        <v>0</v>
      </c>
    </row>
    <row r="180" spans="1:18" s="13" customFormat="1" ht="15.75" customHeight="1" x14ac:dyDescent="0.25">
      <c r="A180" s="10"/>
      <c r="B180" s="62" t="s">
        <v>101</v>
      </c>
      <c r="C180" s="1" t="s">
        <v>17</v>
      </c>
      <c r="D180" s="120"/>
      <c r="E180" s="17" t="s">
        <v>20</v>
      </c>
      <c r="F180" s="73" t="s">
        <v>409</v>
      </c>
      <c r="G180" s="74" t="s">
        <v>112</v>
      </c>
      <c r="H180" s="75">
        <v>8</v>
      </c>
      <c r="I180" s="76">
        <v>1</v>
      </c>
      <c r="J180" s="96">
        <f>1</f>
        <v>1</v>
      </c>
      <c r="K180" s="77">
        <f>1045.98</f>
        <v>1045.98</v>
      </c>
      <c r="L180" s="77"/>
      <c r="M180" s="38">
        <f t="shared" si="6"/>
        <v>1045.98</v>
      </c>
      <c r="N180" s="100">
        <f>5+2</f>
        <v>7</v>
      </c>
      <c r="O180" s="81">
        <f>6288.07+3061.62</f>
        <v>9349.6899999999987</v>
      </c>
      <c r="P180" s="81"/>
      <c r="Q180" s="79">
        <f t="shared" si="5"/>
        <v>9349.6899999999987</v>
      </c>
      <c r="R180" s="141"/>
    </row>
    <row r="181" spans="1:18" s="13" customFormat="1" ht="15.75" customHeight="1" x14ac:dyDescent="0.25">
      <c r="A181" s="10"/>
      <c r="B181" s="62" t="s">
        <v>146</v>
      </c>
      <c r="C181" s="1" t="s">
        <v>17</v>
      </c>
      <c r="D181" s="120"/>
      <c r="E181" s="17" t="s">
        <v>20</v>
      </c>
      <c r="F181" s="73" t="s">
        <v>410</v>
      </c>
      <c r="G181" s="74" t="s">
        <v>112</v>
      </c>
      <c r="H181" s="75">
        <v>5</v>
      </c>
      <c r="I181" s="76">
        <v>5</v>
      </c>
      <c r="J181" s="96">
        <f>4+1</f>
        <v>5</v>
      </c>
      <c r="K181" s="77">
        <f>4610.77+1568.98</f>
        <v>6179.75</v>
      </c>
      <c r="L181" s="77"/>
      <c r="M181" s="38">
        <f t="shared" si="6"/>
        <v>6179.75</v>
      </c>
      <c r="N181" s="100">
        <f>5+1+1</f>
        <v>7</v>
      </c>
      <c r="O181" s="81">
        <f>13579.06+1287.07+2636.18</f>
        <v>17502.309999999998</v>
      </c>
      <c r="P181" s="81">
        <f>13579.06</f>
        <v>13579.06</v>
      </c>
      <c r="Q181" s="12">
        <f t="shared" si="5"/>
        <v>3923.2499999999982</v>
      </c>
      <c r="R181" s="141"/>
    </row>
    <row r="182" spans="1:18" s="13" customFormat="1" ht="15.75" customHeight="1" x14ac:dyDescent="0.25">
      <c r="A182" s="10"/>
      <c r="B182" s="22" t="s">
        <v>146</v>
      </c>
      <c r="C182" s="1" t="s">
        <v>17</v>
      </c>
      <c r="D182" s="120"/>
      <c r="E182" s="3" t="s">
        <v>21</v>
      </c>
      <c r="F182" s="73" t="s">
        <v>443</v>
      </c>
      <c r="G182" s="11" t="s">
        <v>118</v>
      </c>
      <c r="H182" s="1">
        <v>3</v>
      </c>
      <c r="I182" s="47"/>
      <c r="J182" s="51"/>
      <c r="K182" s="37"/>
      <c r="L182" s="37"/>
      <c r="M182" s="38">
        <f t="shared" si="6"/>
        <v>0</v>
      </c>
      <c r="N182" s="39">
        <v>3</v>
      </c>
      <c r="O182" s="31">
        <v>3035.18</v>
      </c>
      <c r="P182" s="31"/>
      <c r="Q182" s="79">
        <f t="shared" si="5"/>
        <v>3035.18</v>
      </c>
    </row>
    <row r="183" spans="1:18" s="13" customFormat="1" ht="15.75" customHeight="1" x14ac:dyDescent="0.25">
      <c r="A183" s="10"/>
      <c r="B183" s="27" t="s">
        <v>102</v>
      </c>
      <c r="C183" s="1" t="s">
        <v>17</v>
      </c>
      <c r="D183" s="120"/>
      <c r="E183" s="17" t="s">
        <v>20</v>
      </c>
      <c r="F183" s="73" t="s">
        <v>411</v>
      </c>
      <c r="G183" s="74" t="s">
        <v>112</v>
      </c>
      <c r="H183" s="75">
        <v>8</v>
      </c>
      <c r="I183" s="76">
        <v>2</v>
      </c>
      <c r="J183" s="96">
        <f>1+1</f>
        <v>2</v>
      </c>
      <c r="K183" s="77">
        <f>845.24+845.24</f>
        <v>1690.48</v>
      </c>
      <c r="L183" s="77"/>
      <c r="M183" s="38">
        <f t="shared" si="6"/>
        <v>1690.48</v>
      </c>
      <c r="N183" s="100">
        <f>3</f>
        <v>3</v>
      </c>
      <c r="O183" s="81">
        <f>7808.21+30833.77</f>
        <v>38641.980000000003</v>
      </c>
      <c r="P183" s="81"/>
      <c r="Q183" s="12">
        <f t="shared" si="5"/>
        <v>38641.980000000003</v>
      </c>
      <c r="R183" s="141"/>
    </row>
    <row r="184" spans="1:18" s="13" customFormat="1" ht="15.75" customHeight="1" x14ac:dyDescent="0.25">
      <c r="A184" s="10"/>
      <c r="B184" s="25" t="s">
        <v>102</v>
      </c>
      <c r="C184" s="1" t="s">
        <v>17</v>
      </c>
      <c r="D184" s="120"/>
      <c r="E184" s="17" t="s">
        <v>20</v>
      </c>
      <c r="F184" s="73" t="s">
        <v>469</v>
      </c>
      <c r="G184" s="11" t="s">
        <v>114</v>
      </c>
      <c r="H184" s="1">
        <v>3</v>
      </c>
      <c r="I184" s="58"/>
      <c r="J184" s="51"/>
      <c r="K184" s="40"/>
      <c r="L184" s="40"/>
      <c r="M184" s="38">
        <f t="shared" si="6"/>
        <v>0</v>
      </c>
      <c r="N184" s="41">
        <v>7</v>
      </c>
      <c r="O184" s="31">
        <f>7604.1</f>
        <v>7604.1</v>
      </c>
      <c r="P184" s="31">
        <v>7604.1</v>
      </c>
      <c r="Q184" s="79">
        <f t="shared" si="5"/>
        <v>0</v>
      </c>
    </row>
    <row r="185" spans="1:18" s="13" customFormat="1" ht="15.75" customHeight="1" x14ac:dyDescent="0.25">
      <c r="A185" s="10"/>
      <c r="B185" s="27" t="s">
        <v>103</v>
      </c>
      <c r="C185" s="1" t="s">
        <v>17</v>
      </c>
      <c r="D185" s="120"/>
      <c r="E185" s="3" t="s">
        <v>20</v>
      </c>
      <c r="F185" s="73" t="s">
        <v>412</v>
      </c>
      <c r="G185" s="74" t="s">
        <v>112</v>
      </c>
      <c r="H185" s="75">
        <v>7</v>
      </c>
      <c r="I185" s="76"/>
      <c r="J185" s="96"/>
      <c r="K185" s="77"/>
      <c r="L185" s="77"/>
      <c r="M185" s="38">
        <f t="shared" si="6"/>
        <v>0</v>
      </c>
      <c r="N185" s="100">
        <f>7</f>
        <v>7</v>
      </c>
      <c r="O185" s="77">
        <f>20193.14</f>
        <v>20193.14</v>
      </c>
      <c r="P185" s="81"/>
      <c r="Q185" s="12">
        <f t="shared" si="5"/>
        <v>20193.14</v>
      </c>
      <c r="R185" s="141"/>
    </row>
    <row r="186" spans="1:18" s="13" customFormat="1" ht="15.75" customHeight="1" x14ac:dyDescent="0.25">
      <c r="A186" s="10"/>
      <c r="B186" s="25" t="s">
        <v>103</v>
      </c>
      <c r="C186" s="1" t="s">
        <v>17</v>
      </c>
      <c r="D186" s="120"/>
      <c r="E186" s="3" t="s">
        <v>20</v>
      </c>
      <c r="F186" s="73" t="s">
        <v>470</v>
      </c>
      <c r="G186" s="11" t="s">
        <v>114</v>
      </c>
      <c r="H186" s="1">
        <v>4</v>
      </c>
      <c r="I186" s="49"/>
      <c r="J186" s="51"/>
      <c r="K186" s="40"/>
      <c r="L186" s="40"/>
      <c r="M186" s="38">
        <f t="shared" si="6"/>
        <v>0</v>
      </c>
      <c r="N186" s="41">
        <v>3</v>
      </c>
      <c r="O186" s="31">
        <f>8510.89</f>
        <v>8510.89</v>
      </c>
      <c r="P186" s="31">
        <v>8510.89</v>
      </c>
      <c r="Q186" s="79">
        <f t="shared" si="5"/>
        <v>0</v>
      </c>
    </row>
    <row r="187" spans="1:18" s="15" customFormat="1" ht="15.75" customHeight="1" x14ac:dyDescent="0.25">
      <c r="A187" s="14"/>
      <c r="B187" s="28" t="s">
        <v>104</v>
      </c>
      <c r="C187" s="1" t="s">
        <v>17</v>
      </c>
      <c r="D187" s="120"/>
      <c r="E187" s="3" t="s">
        <v>20</v>
      </c>
      <c r="F187" s="73" t="s">
        <v>413</v>
      </c>
      <c r="G187" s="74" t="s">
        <v>112</v>
      </c>
      <c r="H187" s="75">
        <v>6</v>
      </c>
      <c r="I187" s="76">
        <v>4</v>
      </c>
      <c r="J187" s="96">
        <f>3+1</f>
        <v>4</v>
      </c>
      <c r="K187" s="77">
        <f>5112.82+422.64</f>
        <v>5535.46</v>
      </c>
      <c r="L187" s="77"/>
      <c r="M187" s="38">
        <f t="shared" si="6"/>
        <v>5535.46</v>
      </c>
      <c r="N187" s="100">
        <f>4+1</f>
        <v>5</v>
      </c>
      <c r="O187" s="81">
        <f>7087.22</f>
        <v>7087.22</v>
      </c>
      <c r="P187" s="81">
        <f>7086.22</f>
        <v>7086.22</v>
      </c>
      <c r="Q187" s="12">
        <f t="shared" si="5"/>
        <v>1</v>
      </c>
      <c r="R187" s="141"/>
    </row>
    <row r="188" spans="1:18" s="15" customFormat="1" ht="15.75" customHeight="1" x14ac:dyDescent="0.25">
      <c r="A188" s="14"/>
      <c r="B188" s="26" t="s">
        <v>104</v>
      </c>
      <c r="C188" s="1" t="s">
        <v>17</v>
      </c>
      <c r="D188" s="120"/>
      <c r="E188" s="3" t="s">
        <v>20</v>
      </c>
      <c r="F188" s="73" t="s">
        <v>471</v>
      </c>
      <c r="G188" s="11" t="s">
        <v>114</v>
      </c>
      <c r="H188" s="1">
        <v>20</v>
      </c>
      <c r="I188" s="49"/>
      <c r="J188" s="51"/>
      <c r="K188" s="40"/>
      <c r="L188" s="40"/>
      <c r="M188" s="38">
        <f t="shared" si="6"/>
        <v>0</v>
      </c>
      <c r="N188" s="39">
        <v>12</v>
      </c>
      <c r="O188" s="31">
        <f>8717.37</f>
        <v>8717.3700000000008</v>
      </c>
      <c r="P188" s="31">
        <v>8717.3700000000008</v>
      </c>
      <c r="Q188" s="79">
        <f t="shared" si="5"/>
        <v>0</v>
      </c>
    </row>
    <row r="189" spans="1:18" s="13" customFormat="1" ht="15.75" customHeight="1" x14ac:dyDescent="0.25">
      <c r="A189" s="10"/>
      <c r="B189" s="30" t="s">
        <v>105</v>
      </c>
      <c r="C189" s="1" t="s">
        <v>17</v>
      </c>
      <c r="D189" s="120"/>
      <c r="E189" s="17" t="s">
        <v>35</v>
      </c>
      <c r="F189" s="73" t="s">
        <v>419</v>
      </c>
      <c r="G189" s="74" t="s">
        <v>112</v>
      </c>
      <c r="H189" s="75"/>
      <c r="I189" s="76"/>
      <c r="J189" s="96"/>
      <c r="K189" s="77"/>
      <c r="L189" s="77"/>
      <c r="M189" s="38">
        <f t="shared" si="6"/>
        <v>0</v>
      </c>
      <c r="N189" s="100"/>
      <c r="O189" s="81"/>
      <c r="P189" s="81"/>
      <c r="Q189" s="12">
        <f t="shared" si="5"/>
        <v>0</v>
      </c>
      <c r="R189" s="141"/>
    </row>
    <row r="190" spans="1:18" s="13" customFormat="1" ht="15.75" customHeight="1" x14ac:dyDescent="0.25">
      <c r="A190" s="10"/>
      <c r="B190" s="30" t="s">
        <v>26</v>
      </c>
      <c r="C190" s="1" t="s">
        <v>17</v>
      </c>
      <c r="D190" s="120"/>
      <c r="E190" s="3" t="s">
        <v>32</v>
      </c>
      <c r="F190" s="73" t="s">
        <v>246</v>
      </c>
      <c r="G190" s="74" t="s">
        <v>117</v>
      </c>
      <c r="H190" s="75"/>
      <c r="I190" s="76"/>
      <c r="J190" s="96"/>
      <c r="K190" s="77"/>
      <c r="L190" s="77"/>
      <c r="M190" s="78">
        <f t="shared" si="6"/>
        <v>0</v>
      </c>
      <c r="N190" s="100">
        <v>3</v>
      </c>
      <c r="O190" s="81">
        <v>3774.05</v>
      </c>
      <c r="P190" s="81">
        <v>3774.05</v>
      </c>
      <c r="Q190" s="12">
        <f t="shared" si="5"/>
        <v>0</v>
      </c>
    </row>
    <row r="191" spans="1:18" s="13" customFormat="1" ht="15.75" customHeight="1" x14ac:dyDescent="0.25">
      <c r="A191" s="10"/>
      <c r="B191" s="24" t="s">
        <v>105</v>
      </c>
      <c r="C191" s="1" t="s">
        <v>17</v>
      </c>
      <c r="D191" s="120"/>
      <c r="E191" s="17" t="s">
        <v>35</v>
      </c>
      <c r="F191" s="73" t="s">
        <v>436</v>
      </c>
      <c r="G191" s="11" t="s">
        <v>117</v>
      </c>
      <c r="H191" s="1"/>
      <c r="I191" s="47"/>
      <c r="J191" s="46"/>
      <c r="K191" s="40"/>
      <c r="L191" s="40"/>
      <c r="M191" s="38">
        <f t="shared" si="6"/>
        <v>0</v>
      </c>
      <c r="N191" s="41"/>
      <c r="O191" s="31"/>
      <c r="P191" s="31"/>
      <c r="Q191" s="79">
        <f t="shared" si="5"/>
        <v>0</v>
      </c>
    </row>
    <row r="192" spans="1:18" s="13" customFormat="1" ht="15.75" customHeight="1" x14ac:dyDescent="0.25">
      <c r="A192" s="10"/>
      <c r="B192" s="62" t="s">
        <v>106</v>
      </c>
      <c r="C192" s="1" t="s">
        <v>17</v>
      </c>
      <c r="D192" s="2"/>
      <c r="E192" s="17" t="s">
        <v>20</v>
      </c>
      <c r="F192" s="73" t="s">
        <v>414</v>
      </c>
      <c r="G192" s="74" t="s">
        <v>112</v>
      </c>
      <c r="H192" s="75">
        <v>6</v>
      </c>
      <c r="I192" s="76"/>
      <c r="J192" s="96"/>
      <c r="K192" s="77"/>
      <c r="L192" s="77"/>
      <c r="M192" s="38">
        <f t="shared" si="6"/>
        <v>0</v>
      </c>
      <c r="N192" s="100">
        <f>3</f>
        <v>3</v>
      </c>
      <c r="O192" s="81">
        <f>15956.85</f>
        <v>15956.85</v>
      </c>
      <c r="P192" s="81"/>
      <c r="Q192" s="12">
        <f t="shared" si="5"/>
        <v>15956.85</v>
      </c>
      <c r="R192" s="141"/>
    </row>
    <row r="193" spans="1:18" ht="15.75" customHeight="1" x14ac:dyDescent="0.25">
      <c r="A193" s="7"/>
      <c r="B193" s="32"/>
      <c r="C193" s="107"/>
      <c r="D193" s="33"/>
      <c r="E193" s="33"/>
      <c r="F193" s="73"/>
      <c r="G193" s="8" t="s">
        <v>131</v>
      </c>
      <c r="H193" s="106">
        <f t="shared" ref="H193:P193" si="7">SUM(H10:H192)</f>
        <v>1008</v>
      </c>
      <c r="I193" s="59">
        <f t="shared" si="7"/>
        <v>287</v>
      </c>
      <c r="J193" s="43">
        <f t="shared" si="7"/>
        <v>302</v>
      </c>
      <c r="K193" s="56">
        <f t="shared" si="7"/>
        <v>437887.56499999989</v>
      </c>
      <c r="L193" s="56">
        <f t="shared" si="7"/>
        <v>2362.84</v>
      </c>
      <c r="M193" s="44">
        <f>K193-L193</f>
        <v>435524.72499999986</v>
      </c>
      <c r="N193" s="43">
        <f t="shared" si="7"/>
        <v>1165</v>
      </c>
      <c r="O193" s="57">
        <f t="shared" si="7"/>
        <v>2960680.6</v>
      </c>
      <c r="P193" s="57">
        <f t="shared" si="7"/>
        <v>904311.71999999962</v>
      </c>
      <c r="Q193" s="79">
        <f t="shared" si="5"/>
        <v>2056368.8800000004</v>
      </c>
      <c r="R193" s="129"/>
    </row>
    <row r="194" spans="1:18" ht="15" customHeight="1" x14ac:dyDescent="0.25">
      <c r="K194" s="91" t="s">
        <v>305</v>
      </c>
    </row>
    <row r="195" spans="1:18" ht="45" customHeight="1" x14ac:dyDescent="0.25">
      <c r="B195" s="89" t="s">
        <v>316</v>
      </c>
      <c r="F195" s="104" t="s">
        <v>317</v>
      </c>
      <c r="M195" s="142"/>
      <c r="Q195" s="133"/>
    </row>
  </sheetData>
  <autoFilter ref="A8:Q195"/>
  <mergeCells count="7">
    <mergeCell ref="O1:Q1"/>
    <mergeCell ref="A3:Q3"/>
    <mergeCell ref="A4:Q4"/>
    <mergeCell ref="A5:Q5"/>
    <mergeCell ref="B7:G7"/>
    <mergeCell ref="H7:M7"/>
    <mergeCell ref="N7:Q7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95"/>
  <sheetViews>
    <sheetView workbookViewId="0">
      <selection sqref="A1:XFD1048576"/>
    </sheetView>
  </sheetViews>
  <sheetFormatPr defaultRowHeight="15" x14ac:dyDescent="0.25"/>
  <cols>
    <col min="1" max="1" width="1.85546875" style="6" customWidth="1"/>
    <col min="2" max="2" width="38.28515625" style="88" customWidth="1"/>
    <col min="3" max="3" width="6.5703125" style="19" customWidth="1"/>
    <col min="4" max="4" width="17.42578125" style="19" customWidth="1"/>
    <col min="5" max="5" width="19" style="19" customWidth="1"/>
    <col min="6" max="6" width="6.140625" style="89" customWidth="1"/>
    <col min="7" max="7" width="21.42578125" style="89" customWidth="1"/>
    <col min="8" max="8" width="11.85546875" style="90" customWidth="1"/>
    <col min="9" max="9" width="10.7109375" style="90" customWidth="1"/>
    <col min="10" max="10" width="7.42578125" style="99" customWidth="1"/>
    <col min="11" max="11" width="16.5703125" style="91" customWidth="1"/>
    <col min="12" max="12" width="13.28515625" style="91" customWidth="1"/>
    <col min="13" max="13" width="15.7109375" style="91" customWidth="1"/>
    <col min="14" max="14" width="10.7109375" style="99" customWidth="1"/>
    <col min="15" max="15" width="14" style="92" customWidth="1"/>
    <col min="16" max="16" width="16" style="92" customWidth="1"/>
    <col min="17" max="17" width="14.42578125" style="92" customWidth="1"/>
    <col min="18" max="18" width="11.7109375" style="6" customWidth="1"/>
    <col min="19" max="19" width="9.42578125" style="6" customWidth="1"/>
    <col min="20" max="21" width="9.140625" style="6" customWidth="1"/>
    <col min="22" max="16384" width="9.140625" style="6"/>
  </cols>
  <sheetData>
    <row r="1" spans="1:18" s="105" customFormat="1" x14ac:dyDescent="0.25">
      <c r="B1" s="60"/>
      <c r="C1" s="4"/>
      <c r="D1" s="4"/>
      <c r="E1" s="4"/>
      <c r="F1" s="63"/>
      <c r="G1" s="63"/>
      <c r="H1" s="64"/>
      <c r="I1" s="64"/>
      <c r="J1" s="93"/>
      <c r="K1" s="65"/>
      <c r="L1" s="65"/>
      <c r="M1" s="65"/>
      <c r="N1" s="93"/>
      <c r="O1" s="362" t="s">
        <v>15</v>
      </c>
      <c r="P1" s="362"/>
      <c r="Q1" s="362"/>
    </row>
    <row r="2" spans="1:18" s="105" customFormat="1" x14ac:dyDescent="0.25">
      <c r="A2" s="7"/>
      <c r="B2" s="158"/>
      <c r="C2" s="107"/>
      <c r="D2" s="107"/>
      <c r="E2" s="107"/>
      <c r="F2" s="66"/>
      <c r="G2" s="66"/>
      <c r="H2" s="157"/>
      <c r="I2" s="157"/>
      <c r="J2" s="94"/>
      <c r="K2" s="67"/>
      <c r="L2" s="67"/>
      <c r="M2" s="67"/>
      <c r="N2" s="94"/>
      <c r="O2" s="68"/>
      <c r="P2" s="68"/>
      <c r="Q2" s="68"/>
    </row>
    <row r="3" spans="1:18" s="105" customFormat="1" x14ac:dyDescent="0.25">
      <c r="A3" s="363" t="s">
        <v>318</v>
      </c>
      <c r="B3" s="364"/>
      <c r="C3" s="363"/>
      <c r="D3" s="363"/>
      <c r="E3" s="363"/>
      <c r="F3" s="364"/>
      <c r="G3" s="364"/>
      <c r="H3" s="365"/>
      <c r="I3" s="366"/>
      <c r="J3" s="367"/>
      <c r="K3" s="364"/>
      <c r="L3" s="364"/>
      <c r="M3" s="364"/>
      <c r="N3" s="364"/>
      <c r="O3" s="364"/>
      <c r="P3" s="364"/>
      <c r="Q3" s="364"/>
    </row>
    <row r="4" spans="1:18" s="105" customFormat="1" x14ac:dyDescent="0.25">
      <c r="A4" s="368">
        <v>43577</v>
      </c>
      <c r="B4" s="369"/>
      <c r="C4" s="370"/>
      <c r="D4" s="370"/>
      <c r="E4" s="370"/>
      <c r="F4" s="369"/>
      <c r="G4" s="369"/>
      <c r="H4" s="371"/>
      <c r="I4" s="372"/>
      <c r="J4" s="373"/>
      <c r="K4" s="369"/>
      <c r="L4" s="369"/>
      <c r="M4" s="369"/>
      <c r="N4" s="369"/>
      <c r="O4" s="369"/>
      <c r="P4" s="369"/>
      <c r="Q4" s="369"/>
    </row>
    <row r="5" spans="1:18" s="105" customFormat="1" x14ac:dyDescent="0.25">
      <c r="A5" s="374" t="s">
        <v>14</v>
      </c>
      <c r="B5" s="367"/>
      <c r="C5" s="374"/>
      <c r="D5" s="374"/>
      <c r="E5" s="374"/>
      <c r="F5" s="367"/>
      <c r="G5" s="367"/>
      <c r="H5" s="366"/>
      <c r="I5" s="366"/>
      <c r="J5" s="367"/>
      <c r="K5" s="367"/>
      <c r="L5" s="367"/>
      <c r="M5" s="367"/>
      <c r="N5" s="367"/>
      <c r="O5" s="367"/>
      <c r="P5" s="367"/>
      <c r="Q5" s="367"/>
    </row>
    <row r="6" spans="1:18" s="105" customFormat="1" x14ac:dyDescent="0.25">
      <c r="A6" s="7"/>
      <c r="B6" s="158"/>
      <c r="C6" s="107"/>
      <c r="D6" s="107"/>
      <c r="E6" s="107"/>
      <c r="F6" s="66"/>
      <c r="G6" s="66"/>
      <c r="H6" s="157"/>
      <c r="I6" s="157"/>
      <c r="J6" s="94"/>
      <c r="K6" s="67"/>
      <c r="L6" s="67"/>
      <c r="M6" s="67"/>
      <c r="N6" s="94"/>
      <c r="O6" s="68"/>
      <c r="P6" s="68"/>
      <c r="Q6" s="68"/>
    </row>
    <row r="7" spans="1:18" x14ac:dyDescent="0.25">
      <c r="A7" s="5" t="s">
        <v>0</v>
      </c>
      <c r="B7" s="364" t="s">
        <v>10</v>
      </c>
      <c r="C7" s="375"/>
      <c r="D7" s="375"/>
      <c r="E7" s="375"/>
      <c r="F7" s="364"/>
      <c r="G7" s="364"/>
      <c r="H7" s="365" t="s">
        <v>472</v>
      </c>
      <c r="I7" s="366"/>
      <c r="J7" s="367"/>
      <c r="K7" s="364"/>
      <c r="L7" s="364"/>
      <c r="M7" s="364"/>
      <c r="N7" s="364" t="s">
        <v>132</v>
      </c>
      <c r="O7" s="364"/>
      <c r="P7" s="364"/>
      <c r="Q7" s="364"/>
    </row>
    <row r="8" spans="1:18" ht="195" x14ac:dyDescent="0.25">
      <c r="A8" s="5"/>
      <c r="B8" s="158" t="s">
        <v>4</v>
      </c>
      <c r="C8" s="107" t="s">
        <v>1</v>
      </c>
      <c r="D8" s="107" t="s">
        <v>3</v>
      </c>
      <c r="E8" s="107" t="s">
        <v>2</v>
      </c>
      <c r="F8" s="122" t="s">
        <v>6</v>
      </c>
      <c r="G8" s="66" t="s">
        <v>5</v>
      </c>
      <c r="H8" s="158" t="s">
        <v>7</v>
      </c>
      <c r="I8" s="158" t="s">
        <v>8</v>
      </c>
      <c r="J8" s="94" t="s">
        <v>9</v>
      </c>
      <c r="K8" s="67" t="s">
        <v>11</v>
      </c>
      <c r="L8" s="67" t="s">
        <v>12</v>
      </c>
      <c r="M8" s="67" t="s">
        <v>13</v>
      </c>
      <c r="N8" s="94" t="s">
        <v>9</v>
      </c>
      <c r="O8" s="68" t="s">
        <v>11</v>
      </c>
      <c r="P8" s="68" t="s">
        <v>12</v>
      </c>
      <c r="Q8" s="68" t="s">
        <v>13</v>
      </c>
    </row>
    <row r="9" spans="1:18" x14ac:dyDescent="0.25">
      <c r="A9" s="9">
        <v>1</v>
      </c>
      <c r="B9" s="61">
        <f>A9+1</f>
        <v>2</v>
      </c>
      <c r="C9" s="9">
        <f t="shared" ref="C9:Q9" si="0">B9+1</f>
        <v>3</v>
      </c>
      <c r="D9" s="9">
        <f t="shared" si="0"/>
        <v>4</v>
      </c>
      <c r="E9" s="9">
        <f t="shared" si="0"/>
        <v>5</v>
      </c>
      <c r="F9" s="69">
        <f t="shared" si="0"/>
        <v>6</v>
      </c>
      <c r="G9" s="69">
        <f t="shared" si="0"/>
        <v>7</v>
      </c>
      <c r="H9" s="70">
        <f t="shared" si="0"/>
        <v>8</v>
      </c>
      <c r="I9" s="70">
        <f t="shared" si="0"/>
        <v>9</v>
      </c>
      <c r="J9" s="95">
        <f t="shared" si="0"/>
        <v>10</v>
      </c>
      <c r="K9" s="71">
        <f t="shared" si="0"/>
        <v>11</v>
      </c>
      <c r="L9" s="71">
        <f t="shared" si="0"/>
        <v>12</v>
      </c>
      <c r="M9" s="71">
        <f t="shared" si="0"/>
        <v>13</v>
      </c>
      <c r="N9" s="95">
        <f t="shared" si="0"/>
        <v>14</v>
      </c>
      <c r="O9" s="72">
        <f t="shared" si="0"/>
        <v>15</v>
      </c>
      <c r="P9" s="72">
        <f t="shared" si="0"/>
        <v>16</v>
      </c>
      <c r="Q9" s="72">
        <f t="shared" si="0"/>
        <v>17</v>
      </c>
    </row>
    <row r="10" spans="1:18" s="13" customFormat="1" ht="31.5" x14ac:dyDescent="0.25">
      <c r="A10" s="10"/>
      <c r="B10" s="62" t="s">
        <v>16</v>
      </c>
      <c r="C10" s="1" t="s">
        <v>304</v>
      </c>
      <c r="D10" s="120" t="s">
        <v>315</v>
      </c>
      <c r="E10" s="3" t="s">
        <v>18</v>
      </c>
      <c r="F10" s="73" t="s">
        <v>322</v>
      </c>
      <c r="G10" s="74" t="s">
        <v>112</v>
      </c>
      <c r="H10" s="75">
        <v>7</v>
      </c>
      <c r="I10" s="76">
        <v>3</v>
      </c>
      <c r="J10" s="98">
        <f>2+1</f>
        <v>3</v>
      </c>
      <c r="K10" s="77">
        <f>4792.51+1138.19</f>
        <v>5930.7000000000007</v>
      </c>
      <c r="L10" s="77"/>
      <c r="M10" s="78">
        <f>K10-L10</f>
        <v>5930.7000000000007</v>
      </c>
      <c r="N10" s="100">
        <f>2+5+1</f>
        <v>8</v>
      </c>
      <c r="O10" s="77">
        <f>9108.77</f>
        <v>9108.77</v>
      </c>
      <c r="P10" s="77">
        <f>4765.04</f>
        <v>4765.04</v>
      </c>
      <c r="Q10" s="79">
        <f>O10-P10</f>
        <v>4343.7300000000005</v>
      </c>
      <c r="R10" s="141"/>
    </row>
    <row r="11" spans="1:18" s="13" customFormat="1" ht="31.5" x14ac:dyDescent="0.25">
      <c r="A11" s="10"/>
      <c r="B11" s="22" t="s">
        <v>16</v>
      </c>
      <c r="C11" s="1" t="s">
        <v>304</v>
      </c>
      <c r="D11" s="120" t="s">
        <v>315</v>
      </c>
      <c r="E11" s="3" t="s">
        <v>18</v>
      </c>
      <c r="F11" s="73" t="s">
        <v>322</v>
      </c>
      <c r="G11" s="11" t="s">
        <v>116</v>
      </c>
      <c r="H11" s="1">
        <v>2</v>
      </c>
      <c r="I11" s="49"/>
      <c r="J11" s="46"/>
      <c r="K11" s="31"/>
      <c r="L11" s="31"/>
      <c r="M11" s="38">
        <f t="shared" ref="M11:M83" si="1">K11-L11</f>
        <v>0</v>
      </c>
      <c r="N11" s="41"/>
      <c r="O11" s="31">
        <v>2945</v>
      </c>
      <c r="P11" s="31">
        <v>2945</v>
      </c>
      <c r="Q11" s="12">
        <f t="shared" ref="Q11:Q78" si="2">O11-P11</f>
        <v>0</v>
      </c>
    </row>
    <row r="12" spans="1:18" s="13" customFormat="1" ht="15.75" x14ac:dyDescent="0.25">
      <c r="A12" s="10"/>
      <c r="B12" s="22" t="s">
        <v>490</v>
      </c>
      <c r="C12" s="1"/>
      <c r="D12" s="120"/>
      <c r="E12" s="3"/>
      <c r="F12" s="73"/>
      <c r="G12" s="11" t="s">
        <v>112</v>
      </c>
      <c r="H12" s="1">
        <v>2</v>
      </c>
      <c r="I12" s="49"/>
      <c r="J12" s="46"/>
      <c r="K12" s="31"/>
      <c r="L12" s="31"/>
      <c r="M12" s="38"/>
      <c r="N12" s="41"/>
      <c r="O12" s="31"/>
      <c r="P12" s="31"/>
      <c r="Q12" s="12"/>
    </row>
    <row r="13" spans="1:18" s="15" customFormat="1" ht="15.75" x14ac:dyDescent="0.25">
      <c r="A13" s="14"/>
      <c r="B13" s="80" t="s">
        <v>19</v>
      </c>
      <c r="C13" s="1" t="s">
        <v>17</v>
      </c>
      <c r="D13" s="120"/>
      <c r="E13" s="3" t="s">
        <v>20</v>
      </c>
      <c r="F13" s="73" t="s">
        <v>323</v>
      </c>
      <c r="G13" s="74" t="s">
        <v>112</v>
      </c>
      <c r="H13" s="75">
        <v>8</v>
      </c>
      <c r="I13" s="76">
        <v>5</v>
      </c>
      <c r="J13" s="96">
        <f>1+2+5</f>
        <v>8</v>
      </c>
      <c r="K13" s="77">
        <f>422.62+4792.51+8241.09</f>
        <v>13456.220000000001</v>
      </c>
      <c r="L13" s="77">
        <f>422.62</f>
        <v>422.62</v>
      </c>
      <c r="M13" s="78">
        <f t="shared" si="1"/>
        <v>13033.6</v>
      </c>
      <c r="N13" s="100">
        <f>8</f>
        <v>8</v>
      </c>
      <c r="O13" s="81">
        <v>6459.36</v>
      </c>
      <c r="P13" s="81">
        <f>5614.12+545.24</f>
        <v>6159.36</v>
      </c>
      <c r="Q13" s="79">
        <f t="shared" si="2"/>
        <v>300</v>
      </c>
      <c r="R13" s="141"/>
    </row>
    <row r="14" spans="1:18" s="15" customFormat="1" ht="15.75" x14ac:dyDescent="0.25">
      <c r="A14" s="14"/>
      <c r="B14" s="23" t="s">
        <v>19</v>
      </c>
      <c r="C14" s="1" t="s">
        <v>17</v>
      </c>
      <c r="D14" s="120"/>
      <c r="E14" s="3" t="s">
        <v>20</v>
      </c>
      <c r="F14" s="73" t="s">
        <v>451</v>
      </c>
      <c r="G14" s="11" t="s">
        <v>114</v>
      </c>
      <c r="H14" s="1">
        <v>4</v>
      </c>
      <c r="I14" s="49">
        <v>1</v>
      </c>
      <c r="J14" s="51">
        <v>1</v>
      </c>
      <c r="K14" s="40"/>
      <c r="L14" s="40"/>
      <c r="M14" s="38">
        <f t="shared" si="1"/>
        <v>0</v>
      </c>
      <c r="N14" s="42">
        <v>7</v>
      </c>
      <c r="O14" s="31">
        <v>3818</v>
      </c>
      <c r="P14" s="31">
        <v>3818</v>
      </c>
      <c r="Q14" s="12">
        <f t="shared" si="2"/>
        <v>0</v>
      </c>
    </row>
    <row r="15" spans="1:18" s="15" customFormat="1" ht="15.75" x14ac:dyDescent="0.25">
      <c r="A15" s="14"/>
      <c r="B15" s="62" t="s">
        <v>153</v>
      </c>
      <c r="C15" s="1" t="s">
        <v>17</v>
      </c>
      <c r="D15" s="120"/>
      <c r="E15" s="3" t="s">
        <v>20</v>
      </c>
      <c r="F15" s="73" t="s">
        <v>324</v>
      </c>
      <c r="G15" s="74" t="s">
        <v>112</v>
      </c>
      <c r="H15" s="75">
        <v>5</v>
      </c>
      <c r="I15" s="82">
        <v>2</v>
      </c>
      <c r="J15" s="96">
        <f>1+1+2</f>
        <v>4</v>
      </c>
      <c r="K15" s="77">
        <f>950.9+2451.87+3074.57</f>
        <v>6477.34</v>
      </c>
      <c r="L15" s="77">
        <v>950.9</v>
      </c>
      <c r="M15" s="78">
        <f t="shared" si="1"/>
        <v>5526.4400000000005</v>
      </c>
      <c r="N15" s="114">
        <f>1+2+1+2</f>
        <v>6</v>
      </c>
      <c r="O15" s="81">
        <f>422.62+945.61+2484.69+7964.81</f>
        <v>11817.73</v>
      </c>
      <c r="P15" s="81">
        <f>422.62</f>
        <v>422.62</v>
      </c>
      <c r="Q15" s="79">
        <f t="shared" si="2"/>
        <v>11395.109999999999</v>
      </c>
      <c r="R15" s="141"/>
    </row>
    <row r="16" spans="1:18" s="15" customFormat="1" ht="15.75" x14ac:dyDescent="0.25">
      <c r="A16" s="14"/>
      <c r="B16" s="50" t="s">
        <v>153</v>
      </c>
      <c r="C16" s="1" t="s">
        <v>17</v>
      </c>
      <c r="D16" s="120"/>
      <c r="E16" s="3" t="s">
        <v>20</v>
      </c>
      <c r="F16" s="73" t="s">
        <v>452</v>
      </c>
      <c r="G16" s="11" t="s">
        <v>114</v>
      </c>
      <c r="H16" s="1">
        <v>3</v>
      </c>
      <c r="I16" s="49">
        <v>1</v>
      </c>
      <c r="J16" s="51">
        <v>1</v>
      </c>
      <c r="K16" s="40"/>
      <c r="L16" s="40"/>
      <c r="M16" s="38">
        <f t="shared" si="1"/>
        <v>0</v>
      </c>
      <c r="N16" s="42">
        <v>5</v>
      </c>
      <c r="O16" s="31">
        <v>13319</v>
      </c>
      <c r="P16" s="31">
        <v>8516.5</v>
      </c>
      <c r="Q16" s="12">
        <f t="shared" si="2"/>
        <v>4802.5</v>
      </c>
    </row>
    <row r="17" spans="1:18" s="13" customFormat="1" ht="15.75" x14ac:dyDescent="0.25">
      <c r="A17" s="10"/>
      <c r="B17" s="30" t="s">
        <v>22</v>
      </c>
      <c r="C17" s="1" t="s">
        <v>17</v>
      </c>
      <c r="D17" s="120"/>
      <c r="E17" s="3" t="s">
        <v>23</v>
      </c>
      <c r="F17" s="73" t="s">
        <v>325</v>
      </c>
      <c r="G17" s="74" t="s">
        <v>112</v>
      </c>
      <c r="H17" s="75">
        <v>10</v>
      </c>
      <c r="I17" s="76">
        <v>3</v>
      </c>
      <c r="J17" s="96">
        <f>1+2</f>
        <v>3</v>
      </c>
      <c r="K17" s="77">
        <f>2698.64+1402.33</f>
        <v>4100.9699999999993</v>
      </c>
      <c r="L17" s="77"/>
      <c r="M17" s="78">
        <f t="shared" si="1"/>
        <v>4100.9699999999993</v>
      </c>
      <c r="N17" s="100">
        <f>14+3+7</f>
        <v>24</v>
      </c>
      <c r="O17" s="81">
        <f>22716.4+4171.06+18768.39</f>
        <v>45655.850000000006</v>
      </c>
      <c r="P17" s="81">
        <f>22717.4</f>
        <v>22717.4</v>
      </c>
      <c r="Q17" s="79">
        <f t="shared" si="2"/>
        <v>22938.450000000004</v>
      </c>
      <c r="R17" s="141"/>
    </row>
    <row r="18" spans="1:18" s="13" customFormat="1" ht="15.75" x14ac:dyDescent="0.25">
      <c r="A18" s="10"/>
      <c r="B18" s="24" t="s">
        <v>154</v>
      </c>
      <c r="C18" s="1" t="s">
        <v>17</v>
      </c>
      <c r="D18" s="120"/>
      <c r="E18" s="3" t="s">
        <v>20</v>
      </c>
      <c r="F18" s="73" t="s">
        <v>453</v>
      </c>
      <c r="G18" s="11" t="s">
        <v>114</v>
      </c>
      <c r="H18" s="1">
        <v>8</v>
      </c>
      <c r="I18" s="47"/>
      <c r="J18" s="51"/>
      <c r="K18" s="37"/>
      <c r="L18" s="37"/>
      <c r="M18" s="38">
        <f t="shared" si="1"/>
        <v>0</v>
      </c>
      <c r="N18" s="39">
        <v>5</v>
      </c>
      <c r="O18" s="31">
        <v>5603</v>
      </c>
      <c r="P18" s="31">
        <v>5603</v>
      </c>
      <c r="Q18" s="12">
        <f t="shared" si="2"/>
        <v>0</v>
      </c>
    </row>
    <row r="19" spans="1:18" s="13" customFormat="1" ht="15.75" x14ac:dyDescent="0.25">
      <c r="A19" s="10"/>
      <c r="B19" s="30" t="s">
        <v>154</v>
      </c>
      <c r="C19" s="1" t="s">
        <v>17</v>
      </c>
      <c r="D19" s="120"/>
      <c r="E19" s="3" t="s">
        <v>20</v>
      </c>
      <c r="F19" s="73" t="s">
        <v>326</v>
      </c>
      <c r="G19" s="74" t="s">
        <v>112</v>
      </c>
      <c r="H19" s="75">
        <v>11</v>
      </c>
      <c r="I19" s="76">
        <v>5</v>
      </c>
      <c r="J19" s="96">
        <f>1+1+2+2</f>
        <v>6</v>
      </c>
      <c r="K19" s="77">
        <f>950.9+864.46+845.24</f>
        <v>2660.6000000000004</v>
      </c>
      <c r="L19" s="77"/>
      <c r="M19" s="78">
        <f t="shared" si="1"/>
        <v>2660.6000000000004</v>
      </c>
      <c r="N19" s="100">
        <f>6+3+1+1</f>
        <v>11</v>
      </c>
      <c r="O19" s="128">
        <f>6681.33+7017+1523.5</f>
        <v>15221.83</v>
      </c>
      <c r="P19" s="81">
        <f>8477.51</f>
        <v>8477.51</v>
      </c>
      <c r="Q19" s="79">
        <f t="shared" si="2"/>
        <v>6744.32</v>
      </c>
      <c r="R19" s="141"/>
    </row>
    <row r="20" spans="1:18" s="13" customFormat="1" ht="15.75" x14ac:dyDescent="0.25">
      <c r="A20" s="10"/>
      <c r="B20" s="62" t="s">
        <v>24</v>
      </c>
      <c r="C20" s="1" t="s">
        <v>17</v>
      </c>
      <c r="D20" s="120"/>
      <c r="E20" s="3" t="s">
        <v>20</v>
      </c>
      <c r="F20" s="73" t="s">
        <v>327</v>
      </c>
      <c r="G20" s="74" t="s">
        <v>112</v>
      </c>
      <c r="H20" s="75">
        <v>3</v>
      </c>
      <c r="I20" s="76"/>
      <c r="J20" s="96"/>
      <c r="K20" s="77"/>
      <c r="L20" s="77"/>
      <c r="M20" s="38">
        <f t="shared" si="1"/>
        <v>0</v>
      </c>
      <c r="N20" s="100">
        <f>1</f>
        <v>1</v>
      </c>
      <c r="O20" s="81">
        <f>576.3</f>
        <v>576.29999999999995</v>
      </c>
      <c r="P20" s="81">
        <f>576.3</f>
        <v>576.29999999999995</v>
      </c>
      <c r="Q20" s="12">
        <f t="shared" si="2"/>
        <v>0</v>
      </c>
      <c r="R20" s="141"/>
    </row>
    <row r="21" spans="1:18" s="13" customFormat="1" ht="15.75" x14ac:dyDescent="0.25">
      <c r="A21" s="10"/>
      <c r="B21" s="22" t="s">
        <v>24</v>
      </c>
      <c r="C21" s="1" t="s">
        <v>17</v>
      </c>
      <c r="D21" s="120"/>
      <c r="E21" s="3" t="s">
        <v>20</v>
      </c>
      <c r="F21" s="73" t="s">
        <v>454</v>
      </c>
      <c r="G21" s="11" t="s">
        <v>114</v>
      </c>
      <c r="H21" s="1">
        <v>6</v>
      </c>
      <c r="I21" s="49"/>
      <c r="J21" s="51"/>
      <c r="K21" s="40"/>
      <c r="L21" s="40"/>
      <c r="M21" s="78">
        <f t="shared" si="1"/>
        <v>0</v>
      </c>
      <c r="N21" s="41">
        <v>7</v>
      </c>
      <c r="O21" s="31">
        <v>14635.6</v>
      </c>
      <c r="P21" s="31">
        <v>9413</v>
      </c>
      <c r="Q21" s="79">
        <f t="shared" si="2"/>
        <v>5222.6000000000004</v>
      </c>
    </row>
    <row r="22" spans="1:18" s="13" customFormat="1" ht="15.75" x14ac:dyDescent="0.25">
      <c r="A22" s="10"/>
      <c r="B22" s="62" t="s">
        <v>25</v>
      </c>
      <c r="C22" s="1" t="s">
        <v>17</v>
      </c>
      <c r="D22" s="120"/>
      <c r="E22" s="3" t="s">
        <v>20</v>
      </c>
      <c r="F22" s="73" t="s">
        <v>328</v>
      </c>
      <c r="G22" s="74" t="s">
        <v>112</v>
      </c>
      <c r="H22" s="75">
        <v>4</v>
      </c>
      <c r="I22" s="76">
        <v>1</v>
      </c>
      <c r="J22" s="96">
        <f>1</f>
        <v>1</v>
      </c>
      <c r="K22" s="77">
        <v>1743.31</v>
      </c>
      <c r="L22" s="77">
        <f>1743.31</f>
        <v>1743.31</v>
      </c>
      <c r="M22" s="38">
        <f t="shared" si="1"/>
        <v>0</v>
      </c>
      <c r="N22" s="100">
        <f>6</f>
        <v>6</v>
      </c>
      <c r="O22" s="81">
        <v>14526.7</v>
      </c>
      <c r="P22" s="81">
        <f>14526.7</f>
        <v>14526.7</v>
      </c>
      <c r="Q22" s="12">
        <f t="shared" si="2"/>
        <v>0</v>
      </c>
      <c r="R22" s="141"/>
    </row>
    <row r="23" spans="1:18" s="13" customFormat="1" ht="15.75" x14ac:dyDescent="0.25">
      <c r="A23" s="10"/>
      <c r="B23" s="22" t="s">
        <v>25</v>
      </c>
      <c r="C23" s="1" t="s">
        <v>17</v>
      </c>
      <c r="D23" s="120"/>
      <c r="E23" s="3" t="s">
        <v>20</v>
      </c>
      <c r="F23" s="73" t="s">
        <v>455</v>
      </c>
      <c r="G23" s="11" t="s">
        <v>114</v>
      </c>
      <c r="H23" s="1"/>
      <c r="I23" s="49"/>
      <c r="J23" s="51"/>
      <c r="K23" s="40"/>
      <c r="L23" s="40"/>
      <c r="M23" s="78">
        <f t="shared" si="1"/>
        <v>0</v>
      </c>
      <c r="N23" s="41">
        <v>2</v>
      </c>
      <c r="O23" s="31">
        <v>4146.2</v>
      </c>
      <c r="P23" s="31">
        <f>4146.2</f>
        <v>4146.2</v>
      </c>
      <c r="Q23" s="79">
        <f t="shared" si="2"/>
        <v>0</v>
      </c>
    </row>
    <row r="24" spans="1:18" s="13" customFormat="1" ht="15.75" x14ac:dyDescent="0.25">
      <c r="A24" s="10"/>
      <c r="B24" s="62" t="s">
        <v>26</v>
      </c>
      <c r="C24" s="1" t="s">
        <v>17</v>
      </c>
      <c r="D24" s="120"/>
      <c r="E24" s="3" t="s">
        <v>27</v>
      </c>
      <c r="F24" s="73" t="s">
        <v>329</v>
      </c>
      <c r="G24" s="74" t="s">
        <v>112</v>
      </c>
      <c r="H24" s="75">
        <v>10</v>
      </c>
      <c r="I24" s="76">
        <v>2</v>
      </c>
      <c r="J24" s="96">
        <f>2</f>
        <v>2</v>
      </c>
      <c r="K24" s="77">
        <f>845.24</f>
        <v>845.24</v>
      </c>
      <c r="L24" s="77"/>
      <c r="M24" s="38">
        <f t="shared" si="1"/>
        <v>845.24</v>
      </c>
      <c r="N24" s="100">
        <f>6+1+1</f>
        <v>8</v>
      </c>
      <c r="O24" s="81">
        <f>17838.53+2535.75+7238.9</f>
        <v>27613.18</v>
      </c>
      <c r="P24" s="81">
        <f>14149.86</f>
        <v>14149.86</v>
      </c>
      <c r="Q24" s="12">
        <f t="shared" si="2"/>
        <v>13463.32</v>
      </c>
      <c r="R24" s="141"/>
    </row>
    <row r="25" spans="1:18" s="15" customFormat="1" ht="15.75" x14ac:dyDescent="0.25">
      <c r="A25" s="14"/>
      <c r="B25" s="80" t="s">
        <v>28</v>
      </c>
      <c r="C25" s="1" t="s">
        <v>17</v>
      </c>
      <c r="D25" s="120"/>
      <c r="E25" s="17" t="s">
        <v>29</v>
      </c>
      <c r="F25" s="73" t="s">
        <v>330</v>
      </c>
      <c r="G25" s="74" t="s">
        <v>112</v>
      </c>
      <c r="H25" s="75">
        <v>3</v>
      </c>
      <c r="I25" s="76">
        <v>2</v>
      </c>
      <c r="J25" s="96">
        <f>2</f>
        <v>2</v>
      </c>
      <c r="K25" s="77">
        <f>6135.14</f>
        <v>6135.14</v>
      </c>
      <c r="L25" s="77"/>
      <c r="M25" s="38">
        <f t="shared" si="1"/>
        <v>6135.14</v>
      </c>
      <c r="N25" s="100">
        <f>3+2+4</f>
        <v>9</v>
      </c>
      <c r="O25" s="81">
        <f>5310.83+4630.52+14679.01</f>
        <v>24620.36</v>
      </c>
      <c r="P25" s="81">
        <f>5311.83</f>
        <v>5311.83</v>
      </c>
      <c r="Q25" s="12">
        <f t="shared" si="2"/>
        <v>19308.53</v>
      </c>
      <c r="R25" s="141"/>
    </row>
    <row r="26" spans="1:18" s="15" customFormat="1" ht="15.75" x14ac:dyDescent="0.25">
      <c r="A26" s="14"/>
      <c r="B26" s="23" t="s">
        <v>28</v>
      </c>
      <c r="C26" s="1" t="s">
        <v>17</v>
      </c>
      <c r="D26" s="120"/>
      <c r="E26" s="17" t="s">
        <v>29</v>
      </c>
      <c r="F26" s="73" t="s">
        <v>420</v>
      </c>
      <c r="G26" s="8" t="s">
        <v>117</v>
      </c>
      <c r="H26" s="1">
        <v>1</v>
      </c>
      <c r="I26" s="48"/>
      <c r="J26" s="45"/>
      <c r="K26" s="40"/>
      <c r="L26" s="40"/>
      <c r="M26" s="78">
        <f t="shared" si="1"/>
        <v>0</v>
      </c>
      <c r="N26" s="42">
        <v>1</v>
      </c>
      <c r="O26" s="31"/>
      <c r="P26" s="31"/>
      <c r="Q26" s="79">
        <f t="shared" si="2"/>
        <v>0</v>
      </c>
    </row>
    <row r="27" spans="1:18" s="13" customFormat="1" ht="15.75" x14ac:dyDescent="0.25">
      <c r="A27" s="10"/>
      <c r="B27" s="27" t="s">
        <v>30</v>
      </c>
      <c r="C27" s="1" t="s">
        <v>17</v>
      </c>
      <c r="D27" s="120"/>
      <c r="E27" s="17" t="s">
        <v>21</v>
      </c>
      <c r="F27" s="73" t="s">
        <v>333</v>
      </c>
      <c r="G27" s="74" t="s">
        <v>112</v>
      </c>
      <c r="H27" s="75">
        <v>9</v>
      </c>
      <c r="I27" s="76">
        <v>5</v>
      </c>
      <c r="J27" s="96">
        <f>3+1+3</f>
        <v>7</v>
      </c>
      <c r="K27" s="77">
        <f>2399.78+806.82+6240.86</f>
        <v>9447.4599999999991</v>
      </c>
      <c r="L27" s="77"/>
      <c r="M27" s="38">
        <f t="shared" si="1"/>
        <v>9447.4599999999991</v>
      </c>
      <c r="N27" s="100">
        <f>9+1+3+1</f>
        <v>14</v>
      </c>
      <c r="O27" s="81">
        <f>39871.99+5530.04+5890.35+1728.9</f>
        <v>53021.279999999999</v>
      </c>
      <c r="P27" s="81">
        <f>24771.16</f>
        <v>24771.16</v>
      </c>
      <c r="Q27" s="12">
        <f t="shared" si="2"/>
        <v>28250.12</v>
      </c>
      <c r="R27" s="141"/>
    </row>
    <row r="28" spans="1:18" s="13" customFormat="1" ht="15.75" x14ac:dyDescent="0.25">
      <c r="A28" s="10"/>
      <c r="B28" s="27" t="s">
        <v>491</v>
      </c>
      <c r="C28" s="1" t="s">
        <v>17</v>
      </c>
      <c r="D28" s="120"/>
      <c r="E28" s="3" t="s">
        <v>20</v>
      </c>
      <c r="F28" s="73" t="s">
        <v>495</v>
      </c>
      <c r="G28" s="74" t="s">
        <v>112</v>
      </c>
      <c r="H28" s="75">
        <v>2</v>
      </c>
      <c r="I28" s="76"/>
      <c r="J28" s="96"/>
      <c r="K28" s="77"/>
      <c r="L28" s="77"/>
      <c r="M28" s="38"/>
      <c r="N28" s="100"/>
      <c r="O28" s="81"/>
      <c r="P28" s="81"/>
      <c r="Q28" s="12"/>
      <c r="R28" s="141"/>
    </row>
    <row r="29" spans="1:18" s="13" customFormat="1" ht="15.75" x14ac:dyDescent="0.25">
      <c r="A29" s="10"/>
      <c r="B29" s="27" t="s">
        <v>491</v>
      </c>
      <c r="C29" s="1"/>
      <c r="D29" s="120"/>
      <c r="E29" s="3"/>
      <c r="F29" s="73"/>
      <c r="G29" s="74" t="s">
        <v>114</v>
      </c>
      <c r="H29" s="75">
        <v>1</v>
      </c>
      <c r="I29" s="76"/>
      <c r="J29" s="96"/>
      <c r="K29" s="77"/>
      <c r="L29" s="77"/>
      <c r="M29" s="38"/>
      <c r="N29" s="100"/>
      <c r="O29" s="81"/>
      <c r="P29" s="81"/>
      <c r="Q29" s="12"/>
      <c r="R29" s="141"/>
    </row>
    <row r="30" spans="1:18" s="13" customFormat="1" ht="15.75" x14ac:dyDescent="0.25">
      <c r="A30" s="10"/>
      <c r="B30" s="30" t="s">
        <v>31</v>
      </c>
      <c r="C30" s="1" t="s">
        <v>17</v>
      </c>
      <c r="D30" s="120"/>
      <c r="E30" s="3" t="s">
        <v>32</v>
      </c>
      <c r="F30" s="73" t="s">
        <v>331</v>
      </c>
      <c r="G30" s="74" t="s">
        <v>112</v>
      </c>
      <c r="H30" s="75">
        <v>8</v>
      </c>
      <c r="I30" s="76">
        <v>4</v>
      </c>
      <c r="J30" s="96">
        <f>1+2+3</f>
        <v>6</v>
      </c>
      <c r="K30" s="77">
        <f>633.93+1045.98+5377.62</f>
        <v>7057.53</v>
      </c>
      <c r="L30" s="77"/>
      <c r="M30" s="78">
        <f t="shared" si="1"/>
        <v>7057.53</v>
      </c>
      <c r="N30" s="100">
        <f>1+3+3+1+1</f>
        <v>9</v>
      </c>
      <c r="O30" s="81">
        <f>2299.8+15239.58+6152.75+2720.49+1483.38</f>
        <v>27896.000000000004</v>
      </c>
      <c r="P30" s="81">
        <f>2299.8</f>
        <v>2299.8000000000002</v>
      </c>
      <c r="Q30" s="79">
        <f t="shared" si="2"/>
        <v>25596.200000000004</v>
      </c>
      <c r="R30" s="141"/>
    </row>
    <row r="31" spans="1:18" s="13" customFormat="1" ht="15.75" x14ac:dyDescent="0.25">
      <c r="A31" s="10"/>
      <c r="B31" s="24" t="s">
        <v>31</v>
      </c>
      <c r="C31" s="1" t="s">
        <v>17</v>
      </c>
      <c r="D31" s="120"/>
      <c r="E31" s="3" t="s">
        <v>32</v>
      </c>
      <c r="F31" s="73" t="s">
        <v>422</v>
      </c>
      <c r="G31" s="8" t="s">
        <v>117</v>
      </c>
      <c r="H31" s="1">
        <v>8</v>
      </c>
      <c r="I31" s="49">
        <v>1</v>
      </c>
      <c r="J31" s="46">
        <v>1</v>
      </c>
      <c r="K31" s="40">
        <v>2344.3000000000002</v>
      </c>
      <c r="L31" s="40"/>
      <c r="M31" s="38">
        <f t="shared" si="1"/>
        <v>2344.3000000000002</v>
      </c>
      <c r="N31" s="41">
        <v>6</v>
      </c>
      <c r="O31" s="40">
        <v>12150.4</v>
      </c>
      <c r="P31" s="40">
        <v>5811.1</v>
      </c>
      <c r="Q31" s="12">
        <f t="shared" si="2"/>
        <v>6339.2999999999993</v>
      </c>
    </row>
    <row r="32" spans="1:18" s="15" customFormat="1" ht="15.75" x14ac:dyDescent="0.25">
      <c r="A32" s="14"/>
      <c r="B32" s="80" t="s">
        <v>33</v>
      </c>
      <c r="C32" s="1" t="s">
        <v>17</v>
      </c>
      <c r="D32" s="120"/>
      <c r="E32" s="145" t="s">
        <v>20</v>
      </c>
      <c r="F32" s="73" t="s">
        <v>332</v>
      </c>
      <c r="G32" s="74" t="s">
        <v>112</v>
      </c>
      <c r="H32" s="75">
        <v>6</v>
      </c>
      <c r="I32" s="76">
        <v>3</v>
      </c>
      <c r="J32" s="96">
        <f>1+1+1</f>
        <v>3</v>
      </c>
      <c r="K32" s="77">
        <f>845.245+5363.43</f>
        <v>6208.6750000000002</v>
      </c>
      <c r="L32" s="77"/>
      <c r="M32" s="78">
        <f t="shared" si="1"/>
        <v>6208.6750000000002</v>
      </c>
      <c r="N32" s="100">
        <f>2+1+1+1</f>
        <v>5</v>
      </c>
      <c r="O32" s="81">
        <f>845.24+1613.64+3380.96</f>
        <v>5839.84</v>
      </c>
      <c r="P32" s="81">
        <f>1613.64</f>
        <v>1613.64</v>
      </c>
      <c r="Q32" s="79">
        <f t="shared" si="2"/>
        <v>4226.2</v>
      </c>
      <c r="R32" s="141"/>
    </row>
    <row r="33" spans="1:18" s="15" customFormat="1" ht="15.75" x14ac:dyDescent="0.25">
      <c r="A33" s="14"/>
      <c r="B33" s="23" t="s">
        <v>33</v>
      </c>
      <c r="C33" s="1" t="s">
        <v>17</v>
      </c>
      <c r="D33" s="120"/>
      <c r="E33" s="3" t="s">
        <v>20</v>
      </c>
      <c r="F33" s="73" t="s">
        <v>481</v>
      </c>
      <c r="G33" s="11" t="s">
        <v>114</v>
      </c>
      <c r="H33" s="1">
        <v>2</v>
      </c>
      <c r="I33" s="49"/>
      <c r="J33" s="51"/>
      <c r="K33" s="40"/>
      <c r="L33" s="40"/>
      <c r="M33" s="38">
        <f t="shared" si="1"/>
        <v>0</v>
      </c>
      <c r="N33" s="42">
        <v>12</v>
      </c>
      <c r="O33" s="31">
        <v>13071.87</v>
      </c>
      <c r="P33" s="31">
        <v>13071.87</v>
      </c>
      <c r="Q33" s="12">
        <f t="shared" si="2"/>
        <v>0</v>
      </c>
    </row>
    <row r="34" spans="1:18" s="15" customFormat="1" ht="15.75" x14ac:dyDescent="0.25">
      <c r="A34" s="14"/>
      <c r="B34" s="62" t="s">
        <v>147</v>
      </c>
      <c r="C34" s="1" t="s">
        <v>17</v>
      </c>
      <c r="D34" s="120"/>
      <c r="E34" s="3" t="s">
        <v>29</v>
      </c>
      <c r="F34" s="73" t="s">
        <v>334</v>
      </c>
      <c r="G34" s="74" t="s">
        <v>112</v>
      </c>
      <c r="H34" s="75">
        <v>2</v>
      </c>
      <c r="I34" s="102">
        <v>1</v>
      </c>
      <c r="J34" s="97">
        <f>1</f>
        <v>1</v>
      </c>
      <c r="K34" s="77">
        <f>1854.88</f>
        <v>1854.88</v>
      </c>
      <c r="L34" s="77"/>
      <c r="M34" s="78">
        <f t="shared" si="1"/>
        <v>1854.88</v>
      </c>
      <c r="N34" s="114">
        <f>1+1</f>
        <v>2</v>
      </c>
      <c r="O34" s="81">
        <f>1394.65+2473.17</f>
        <v>3867.82</v>
      </c>
      <c r="P34" s="81">
        <f>1394.65</f>
        <v>1394.65</v>
      </c>
      <c r="Q34" s="79">
        <f t="shared" si="2"/>
        <v>2473.17</v>
      </c>
      <c r="R34" s="141"/>
    </row>
    <row r="35" spans="1:18" s="15" customFormat="1" ht="15.75" x14ac:dyDescent="0.25">
      <c r="A35" s="14"/>
      <c r="B35" s="50" t="s">
        <v>147</v>
      </c>
      <c r="C35" s="1" t="s">
        <v>17</v>
      </c>
      <c r="D35" s="120"/>
      <c r="E35" s="3" t="s">
        <v>29</v>
      </c>
      <c r="F35" s="73" t="s">
        <v>423</v>
      </c>
      <c r="G35" s="11" t="s">
        <v>117</v>
      </c>
      <c r="H35" s="1">
        <v>3</v>
      </c>
      <c r="I35" s="48">
        <v>2</v>
      </c>
      <c r="J35" s="45">
        <v>2</v>
      </c>
      <c r="K35" s="40"/>
      <c r="L35" s="40"/>
      <c r="M35" s="38">
        <f t="shared" si="1"/>
        <v>0</v>
      </c>
      <c r="N35" s="42">
        <f>2</f>
        <v>2</v>
      </c>
      <c r="O35" s="31">
        <v>6874.35</v>
      </c>
      <c r="P35" s="31">
        <v>5570.9</v>
      </c>
      <c r="Q35" s="12">
        <f t="shared" si="2"/>
        <v>1303.4500000000007</v>
      </c>
    </row>
    <row r="36" spans="1:18" s="13" customFormat="1" ht="15.75" x14ac:dyDescent="0.25">
      <c r="A36" s="10"/>
      <c r="B36" s="62" t="s">
        <v>34</v>
      </c>
      <c r="C36" s="1" t="s">
        <v>17</v>
      </c>
      <c r="D36" s="120"/>
      <c r="E36" s="17" t="s">
        <v>35</v>
      </c>
      <c r="F36" s="73" t="s">
        <v>335</v>
      </c>
      <c r="G36" s="74" t="s">
        <v>112</v>
      </c>
      <c r="H36" s="75">
        <v>11</v>
      </c>
      <c r="I36" s="76">
        <v>7</v>
      </c>
      <c r="J36" s="96">
        <f>4+2+2</f>
        <v>8</v>
      </c>
      <c r="K36" s="77">
        <f>8288.4+1267.86+845.24</f>
        <v>10401.5</v>
      </c>
      <c r="L36" s="77"/>
      <c r="M36" s="78">
        <f t="shared" si="1"/>
        <v>10401.5</v>
      </c>
      <c r="N36" s="100">
        <f>4+4+6+1+3+1</f>
        <v>19</v>
      </c>
      <c r="O36" s="81">
        <f>23915.04+21171.88+6399.1+11460.81</f>
        <v>62946.829999999994</v>
      </c>
      <c r="P36" s="81">
        <f>28915.04</f>
        <v>28915.040000000001</v>
      </c>
      <c r="Q36" s="79">
        <f t="shared" si="2"/>
        <v>34031.789999999994</v>
      </c>
      <c r="R36" s="141"/>
    </row>
    <row r="37" spans="1:18" s="13" customFormat="1" ht="15.75" x14ac:dyDescent="0.25">
      <c r="A37" s="10"/>
      <c r="B37" s="22" t="s">
        <v>34</v>
      </c>
      <c r="C37" s="1" t="s">
        <v>17</v>
      </c>
      <c r="D37" s="120"/>
      <c r="E37" s="17" t="s">
        <v>35</v>
      </c>
      <c r="F37" s="73" t="s">
        <v>424</v>
      </c>
      <c r="G37" s="8" t="s">
        <v>117</v>
      </c>
      <c r="H37" s="1">
        <v>2</v>
      </c>
      <c r="I37" s="49">
        <v>1</v>
      </c>
      <c r="J37" s="46">
        <v>1</v>
      </c>
      <c r="K37" s="40"/>
      <c r="L37" s="40"/>
      <c r="M37" s="38">
        <f t="shared" si="1"/>
        <v>0</v>
      </c>
      <c r="N37" s="41">
        <v>2</v>
      </c>
      <c r="O37" s="31">
        <v>5570.9</v>
      </c>
      <c r="P37" s="31"/>
      <c r="Q37" s="12">
        <f t="shared" si="2"/>
        <v>5570.9</v>
      </c>
    </row>
    <row r="38" spans="1:18" s="13" customFormat="1" ht="15.75" x14ac:dyDescent="0.25">
      <c r="A38" s="10"/>
      <c r="B38" s="27" t="s">
        <v>36</v>
      </c>
      <c r="C38" s="1" t="s">
        <v>17</v>
      </c>
      <c r="D38" s="120"/>
      <c r="E38" s="17" t="s">
        <v>32</v>
      </c>
      <c r="F38" s="73" t="s">
        <v>336</v>
      </c>
      <c r="G38" s="74" t="s">
        <v>112</v>
      </c>
      <c r="H38" s="75">
        <v>10</v>
      </c>
      <c r="I38" s="76">
        <v>4</v>
      </c>
      <c r="J38" s="96">
        <f>1+3</f>
        <v>4</v>
      </c>
      <c r="K38" s="77">
        <f>2091.97+4201.22</f>
        <v>6293.1900000000005</v>
      </c>
      <c r="L38" s="77"/>
      <c r="M38" s="78">
        <f t="shared" si="1"/>
        <v>6293.1900000000005</v>
      </c>
      <c r="N38" s="100">
        <f>4+2+5+1</f>
        <v>12</v>
      </c>
      <c r="O38" s="81">
        <f>26828.22+3116.2+14162+4691</f>
        <v>48797.42</v>
      </c>
      <c r="P38" s="81">
        <f>8144.95</f>
        <v>8144.95</v>
      </c>
      <c r="Q38" s="79">
        <f t="shared" si="2"/>
        <v>40652.47</v>
      </c>
      <c r="R38" s="141"/>
    </row>
    <row r="39" spans="1:18" s="13" customFormat="1" ht="15.75" x14ac:dyDescent="0.25">
      <c r="A39" s="10"/>
      <c r="B39" s="27" t="s">
        <v>38</v>
      </c>
      <c r="C39" s="1" t="s">
        <v>17</v>
      </c>
      <c r="D39" s="120"/>
      <c r="E39" s="3" t="s">
        <v>20</v>
      </c>
      <c r="F39" s="73" t="s">
        <v>338</v>
      </c>
      <c r="G39" s="74" t="s">
        <v>112</v>
      </c>
      <c r="H39" s="75">
        <v>21</v>
      </c>
      <c r="I39" s="76">
        <v>11</v>
      </c>
      <c r="J39" s="96">
        <f>5+9</f>
        <v>14</v>
      </c>
      <c r="K39" s="77">
        <f>4427.07+14262.52</f>
        <v>18689.59</v>
      </c>
      <c r="L39" s="77"/>
      <c r="M39" s="78">
        <f t="shared" si="1"/>
        <v>18689.59</v>
      </c>
      <c r="N39" s="100">
        <f>1+14+2</f>
        <v>17</v>
      </c>
      <c r="O39" s="81">
        <f>34449.99+27363.78+23604.86</f>
        <v>85418.63</v>
      </c>
      <c r="P39" s="81">
        <f>34449.99</f>
        <v>34449.99</v>
      </c>
      <c r="Q39" s="79">
        <f t="shared" si="2"/>
        <v>50968.640000000007</v>
      </c>
      <c r="R39" s="141"/>
    </row>
    <row r="40" spans="1:18" s="13" customFormat="1" ht="15.75" x14ac:dyDescent="0.25">
      <c r="A40" s="10"/>
      <c r="B40" s="25" t="s">
        <v>38</v>
      </c>
      <c r="C40" s="1" t="s">
        <v>17</v>
      </c>
      <c r="D40" s="120"/>
      <c r="E40" s="3" t="s">
        <v>20</v>
      </c>
      <c r="F40" s="73" t="s">
        <v>268</v>
      </c>
      <c r="G40" s="11" t="s">
        <v>114</v>
      </c>
      <c r="H40" s="1"/>
      <c r="I40" s="49"/>
      <c r="J40" s="51"/>
      <c r="K40" s="40"/>
      <c r="L40" s="40"/>
      <c r="M40" s="38">
        <f t="shared" si="1"/>
        <v>0</v>
      </c>
      <c r="N40" s="41"/>
      <c r="O40" s="31"/>
      <c r="P40" s="31"/>
      <c r="Q40" s="12">
        <f t="shared" si="2"/>
        <v>0</v>
      </c>
    </row>
    <row r="41" spans="1:18" s="13" customFormat="1" ht="15.75" x14ac:dyDescent="0.25">
      <c r="A41" s="10"/>
      <c r="B41" s="25" t="s">
        <v>38</v>
      </c>
      <c r="C41" s="1" t="s">
        <v>17</v>
      </c>
      <c r="D41" s="120"/>
      <c r="E41" s="3" t="s">
        <v>18</v>
      </c>
      <c r="F41" s="73" t="s">
        <v>324</v>
      </c>
      <c r="G41" s="11" t="s">
        <v>116</v>
      </c>
      <c r="H41" s="1">
        <v>3</v>
      </c>
      <c r="I41" s="49"/>
      <c r="J41" s="51"/>
      <c r="K41" s="40"/>
      <c r="L41" s="40"/>
      <c r="M41" s="38">
        <f t="shared" si="1"/>
        <v>0</v>
      </c>
      <c r="N41" s="41"/>
      <c r="O41" s="31"/>
      <c r="P41" s="31"/>
      <c r="Q41" s="12">
        <f t="shared" si="2"/>
        <v>0</v>
      </c>
    </row>
    <row r="42" spans="1:18" s="13" customFormat="1" ht="15.75" x14ac:dyDescent="0.25">
      <c r="A42" s="10"/>
      <c r="B42" s="22" t="s">
        <v>39</v>
      </c>
      <c r="C42" s="1" t="s">
        <v>17</v>
      </c>
      <c r="D42" s="120"/>
      <c r="E42" s="3" t="s">
        <v>20</v>
      </c>
      <c r="F42" s="73" t="s">
        <v>269</v>
      </c>
      <c r="G42" s="11" t="s">
        <v>114</v>
      </c>
      <c r="H42" s="1"/>
      <c r="I42" s="49"/>
      <c r="J42" s="51"/>
      <c r="K42" s="40"/>
      <c r="L42" s="40"/>
      <c r="M42" s="38">
        <f t="shared" si="1"/>
        <v>0</v>
      </c>
      <c r="N42" s="41"/>
      <c r="O42" s="31"/>
      <c r="P42" s="31"/>
      <c r="Q42" s="12">
        <f t="shared" si="2"/>
        <v>0</v>
      </c>
    </row>
    <row r="43" spans="1:18" s="13" customFormat="1" ht="15.75" x14ac:dyDescent="0.25">
      <c r="A43" s="10"/>
      <c r="B43" s="27" t="s">
        <v>40</v>
      </c>
      <c r="C43" s="1" t="s">
        <v>17</v>
      </c>
      <c r="D43" s="120"/>
      <c r="E43" s="17" t="s">
        <v>41</v>
      </c>
      <c r="F43" s="73" t="s">
        <v>339</v>
      </c>
      <c r="G43" s="74" t="s">
        <v>112</v>
      </c>
      <c r="H43" s="75">
        <v>13</v>
      </c>
      <c r="I43" s="76">
        <v>5</v>
      </c>
      <c r="J43" s="96">
        <f>1+1+3</f>
        <v>5</v>
      </c>
      <c r="K43" s="77">
        <f>1045.98+3271.86</f>
        <v>4317.84</v>
      </c>
      <c r="L43" s="77"/>
      <c r="M43" s="78">
        <f t="shared" si="1"/>
        <v>4317.84</v>
      </c>
      <c r="N43" s="100">
        <f>3+13+6</f>
        <v>22</v>
      </c>
      <c r="O43" s="81">
        <f>17269.31+39990.78+16582.12</f>
        <v>73842.209999999992</v>
      </c>
      <c r="P43" s="81">
        <f>17269.31</f>
        <v>17269.310000000001</v>
      </c>
      <c r="Q43" s="79">
        <f t="shared" si="2"/>
        <v>56572.899999999994</v>
      </c>
      <c r="R43" s="141"/>
    </row>
    <row r="44" spans="1:18" s="13" customFormat="1" ht="15.75" x14ac:dyDescent="0.25">
      <c r="A44" s="10"/>
      <c r="B44" s="25" t="s">
        <v>40</v>
      </c>
      <c r="C44" s="1" t="s">
        <v>17</v>
      </c>
      <c r="D44" s="120"/>
      <c r="E44" s="17" t="s">
        <v>41</v>
      </c>
      <c r="F44" s="73" t="s">
        <v>482</v>
      </c>
      <c r="G44" s="11" t="s">
        <v>114</v>
      </c>
      <c r="H44" s="1"/>
      <c r="I44" s="49"/>
      <c r="J44" s="51"/>
      <c r="K44" s="40"/>
      <c r="L44" s="40"/>
      <c r="M44" s="38">
        <f t="shared" si="1"/>
        <v>0</v>
      </c>
      <c r="N44" s="41">
        <v>1</v>
      </c>
      <c r="O44" s="31">
        <v>3073.6</v>
      </c>
      <c r="P44" s="31">
        <f>3073.6</f>
        <v>3073.6</v>
      </c>
      <c r="Q44" s="12">
        <f t="shared" si="2"/>
        <v>0</v>
      </c>
    </row>
    <row r="45" spans="1:18" s="13" customFormat="1" ht="15.75" x14ac:dyDescent="0.25">
      <c r="A45" s="10"/>
      <c r="B45" s="27" t="s">
        <v>148</v>
      </c>
      <c r="C45" s="1" t="s">
        <v>17</v>
      </c>
      <c r="D45" s="120"/>
      <c r="E45" s="3" t="s">
        <v>20</v>
      </c>
      <c r="F45" s="73" t="s">
        <v>340</v>
      </c>
      <c r="G45" s="74" t="s">
        <v>112</v>
      </c>
      <c r="H45" s="75">
        <v>9</v>
      </c>
      <c r="I45" s="82">
        <v>2</v>
      </c>
      <c r="J45" s="96">
        <f>1+2</f>
        <v>3</v>
      </c>
      <c r="K45" s="77">
        <f>537.88+2110.03</f>
        <v>2647.9100000000003</v>
      </c>
      <c r="L45" s="77"/>
      <c r="M45" s="78">
        <f t="shared" si="1"/>
        <v>2647.9100000000003</v>
      </c>
      <c r="N45" s="100">
        <f>6+5+3+1</f>
        <v>15</v>
      </c>
      <c r="O45" s="81">
        <f>9370.6+9456.38+8868.69+5367.27</f>
        <v>33062.94</v>
      </c>
      <c r="P45" s="81">
        <f>9370.6</f>
        <v>9370.6</v>
      </c>
      <c r="Q45" s="79">
        <f t="shared" si="2"/>
        <v>23692.340000000004</v>
      </c>
      <c r="R45" s="141"/>
    </row>
    <row r="46" spans="1:18" s="13" customFormat="1" ht="15.75" x14ac:dyDescent="0.25">
      <c r="A46" s="10"/>
      <c r="B46" s="25" t="s">
        <v>148</v>
      </c>
      <c r="C46" s="1" t="s">
        <v>17</v>
      </c>
      <c r="D46" s="120"/>
      <c r="E46" s="17" t="s">
        <v>32</v>
      </c>
      <c r="F46" s="73" t="s">
        <v>425</v>
      </c>
      <c r="G46" s="11" t="s">
        <v>117</v>
      </c>
      <c r="H46" s="1">
        <v>4</v>
      </c>
      <c r="I46" s="49"/>
      <c r="J46" s="46"/>
      <c r="K46" s="40"/>
      <c r="L46" s="40"/>
      <c r="M46" s="38">
        <f t="shared" si="1"/>
        <v>0</v>
      </c>
      <c r="N46" s="41">
        <v>2</v>
      </c>
      <c r="O46" s="31">
        <v>7472.69</v>
      </c>
      <c r="P46" s="31"/>
      <c r="Q46" s="12">
        <f t="shared" si="2"/>
        <v>7472.69</v>
      </c>
    </row>
    <row r="47" spans="1:18" s="13" customFormat="1" ht="15.75" x14ac:dyDescent="0.25">
      <c r="A47" s="10"/>
      <c r="B47" s="30" t="s">
        <v>42</v>
      </c>
      <c r="C47" s="1" t="s">
        <v>17</v>
      </c>
      <c r="D47" s="120"/>
      <c r="E47" s="3" t="s">
        <v>23</v>
      </c>
      <c r="F47" s="73" t="s">
        <v>341</v>
      </c>
      <c r="G47" s="74" t="s">
        <v>112</v>
      </c>
      <c r="H47" s="75">
        <v>17</v>
      </c>
      <c r="I47" s="76">
        <v>7</v>
      </c>
      <c r="J47" s="96">
        <f>5+3</f>
        <v>8</v>
      </c>
      <c r="K47" s="77">
        <f>7156.22+3849.11</f>
        <v>11005.33</v>
      </c>
      <c r="L47" s="77"/>
      <c r="M47" s="78">
        <f t="shared" si="1"/>
        <v>11005.33</v>
      </c>
      <c r="N47" s="100">
        <f>4+6+9+2+4+2</f>
        <v>27</v>
      </c>
      <c r="O47" s="81">
        <f>5364.2+26170.88+2849.25+18965.6</f>
        <v>53349.93</v>
      </c>
      <c r="P47" s="81">
        <f>5364.2+20436.7</f>
        <v>25800.9</v>
      </c>
      <c r="Q47" s="79">
        <f t="shared" si="2"/>
        <v>27549.03</v>
      </c>
      <c r="R47" s="141"/>
    </row>
    <row r="48" spans="1:18" s="13" customFormat="1" ht="15.75" x14ac:dyDescent="0.25">
      <c r="A48" s="10"/>
      <c r="B48" s="24" t="s">
        <v>42</v>
      </c>
      <c r="C48" s="1" t="s">
        <v>17</v>
      </c>
      <c r="D48" s="120"/>
      <c r="E48" s="3" t="s">
        <v>23</v>
      </c>
      <c r="F48" s="73" t="s">
        <v>437</v>
      </c>
      <c r="G48" s="11" t="s">
        <v>118</v>
      </c>
      <c r="H48" s="1">
        <v>2</v>
      </c>
      <c r="I48" s="49"/>
      <c r="J48" s="46"/>
      <c r="K48" s="40"/>
      <c r="L48" s="40"/>
      <c r="M48" s="38">
        <f t="shared" si="1"/>
        <v>0</v>
      </c>
      <c r="N48" s="41"/>
      <c r="O48" s="31">
        <v>4226.2</v>
      </c>
      <c r="P48" s="31">
        <v>4226.2</v>
      </c>
      <c r="Q48" s="12">
        <f t="shared" si="2"/>
        <v>0</v>
      </c>
    </row>
    <row r="49" spans="1:18" s="13" customFormat="1" ht="15.75" x14ac:dyDescent="0.25">
      <c r="A49" s="10"/>
      <c r="B49" s="30" t="s">
        <v>173</v>
      </c>
      <c r="C49" s="1" t="s">
        <v>17</v>
      </c>
      <c r="D49" s="120"/>
      <c r="E49" s="11" t="s">
        <v>118</v>
      </c>
      <c r="F49" s="73" t="s">
        <v>342</v>
      </c>
      <c r="G49" s="74" t="s">
        <v>112</v>
      </c>
      <c r="H49" s="75">
        <v>4</v>
      </c>
      <c r="I49" s="76">
        <v>4</v>
      </c>
      <c r="J49" s="96">
        <f>1+2+1</f>
        <v>4</v>
      </c>
      <c r="K49" s="77">
        <f>6833.76+696.36</f>
        <v>7530.12</v>
      </c>
      <c r="L49" s="77"/>
      <c r="M49" s="78">
        <f t="shared" si="1"/>
        <v>7530.12</v>
      </c>
      <c r="N49" s="100">
        <f>4+2</f>
        <v>6</v>
      </c>
      <c r="O49" s="81">
        <f>5931.9+4183.92+3158.95</f>
        <v>13274.77</v>
      </c>
      <c r="P49" s="81">
        <f>5931.9</f>
        <v>5931.9</v>
      </c>
      <c r="Q49" s="79">
        <f t="shared" si="2"/>
        <v>7342.8700000000008</v>
      </c>
      <c r="R49" s="141"/>
    </row>
    <row r="50" spans="1:18" s="13" customFormat="1" ht="15.75" x14ac:dyDescent="0.25">
      <c r="A50" s="10"/>
      <c r="B50" s="22" t="s">
        <v>143</v>
      </c>
      <c r="C50" s="1" t="s">
        <v>64</v>
      </c>
      <c r="D50" s="120" t="s">
        <v>444</v>
      </c>
      <c r="E50" s="3" t="s">
        <v>20</v>
      </c>
      <c r="F50" s="73" t="s">
        <v>445</v>
      </c>
      <c r="G50" s="11" t="s">
        <v>114</v>
      </c>
      <c r="H50" s="1">
        <v>7</v>
      </c>
      <c r="I50" s="47"/>
      <c r="J50" s="51"/>
      <c r="K50" s="37"/>
      <c r="L50" s="37"/>
      <c r="M50" s="78">
        <f t="shared" si="1"/>
        <v>0</v>
      </c>
      <c r="N50" s="39">
        <v>11</v>
      </c>
      <c r="O50" s="31">
        <v>13367.1</v>
      </c>
      <c r="P50" s="31">
        <v>12078.4</v>
      </c>
      <c r="Q50" s="79">
        <f t="shared" si="2"/>
        <v>1288.7000000000007</v>
      </c>
    </row>
    <row r="51" spans="1:18" s="13" customFormat="1" ht="15.75" x14ac:dyDescent="0.25">
      <c r="A51" s="10"/>
      <c r="B51" s="24" t="s">
        <v>158</v>
      </c>
      <c r="C51" s="1" t="s">
        <v>17</v>
      </c>
      <c r="D51" s="120"/>
      <c r="E51" s="17" t="s">
        <v>32</v>
      </c>
      <c r="F51" s="73" t="s">
        <v>426</v>
      </c>
      <c r="G51" s="11" t="s">
        <v>117</v>
      </c>
      <c r="H51" s="1">
        <v>6</v>
      </c>
      <c r="I51" s="47">
        <v>1</v>
      </c>
      <c r="J51" s="51">
        <v>1</v>
      </c>
      <c r="K51" s="37"/>
      <c r="L51" s="37"/>
      <c r="M51" s="38">
        <f t="shared" si="1"/>
        <v>0</v>
      </c>
      <c r="N51" s="39">
        <v>4</v>
      </c>
      <c r="O51" s="31">
        <v>9789.2000000000007</v>
      </c>
      <c r="P51" s="31"/>
      <c r="Q51" s="12">
        <f t="shared" si="2"/>
        <v>9789.2000000000007</v>
      </c>
    </row>
    <row r="52" spans="1:18" s="15" customFormat="1" ht="15.75" x14ac:dyDescent="0.25">
      <c r="A52" s="14"/>
      <c r="B52" s="80" t="s">
        <v>43</v>
      </c>
      <c r="C52" s="1" t="s">
        <v>17</v>
      </c>
      <c r="D52" s="120"/>
      <c r="E52" s="3" t="s">
        <v>18</v>
      </c>
      <c r="F52" s="73" t="s">
        <v>344</v>
      </c>
      <c r="G52" s="74" t="s">
        <v>112</v>
      </c>
      <c r="H52" s="75">
        <v>16</v>
      </c>
      <c r="I52" s="76">
        <v>6</v>
      </c>
      <c r="J52" s="96">
        <f>1+2+2</f>
        <v>5</v>
      </c>
      <c r="K52" s="77">
        <f>1776.93</f>
        <v>1776.93</v>
      </c>
      <c r="L52" s="77"/>
      <c r="M52" s="78">
        <f t="shared" si="1"/>
        <v>1776.93</v>
      </c>
      <c r="N52" s="100">
        <f>1+5+4+1</f>
        <v>11</v>
      </c>
      <c r="O52" s="81">
        <f>1223.8+3810.29+4959.02+10043.87</f>
        <v>20036.980000000003</v>
      </c>
      <c r="P52" s="81">
        <f>1223.8+3810.29</f>
        <v>5034.09</v>
      </c>
      <c r="Q52" s="79">
        <f t="shared" si="2"/>
        <v>15002.890000000003</v>
      </c>
      <c r="R52" s="141"/>
    </row>
    <row r="53" spans="1:18" s="15" customFormat="1" ht="31.5" x14ac:dyDescent="0.25">
      <c r="A53" s="14"/>
      <c r="B53" s="22" t="s">
        <v>43</v>
      </c>
      <c r="C53" s="1" t="s">
        <v>304</v>
      </c>
      <c r="D53" s="120" t="s">
        <v>473</v>
      </c>
      <c r="E53" s="3" t="s">
        <v>18</v>
      </c>
      <c r="F53" s="73" t="s">
        <v>323</v>
      </c>
      <c r="G53" s="11" t="s">
        <v>113</v>
      </c>
      <c r="H53" s="1">
        <v>10</v>
      </c>
      <c r="I53" s="126">
        <v>4</v>
      </c>
      <c r="J53" s="125">
        <v>4</v>
      </c>
      <c r="K53" s="40">
        <v>5071</v>
      </c>
      <c r="L53" s="40"/>
      <c r="M53" s="38">
        <f t="shared" si="1"/>
        <v>5071</v>
      </c>
      <c r="N53" s="39">
        <v>10</v>
      </c>
      <c r="O53" s="31">
        <v>19004</v>
      </c>
      <c r="P53" s="31">
        <v>4999</v>
      </c>
      <c r="Q53" s="12">
        <f t="shared" si="2"/>
        <v>14005</v>
      </c>
    </row>
    <row r="54" spans="1:18" s="13" customFormat="1" ht="15.75" x14ac:dyDescent="0.25">
      <c r="A54" s="10"/>
      <c r="B54" s="30" t="s">
        <v>44</v>
      </c>
      <c r="C54" s="1" t="s">
        <v>17</v>
      </c>
      <c r="D54" s="120"/>
      <c r="E54" s="3" t="s">
        <v>20</v>
      </c>
      <c r="F54" s="73" t="s">
        <v>345</v>
      </c>
      <c r="G54" s="74" t="s">
        <v>112</v>
      </c>
      <c r="H54" s="75">
        <v>6</v>
      </c>
      <c r="I54" s="76">
        <v>6</v>
      </c>
      <c r="J54" s="96">
        <f>1+1+1+4</f>
        <v>7</v>
      </c>
      <c r="K54" s="77">
        <f>2422.38+1267.86+15410.58</f>
        <v>19100.82</v>
      </c>
      <c r="L54" s="77">
        <f>422.62</f>
        <v>422.62</v>
      </c>
      <c r="M54" s="78">
        <f t="shared" si="1"/>
        <v>18678.2</v>
      </c>
      <c r="N54" s="100">
        <f>1+11</f>
        <v>12</v>
      </c>
      <c r="O54" s="81">
        <f>421.62+4603.39+10559.77+72902.04</f>
        <v>88486.819999999992</v>
      </c>
      <c r="P54" s="81"/>
      <c r="Q54" s="79">
        <f t="shared" si="2"/>
        <v>88486.819999999992</v>
      </c>
      <c r="R54" s="141"/>
    </row>
    <row r="55" spans="1:18" s="13" customFormat="1" ht="15.75" x14ac:dyDescent="0.25">
      <c r="A55" s="10"/>
      <c r="B55" s="24" t="s">
        <v>44</v>
      </c>
      <c r="C55" s="1" t="s">
        <v>17</v>
      </c>
      <c r="D55" s="120"/>
      <c r="E55" s="3" t="s">
        <v>20</v>
      </c>
      <c r="F55" s="73" t="s">
        <v>483</v>
      </c>
      <c r="G55" s="11" t="s">
        <v>114</v>
      </c>
      <c r="H55" s="1"/>
      <c r="I55" s="49"/>
      <c r="J55" s="51"/>
      <c r="K55" s="40"/>
      <c r="L55" s="40"/>
      <c r="M55" s="78">
        <f t="shared" si="1"/>
        <v>0</v>
      </c>
      <c r="N55" s="41">
        <v>2</v>
      </c>
      <c r="O55" s="31"/>
      <c r="P55" s="31"/>
      <c r="Q55" s="12">
        <f t="shared" si="2"/>
        <v>0</v>
      </c>
    </row>
    <row r="56" spans="1:18" s="13" customFormat="1" ht="15.75" x14ac:dyDescent="0.25">
      <c r="A56" s="10"/>
      <c r="B56" s="24" t="s">
        <v>492</v>
      </c>
      <c r="C56" s="1" t="s">
        <v>17</v>
      </c>
      <c r="D56" s="120"/>
      <c r="E56" s="3" t="s">
        <v>20</v>
      </c>
      <c r="F56" s="73" t="s">
        <v>499</v>
      </c>
      <c r="G56" s="11" t="s">
        <v>112</v>
      </c>
      <c r="H56" s="1">
        <v>4</v>
      </c>
      <c r="I56" s="49"/>
      <c r="J56" s="51"/>
      <c r="K56" s="40"/>
      <c r="L56" s="40"/>
      <c r="M56" s="78"/>
      <c r="N56" s="41"/>
      <c r="O56" s="31"/>
      <c r="P56" s="31"/>
      <c r="Q56" s="12"/>
    </row>
    <row r="57" spans="1:18" s="13" customFormat="1" ht="15.75" x14ac:dyDescent="0.25">
      <c r="A57" s="10"/>
      <c r="B57" s="27" t="s">
        <v>45</v>
      </c>
      <c r="C57" s="1" t="s">
        <v>17</v>
      </c>
      <c r="D57" s="120"/>
      <c r="E57" s="3" t="s">
        <v>20</v>
      </c>
      <c r="F57" s="73" t="s">
        <v>346</v>
      </c>
      <c r="G57" s="74" t="s">
        <v>112</v>
      </c>
      <c r="H57" s="75"/>
      <c r="I57" s="76"/>
      <c r="J57" s="96"/>
      <c r="K57" s="77"/>
      <c r="L57" s="77"/>
      <c r="M57" s="38">
        <f t="shared" si="1"/>
        <v>0</v>
      </c>
      <c r="N57" s="100">
        <f>1</f>
        <v>1</v>
      </c>
      <c r="O57" s="81">
        <f>17995.91+2729.8</f>
        <v>20725.71</v>
      </c>
      <c r="P57" s="81"/>
      <c r="Q57" s="79">
        <f t="shared" si="2"/>
        <v>20725.71</v>
      </c>
      <c r="R57" s="141"/>
    </row>
    <row r="58" spans="1:18" s="13" customFormat="1" ht="15.75" x14ac:dyDescent="0.25">
      <c r="A58" s="10"/>
      <c r="B58" s="25" t="s">
        <v>45</v>
      </c>
      <c r="C58" s="1" t="s">
        <v>17</v>
      </c>
      <c r="D58" s="120"/>
      <c r="E58" s="3" t="s">
        <v>20</v>
      </c>
      <c r="F58" s="73" t="s">
        <v>484</v>
      </c>
      <c r="G58" s="11" t="s">
        <v>114</v>
      </c>
      <c r="H58" s="1"/>
      <c r="I58" s="49"/>
      <c r="J58" s="51"/>
      <c r="K58" s="40"/>
      <c r="L58" s="40"/>
      <c r="M58" s="78">
        <f t="shared" si="1"/>
        <v>0</v>
      </c>
      <c r="N58" s="41"/>
      <c r="O58" s="31"/>
      <c r="P58" s="31"/>
      <c r="Q58" s="12">
        <f t="shared" si="2"/>
        <v>0</v>
      </c>
    </row>
    <row r="59" spans="1:18" s="15" customFormat="1" ht="15.75" x14ac:dyDescent="0.25">
      <c r="A59" s="14"/>
      <c r="B59" s="28" t="s">
        <v>46</v>
      </c>
      <c r="C59" s="1" t="s">
        <v>17</v>
      </c>
      <c r="D59" s="120"/>
      <c r="E59" s="3" t="s">
        <v>20</v>
      </c>
      <c r="F59" s="73" t="s">
        <v>347</v>
      </c>
      <c r="G59" s="74" t="s">
        <v>112</v>
      </c>
      <c r="H59" s="75">
        <v>6</v>
      </c>
      <c r="I59" s="76">
        <v>3</v>
      </c>
      <c r="J59" s="96">
        <f>1+2+3</f>
        <v>6</v>
      </c>
      <c r="K59" s="77">
        <f>1045.98+1068.08</f>
        <v>2114.06</v>
      </c>
      <c r="L59" s="77"/>
      <c r="M59" s="38">
        <f t="shared" si="1"/>
        <v>2114.06</v>
      </c>
      <c r="N59" s="100">
        <f>4+4+1</f>
        <v>9</v>
      </c>
      <c r="O59" s="81">
        <f>10759.2+10685.34</f>
        <v>21444.54</v>
      </c>
      <c r="P59" s="81"/>
      <c r="Q59" s="79">
        <f t="shared" si="2"/>
        <v>21444.54</v>
      </c>
      <c r="R59" s="141"/>
    </row>
    <row r="60" spans="1:18" s="15" customFormat="1" ht="15.75" x14ac:dyDescent="0.25">
      <c r="A60" s="14"/>
      <c r="B60" s="26" t="s">
        <v>46</v>
      </c>
      <c r="C60" s="1" t="s">
        <v>17</v>
      </c>
      <c r="D60" s="120"/>
      <c r="E60" s="3" t="s">
        <v>20</v>
      </c>
      <c r="F60" s="73" t="s">
        <v>273</v>
      </c>
      <c r="G60" s="11" t="s">
        <v>114</v>
      </c>
      <c r="H60" s="1">
        <v>1</v>
      </c>
      <c r="I60" s="49"/>
      <c r="J60" s="51"/>
      <c r="K60" s="40"/>
      <c r="L60" s="40"/>
      <c r="M60" s="78">
        <f t="shared" si="1"/>
        <v>0</v>
      </c>
      <c r="N60" s="42">
        <v>2</v>
      </c>
      <c r="O60" s="31">
        <v>8068.2</v>
      </c>
      <c r="P60" s="31">
        <f>4034.1</f>
        <v>4034.1</v>
      </c>
      <c r="Q60" s="12">
        <f t="shared" si="2"/>
        <v>4034.1</v>
      </c>
    </row>
    <row r="61" spans="1:18" s="13" customFormat="1" ht="47.25" x14ac:dyDescent="0.25">
      <c r="A61" s="10"/>
      <c r="B61" s="30" t="s">
        <v>47</v>
      </c>
      <c r="C61" s="1" t="s">
        <v>304</v>
      </c>
      <c r="D61" s="120" t="s">
        <v>474</v>
      </c>
      <c r="E61" s="3" t="s">
        <v>18</v>
      </c>
      <c r="F61" s="73" t="s">
        <v>348</v>
      </c>
      <c r="G61" s="74" t="s">
        <v>112</v>
      </c>
      <c r="H61" s="75">
        <v>19</v>
      </c>
      <c r="I61" s="76">
        <v>6</v>
      </c>
      <c r="J61" s="98">
        <f>1+1+3+2</f>
        <v>7</v>
      </c>
      <c r="K61" s="154">
        <f>1129.78+866.14+4090.7</f>
        <v>6086.62</v>
      </c>
      <c r="L61" s="77"/>
      <c r="M61" s="38">
        <f t="shared" si="1"/>
        <v>6086.62</v>
      </c>
      <c r="N61" s="100">
        <f>7+3+4+10+6+1+2</f>
        <v>33</v>
      </c>
      <c r="O61" s="81">
        <f>8477.51+15159.83+14079.46+15414.2+17995.91+2065.56</f>
        <v>73192.47</v>
      </c>
      <c r="P61" s="81">
        <f>8477.51</f>
        <v>8477.51</v>
      </c>
      <c r="Q61" s="79">
        <f t="shared" si="2"/>
        <v>64714.96</v>
      </c>
      <c r="R61" s="141"/>
    </row>
    <row r="62" spans="1:18" s="13" customFormat="1" ht="47.25" x14ac:dyDescent="0.25">
      <c r="A62" s="10"/>
      <c r="B62" s="22" t="s">
        <v>120</v>
      </c>
      <c r="C62" s="1" t="s">
        <v>304</v>
      </c>
      <c r="D62" s="120" t="s">
        <v>474</v>
      </c>
      <c r="E62" s="3" t="s">
        <v>18</v>
      </c>
      <c r="F62" s="73" t="s">
        <v>334</v>
      </c>
      <c r="G62" s="11" t="s">
        <v>116</v>
      </c>
      <c r="H62" s="1">
        <v>16</v>
      </c>
      <c r="I62" s="53">
        <v>3</v>
      </c>
      <c r="J62" s="127">
        <v>3</v>
      </c>
      <c r="K62" s="40">
        <v>4323</v>
      </c>
      <c r="L62" s="40"/>
      <c r="M62" s="78">
        <f t="shared" si="1"/>
        <v>4323</v>
      </c>
      <c r="N62" s="41">
        <v>4</v>
      </c>
      <c r="O62" s="31">
        <v>30280</v>
      </c>
      <c r="P62" s="31">
        <v>25605</v>
      </c>
      <c r="Q62" s="12">
        <f t="shared" si="2"/>
        <v>4675</v>
      </c>
    </row>
    <row r="63" spans="1:18" s="13" customFormat="1" ht="15.75" x14ac:dyDescent="0.25">
      <c r="A63" s="10"/>
      <c r="B63" s="30" t="s">
        <v>134</v>
      </c>
      <c r="C63" s="1" t="s">
        <v>17</v>
      </c>
      <c r="D63" s="120"/>
      <c r="E63" s="3" t="s">
        <v>20</v>
      </c>
      <c r="F63" s="73" t="s">
        <v>349</v>
      </c>
      <c r="G63" s="74" t="s">
        <v>112</v>
      </c>
      <c r="H63" s="75">
        <v>8</v>
      </c>
      <c r="I63" s="76">
        <v>7</v>
      </c>
      <c r="J63" s="96">
        <f>1+4+1</f>
        <v>6</v>
      </c>
      <c r="K63" s="77">
        <f>7301.48+1473.89+1911.09+1690.48</f>
        <v>12376.939999999999</v>
      </c>
      <c r="L63" s="77"/>
      <c r="M63" s="38">
        <f t="shared" si="1"/>
        <v>12376.939999999999</v>
      </c>
      <c r="N63" s="100">
        <f>4+1</f>
        <v>5</v>
      </c>
      <c r="O63" s="81">
        <f>5020.05+3215.31+12312.39+4648.82+32425.98</f>
        <v>57622.55</v>
      </c>
      <c r="P63" s="81"/>
      <c r="Q63" s="79">
        <f t="shared" si="2"/>
        <v>57622.55</v>
      </c>
      <c r="R63" s="141"/>
    </row>
    <row r="64" spans="1:18" s="13" customFormat="1" ht="15.75" x14ac:dyDescent="0.25">
      <c r="A64" s="10"/>
      <c r="B64" s="24" t="s">
        <v>134</v>
      </c>
      <c r="C64" s="1" t="s">
        <v>17</v>
      </c>
      <c r="D64" s="120"/>
      <c r="E64" s="3" t="s">
        <v>20</v>
      </c>
      <c r="F64" s="73" t="s">
        <v>456</v>
      </c>
      <c r="G64" s="11" t="s">
        <v>114</v>
      </c>
      <c r="H64" s="1">
        <v>12</v>
      </c>
      <c r="I64" s="49"/>
      <c r="J64" s="51"/>
      <c r="K64" s="40"/>
      <c r="L64" s="40"/>
      <c r="M64" s="78">
        <f t="shared" si="1"/>
        <v>0</v>
      </c>
      <c r="N64" s="41">
        <v>19</v>
      </c>
      <c r="O64" s="31">
        <v>16425.57</v>
      </c>
      <c r="P64" s="31">
        <v>16425.57</v>
      </c>
      <c r="Q64" s="12">
        <f t="shared" si="2"/>
        <v>0</v>
      </c>
    </row>
    <row r="65" spans="1:18" s="13" customFormat="1" ht="15.75" x14ac:dyDescent="0.25">
      <c r="A65" s="10"/>
      <c r="B65" s="62" t="s">
        <v>48</v>
      </c>
      <c r="C65" s="1" t="s">
        <v>17</v>
      </c>
      <c r="D65" s="120"/>
      <c r="E65" s="3" t="s">
        <v>20</v>
      </c>
      <c r="F65" s="73" t="s">
        <v>350</v>
      </c>
      <c r="G65" s="74" t="s">
        <v>112</v>
      </c>
      <c r="H65" s="75">
        <v>9</v>
      </c>
      <c r="I65" s="76">
        <v>4</v>
      </c>
      <c r="J65" s="96">
        <f>1</f>
        <v>1</v>
      </c>
      <c r="K65" s="77">
        <f>4805.96+2585.78</f>
        <v>7391.74</v>
      </c>
      <c r="L65" s="77"/>
      <c r="M65" s="38">
        <f t="shared" si="1"/>
        <v>7391.74</v>
      </c>
      <c r="N65" s="100">
        <f>2+1</f>
        <v>3</v>
      </c>
      <c r="O65" s="81">
        <f>23174.33+2535.72+11633.02+6993.42</f>
        <v>44336.490000000005</v>
      </c>
      <c r="P65" s="81">
        <f>22598.03</f>
        <v>22598.03</v>
      </c>
      <c r="Q65" s="79">
        <f t="shared" si="2"/>
        <v>21738.460000000006</v>
      </c>
      <c r="R65" s="141"/>
    </row>
    <row r="66" spans="1:18" s="13" customFormat="1" ht="15.75" x14ac:dyDescent="0.25">
      <c r="A66" s="10"/>
      <c r="B66" s="62" t="s">
        <v>49</v>
      </c>
      <c r="C66" s="1" t="s">
        <v>17</v>
      </c>
      <c r="D66" s="120"/>
      <c r="E66" s="3" t="s">
        <v>50</v>
      </c>
      <c r="F66" s="73" t="s">
        <v>351</v>
      </c>
      <c r="G66" s="74" t="s">
        <v>112</v>
      </c>
      <c r="H66" s="75">
        <v>12</v>
      </c>
      <c r="I66" s="76">
        <v>2</v>
      </c>
      <c r="J66" s="96">
        <f>1</f>
        <v>1</v>
      </c>
      <c r="K66" s="77">
        <f>525.65+1267.86</f>
        <v>1793.5099999999998</v>
      </c>
      <c r="L66" s="77"/>
      <c r="M66" s="78">
        <f t="shared" si="1"/>
        <v>1793.5099999999998</v>
      </c>
      <c r="N66" s="100">
        <f>5+1+3</f>
        <v>9</v>
      </c>
      <c r="O66" s="81">
        <f>7374+1806.93+7275.53+4666.9+2684.03</f>
        <v>23807.39</v>
      </c>
      <c r="P66" s="81">
        <f>7374</f>
        <v>7374</v>
      </c>
      <c r="Q66" s="12">
        <f t="shared" si="2"/>
        <v>16433.39</v>
      </c>
      <c r="R66" s="141"/>
    </row>
    <row r="67" spans="1:18" s="13" customFormat="1" ht="15.75" x14ac:dyDescent="0.25">
      <c r="A67" s="10"/>
      <c r="B67" s="22" t="s">
        <v>49</v>
      </c>
      <c r="C67" s="1" t="s">
        <v>17</v>
      </c>
      <c r="D67" s="120"/>
      <c r="E67" s="3" t="s">
        <v>50</v>
      </c>
      <c r="F67" s="73" t="s">
        <v>427</v>
      </c>
      <c r="G67" s="11" t="s">
        <v>115</v>
      </c>
      <c r="H67" s="1">
        <v>6</v>
      </c>
      <c r="I67" s="49">
        <v>1</v>
      </c>
      <c r="J67" s="46">
        <v>1</v>
      </c>
      <c r="K67" s="40"/>
      <c r="L67" s="40"/>
      <c r="M67" s="38">
        <f t="shared" si="1"/>
        <v>0</v>
      </c>
      <c r="N67" s="41">
        <v>8</v>
      </c>
      <c r="O67" s="31">
        <v>9893.2000000000007</v>
      </c>
      <c r="P67" s="31">
        <v>4898.6000000000004</v>
      </c>
      <c r="Q67" s="79">
        <f t="shared" si="2"/>
        <v>4994.6000000000004</v>
      </c>
    </row>
    <row r="68" spans="1:18" s="13" customFormat="1" ht="15.75" x14ac:dyDescent="0.25">
      <c r="A68" s="10"/>
      <c r="B68" s="27" t="s">
        <v>51</v>
      </c>
      <c r="C68" s="1" t="s">
        <v>17</v>
      </c>
      <c r="D68" s="120"/>
      <c r="E68" s="3" t="s">
        <v>20</v>
      </c>
      <c r="F68" s="73" t="s">
        <v>186</v>
      </c>
      <c r="G68" s="74" t="s">
        <v>112</v>
      </c>
      <c r="H68" s="75"/>
      <c r="I68" s="76"/>
      <c r="J68" s="96"/>
      <c r="K68" s="77"/>
      <c r="L68" s="77"/>
      <c r="M68" s="78">
        <f t="shared" si="1"/>
        <v>0</v>
      </c>
      <c r="N68" s="100">
        <f>1</f>
        <v>1</v>
      </c>
      <c r="O68" s="81">
        <v>2451.87</v>
      </c>
      <c r="P68" s="81">
        <f>2451.87</f>
        <v>2451.87</v>
      </c>
      <c r="Q68" s="12">
        <f t="shared" si="2"/>
        <v>0</v>
      </c>
      <c r="R68" s="141"/>
    </row>
    <row r="69" spans="1:18" s="13" customFormat="1" ht="15.75" x14ac:dyDescent="0.25">
      <c r="A69" s="10"/>
      <c r="B69" s="27" t="s">
        <v>51</v>
      </c>
      <c r="C69" s="1" t="s">
        <v>17</v>
      </c>
      <c r="D69" s="120"/>
      <c r="E69" s="3" t="s">
        <v>20</v>
      </c>
      <c r="F69" s="73" t="s">
        <v>276</v>
      </c>
      <c r="G69" s="11" t="s">
        <v>114</v>
      </c>
      <c r="H69" s="1"/>
      <c r="I69" s="49"/>
      <c r="J69" s="51"/>
      <c r="K69" s="40"/>
      <c r="L69" s="40"/>
      <c r="M69" s="38">
        <f t="shared" si="1"/>
        <v>0</v>
      </c>
      <c r="N69" s="41">
        <v>3</v>
      </c>
      <c r="O69" s="31">
        <v>6763.6</v>
      </c>
      <c r="P69" s="31">
        <v>6763.6</v>
      </c>
      <c r="Q69" s="79">
        <f t="shared" si="2"/>
        <v>0</v>
      </c>
    </row>
    <row r="70" spans="1:18" s="13" customFormat="1" ht="15.75" x14ac:dyDescent="0.25">
      <c r="A70" s="10"/>
      <c r="B70" s="62" t="s">
        <v>52</v>
      </c>
      <c r="C70" s="1" t="s">
        <v>17</v>
      </c>
      <c r="D70" s="120"/>
      <c r="E70" s="3" t="s">
        <v>20</v>
      </c>
      <c r="F70" s="73" t="s">
        <v>352</v>
      </c>
      <c r="G70" s="74" t="s">
        <v>112</v>
      </c>
      <c r="H70" s="75">
        <v>6</v>
      </c>
      <c r="I70" s="76"/>
      <c r="J70" s="96"/>
      <c r="K70" s="77"/>
      <c r="L70" s="77"/>
      <c r="M70" s="78">
        <f t="shared" si="1"/>
        <v>0</v>
      </c>
      <c r="N70" s="100">
        <f>4+3+1+1</f>
        <v>9</v>
      </c>
      <c r="O70" s="81">
        <f>5977.15+48296.91+7596.86+1061.83</f>
        <v>62932.750000000007</v>
      </c>
      <c r="P70" s="81">
        <f>48296.91</f>
        <v>48296.91</v>
      </c>
      <c r="Q70" s="12">
        <f t="shared" si="2"/>
        <v>14635.840000000004</v>
      </c>
      <c r="R70" s="141"/>
    </row>
    <row r="71" spans="1:18" s="13" customFormat="1" ht="15.75" x14ac:dyDescent="0.25">
      <c r="A71" s="10"/>
      <c r="B71" s="22" t="s">
        <v>52</v>
      </c>
      <c r="C71" s="1" t="s">
        <v>17</v>
      </c>
      <c r="D71" s="120"/>
      <c r="E71" s="3" t="s">
        <v>20</v>
      </c>
      <c r="F71" s="73" t="s">
        <v>457</v>
      </c>
      <c r="G71" s="11" t="s">
        <v>114</v>
      </c>
      <c r="H71" s="1">
        <v>5</v>
      </c>
      <c r="I71" s="49"/>
      <c r="J71" s="51"/>
      <c r="K71" s="40"/>
      <c r="L71" s="40"/>
      <c r="M71" s="38">
        <f t="shared" si="1"/>
        <v>0</v>
      </c>
      <c r="N71" s="41">
        <v>12</v>
      </c>
      <c r="O71" s="31">
        <v>19664.86</v>
      </c>
      <c r="P71" s="31">
        <v>11388.46</v>
      </c>
      <c r="Q71" s="79">
        <f t="shared" si="2"/>
        <v>8276.4000000000015</v>
      </c>
    </row>
    <row r="72" spans="1:18" s="13" customFormat="1" ht="15.75" x14ac:dyDescent="0.25">
      <c r="A72" s="10"/>
      <c r="B72" s="27" t="s">
        <v>53</v>
      </c>
      <c r="C72" s="1" t="s">
        <v>17</v>
      </c>
      <c r="D72" s="120"/>
      <c r="E72" s="3" t="s">
        <v>20</v>
      </c>
      <c r="F72" s="73" t="s">
        <v>353</v>
      </c>
      <c r="G72" s="74" t="s">
        <v>112</v>
      </c>
      <c r="H72" s="75">
        <v>5</v>
      </c>
      <c r="I72" s="76"/>
      <c r="J72" s="96"/>
      <c r="K72" s="77"/>
      <c r="L72" s="77"/>
      <c r="M72" s="78">
        <f>K72-L72</f>
        <v>0</v>
      </c>
      <c r="N72" s="100">
        <f>1+2+2</f>
        <v>5</v>
      </c>
      <c r="O72" s="81">
        <f>1743.3+3921.71+422.62</f>
        <v>6087.63</v>
      </c>
      <c r="P72" s="81">
        <f>422.62+1743.3</f>
        <v>2165.92</v>
      </c>
      <c r="Q72" s="12">
        <f t="shared" si="2"/>
        <v>3921.71</v>
      </c>
      <c r="R72" s="141"/>
    </row>
    <row r="73" spans="1:18" s="13" customFormat="1" ht="15.75" x14ac:dyDescent="0.25">
      <c r="A73" s="10"/>
      <c r="B73" s="27" t="s">
        <v>149</v>
      </c>
      <c r="C73" s="1" t="s">
        <v>17</v>
      </c>
      <c r="D73" s="120"/>
      <c r="E73" s="3" t="s">
        <v>383</v>
      </c>
      <c r="F73" s="73" t="s">
        <v>354</v>
      </c>
      <c r="G73" s="74" t="s">
        <v>112</v>
      </c>
      <c r="H73" s="75">
        <v>16</v>
      </c>
      <c r="I73" s="76"/>
      <c r="J73" s="96"/>
      <c r="K73" s="77"/>
      <c r="L73" s="77"/>
      <c r="M73" s="38">
        <f t="shared" si="1"/>
        <v>0</v>
      </c>
      <c r="N73" s="100">
        <f>2+2</f>
        <v>4</v>
      </c>
      <c r="O73" s="81">
        <f>3676.8+3431.65</f>
        <v>7108.4500000000007</v>
      </c>
      <c r="P73" s="81"/>
      <c r="Q73" s="79">
        <f t="shared" si="2"/>
        <v>7108.4500000000007</v>
      </c>
      <c r="R73" s="141"/>
    </row>
    <row r="74" spans="1:18" s="13" customFormat="1" ht="15.75" x14ac:dyDescent="0.25">
      <c r="A74" s="10"/>
      <c r="B74" s="25" t="s">
        <v>149</v>
      </c>
      <c r="C74" s="1" t="s">
        <v>17</v>
      </c>
      <c r="D74" s="120"/>
      <c r="E74" s="3" t="s">
        <v>383</v>
      </c>
      <c r="F74" s="73" t="s">
        <v>438</v>
      </c>
      <c r="G74" s="11" t="s">
        <v>118</v>
      </c>
      <c r="H74" s="1">
        <v>3</v>
      </c>
      <c r="I74" s="47"/>
      <c r="J74" s="51"/>
      <c r="K74" s="37"/>
      <c r="L74" s="37"/>
      <c r="M74" s="78">
        <f t="shared" si="1"/>
        <v>0</v>
      </c>
      <c r="N74" s="39">
        <v>3</v>
      </c>
      <c r="O74" s="31">
        <v>4994.6000000000004</v>
      </c>
      <c r="P74" s="31">
        <v>2689.4</v>
      </c>
      <c r="Q74" s="12">
        <f t="shared" si="2"/>
        <v>2305.2000000000003</v>
      </c>
    </row>
    <row r="75" spans="1:18" s="13" customFormat="1" ht="15.75" x14ac:dyDescent="0.25">
      <c r="A75" s="10"/>
      <c r="B75" s="62" t="s">
        <v>107</v>
      </c>
      <c r="C75" s="1" t="s">
        <v>17</v>
      </c>
      <c r="D75" s="120"/>
      <c r="E75" s="17" t="s">
        <v>20</v>
      </c>
      <c r="F75" s="73" t="s">
        <v>355</v>
      </c>
      <c r="G75" s="74" t="s">
        <v>112</v>
      </c>
      <c r="H75" s="75">
        <v>6</v>
      </c>
      <c r="I75" s="76"/>
      <c r="J75" s="96">
        <f>1</f>
        <v>1</v>
      </c>
      <c r="K75" s="77">
        <f>666.63</f>
        <v>666.63</v>
      </c>
      <c r="L75" s="77"/>
      <c r="M75" s="38">
        <f t="shared" si="1"/>
        <v>666.63</v>
      </c>
      <c r="N75" s="100">
        <f>2+6</f>
        <v>8</v>
      </c>
      <c r="O75" s="81">
        <f>7612.92+18804.48+9163.33</f>
        <v>35580.730000000003</v>
      </c>
      <c r="P75" s="81">
        <f>7612.92+9952.7</f>
        <v>17565.620000000003</v>
      </c>
      <c r="Q75" s="79">
        <f t="shared" si="2"/>
        <v>18015.11</v>
      </c>
      <c r="R75" s="141"/>
    </row>
    <row r="76" spans="1:18" s="13" customFormat="1" ht="15.75" x14ac:dyDescent="0.25">
      <c r="A76" s="10"/>
      <c r="B76" s="30" t="s">
        <v>54</v>
      </c>
      <c r="C76" s="1" t="s">
        <v>17</v>
      </c>
      <c r="D76" s="120"/>
      <c r="E76" s="17" t="s">
        <v>20</v>
      </c>
      <c r="F76" s="73" t="s">
        <v>356</v>
      </c>
      <c r="G76" s="74" t="s">
        <v>112</v>
      </c>
      <c r="H76" s="75"/>
      <c r="I76" s="76"/>
      <c r="J76" s="96"/>
      <c r="K76" s="77"/>
      <c r="L76" s="77"/>
      <c r="M76" s="38">
        <f t="shared" si="1"/>
        <v>0</v>
      </c>
      <c r="N76" s="100">
        <f>4</f>
        <v>4</v>
      </c>
      <c r="O76" s="81">
        <f>17895.28</f>
        <v>17895.28</v>
      </c>
      <c r="P76" s="81"/>
      <c r="Q76" s="79">
        <f t="shared" si="2"/>
        <v>17895.28</v>
      </c>
      <c r="R76" s="141"/>
    </row>
    <row r="77" spans="1:18" s="13" customFormat="1" ht="31.5" x14ac:dyDescent="0.25">
      <c r="A77" s="10"/>
      <c r="B77" s="27" t="s">
        <v>55</v>
      </c>
      <c r="C77" s="1" t="s">
        <v>304</v>
      </c>
      <c r="D77" s="120" t="s">
        <v>387</v>
      </c>
      <c r="E77" s="3" t="s">
        <v>20</v>
      </c>
      <c r="F77" s="73" t="s">
        <v>357</v>
      </c>
      <c r="G77" s="74" t="s">
        <v>112</v>
      </c>
      <c r="H77" s="75">
        <v>11</v>
      </c>
      <c r="I77" s="76">
        <v>5</v>
      </c>
      <c r="J77" s="96"/>
      <c r="K77" s="77">
        <f>1267.86+6667.8</f>
        <v>7935.66</v>
      </c>
      <c r="L77" s="77"/>
      <c r="M77" s="78">
        <f t="shared" si="1"/>
        <v>7935.66</v>
      </c>
      <c r="N77" s="100">
        <f>2+1+2</f>
        <v>5</v>
      </c>
      <c r="O77" s="81">
        <f>34854.19+2113.1+6430.67+5463.42</f>
        <v>48861.38</v>
      </c>
      <c r="P77" s="81">
        <f>34854.19</f>
        <v>34854.19</v>
      </c>
      <c r="Q77" s="12">
        <f t="shared" si="2"/>
        <v>14007.189999999995</v>
      </c>
      <c r="R77" s="141"/>
    </row>
    <row r="78" spans="1:18" s="13" customFormat="1" ht="31.5" x14ac:dyDescent="0.25">
      <c r="A78" s="10"/>
      <c r="B78" s="62" t="s">
        <v>56</v>
      </c>
      <c r="C78" s="1" t="s">
        <v>17</v>
      </c>
      <c r="D78" s="120" t="s">
        <v>386</v>
      </c>
      <c r="E78" s="3" t="s">
        <v>18</v>
      </c>
      <c r="F78" s="73" t="s">
        <v>358</v>
      </c>
      <c r="G78" s="74" t="s">
        <v>112</v>
      </c>
      <c r="H78" s="75">
        <v>3</v>
      </c>
      <c r="I78" s="76">
        <v>1</v>
      </c>
      <c r="J78" s="96">
        <f>1</f>
        <v>1</v>
      </c>
      <c r="K78" s="77">
        <f>678.11</f>
        <v>678.11</v>
      </c>
      <c r="L78" s="77"/>
      <c r="M78" s="38">
        <f t="shared" si="1"/>
        <v>678.11</v>
      </c>
      <c r="N78" s="100"/>
      <c r="O78" s="81"/>
      <c r="P78" s="81"/>
      <c r="Q78" s="79">
        <f t="shared" si="2"/>
        <v>0</v>
      </c>
      <c r="R78" s="141"/>
    </row>
    <row r="79" spans="1:18" s="13" customFormat="1" ht="31.5" x14ac:dyDescent="0.25">
      <c r="A79" s="10"/>
      <c r="B79" s="22" t="s">
        <v>56</v>
      </c>
      <c r="C79" s="1" t="s">
        <v>304</v>
      </c>
      <c r="D79" s="120" t="s">
        <v>386</v>
      </c>
      <c r="E79" s="3" t="s">
        <v>18</v>
      </c>
      <c r="F79" s="73" t="s">
        <v>476</v>
      </c>
      <c r="G79" s="11" t="s">
        <v>113</v>
      </c>
      <c r="H79" s="1">
        <v>2</v>
      </c>
      <c r="I79" s="49">
        <v>1</v>
      </c>
      <c r="J79" s="46">
        <v>1</v>
      </c>
      <c r="K79" s="40">
        <v>1480</v>
      </c>
      <c r="L79" s="40"/>
      <c r="M79" s="78">
        <f t="shared" si="1"/>
        <v>1480</v>
      </c>
      <c r="N79" s="41"/>
      <c r="O79" s="31">
        <v>7612</v>
      </c>
      <c r="P79" s="31">
        <v>7612</v>
      </c>
      <c r="Q79" s="12">
        <f t="shared" ref="Q79:Q146" si="3">O79-P79</f>
        <v>0</v>
      </c>
    </row>
    <row r="80" spans="1:18" s="13" customFormat="1" ht="15.75" x14ac:dyDescent="0.25">
      <c r="A80" s="10"/>
      <c r="B80" s="62" t="s">
        <v>156</v>
      </c>
      <c r="C80" s="1" t="s">
        <v>304</v>
      </c>
      <c r="D80" s="120"/>
      <c r="E80" s="3" t="s">
        <v>20</v>
      </c>
      <c r="F80" s="73" t="s">
        <v>359</v>
      </c>
      <c r="G80" s="74" t="s">
        <v>112</v>
      </c>
      <c r="H80" s="75">
        <v>3</v>
      </c>
      <c r="I80" s="76">
        <v>2</v>
      </c>
      <c r="J80" s="96">
        <f>2</f>
        <v>2</v>
      </c>
      <c r="K80" s="77">
        <f>1690.48</f>
        <v>1690.48</v>
      </c>
      <c r="L80" s="77"/>
      <c r="M80" s="38">
        <f t="shared" si="1"/>
        <v>1690.48</v>
      </c>
      <c r="N80" s="100">
        <f>3+1</f>
        <v>4</v>
      </c>
      <c r="O80" s="81">
        <f>5488.54+2398.37+422.62</f>
        <v>8309.5300000000007</v>
      </c>
      <c r="P80" s="81">
        <f>5488.54</f>
        <v>5488.54</v>
      </c>
      <c r="Q80" s="79">
        <f t="shared" si="3"/>
        <v>2820.9900000000007</v>
      </c>
      <c r="R80" s="141"/>
    </row>
    <row r="81" spans="1:18" s="15" customFormat="1" ht="15.75" x14ac:dyDescent="0.25">
      <c r="A81" s="14"/>
      <c r="B81" s="80" t="s">
        <v>57</v>
      </c>
      <c r="C81" s="1" t="s">
        <v>17</v>
      </c>
      <c r="D81" s="120"/>
      <c r="E81" s="3" t="s">
        <v>20</v>
      </c>
      <c r="F81" s="73" t="s">
        <v>360</v>
      </c>
      <c r="G81" s="74" t="s">
        <v>112</v>
      </c>
      <c r="H81" s="75">
        <v>4</v>
      </c>
      <c r="I81" s="76">
        <v>2</v>
      </c>
      <c r="J81" s="96">
        <f>2</f>
        <v>2</v>
      </c>
      <c r="K81" s="77">
        <f>806.82</f>
        <v>806.82</v>
      </c>
      <c r="L81" s="77"/>
      <c r="M81" s="78">
        <f t="shared" si="1"/>
        <v>806.82</v>
      </c>
      <c r="N81" s="100">
        <f>2+1</f>
        <v>3</v>
      </c>
      <c r="O81" s="81">
        <f>2745.3</f>
        <v>2745.3</v>
      </c>
      <c r="P81" s="81"/>
      <c r="Q81" s="12">
        <f t="shared" si="3"/>
        <v>2745.3</v>
      </c>
      <c r="R81" s="141"/>
    </row>
    <row r="82" spans="1:18" s="15" customFormat="1" ht="15.75" x14ac:dyDescent="0.25">
      <c r="A82" s="14"/>
      <c r="B82" s="23" t="s">
        <v>57</v>
      </c>
      <c r="C82" s="1" t="s">
        <v>17</v>
      </c>
      <c r="D82" s="120"/>
      <c r="E82" s="3" t="s">
        <v>20</v>
      </c>
      <c r="F82" s="73" t="s">
        <v>458</v>
      </c>
      <c r="G82" s="11" t="s">
        <v>114</v>
      </c>
      <c r="H82" s="1">
        <v>13</v>
      </c>
      <c r="I82" s="49">
        <v>1</v>
      </c>
      <c r="J82" s="51">
        <v>1</v>
      </c>
      <c r="K82" s="40"/>
      <c r="L82" s="40"/>
      <c r="M82" s="38">
        <f t="shared" si="1"/>
        <v>0</v>
      </c>
      <c r="N82" s="42">
        <v>7</v>
      </c>
      <c r="O82" s="31">
        <v>5825.46</v>
      </c>
      <c r="P82" s="31">
        <v>5825.46</v>
      </c>
      <c r="Q82" s="79">
        <f t="shared" si="3"/>
        <v>0</v>
      </c>
    </row>
    <row r="83" spans="1:18" s="13" customFormat="1" ht="15.75" x14ac:dyDescent="0.25">
      <c r="A83" s="10"/>
      <c r="B83" s="62" t="s">
        <v>58</v>
      </c>
      <c r="C83" s="1" t="s">
        <v>17</v>
      </c>
      <c r="D83" s="120"/>
      <c r="E83" s="3" t="s">
        <v>20</v>
      </c>
      <c r="F83" s="73" t="s">
        <v>361</v>
      </c>
      <c r="G83" s="74" t="s">
        <v>112</v>
      </c>
      <c r="H83" s="75">
        <v>2</v>
      </c>
      <c r="I83" s="76"/>
      <c r="J83" s="96"/>
      <c r="K83" s="77"/>
      <c r="L83" s="77"/>
      <c r="M83" s="78">
        <f t="shared" si="1"/>
        <v>0</v>
      </c>
      <c r="N83" s="100">
        <f>1+1+3</f>
        <v>5</v>
      </c>
      <c r="O83" s="81">
        <f>9196.24+2480.78+2954.11+15214.32</f>
        <v>29845.45</v>
      </c>
      <c r="P83" s="81"/>
      <c r="Q83" s="12">
        <f t="shared" si="3"/>
        <v>29845.45</v>
      </c>
      <c r="R83" s="141"/>
    </row>
    <row r="84" spans="1:18" s="13" customFormat="1" ht="15.75" x14ac:dyDescent="0.25">
      <c r="A84" s="10"/>
      <c r="B84" s="22" t="s">
        <v>58</v>
      </c>
      <c r="C84" s="1" t="s">
        <v>17</v>
      </c>
      <c r="D84" s="120"/>
      <c r="E84" s="3" t="s">
        <v>20</v>
      </c>
      <c r="F84" s="73" t="s">
        <v>478</v>
      </c>
      <c r="G84" s="11" t="s">
        <v>114</v>
      </c>
      <c r="H84" s="1">
        <v>3</v>
      </c>
      <c r="I84" s="49"/>
      <c r="J84" s="51"/>
      <c r="K84" s="40"/>
      <c r="L84" s="40"/>
      <c r="M84" s="38">
        <f t="shared" ref="M84:M157" si="4">K84-L84</f>
        <v>0</v>
      </c>
      <c r="N84" s="41">
        <v>15</v>
      </c>
      <c r="O84" s="31">
        <v>23095.57</v>
      </c>
      <c r="P84" s="31">
        <v>16615.25</v>
      </c>
      <c r="Q84" s="79">
        <f t="shared" si="3"/>
        <v>6480.32</v>
      </c>
    </row>
    <row r="85" spans="1:18" s="13" customFormat="1" ht="15.75" x14ac:dyDescent="0.25">
      <c r="A85" s="10"/>
      <c r="B85" s="62" t="s">
        <v>59</v>
      </c>
      <c r="C85" s="1" t="s">
        <v>17</v>
      </c>
      <c r="D85" s="120"/>
      <c r="E85" s="3" t="s">
        <v>20</v>
      </c>
      <c r="F85" s="73" t="s">
        <v>362</v>
      </c>
      <c r="G85" s="74" t="s">
        <v>112</v>
      </c>
      <c r="H85" s="75">
        <v>3</v>
      </c>
      <c r="I85" s="76">
        <v>3</v>
      </c>
      <c r="J85" s="96">
        <f>1+1+1</f>
        <v>3</v>
      </c>
      <c r="K85" s="77">
        <f>403.41</f>
        <v>403.41</v>
      </c>
      <c r="L85" s="77"/>
      <c r="M85" s="78">
        <f t="shared" si="4"/>
        <v>403.41</v>
      </c>
      <c r="N85" s="100">
        <f>1+2+2+1</f>
        <v>6</v>
      </c>
      <c r="O85" s="81">
        <f>6646.05+1267.86+979.71</f>
        <v>8893.619999999999</v>
      </c>
      <c r="P85" s="81">
        <f>2353.23+5561.68</f>
        <v>7914.91</v>
      </c>
      <c r="Q85" s="12">
        <f t="shared" si="3"/>
        <v>978.70999999999913</v>
      </c>
      <c r="R85" s="141"/>
    </row>
    <row r="86" spans="1:18" s="13" customFormat="1" ht="15.75" x14ac:dyDescent="0.25">
      <c r="A86" s="10"/>
      <c r="B86" s="22" t="s">
        <v>59</v>
      </c>
      <c r="C86" s="1" t="s">
        <v>17</v>
      </c>
      <c r="D86" s="120"/>
      <c r="E86" s="3" t="s">
        <v>20</v>
      </c>
      <c r="F86" s="73" t="s">
        <v>128</v>
      </c>
      <c r="G86" s="11" t="s">
        <v>114</v>
      </c>
      <c r="H86" s="1"/>
      <c r="I86" s="49"/>
      <c r="J86" s="51"/>
      <c r="K86" s="40"/>
      <c r="L86" s="40"/>
      <c r="M86" s="38">
        <f t="shared" si="4"/>
        <v>0</v>
      </c>
      <c r="N86" s="41"/>
      <c r="O86" s="31"/>
      <c r="P86" s="31"/>
      <c r="Q86" s="79">
        <f t="shared" si="3"/>
        <v>0</v>
      </c>
    </row>
    <row r="87" spans="1:18" s="13" customFormat="1" ht="15.75" x14ac:dyDescent="0.25">
      <c r="A87" s="10"/>
      <c r="B87" s="27" t="s">
        <v>60</v>
      </c>
      <c r="C87" s="1" t="s">
        <v>17</v>
      </c>
      <c r="D87" s="120"/>
      <c r="E87" s="3" t="s">
        <v>20</v>
      </c>
      <c r="F87" s="73" t="s">
        <v>364</v>
      </c>
      <c r="G87" s="74" t="s">
        <v>112</v>
      </c>
      <c r="H87" s="75">
        <v>6</v>
      </c>
      <c r="I87" s="76">
        <v>1</v>
      </c>
      <c r="J87" s="96">
        <f>1</f>
        <v>1</v>
      </c>
      <c r="K87" s="77">
        <f>634.93</f>
        <v>634.92999999999995</v>
      </c>
      <c r="L87" s="77"/>
      <c r="M87" s="78">
        <f t="shared" si="4"/>
        <v>634.92999999999995</v>
      </c>
      <c r="N87" s="100">
        <f>4+1</f>
        <v>5</v>
      </c>
      <c r="O87" s="81">
        <f>15124.53+2065.75</f>
        <v>17190.28</v>
      </c>
      <c r="P87" s="81">
        <f>15125.53</f>
        <v>15125.53</v>
      </c>
      <c r="Q87" s="12">
        <f t="shared" si="3"/>
        <v>2064.7499999999982</v>
      </c>
      <c r="R87" s="141"/>
    </row>
    <row r="88" spans="1:18" s="13" customFormat="1" ht="15.75" x14ac:dyDescent="0.25">
      <c r="A88" s="10"/>
      <c r="B88" s="25" t="s">
        <v>60</v>
      </c>
      <c r="C88" s="1" t="s">
        <v>17</v>
      </c>
      <c r="D88" s="120"/>
      <c r="E88" s="3" t="s">
        <v>20</v>
      </c>
      <c r="F88" s="73" t="s">
        <v>479</v>
      </c>
      <c r="G88" s="11" t="s">
        <v>114</v>
      </c>
      <c r="H88" s="1">
        <v>3</v>
      </c>
      <c r="I88" s="49"/>
      <c r="J88" s="51"/>
      <c r="K88" s="40"/>
      <c r="L88" s="40"/>
      <c r="M88" s="38">
        <f t="shared" si="4"/>
        <v>0</v>
      </c>
      <c r="N88" s="41">
        <v>7</v>
      </c>
      <c r="O88" s="31">
        <v>6259.4</v>
      </c>
      <c r="P88" s="31">
        <v>6259.4</v>
      </c>
      <c r="Q88" s="79">
        <f t="shared" si="3"/>
        <v>0</v>
      </c>
    </row>
    <row r="89" spans="1:18" s="13" customFormat="1" ht="15.75" x14ac:dyDescent="0.25">
      <c r="A89" s="10"/>
      <c r="B89" s="25" t="s">
        <v>493</v>
      </c>
      <c r="C89" s="1" t="s">
        <v>17</v>
      </c>
      <c r="D89" s="120"/>
      <c r="E89" s="3" t="s">
        <v>20</v>
      </c>
      <c r="F89" s="73" t="s">
        <v>496</v>
      </c>
      <c r="G89" s="11" t="s">
        <v>112</v>
      </c>
      <c r="H89" s="1">
        <v>2</v>
      </c>
      <c r="I89" s="49"/>
      <c r="J89" s="51"/>
      <c r="K89" s="40"/>
      <c r="L89" s="40"/>
      <c r="M89" s="38"/>
      <c r="N89" s="41"/>
      <c r="O89" s="31"/>
      <c r="P89" s="31"/>
      <c r="Q89" s="79"/>
    </row>
    <row r="90" spans="1:18" s="15" customFormat="1" ht="15.75" x14ac:dyDescent="0.25">
      <c r="A90" s="14"/>
      <c r="B90" s="28" t="s">
        <v>61</v>
      </c>
      <c r="C90" s="1" t="s">
        <v>17</v>
      </c>
      <c r="D90" s="120"/>
      <c r="E90" s="3" t="s">
        <v>20</v>
      </c>
      <c r="F90" s="73" t="s">
        <v>363</v>
      </c>
      <c r="G90" s="74" t="s">
        <v>112</v>
      </c>
      <c r="H90" s="75"/>
      <c r="I90" s="76"/>
      <c r="J90" s="96"/>
      <c r="K90" s="77"/>
      <c r="L90" s="77"/>
      <c r="M90" s="78">
        <f t="shared" si="4"/>
        <v>0</v>
      </c>
      <c r="N90" s="100"/>
      <c r="O90" s="81"/>
      <c r="P90" s="81"/>
      <c r="Q90" s="12">
        <f t="shared" si="3"/>
        <v>0</v>
      </c>
      <c r="R90" s="141"/>
    </row>
    <row r="91" spans="1:18" s="15" customFormat="1" ht="15.75" x14ac:dyDescent="0.25">
      <c r="A91" s="14"/>
      <c r="B91" s="26" t="s">
        <v>61</v>
      </c>
      <c r="C91" s="1" t="s">
        <v>17</v>
      </c>
      <c r="D91" s="120"/>
      <c r="E91" s="3" t="s">
        <v>20</v>
      </c>
      <c r="F91" s="73" t="s">
        <v>121</v>
      </c>
      <c r="G91" s="11" t="s">
        <v>114</v>
      </c>
      <c r="H91" s="1"/>
      <c r="I91" s="49"/>
      <c r="J91" s="51"/>
      <c r="K91" s="40"/>
      <c r="L91" s="40"/>
      <c r="M91" s="38">
        <f t="shared" si="4"/>
        <v>0</v>
      </c>
      <c r="N91" s="42"/>
      <c r="O91" s="31"/>
      <c r="P91" s="31"/>
      <c r="Q91" s="79">
        <f t="shared" si="3"/>
        <v>0</v>
      </c>
    </row>
    <row r="92" spans="1:18" s="15" customFormat="1" ht="15.75" x14ac:dyDescent="0.25">
      <c r="A92" s="14"/>
      <c r="B92" s="20" t="s">
        <v>306</v>
      </c>
      <c r="C92" s="1" t="s">
        <v>17</v>
      </c>
      <c r="D92" s="120"/>
      <c r="E92" s="3" t="s">
        <v>35</v>
      </c>
      <c r="F92" s="73" t="s">
        <v>365</v>
      </c>
      <c r="G92" s="11" t="s">
        <v>112</v>
      </c>
      <c r="H92" s="1">
        <v>18</v>
      </c>
      <c r="I92" s="58">
        <v>7</v>
      </c>
      <c r="J92" s="51">
        <f>1+2+1+3</f>
        <v>7</v>
      </c>
      <c r="K92" s="40">
        <f>1045.98+2658.7+35696.14+4892.46</f>
        <v>44293.279999999999</v>
      </c>
      <c r="L92" s="40">
        <f>1045.98</f>
        <v>1045.98</v>
      </c>
      <c r="M92" s="78">
        <f t="shared" si="4"/>
        <v>43247.299999999996</v>
      </c>
      <c r="N92" s="39">
        <f>7+2+2+2</f>
        <v>13</v>
      </c>
      <c r="O92" s="31">
        <f>2313.84+6162.57+2330.32+1690.48</f>
        <v>12497.21</v>
      </c>
      <c r="P92" s="31">
        <f>2313.84+6162.57</f>
        <v>8476.41</v>
      </c>
      <c r="Q92" s="12">
        <f t="shared" si="3"/>
        <v>4020.7999999999993</v>
      </c>
      <c r="R92" s="141"/>
    </row>
    <row r="93" spans="1:18" s="13" customFormat="1" ht="15.75" x14ac:dyDescent="0.25">
      <c r="A93" s="10"/>
      <c r="B93" s="22" t="s">
        <v>306</v>
      </c>
      <c r="C93" s="1" t="s">
        <v>17</v>
      </c>
      <c r="D93" s="120"/>
      <c r="E93" s="3" t="s">
        <v>27</v>
      </c>
      <c r="F93" s="73" t="s">
        <v>421</v>
      </c>
      <c r="G93" s="11" t="s">
        <v>117</v>
      </c>
      <c r="H93" s="1">
        <v>2</v>
      </c>
      <c r="I93" s="49"/>
      <c r="J93" s="46"/>
      <c r="K93" s="40"/>
      <c r="L93" s="40"/>
      <c r="M93" s="78">
        <f>K93-L93</f>
        <v>0</v>
      </c>
      <c r="N93" s="41"/>
      <c r="O93" s="40"/>
      <c r="P93" s="40"/>
      <c r="Q93" s="79">
        <f>O93-P93</f>
        <v>0</v>
      </c>
    </row>
    <row r="94" spans="1:18" s="13" customFormat="1" ht="15.75" x14ac:dyDescent="0.25">
      <c r="A94" s="10"/>
      <c r="B94" s="27" t="s">
        <v>62</v>
      </c>
      <c r="C94" s="1" t="s">
        <v>17</v>
      </c>
      <c r="D94" s="120"/>
      <c r="E94" s="3" t="s">
        <v>35</v>
      </c>
      <c r="F94" s="73" t="s">
        <v>366</v>
      </c>
      <c r="G94" s="74" t="s">
        <v>112</v>
      </c>
      <c r="H94" s="75">
        <v>8</v>
      </c>
      <c r="I94" s="76">
        <v>7</v>
      </c>
      <c r="J94" s="96">
        <f>1+3+1</f>
        <v>5</v>
      </c>
      <c r="K94" s="77">
        <f>3613.4+1872.01</f>
        <v>5485.41</v>
      </c>
      <c r="L94" s="77"/>
      <c r="M94" s="38">
        <f t="shared" si="4"/>
        <v>5485.41</v>
      </c>
      <c r="N94" s="100">
        <f>6+2+1+2</f>
        <v>11</v>
      </c>
      <c r="O94" s="81">
        <f>19511.33+1270.93+3979.74+2500.85+8530.18</f>
        <v>35793.03</v>
      </c>
      <c r="P94" s="81">
        <f>19512.33</f>
        <v>19512.330000000002</v>
      </c>
      <c r="Q94" s="79">
        <f t="shared" si="3"/>
        <v>16280.699999999997</v>
      </c>
      <c r="R94" s="141"/>
    </row>
    <row r="95" spans="1:18" s="13" customFormat="1" ht="15.75" x14ac:dyDescent="0.25">
      <c r="A95" s="10"/>
      <c r="B95" s="25" t="s">
        <v>62</v>
      </c>
      <c r="C95" s="1" t="s">
        <v>17</v>
      </c>
      <c r="D95" s="120"/>
      <c r="E95" s="3" t="s">
        <v>35</v>
      </c>
      <c r="F95" s="73" t="s">
        <v>428</v>
      </c>
      <c r="G95" s="11" t="s">
        <v>117</v>
      </c>
      <c r="H95" s="1">
        <v>1</v>
      </c>
      <c r="I95" s="49"/>
      <c r="J95" s="46"/>
      <c r="K95" s="40"/>
      <c r="L95" s="40"/>
      <c r="M95" s="78">
        <f t="shared" si="4"/>
        <v>0</v>
      </c>
      <c r="N95" s="41">
        <v>8</v>
      </c>
      <c r="O95" s="31">
        <v>18561.900000000001</v>
      </c>
      <c r="P95" s="31">
        <v>14143.6</v>
      </c>
      <c r="Q95" s="12">
        <f t="shared" si="3"/>
        <v>4418.3000000000011</v>
      </c>
    </row>
    <row r="96" spans="1:18" s="13" customFormat="1" ht="15.75" x14ac:dyDescent="0.25">
      <c r="A96" s="10"/>
      <c r="B96" s="25" t="s">
        <v>63</v>
      </c>
      <c r="C96" s="1" t="s">
        <v>64</v>
      </c>
      <c r="D96" s="120" t="s">
        <v>65</v>
      </c>
      <c r="E96" s="3" t="s">
        <v>20</v>
      </c>
      <c r="F96" s="73" t="s">
        <v>480</v>
      </c>
      <c r="G96" s="11" t="s">
        <v>114</v>
      </c>
      <c r="H96" s="1"/>
      <c r="I96" s="49"/>
      <c r="J96" s="51"/>
      <c r="K96" s="40"/>
      <c r="L96" s="40"/>
      <c r="M96" s="38">
        <f t="shared" si="4"/>
        <v>0</v>
      </c>
      <c r="N96" s="41"/>
      <c r="O96" s="31"/>
      <c r="P96" s="31"/>
      <c r="Q96" s="79">
        <f t="shared" si="3"/>
        <v>0</v>
      </c>
    </row>
    <row r="97" spans="1:19" s="13" customFormat="1" ht="15.75" x14ac:dyDescent="0.25">
      <c r="A97" s="10"/>
      <c r="B97" s="27" t="s">
        <v>155</v>
      </c>
      <c r="C97" s="1" t="s">
        <v>17</v>
      </c>
      <c r="D97" s="120"/>
      <c r="E97" s="3" t="s">
        <v>20</v>
      </c>
      <c r="F97" s="73" t="s">
        <v>367</v>
      </c>
      <c r="G97" s="74" t="s">
        <v>112</v>
      </c>
      <c r="H97" s="75">
        <v>5</v>
      </c>
      <c r="I97" s="82">
        <v>1</v>
      </c>
      <c r="J97" s="96">
        <f>1</f>
        <v>1</v>
      </c>
      <c r="K97" s="77">
        <f>3117.56</f>
        <v>3117.56</v>
      </c>
      <c r="L97" s="77"/>
      <c r="M97" s="78">
        <f t="shared" si="4"/>
        <v>3117.56</v>
      </c>
      <c r="N97" s="100">
        <f>1+1+1</f>
        <v>3</v>
      </c>
      <c r="O97" s="81">
        <f>1798.06+2123.67</f>
        <v>3921.73</v>
      </c>
      <c r="P97" s="81"/>
      <c r="Q97" s="12">
        <f t="shared" si="3"/>
        <v>3921.73</v>
      </c>
      <c r="R97" s="141"/>
    </row>
    <row r="98" spans="1:19" s="13" customFormat="1" ht="15.75" x14ac:dyDescent="0.25">
      <c r="A98" s="10"/>
      <c r="B98" s="25" t="s">
        <v>155</v>
      </c>
      <c r="C98" s="1" t="s">
        <v>17</v>
      </c>
      <c r="D98" s="120"/>
      <c r="E98" s="3" t="s">
        <v>20</v>
      </c>
      <c r="F98" s="73" t="s">
        <v>459</v>
      </c>
      <c r="G98" s="11" t="s">
        <v>114</v>
      </c>
      <c r="H98" s="1">
        <v>6</v>
      </c>
      <c r="I98" s="49"/>
      <c r="J98" s="51"/>
      <c r="K98" s="40"/>
      <c r="L98" s="40"/>
      <c r="M98" s="38">
        <f t="shared" si="4"/>
        <v>0</v>
      </c>
      <c r="N98" s="41">
        <v>13</v>
      </c>
      <c r="O98" s="31">
        <v>17392.43</v>
      </c>
      <c r="P98" s="31">
        <v>17392.43</v>
      </c>
      <c r="Q98" s="79">
        <f t="shared" si="3"/>
        <v>0</v>
      </c>
    </row>
    <row r="99" spans="1:19" s="13" customFormat="1" ht="15.75" x14ac:dyDescent="0.25">
      <c r="A99" s="10"/>
      <c r="B99" s="30" t="s">
        <v>66</v>
      </c>
      <c r="C99" s="1" t="s">
        <v>17</v>
      </c>
      <c r="D99" s="120"/>
      <c r="E99" s="3" t="s">
        <v>21</v>
      </c>
      <c r="F99" s="73" t="s">
        <v>368</v>
      </c>
      <c r="G99" s="74" t="s">
        <v>112</v>
      </c>
      <c r="H99" s="75">
        <v>11</v>
      </c>
      <c r="I99" s="76">
        <v>5</v>
      </c>
      <c r="J99" s="96">
        <f>1+3+2+3</f>
        <v>9</v>
      </c>
      <c r="K99" s="77">
        <f>1045.98+4309.04+3820.12+1872.01+4253.49</f>
        <v>15300.64</v>
      </c>
      <c r="L99" s="77"/>
      <c r="M99" s="78">
        <f t="shared" si="4"/>
        <v>15300.64</v>
      </c>
      <c r="N99" s="100">
        <f>6+3+8+7+1+1+1+2</f>
        <v>29</v>
      </c>
      <c r="O99" s="81">
        <f>11911.17+23136+18060.17+1977.84+2091.97</f>
        <v>57177.149999999994</v>
      </c>
      <c r="P99" s="81">
        <f>1152.6+11911.47</f>
        <v>13064.07</v>
      </c>
      <c r="Q99" s="12">
        <f t="shared" si="3"/>
        <v>44113.079999999994</v>
      </c>
      <c r="R99" s="141"/>
    </row>
    <row r="100" spans="1:19" s="13" customFormat="1" ht="15.75" x14ac:dyDescent="0.25">
      <c r="A100" s="10"/>
      <c r="B100" s="24" t="s">
        <v>66</v>
      </c>
      <c r="C100" s="1" t="s">
        <v>17</v>
      </c>
      <c r="D100" s="120"/>
      <c r="E100" s="3" t="s">
        <v>21</v>
      </c>
      <c r="F100" s="73" t="s">
        <v>439</v>
      </c>
      <c r="G100" s="11" t="s">
        <v>118</v>
      </c>
      <c r="H100" s="1">
        <v>5</v>
      </c>
      <c r="I100" s="49"/>
      <c r="J100" s="46"/>
      <c r="K100" s="40"/>
      <c r="L100" s="40"/>
      <c r="M100" s="38">
        <f t="shared" si="4"/>
        <v>0</v>
      </c>
      <c r="N100" s="41">
        <v>12</v>
      </c>
      <c r="O100" s="31">
        <v>54769</v>
      </c>
      <c r="P100" s="31">
        <v>6149.38</v>
      </c>
      <c r="Q100" s="79">
        <f t="shared" si="3"/>
        <v>48619.62</v>
      </c>
    </row>
    <row r="101" spans="1:19" s="13" customFormat="1" ht="15.75" x14ac:dyDescent="0.25">
      <c r="A101" s="10"/>
      <c r="B101" s="62" t="s">
        <v>137</v>
      </c>
      <c r="C101" s="1" t="s">
        <v>17</v>
      </c>
      <c r="D101" s="120"/>
      <c r="E101" s="17" t="s">
        <v>35</v>
      </c>
      <c r="F101" s="73" t="s">
        <v>369</v>
      </c>
      <c r="G101" s="74" t="s">
        <v>112</v>
      </c>
      <c r="H101" s="75">
        <v>11</v>
      </c>
      <c r="I101" s="76">
        <v>7</v>
      </c>
      <c r="J101" s="96">
        <f>3+3</f>
        <v>6</v>
      </c>
      <c r="K101" s="77">
        <f>504.26+845.24+3380.96</f>
        <v>4730.46</v>
      </c>
      <c r="L101" s="77"/>
      <c r="M101" s="78">
        <f t="shared" si="4"/>
        <v>4730.46</v>
      </c>
      <c r="N101" s="100">
        <f>5+1+1+2</f>
        <v>9</v>
      </c>
      <c r="O101" s="81">
        <f>2617.36+422.62+3852.18+3380.96</f>
        <v>10273.119999999999</v>
      </c>
      <c r="P101" s="81">
        <f>2617.36</f>
        <v>2617.36</v>
      </c>
      <c r="Q101" s="12">
        <f t="shared" si="3"/>
        <v>7655.7599999999984</v>
      </c>
      <c r="R101" s="141"/>
    </row>
    <row r="102" spans="1:19" s="13" customFormat="1" ht="15.75" x14ac:dyDescent="0.25">
      <c r="A102" s="10"/>
      <c r="B102" s="22" t="s">
        <v>137</v>
      </c>
      <c r="C102" s="1" t="s">
        <v>17</v>
      </c>
      <c r="D102" s="120"/>
      <c r="E102" s="17" t="s">
        <v>35</v>
      </c>
      <c r="F102" s="73" t="s">
        <v>429</v>
      </c>
      <c r="G102" s="11" t="s">
        <v>117</v>
      </c>
      <c r="H102" s="1">
        <v>1</v>
      </c>
      <c r="I102" s="49"/>
      <c r="J102" s="51"/>
      <c r="K102" s="37"/>
      <c r="L102" s="37"/>
      <c r="M102" s="78">
        <f t="shared" si="4"/>
        <v>0</v>
      </c>
      <c r="N102" s="39">
        <v>1</v>
      </c>
      <c r="O102" s="31">
        <v>7299.8</v>
      </c>
      <c r="P102" s="31"/>
      <c r="Q102" s="79">
        <f t="shared" si="3"/>
        <v>7299.8</v>
      </c>
    </row>
    <row r="103" spans="1:19" s="13" customFormat="1" ht="15.75" x14ac:dyDescent="0.25">
      <c r="A103" s="10"/>
      <c r="B103" s="30" t="s">
        <v>67</v>
      </c>
      <c r="C103" s="1" t="s">
        <v>17</v>
      </c>
      <c r="D103" s="120"/>
      <c r="E103" s="17" t="s">
        <v>21</v>
      </c>
      <c r="F103" s="73" t="s">
        <v>370</v>
      </c>
      <c r="G103" s="74" t="s">
        <v>112</v>
      </c>
      <c r="H103" s="75">
        <v>12</v>
      </c>
      <c r="I103" s="76">
        <v>3</v>
      </c>
      <c r="J103" s="96">
        <f>2+1+1+2</f>
        <v>6</v>
      </c>
      <c r="K103" s="77">
        <f>3319.85+1198.9</f>
        <v>4518.75</v>
      </c>
      <c r="L103" s="77"/>
      <c r="M103" s="38">
        <f t="shared" si="4"/>
        <v>4518.75</v>
      </c>
      <c r="N103" s="100">
        <f>4+9+4+4+1+3</f>
        <v>25</v>
      </c>
      <c r="O103" s="81">
        <f>29696.65+38129.03+13567.9+20687.05+2022.79</f>
        <v>104103.41999999998</v>
      </c>
      <c r="P103" s="81">
        <f>34696.65</f>
        <v>34696.65</v>
      </c>
      <c r="Q103" s="12">
        <f t="shared" si="3"/>
        <v>69406.76999999999</v>
      </c>
      <c r="R103" s="141"/>
    </row>
    <row r="104" spans="1:19" s="13" customFormat="1" ht="15.75" x14ac:dyDescent="0.25">
      <c r="A104" s="10"/>
      <c r="B104" s="24" t="s">
        <v>67</v>
      </c>
      <c r="C104" s="1" t="s">
        <v>17</v>
      </c>
      <c r="D104" s="120"/>
      <c r="E104" s="17" t="s">
        <v>21</v>
      </c>
      <c r="F104" s="73" t="s">
        <v>440</v>
      </c>
      <c r="G104" s="11" t="s">
        <v>118</v>
      </c>
      <c r="H104" s="1">
        <v>6</v>
      </c>
      <c r="I104" s="49"/>
      <c r="J104" s="46"/>
      <c r="K104" s="40"/>
      <c r="L104" s="40"/>
      <c r="M104" s="78">
        <f t="shared" si="4"/>
        <v>0</v>
      </c>
      <c r="N104" s="41">
        <v>8</v>
      </c>
      <c r="O104" s="31">
        <v>33384.03</v>
      </c>
      <c r="P104" s="31">
        <v>13467.29</v>
      </c>
      <c r="Q104" s="79">
        <f t="shared" si="3"/>
        <v>19916.739999999998</v>
      </c>
    </row>
    <row r="105" spans="1:19" s="13" customFormat="1" ht="15.75" x14ac:dyDescent="0.25">
      <c r="A105" s="10"/>
      <c r="B105" s="30" t="s">
        <v>68</v>
      </c>
      <c r="C105" s="1" t="s">
        <v>17</v>
      </c>
      <c r="D105" s="120"/>
      <c r="E105" s="17" t="s">
        <v>32</v>
      </c>
      <c r="F105" s="73" t="s">
        <v>371</v>
      </c>
      <c r="G105" s="74" t="s">
        <v>112</v>
      </c>
      <c r="H105" s="75">
        <v>10</v>
      </c>
      <c r="I105" s="76">
        <v>5</v>
      </c>
      <c r="J105" s="96">
        <f>2+1+2</f>
        <v>5</v>
      </c>
      <c r="K105" s="77">
        <f>1128.59+422.62+1152.6</f>
        <v>2703.81</v>
      </c>
      <c r="L105" s="77"/>
      <c r="M105" s="38">
        <f t="shared" si="4"/>
        <v>2703.81</v>
      </c>
      <c r="N105" s="100">
        <f>6+5+1+4</f>
        <v>16</v>
      </c>
      <c r="O105" s="81">
        <f>7813.73+8523.5+1452.28+12582.19</f>
        <v>30371.699999999997</v>
      </c>
      <c r="P105" s="81">
        <f>7813.73</f>
        <v>7813.73</v>
      </c>
      <c r="Q105" s="12">
        <f t="shared" si="3"/>
        <v>22557.969999999998</v>
      </c>
      <c r="R105" s="141"/>
    </row>
    <row r="106" spans="1:19" s="13" customFormat="1" ht="15.75" x14ac:dyDescent="0.25">
      <c r="A106" s="10"/>
      <c r="B106" s="24" t="s">
        <v>68</v>
      </c>
      <c r="C106" s="1" t="s">
        <v>17</v>
      </c>
      <c r="D106" s="120"/>
      <c r="E106" s="17" t="s">
        <v>32</v>
      </c>
      <c r="F106" s="73" t="s">
        <v>430</v>
      </c>
      <c r="G106" s="8" t="s">
        <v>117</v>
      </c>
      <c r="H106" s="1">
        <v>1</v>
      </c>
      <c r="I106" s="49"/>
      <c r="J106" s="46"/>
      <c r="K106" s="40"/>
      <c r="L106" s="40"/>
      <c r="M106" s="78">
        <f t="shared" si="4"/>
        <v>0</v>
      </c>
      <c r="N106" s="41"/>
      <c r="O106" s="40"/>
      <c r="P106" s="40"/>
      <c r="Q106" s="79">
        <f t="shared" si="3"/>
        <v>0</v>
      </c>
    </row>
    <row r="107" spans="1:19" s="15" customFormat="1" ht="15.75" x14ac:dyDescent="0.25">
      <c r="A107" s="14"/>
      <c r="B107" s="28" t="s">
        <v>69</v>
      </c>
      <c r="C107" s="1" t="s">
        <v>17</v>
      </c>
      <c r="D107" s="120"/>
      <c r="E107" s="3" t="s">
        <v>20</v>
      </c>
      <c r="F107" s="73" t="s">
        <v>372</v>
      </c>
      <c r="G107" s="74" t="s">
        <v>112</v>
      </c>
      <c r="H107" s="75">
        <v>4</v>
      </c>
      <c r="I107" s="76"/>
      <c r="J107" s="96">
        <f>1</f>
        <v>1</v>
      </c>
      <c r="K107" s="77"/>
      <c r="L107" s="77"/>
      <c r="M107" s="38">
        <f t="shared" si="4"/>
        <v>0</v>
      </c>
      <c r="N107" s="100">
        <f>3+2+1+1</f>
        <v>7</v>
      </c>
      <c r="O107" s="77">
        <f>7210.31+3647.96+1306.28</f>
        <v>12164.550000000001</v>
      </c>
      <c r="P107" s="77">
        <f>7201.31</f>
        <v>7201.31</v>
      </c>
      <c r="Q107" s="12">
        <f t="shared" si="3"/>
        <v>4963.2400000000007</v>
      </c>
      <c r="R107" s="141"/>
    </row>
    <row r="108" spans="1:19" s="13" customFormat="1" ht="15.75" x14ac:dyDescent="0.25">
      <c r="A108" s="10"/>
      <c r="B108" s="62" t="s">
        <v>70</v>
      </c>
      <c r="C108" s="1" t="s">
        <v>17</v>
      </c>
      <c r="D108" s="120"/>
      <c r="E108" s="3" t="s">
        <v>20</v>
      </c>
      <c r="F108" s="73" t="s">
        <v>373</v>
      </c>
      <c r="G108" s="74" t="s">
        <v>112</v>
      </c>
      <c r="H108" s="75">
        <v>6</v>
      </c>
      <c r="I108" s="76">
        <v>2</v>
      </c>
      <c r="J108" s="96">
        <f>2</f>
        <v>2</v>
      </c>
      <c r="K108" s="77">
        <f>1959.42</f>
        <v>1959.42</v>
      </c>
      <c r="L108" s="77"/>
      <c r="M108" s="78">
        <f t="shared" si="4"/>
        <v>1959.42</v>
      </c>
      <c r="N108" s="100">
        <f>2+3+4</f>
        <v>9</v>
      </c>
      <c r="O108" s="81">
        <v>7606.2</v>
      </c>
      <c r="P108" s="81">
        <f>3534.95</f>
        <v>3534.95</v>
      </c>
      <c r="Q108" s="79">
        <f t="shared" si="3"/>
        <v>4071.25</v>
      </c>
      <c r="R108" s="141"/>
    </row>
    <row r="109" spans="1:19" s="13" customFormat="1" ht="15.75" x14ac:dyDescent="0.25">
      <c r="A109" s="10"/>
      <c r="B109" s="22" t="s">
        <v>70</v>
      </c>
      <c r="C109" s="1" t="s">
        <v>17</v>
      </c>
      <c r="D109" s="120"/>
      <c r="E109" s="3" t="s">
        <v>20</v>
      </c>
      <c r="F109" s="73" t="s">
        <v>460</v>
      </c>
      <c r="G109" s="11" t="s">
        <v>114</v>
      </c>
      <c r="H109" s="1">
        <v>12</v>
      </c>
      <c r="I109" s="49"/>
      <c r="J109" s="51"/>
      <c r="K109" s="40"/>
      <c r="L109" s="40"/>
      <c r="M109" s="38">
        <f t="shared" si="4"/>
        <v>0</v>
      </c>
      <c r="N109" s="41">
        <v>23</v>
      </c>
      <c r="O109" s="31">
        <v>36457.769999999997</v>
      </c>
      <c r="P109" s="31">
        <v>29350.07</v>
      </c>
      <c r="Q109" s="12">
        <f t="shared" si="3"/>
        <v>7107.6999999999971</v>
      </c>
    </row>
    <row r="110" spans="1:19" s="15" customFormat="1" ht="15.75" x14ac:dyDescent="0.25">
      <c r="A110" s="14"/>
      <c r="B110" s="80" t="s">
        <v>71</v>
      </c>
      <c r="C110" s="1" t="s">
        <v>17</v>
      </c>
      <c r="D110" s="120"/>
      <c r="E110" s="3" t="s">
        <v>32</v>
      </c>
      <c r="F110" s="73" t="s">
        <v>374</v>
      </c>
      <c r="G110" s="74" t="s">
        <v>112</v>
      </c>
      <c r="H110" s="75">
        <v>10</v>
      </c>
      <c r="I110" s="76">
        <v>6</v>
      </c>
      <c r="J110" s="96">
        <f>3+1+2</f>
        <v>6</v>
      </c>
      <c r="K110" s="77">
        <f>1536.8+461.04+1748.88</f>
        <v>3746.7200000000003</v>
      </c>
      <c r="L110" s="77"/>
      <c r="M110" s="78">
        <f t="shared" si="4"/>
        <v>3746.7200000000003</v>
      </c>
      <c r="N110" s="100">
        <f>3+2+1</f>
        <v>6</v>
      </c>
      <c r="O110" s="81">
        <f>9567.93+3616.67+403.41</f>
        <v>13588.01</v>
      </c>
      <c r="P110" s="81">
        <f>9567.93</f>
        <v>9567.93</v>
      </c>
      <c r="Q110" s="79">
        <f t="shared" si="3"/>
        <v>4020.08</v>
      </c>
      <c r="R110" s="141"/>
      <c r="S110" s="36"/>
    </row>
    <row r="111" spans="1:19" s="15" customFormat="1" ht="15.75" x14ac:dyDescent="0.25">
      <c r="A111" s="14"/>
      <c r="B111" s="23" t="s">
        <v>71</v>
      </c>
      <c r="C111" s="1" t="s">
        <v>17</v>
      </c>
      <c r="D111" s="120"/>
      <c r="E111" s="3" t="s">
        <v>32</v>
      </c>
      <c r="F111" s="73" t="s">
        <v>431</v>
      </c>
      <c r="G111" s="11" t="s">
        <v>115</v>
      </c>
      <c r="H111" s="1">
        <v>5</v>
      </c>
      <c r="I111" s="48">
        <v>2</v>
      </c>
      <c r="J111" s="45">
        <v>2</v>
      </c>
      <c r="K111" s="40">
        <v>3842</v>
      </c>
      <c r="L111" s="40"/>
      <c r="M111" s="38">
        <f t="shared" si="4"/>
        <v>3842</v>
      </c>
      <c r="N111" s="39">
        <f>5</f>
        <v>5</v>
      </c>
      <c r="O111" s="40">
        <v>6595.5</v>
      </c>
      <c r="P111" s="40">
        <v>6595.5</v>
      </c>
      <c r="Q111" s="12">
        <f t="shared" si="3"/>
        <v>0</v>
      </c>
    </row>
    <row r="112" spans="1:19" s="13" customFormat="1" ht="15.75" x14ac:dyDescent="0.25">
      <c r="A112" s="10"/>
      <c r="B112" s="62" t="s">
        <v>319</v>
      </c>
      <c r="C112" s="1" t="s">
        <v>17</v>
      </c>
      <c r="D112" s="120"/>
      <c r="E112" s="3" t="s">
        <v>20</v>
      </c>
      <c r="F112" s="73" t="s">
        <v>375</v>
      </c>
      <c r="G112" s="74" t="s">
        <v>112</v>
      </c>
      <c r="H112" s="75">
        <v>13</v>
      </c>
      <c r="I112" s="76">
        <v>8</v>
      </c>
      <c r="J112" s="96">
        <f>2+1+4+3</f>
        <v>10</v>
      </c>
      <c r="K112" s="77">
        <f>710.77+1523.35+6753.23+7215.52</f>
        <v>16202.869999999999</v>
      </c>
      <c r="L112" s="77"/>
      <c r="M112" s="78">
        <f>K112-L112</f>
        <v>16202.869999999999</v>
      </c>
      <c r="N112" s="100">
        <f>3+1+2+1</f>
        <v>7</v>
      </c>
      <c r="O112" s="77">
        <f>13419.94+726.71+2846.77+3770.56</f>
        <v>20763.980000000003</v>
      </c>
      <c r="P112" s="77">
        <f>13419.94</f>
        <v>13419.94</v>
      </c>
      <c r="Q112" s="79">
        <f>O112-P112</f>
        <v>7344.0400000000027</v>
      </c>
      <c r="R112" s="141"/>
    </row>
    <row r="113" spans="1:18" s="15" customFormat="1" ht="15.75" x14ac:dyDescent="0.25">
      <c r="A113" s="14"/>
      <c r="B113" s="62" t="s">
        <v>150</v>
      </c>
      <c r="C113" s="1" t="s">
        <v>17</v>
      </c>
      <c r="D113" s="120"/>
      <c r="E113" s="3" t="s">
        <v>35</v>
      </c>
      <c r="F113" s="73" t="s">
        <v>376</v>
      </c>
      <c r="G113" s="74" t="s">
        <v>112</v>
      </c>
      <c r="H113" s="75">
        <v>9</v>
      </c>
      <c r="I113" s="76">
        <v>2</v>
      </c>
      <c r="J113" s="97">
        <f>1+1</f>
        <v>2</v>
      </c>
      <c r="K113" s="77">
        <f>1343.65+384.2</f>
        <v>1727.8500000000001</v>
      </c>
      <c r="L113" s="77"/>
      <c r="M113" s="78">
        <f t="shared" si="4"/>
        <v>1727.8500000000001</v>
      </c>
      <c r="N113" s="114">
        <f>8+1+1+2</f>
        <v>12</v>
      </c>
      <c r="O113" s="77">
        <f>5997.32+3719.39+3054.34+13138.17</f>
        <v>25909.22</v>
      </c>
      <c r="P113" s="81">
        <f>3885.22+2113.1</f>
        <v>5998.32</v>
      </c>
      <c r="Q113" s="79">
        <f t="shared" si="3"/>
        <v>19910.900000000001</v>
      </c>
      <c r="R113" s="141"/>
    </row>
    <row r="114" spans="1:18" s="15" customFormat="1" ht="15.75" x14ac:dyDescent="0.25">
      <c r="A114" s="14"/>
      <c r="B114" s="50" t="s">
        <v>150</v>
      </c>
      <c r="C114" s="1" t="s">
        <v>17</v>
      </c>
      <c r="D114" s="120"/>
      <c r="E114" s="3" t="s">
        <v>32</v>
      </c>
      <c r="F114" s="73" t="s">
        <v>487</v>
      </c>
      <c r="G114" s="11" t="s">
        <v>117</v>
      </c>
      <c r="H114" s="1"/>
      <c r="I114" s="48"/>
      <c r="J114" s="45"/>
      <c r="K114" s="40"/>
      <c r="L114" s="37"/>
      <c r="M114" s="38">
        <f t="shared" si="4"/>
        <v>0</v>
      </c>
      <c r="N114" s="42">
        <v>1</v>
      </c>
      <c r="O114" s="40">
        <v>4226.2</v>
      </c>
      <c r="P114" s="40"/>
      <c r="Q114" s="12">
        <f t="shared" si="3"/>
        <v>4226.2</v>
      </c>
    </row>
    <row r="115" spans="1:18" s="13" customFormat="1" ht="15.75" x14ac:dyDescent="0.25">
      <c r="A115" s="10"/>
      <c r="B115" s="30" t="s">
        <v>72</v>
      </c>
      <c r="C115" s="1" t="s">
        <v>17</v>
      </c>
      <c r="D115" s="120"/>
      <c r="E115" s="3" t="s">
        <v>21</v>
      </c>
      <c r="F115" s="73" t="s">
        <v>377</v>
      </c>
      <c r="G115" s="74" t="s">
        <v>112</v>
      </c>
      <c r="H115" s="75">
        <v>11</v>
      </c>
      <c r="I115" s="76">
        <v>2</v>
      </c>
      <c r="J115" s="96">
        <f>1+1+1</f>
        <v>3</v>
      </c>
      <c r="K115" s="77">
        <f>633.93+1415.78+1610.18</f>
        <v>3659.8900000000003</v>
      </c>
      <c r="L115" s="77"/>
      <c r="M115" s="78">
        <f t="shared" si="4"/>
        <v>3659.8900000000003</v>
      </c>
      <c r="N115" s="100">
        <f>1+3+1+1+1</f>
        <v>7</v>
      </c>
      <c r="O115" s="81">
        <f>1950.74+10237.13+6595.95+3861.21+1348.53</f>
        <v>23993.559999999998</v>
      </c>
      <c r="P115" s="81">
        <f>1951.74+10237.13</f>
        <v>12188.869999999999</v>
      </c>
      <c r="Q115" s="79">
        <f t="shared" si="3"/>
        <v>11804.689999999999</v>
      </c>
      <c r="R115" s="141"/>
    </row>
    <row r="116" spans="1:18" s="13" customFormat="1" ht="15.75" x14ac:dyDescent="0.25">
      <c r="A116" s="10"/>
      <c r="B116" s="24" t="s">
        <v>72</v>
      </c>
      <c r="C116" s="1" t="s">
        <v>17</v>
      </c>
      <c r="D116" s="120"/>
      <c r="E116" s="3" t="s">
        <v>21</v>
      </c>
      <c r="F116" s="73" t="s">
        <v>441</v>
      </c>
      <c r="G116" s="11" t="s">
        <v>118</v>
      </c>
      <c r="H116" s="1">
        <v>5</v>
      </c>
      <c r="I116" s="49"/>
      <c r="J116" s="46"/>
      <c r="K116" s="40"/>
      <c r="L116" s="40"/>
      <c r="M116" s="38">
        <f t="shared" si="4"/>
        <v>0</v>
      </c>
      <c r="N116" s="41">
        <v>12</v>
      </c>
      <c r="O116" s="31">
        <v>45577.03</v>
      </c>
      <c r="P116" s="31">
        <v>9750.3799999999992</v>
      </c>
      <c r="Q116" s="12">
        <f t="shared" si="3"/>
        <v>35826.65</v>
      </c>
    </row>
    <row r="117" spans="1:18" s="15" customFormat="1" ht="15.75" x14ac:dyDescent="0.25">
      <c r="A117" s="14"/>
      <c r="B117" s="84" t="s">
        <v>73</v>
      </c>
      <c r="C117" s="1" t="s">
        <v>17</v>
      </c>
      <c r="D117" s="120"/>
      <c r="E117" s="3" t="s">
        <v>74</v>
      </c>
      <c r="F117" s="73" t="s">
        <v>378</v>
      </c>
      <c r="G117" s="74" t="s">
        <v>112</v>
      </c>
      <c r="H117" s="75">
        <v>16</v>
      </c>
      <c r="I117" s="76">
        <v>9</v>
      </c>
      <c r="J117" s="96">
        <f>9</f>
        <v>9</v>
      </c>
      <c r="K117" s="77">
        <f>6305.33</f>
        <v>6305.33</v>
      </c>
      <c r="L117" s="77"/>
      <c r="M117" s="78">
        <f t="shared" si="4"/>
        <v>6305.33</v>
      </c>
      <c r="N117" s="100">
        <f>5+3</f>
        <v>8</v>
      </c>
      <c r="O117" s="81">
        <f>5416.39+9506.99</f>
        <v>14923.380000000001</v>
      </c>
      <c r="P117" s="81">
        <f>5417.39</f>
        <v>5417.39</v>
      </c>
      <c r="Q117" s="79">
        <f t="shared" si="3"/>
        <v>9505.9900000000016</v>
      </c>
      <c r="R117" s="141"/>
    </row>
    <row r="118" spans="1:18" s="15" customFormat="1" ht="15.75" x14ac:dyDescent="0.25">
      <c r="A118" s="14"/>
      <c r="B118" s="29" t="s">
        <v>73</v>
      </c>
      <c r="C118" s="1" t="s">
        <v>17</v>
      </c>
      <c r="D118" s="120"/>
      <c r="E118" s="3" t="s">
        <v>74</v>
      </c>
      <c r="F118" s="73" t="s">
        <v>282</v>
      </c>
      <c r="G118" s="11" t="s">
        <v>114</v>
      </c>
      <c r="H118" s="1"/>
      <c r="I118" s="49"/>
      <c r="J118" s="51"/>
      <c r="K118" s="40"/>
      <c r="L118" s="40"/>
      <c r="M118" s="38">
        <f t="shared" si="4"/>
        <v>0</v>
      </c>
      <c r="N118" s="42">
        <v>1</v>
      </c>
      <c r="O118" s="31"/>
      <c r="P118" s="31"/>
      <c r="Q118" s="12">
        <f t="shared" si="3"/>
        <v>0</v>
      </c>
    </row>
    <row r="119" spans="1:18" s="13" customFormat="1" ht="15.75" x14ac:dyDescent="0.25">
      <c r="A119" s="10"/>
      <c r="B119" s="30" t="s">
        <v>135</v>
      </c>
      <c r="C119" s="1" t="s">
        <v>17</v>
      </c>
      <c r="D119" s="120"/>
      <c r="E119" s="17" t="s">
        <v>35</v>
      </c>
      <c r="F119" s="73" t="s">
        <v>379</v>
      </c>
      <c r="G119" s="74" t="s">
        <v>112</v>
      </c>
      <c r="H119" s="75">
        <v>11</v>
      </c>
      <c r="I119" s="76">
        <v>6</v>
      </c>
      <c r="J119" s="96">
        <f>1+6</f>
        <v>7</v>
      </c>
      <c r="K119" s="77">
        <f>697.32+4374.12</f>
        <v>5071.4399999999996</v>
      </c>
      <c r="L119" s="77">
        <f>697.32</f>
        <v>697.32</v>
      </c>
      <c r="M119" s="38">
        <f t="shared" si="4"/>
        <v>4374.12</v>
      </c>
      <c r="N119" s="100">
        <f>2+5+1+2+2</f>
        <v>12</v>
      </c>
      <c r="O119" s="81">
        <f>6432.89+2283.68</f>
        <v>8716.57</v>
      </c>
      <c r="P119" s="81">
        <f>6432.89</f>
        <v>6432.89</v>
      </c>
      <c r="Q119" s="12">
        <f t="shared" si="3"/>
        <v>2283.6799999999994</v>
      </c>
      <c r="R119" s="141"/>
    </row>
    <row r="120" spans="1:18" s="13" customFormat="1" ht="15.75" x14ac:dyDescent="0.25">
      <c r="A120" s="10"/>
      <c r="B120" s="24" t="s">
        <v>135</v>
      </c>
      <c r="C120" s="1" t="s">
        <v>17</v>
      </c>
      <c r="D120" s="120"/>
      <c r="E120" s="17" t="s">
        <v>35</v>
      </c>
      <c r="F120" s="73" t="s">
        <v>432</v>
      </c>
      <c r="G120" s="11" t="s">
        <v>115</v>
      </c>
      <c r="H120" s="1"/>
      <c r="I120" s="49"/>
      <c r="J120" s="46"/>
      <c r="K120" s="40"/>
      <c r="L120" s="40"/>
      <c r="M120" s="78">
        <f t="shared" si="4"/>
        <v>0</v>
      </c>
      <c r="N120" s="41">
        <v>1</v>
      </c>
      <c r="O120" s="31"/>
      <c r="P120" s="31"/>
      <c r="Q120" s="79">
        <f t="shared" si="3"/>
        <v>0</v>
      </c>
    </row>
    <row r="121" spans="1:18" s="13" customFormat="1" ht="15.75" x14ac:dyDescent="0.25">
      <c r="A121" s="10"/>
      <c r="B121" s="30" t="s">
        <v>145</v>
      </c>
      <c r="C121" s="1" t="s">
        <v>17</v>
      </c>
      <c r="D121" s="120"/>
      <c r="E121" s="17" t="s">
        <v>20</v>
      </c>
      <c r="F121" s="73" t="s">
        <v>380</v>
      </c>
      <c r="G121" s="74" t="s">
        <v>112</v>
      </c>
      <c r="H121" s="75">
        <v>3</v>
      </c>
      <c r="I121" s="82">
        <v>1</v>
      </c>
      <c r="J121" s="96">
        <f>2+1</f>
        <v>3</v>
      </c>
      <c r="K121" s="77">
        <f>5169.72+1100</f>
        <v>6269.72</v>
      </c>
      <c r="L121" s="77"/>
      <c r="M121" s="38">
        <f t="shared" si="4"/>
        <v>6269.72</v>
      </c>
      <c r="N121" s="100">
        <f>1+1+2+1</f>
        <v>5</v>
      </c>
      <c r="O121" s="81">
        <f>5120.23+3915.15+1114.12</f>
        <v>10149.5</v>
      </c>
      <c r="P121" s="81">
        <f>5120.23</f>
        <v>5120.2299999999996</v>
      </c>
      <c r="Q121" s="12">
        <f t="shared" si="3"/>
        <v>5029.2700000000004</v>
      </c>
      <c r="R121" s="141"/>
    </row>
    <row r="122" spans="1:18" s="13" customFormat="1" ht="15.75" x14ac:dyDescent="0.25">
      <c r="A122" s="10"/>
      <c r="B122" s="24" t="s">
        <v>145</v>
      </c>
      <c r="C122" s="1" t="s">
        <v>17</v>
      </c>
      <c r="D122" s="120"/>
      <c r="E122" s="17" t="s">
        <v>20</v>
      </c>
      <c r="F122" s="73" t="s">
        <v>461</v>
      </c>
      <c r="G122" s="11" t="s">
        <v>114</v>
      </c>
      <c r="H122" s="1"/>
      <c r="I122" s="49"/>
      <c r="J122" s="51"/>
      <c r="K122" s="40"/>
      <c r="L122" s="40"/>
      <c r="M122" s="78">
        <f t="shared" si="4"/>
        <v>0</v>
      </c>
      <c r="N122" s="41">
        <v>9</v>
      </c>
      <c r="O122" s="31">
        <v>19379.400000000001</v>
      </c>
      <c r="P122" s="31">
        <v>13232.2</v>
      </c>
      <c r="Q122" s="79">
        <f t="shared" si="3"/>
        <v>6147.2000000000007</v>
      </c>
    </row>
    <row r="123" spans="1:18" s="13" customFormat="1" ht="15.75" x14ac:dyDescent="0.25">
      <c r="A123" s="10"/>
      <c r="B123" s="62" t="s">
        <v>76</v>
      </c>
      <c r="C123" s="1" t="s">
        <v>17</v>
      </c>
      <c r="D123" s="120"/>
      <c r="E123" s="3" t="s">
        <v>20</v>
      </c>
      <c r="F123" s="73" t="s">
        <v>381</v>
      </c>
      <c r="G123" s="74" t="s">
        <v>112</v>
      </c>
      <c r="H123" s="75">
        <v>17</v>
      </c>
      <c r="I123" s="76">
        <v>10</v>
      </c>
      <c r="J123" s="96">
        <f>1+6+3+1</f>
        <v>11</v>
      </c>
      <c r="K123" s="77">
        <f>6556.06+2806.39+2697.06+1267.86</f>
        <v>13327.37</v>
      </c>
      <c r="L123" s="77">
        <f>384.2</f>
        <v>384.2</v>
      </c>
      <c r="M123" s="38">
        <f t="shared" si="4"/>
        <v>12943.17</v>
      </c>
      <c r="N123" s="100">
        <f>5+6+2</f>
        <v>13</v>
      </c>
      <c r="O123" s="81">
        <f>11527.9+19846.52+1011.91+9641+2451.87</f>
        <v>44479.200000000004</v>
      </c>
      <c r="P123" s="81">
        <f>11144.7</f>
        <v>11144.7</v>
      </c>
      <c r="Q123" s="12">
        <f t="shared" si="3"/>
        <v>33334.5</v>
      </c>
      <c r="R123" s="141"/>
    </row>
    <row r="124" spans="1:18" s="13" customFormat="1" ht="15.75" x14ac:dyDescent="0.25">
      <c r="A124" s="10"/>
      <c r="B124" s="22" t="s">
        <v>76</v>
      </c>
      <c r="C124" s="1" t="s">
        <v>17</v>
      </c>
      <c r="D124" s="120"/>
      <c r="E124" s="3" t="s">
        <v>20</v>
      </c>
      <c r="F124" s="73" t="s">
        <v>462</v>
      </c>
      <c r="G124" s="11" t="s">
        <v>114</v>
      </c>
      <c r="H124" s="1">
        <v>6</v>
      </c>
      <c r="I124" s="49"/>
      <c r="J124" s="51"/>
      <c r="K124" s="40"/>
      <c r="L124" s="40"/>
      <c r="M124" s="78">
        <f t="shared" si="4"/>
        <v>0</v>
      </c>
      <c r="N124" s="41">
        <v>7</v>
      </c>
      <c r="O124" s="31">
        <v>17927.759999999998</v>
      </c>
      <c r="P124" s="31">
        <v>8706.9599999999991</v>
      </c>
      <c r="Q124" s="79">
        <f t="shared" si="3"/>
        <v>9220.7999999999993</v>
      </c>
    </row>
    <row r="125" spans="1:18" s="13" customFormat="1" ht="15.75" x14ac:dyDescent="0.25">
      <c r="A125" s="10"/>
      <c r="B125" s="30" t="s">
        <v>77</v>
      </c>
      <c r="C125" s="1" t="s">
        <v>17</v>
      </c>
      <c r="D125" s="120"/>
      <c r="E125" s="3" t="s">
        <v>32</v>
      </c>
      <c r="F125" s="73" t="s">
        <v>388</v>
      </c>
      <c r="G125" s="74" t="s">
        <v>112</v>
      </c>
      <c r="H125" s="75">
        <v>8</v>
      </c>
      <c r="I125" s="76">
        <v>4</v>
      </c>
      <c r="J125" s="96">
        <f>2+2</f>
        <v>4</v>
      </c>
      <c r="K125" s="77">
        <f>2440.63+1507.02</f>
        <v>3947.65</v>
      </c>
      <c r="L125" s="77"/>
      <c r="M125" s="38">
        <f t="shared" si="4"/>
        <v>3947.65</v>
      </c>
      <c r="N125" s="100">
        <f>5+2+3+3+1</f>
        <v>14</v>
      </c>
      <c r="O125" s="81">
        <f>11716.73+6848.82+4046.18+11166.34+8845.95</f>
        <v>42624.020000000004</v>
      </c>
      <c r="P125" s="81">
        <f>11716.73</f>
        <v>11716.73</v>
      </c>
      <c r="Q125" s="12">
        <f t="shared" si="3"/>
        <v>30907.290000000005</v>
      </c>
      <c r="R125" s="141"/>
    </row>
    <row r="126" spans="1:18" s="13" customFormat="1" ht="15.75" x14ac:dyDescent="0.25">
      <c r="A126" s="10"/>
      <c r="B126" s="24" t="s">
        <v>77</v>
      </c>
      <c r="C126" s="1" t="s">
        <v>17</v>
      </c>
      <c r="D126" s="120"/>
      <c r="E126" s="3" t="s">
        <v>32</v>
      </c>
      <c r="F126" s="73" t="s">
        <v>433</v>
      </c>
      <c r="G126" s="11" t="s">
        <v>117</v>
      </c>
      <c r="H126" s="1">
        <v>1</v>
      </c>
      <c r="I126" s="49"/>
      <c r="J126" s="46"/>
      <c r="K126" s="40"/>
      <c r="L126" s="40"/>
      <c r="M126" s="78">
        <f t="shared" si="4"/>
        <v>0</v>
      </c>
      <c r="N126" s="41">
        <v>5</v>
      </c>
      <c r="O126" s="31">
        <v>15666.81</v>
      </c>
      <c r="P126" s="31">
        <v>15666.81</v>
      </c>
      <c r="Q126" s="79">
        <f t="shared" si="3"/>
        <v>0</v>
      </c>
    </row>
    <row r="127" spans="1:18" s="13" customFormat="1" ht="15.75" x14ac:dyDescent="0.25">
      <c r="A127" s="10"/>
      <c r="B127" s="24" t="s">
        <v>321</v>
      </c>
      <c r="C127" s="1" t="s">
        <v>17</v>
      </c>
      <c r="D127" s="120"/>
      <c r="E127" s="3" t="s">
        <v>21</v>
      </c>
      <c r="F127" s="73" t="s">
        <v>489</v>
      </c>
      <c r="G127" s="11" t="s">
        <v>112</v>
      </c>
      <c r="H127" s="1">
        <v>2</v>
      </c>
      <c r="I127" s="49"/>
      <c r="J127" s="46"/>
      <c r="K127" s="40"/>
      <c r="L127" s="40"/>
      <c r="M127" s="78"/>
      <c r="N127" s="41"/>
      <c r="O127" s="31"/>
      <c r="P127" s="31"/>
      <c r="Q127" s="79"/>
      <c r="R127" s="141"/>
    </row>
    <row r="128" spans="1:18" s="13" customFormat="1" ht="31.5" x14ac:dyDescent="0.25">
      <c r="A128" s="10"/>
      <c r="B128" s="62" t="s">
        <v>79</v>
      </c>
      <c r="C128" s="1" t="s">
        <v>304</v>
      </c>
      <c r="D128" s="120" t="s">
        <v>385</v>
      </c>
      <c r="E128" s="3" t="s">
        <v>18</v>
      </c>
      <c r="F128" s="73" t="s">
        <v>389</v>
      </c>
      <c r="G128" s="74" t="s">
        <v>112</v>
      </c>
      <c r="H128" s="75">
        <v>7</v>
      </c>
      <c r="I128" s="76">
        <v>2</v>
      </c>
      <c r="J128" s="96">
        <f>2</f>
        <v>2</v>
      </c>
      <c r="K128" s="77">
        <f>2091.97</f>
        <v>2091.9699999999998</v>
      </c>
      <c r="L128" s="77"/>
      <c r="M128" s="38">
        <f t="shared" si="4"/>
        <v>2091.9699999999998</v>
      </c>
      <c r="N128" s="100">
        <f>2+2+1+2</f>
        <v>7</v>
      </c>
      <c r="O128" s="81">
        <f>1547.4+4166.12+7835.61+1675.01</f>
        <v>15224.140000000001</v>
      </c>
      <c r="P128" s="81">
        <f>1548.4</f>
        <v>1548.4</v>
      </c>
      <c r="Q128" s="12">
        <f t="shared" si="3"/>
        <v>13675.740000000002</v>
      </c>
      <c r="R128" s="141"/>
    </row>
    <row r="129" spans="1:18" s="13" customFormat="1" ht="31.5" x14ac:dyDescent="0.25">
      <c r="A129" s="10"/>
      <c r="B129" s="22" t="s">
        <v>79</v>
      </c>
      <c r="C129" s="1" t="s">
        <v>304</v>
      </c>
      <c r="D129" s="120" t="s">
        <v>475</v>
      </c>
      <c r="E129" s="3" t="s">
        <v>18</v>
      </c>
      <c r="F129" s="73" t="s">
        <v>329</v>
      </c>
      <c r="G129" s="11" t="s">
        <v>113</v>
      </c>
      <c r="H129" s="1">
        <v>19</v>
      </c>
      <c r="I129" s="53">
        <v>2</v>
      </c>
      <c r="J129" s="127">
        <v>2</v>
      </c>
      <c r="K129" s="31">
        <v>3754</v>
      </c>
      <c r="L129" s="31"/>
      <c r="M129" s="78">
        <f t="shared" si="4"/>
        <v>3754</v>
      </c>
      <c r="N129" s="41">
        <v>8</v>
      </c>
      <c r="O129" s="31">
        <v>33212</v>
      </c>
      <c r="P129" s="31">
        <v>20839</v>
      </c>
      <c r="Q129" s="79">
        <f t="shared" si="3"/>
        <v>12373</v>
      </c>
    </row>
    <row r="130" spans="1:18" s="13" customFormat="1" ht="15.75" x14ac:dyDescent="0.25">
      <c r="A130" s="10"/>
      <c r="B130" s="62" t="s">
        <v>151</v>
      </c>
      <c r="C130" s="1" t="s">
        <v>17</v>
      </c>
      <c r="D130" s="120"/>
      <c r="E130" s="3" t="s">
        <v>32</v>
      </c>
      <c r="F130" s="73" t="s">
        <v>390</v>
      </c>
      <c r="G130" s="74" t="s">
        <v>112</v>
      </c>
      <c r="H130" s="75">
        <v>20</v>
      </c>
      <c r="I130" s="82">
        <v>8</v>
      </c>
      <c r="J130" s="96">
        <f>1+3+3</f>
        <v>7</v>
      </c>
      <c r="K130" s="81">
        <f>2317+4640.19+5864.19</f>
        <v>12821.38</v>
      </c>
      <c r="L130" s="81"/>
      <c r="M130" s="38">
        <f t="shared" si="4"/>
        <v>12821.38</v>
      </c>
      <c r="N130" s="100">
        <f>9+3+5+1</f>
        <v>18</v>
      </c>
      <c r="O130" s="81">
        <f>10726.94+18822.65+5703.53+12846.53+1320.36</f>
        <v>49420.01</v>
      </c>
      <c r="P130" s="81">
        <f>10726.94</f>
        <v>10726.94</v>
      </c>
      <c r="Q130" s="12">
        <f t="shared" si="3"/>
        <v>38693.07</v>
      </c>
      <c r="R130" s="141"/>
    </row>
    <row r="131" spans="1:18" s="13" customFormat="1" ht="15.75" x14ac:dyDescent="0.25">
      <c r="A131" s="10"/>
      <c r="B131" s="22" t="s">
        <v>151</v>
      </c>
      <c r="C131" s="1" t="s">
        <v>17</v>
      </c>
      <c r="D131" s="120"/>
      <c r="E131" s="3" t="s">
        <v>32</v>
      </c>
      <c r="F131" s="73" t="s">
        <v>434</v>
      </c>
      <c r="G131" s="11" t="s">
        <v>117</v>
      </c>
      <c r="H131" s="1">
        <v>5</v>
      </c>
      <c r="I131" s="49"/>
      <c r="J131" s="46"/>
      <c r="K131" s="40"/>
      <c r="L131" s="40"/>
      <c r="M131" s="78">
        <f t="shared" si="4"/>
        <v>0</v>
      </c>
      <c r="N131" s="41">
        <v>11</v>
      </c>
      <c r="O131" s="31">
        <v>19824.099999999999</v>
      </c>
      <c r="P131" s="31">
        <v>14253.2</v>
      </c>
      <c r="Q131" s="79">
        <f t="shared" si="3"/>
        <v>5570.8999999999978</v>
      </c>
    </row>
    <row r="132" spans="1:18" s="13" customFormat="1" ht="15.75" x14ac:dyDescent="0.25">
      <c r="A132" s="10"/>
      <c r="B132" s="62" t="s">
        <v>80</v>
      </c>
      <c r="C132" s="1" t="s">
        <v>17</v>
      </c>
      <c r="D132" s="120"/>
      <c r="E132" s="3" t="s">
        <v>81</v>
      </c>
      <c r="F132" s="73" t="s">
        <v>417</v>
      </c>
      <c r="G132" s="74" t="s">
        <v>112</v>
      </c>
      <c r="H132" s="75"/>
      <c r="I132" s="76"/>
      <c r="J132" s="96"/>
      <c r="K132" s="77"/>
      <c r="L132" s="77"/>
      <c r="M132" s="38">
        <f t="shared" si="4"/>
        <v>0</v>
      </c>
      <c r="N132" s="100">
        <f>2</f>
        <v>2</v>
      </c>
      <c r="O132" s="81">
        <f>3040.94</f>
        <v>3040.94</v>
      </c>
      <c r="P132" s="81"/>
      <c r="Q132" s="12">
        <f t="shared" si="3"/>
        <v>3040.94</v>
      </c>
      <c r="R132" s="141"/>
    </row>
    <row r="133" spans="1:18" s="13" customFormat="1" ht="15.75" x14ac:dyDescent="0.25">
      <c r="A133" s="10"/>
      <c r="B133" s="22" t="s">
        <v>80</v>
      </c>
      <c r="C133" s="1" t="s">
        <v>17</v>
      </c>
      <c r="D133" s="120"/>
      <c r="E133" s="3" t="s">
        <v>81</v>
      </c>
      <c r="F133" s="73" t="s">
        <v>285</v>
      </c>
      <c r="G133" s="11" t="s">
        <v>114</v>
      </c>
      <c r="H133" s="1"/>
      <c r="I133" s="49"/>
      <c r="J133" s="51"/>
      <c r="K133" s="40"/>
      <c r="L133" s="40"/>
      <c r="M133" s="78">
        <f t="shared" si="4"/>
        <v>0</v>
      </c>
      <c r="N133" s="41">
        <v>15</v>
      </c>
      <c r="O133" s="31">
        <f>21200.04</f>
        <v>21200.04</v>
      </c>
      <c r="P133" s="31">
        <v>16128.6</v>
      </c>
      <c r="Q133" s="79">
        <f t="shared" si="3"/>
        <v>5071.4400000000005</v>
      </c>
    </row>
    <row r="134" spans="1:18" s="13" customFormat="1" ht="15.75" x14ac:dyDescent="0.25">
      <c r="A134" s="10"/>
      <c r="B134" s="30" t="s">
        <v>82</v>
      </c>
      <c r="C134" s="1" t="s">
        <v>17</v>
      </c>
      <c r="D134" s="120"/>
      <c r="E134" s="3" t="s">
        <v>20</v>
      </c>
      <c r="F134" s="73" t="s">
        <v>394</v>
      </c>
      <c r="G134" s="74" t="s">
        <v>112</v>
      </c>
      <c r="H134" s="75">
        <v>5</v>
      </c>
      <c r="I134" s="76"/>
      <c r="J134" s="96"/>
      <c r="K134" s="77"/>
      <c r="L134" s="77"/>
      <c r="M134" s="38">
        <f t="shared" si="4"/>
        <v>0</v>
      </c>
      <c r="N134" s="100">
        <f>3+5</f>
        <v>8</v>
      </c>
      <c r="O134" s="81">
        <f>5975.84+23579.15</f>
        <v>29554.99</v>
      </c>
      <c r="P134" s="81">
        <f>15975.84-2007.3+300</f>
        <v>14268.54</v>
      </c>
      <c r="Q134" s="12">
        <f t="shared" si="3"/>
        <v>15286.45</v>
      </c>
      <c r="R134" s="141"/>
    </row>
    <row r="135" spans="1:18" s="13" customFormat="1" ht="15.75" x14ac:dyDescent="0.25">
      <c r="A135" s="10"/>
      <c r="B135" s="24" t="s">
        <v>82</v>
      </c>
      <c r="C135" s="1" t="s">
        <v>17</v>
      </c>
      <c r="D135" s="120"/>
      <c r="E135" s="3" t="s">
        <v>20</v>
      </c>
      <c r="F135" s="73" t="s">
        <v>463</v>
      </c>
      <c r="G135" s="11" t="s">
        <v>114</v>
      </c>
      <c r="H135" s="1">
        <v>11</v>
      </c>
      <c r="I135" s="49"/>
      <c r="J135" s="51"/>
      <c r="K135" s="40"/>
      <c r="L135" s="40"/>
      <c r="M135" s="78">
        <f t="shared" si="4"/>
        <v>0</v>
      </c>
      <c r="N135" s="41">
        <v>7</v>
      </c>
      <c r="O135" s="31">
        <v>10757.8</v>
      </c>
      <c r="P135" s="31">
        <f>4314.3</f>
        <v>4314.3</v>
      </c>
      <c r="Q135" s="79">
        <f t="shared" si="3"/>
        <v>6443.4999999999991</v>
      </c>
    </row>
    <row r="136" spans="1:18" s="13" customFormat="1" ht="15.75" x14ac:dyDescent="0.25">
      <c r="A136" s="10"/>
      <c r="B136" s="24" t="s">
        <v>309</v>
      </c>
      <c r="C136" s="1"/>
      <c r="D136" s="120"/>
      <c r="E136" s="3" t="s">
        <v>20</v>
      </c>
      <c r="F136" s="73" t="s">
        <v>391</v>
      </c>
      <c r="G136" s="11" t="s">
        <v>112</v>
      </c>
      <c r="H136" s="1">
        <v>10</v>
      </c>
      <c r="I136" s="58">
        <v>1</v>
      </c>
      <c r="J136" s="51">
        <f>1</f>
        <v>1</v>
      </c>
      <c r="K136" s="40">
        <f>3606.1</f>
        <v>3606.1</v>
      </c>
      <c r="L136" s="40"/>
      <c r="M136" s="38">
        <f t="shared" si="4"/>
        <v>3606.1</v>
      </c>
      <c r="N136" s="41">
        <f>1+5+1</f>
        <v>7</v>
      </c>
      <c r="O136" s="31">
        <f>3088.97+13147.65+1267.86</f>
        <v>17504.48</v>
      </c>
      <c r="P136" s="31" t="s">
        <v>305</v>
      </c>
      <c r="Q136" s="79"/>
      <c r="R136" s="141"/>
    </row>
    <row r="137" spans="1:18" s="13" customFormat="1" ht="15.75" x14ac:dyDescent="0.25">
      <c r="A137" s="10"/>
      <c r="B137" s="30" t="s">
        <v>152</v>
      </c>
      <c r="C137" s="1" t="s">
        <v>17</v>
      </c>
      <c r="D137" s="120"/>
      <c r="E137" s="3" t="s">
        <v>35</v>
      </c>
      <c r="F137" s="73" t="s">
        <v>392</v>
      </c>
      <c r="G137" s="74" t="s">
        <v>112</v>
      </c>
      <c r="H137" s="75">
        <v>7</v>
      </c>
      <c r="I137" s="76">
        <v>5</v>
      </c>
      <c r="J137" s="96">
        <f>1+1+2+1</f>
        <v>5</v>
      </c>
      <c r="K137" s="77">
        <f>403.41+845.24</f>
        <v>1248.6500000000001</v>
      </c>
      <c r="L137" s="77"/>
      <c r="M137" s="38">
        <f t="shared" si="4"/>
        <v>1248.6500000000001</v>
      </c>
      <c r="N137" s="100">
        <f>2+2+2+1+1</f>
        <v>8</v>
      </c>
      <c r="O137" s="81">
        <f>1690.48+3050.26+3661.61+4648.82+1267.86+1690.48+9282.42</f>
        <v>25291.93</v>
      </c>
      <c r="P137" s="81">
        <f>1690.4</f>
        <v>1690.4</v>
      </c>
      <c r="Q137" s="12">
        <f t="shared" si="3"/>
        <v>23601.53</v>
      </c>
      <c r="R137" s="141"/>
    </row>
    <row r="138" spans="1:18" s="13" customFormat="1" ht="15.75" x14ac:dyDescent="0.25">
      <c r="A138" s="10"/>
      <c r="B138" s="24" t="s">
        <v>152</v>
      </c>
      <c r="C138" s="1" t="s">
        <v>17</v>
      </c>
      <c r="D138" s="120"/>
      <c r="E138" s="3" t="s">
        <v>32</v>
      </c>
      <c r="F138" s="73"/>
      <c r="G138" s="11" t="s">
        <v>117</v>
      </c>
      <c r="H138" s="1"/>
      <c r="I138" s="49"/>
      <c r="J138" s="46"/>
      <c r="K138" s="40"/>
      <c r="L138" s="40"/>
      <c r="M138" s="78">
        <f t="shared" si="4"/>
        <v>0</v>
      </c>
      <c r="N138" s="41"/>
      <c r="O138" s="31"/>
      <c r="P138" s="31"/>
      <c r="Q138" s="79">
        <f t="shared" si="3"/>
        <v>0</v>
      </c>
    </row>
    <row r="139" spans="1:18" s="13" customFormat="1" ht="15.75" x14ac:dyDescent="0.25">
      <c r="A139" s="10"/>
      <c r="B139" s="30" t="s">
        <v>83</v>
      </c>
      <c r="C139" s="1" t="s">
        <v>17</v>
      </c>
      <c r="D139" s="120"/>
      <c r="E139" s="3" t="s">
        <v>20</v>
      </c>
      <c r="F139" s="73" t="s">
        <v>393</v>
      </c>
      <c r="G139" s="74" t="s">
        <v>112</v>
      </c>
      <c r="H139" s="75">
        <v>9</v>
      </c>
      <c r="I139" s="76">
        <v>4</v>
      </c>
      <c r="J139" s="96">
        <f>1+1+2</f>
        <v>4</v>
      </c>
      <c r="K139" s="77">
        <f>768.4+2535.72</f>
        <v>3304.12</v>
      </c>
      <c r="L139" s="77"/>
      <c r="M139" s="38">
        <f t="shared" si="4"/>
        <v>3304.12</v>
      </c>
      <c r="N139" s="100">
        <f>1+2+1</f>
        <v>4</v>
      </c>
      <c r="O139" s="81">
        <f>5837.09+1922.92</f>
        <v>7760.01</v>
      </c>
      <c r="P139" s="81"/>
      <c r="Q139" s="12">
        <f t="shared" si="3"/>
        <v>7760.01</v>
      </c>
      <c r="R139" s="141"/>
    </row>
    <row r="140" spans="1:18" s="13" customFormat="1" ht="15.75" x14ac:dyDescent="0.25">
      <c r="A140" s="10"/>
      <c r="B140" s="24" t="s">
        <v>83</v>
      </c>
      <c r="C140" s="1" t="s">
        <v>17</v>
      </c>
      <c r="D140" s="120"/>
      <c r="E140" s="3" t="s">
        <v>20</v>
      </c>
      <c r="F140" s="73" t="s">
        <v>464</v>
      </c>
      <c r="G140" s="11" t="s">
        <v>114</v>
      </c>
      <c r="H140" s="1">
        <v>6</v>
      </c>
      <c r="I140" s="49"/>
      <c r="J140" s="51"/>
      <c r="K140" s="40"/>
      <c r="L140" s="40"/>
      <c r="M140" s="78">
        <f t="shared" si="4"/>
        <v>0</v>
      </c>
      <c r="N140" s="41">
        <v>22</v>
      </c>
      <c r="O140" s="31">
        <v>43871.3</v>
      </c>
      <c r="P140" s="31">
        <v>34650.5</v>
      </c>
      <c r="Q140" s="79">
        <f t="shared" si="3"/>
        <v>9220.8000000000029</v>
      </c>
    </row>
    <row r="141" spans="1:18" s="13" customFormat="1" ht="15.75" x14ac:dyDescent="0.25">
      <c r="A141" s="10"/>
      <c r="B141" s="24" t="s">
        <v>310</v>
      </c>
      <c r="C141" s="1"/>
      <c r="D141" s="120"/>
      <c r="E141" s="3" t="s">
        <v>20</v>
      </c>
      <c r="F141" s="73"/>
      <c r="G141" s="11" t="s">
        <v>114</v>
      </c>
      <c r="H141" s="1"/>
      <c r="I141" s="49"/>
      <c r="J141" s="51"/>
      <c r="K141" s="40"/>
      <c r="L141" s="40"/>
      <c r="M141" s="78"/>
      <c r="N141" s="41"/>
      <c r="O141" s="31"/>
      <c r="P141" s="31"/>
      <c r="Q141" s="79"/>
    </row>
    <row r="142" spans="1:18" s="13" customFormat="1" ht="15.75" x14ac:dyDescent="0.25">
      <c r="A142" s="10"/>
      <c r="B142" s="30" t="s">
        <v>84</v>
      </c>
      <c r="C142" s="1"/>
      <c r="D142" s="120"/>
      <c r="E142" s="3" t="s">
        <v>20</v>
      </c>
      <c r="F142" s="73" t="s">
        <v>287</v>
      </c>
      <c r="G142" s="11" t="s">
        <v>114</v>
      </c>
      <c r="H142" s="1"/>
      <c r="I142" s="49"/>
      <c r="J142" s="51"/>
      <c r="K142" s="40"/>
      <c r="L142" s="40"/>
      <c r="M142" s="38">
        <f t="shared" si="4"/>
        <v>0</v>
      </c>
      <c r="N142" s="41"/>
      <c r="O142" s="31"/>
      <c r="P142" s="31"/>
      <c r="Q142" s="12">
        <f t="shared" si="3"/>
        <v>0</v>
      </c>
    </row>
    <row r="143" spans="1:18" s="13" customFormat="1" ht="47.25" x14ac:dyDescent="0.25">
      <c r="A143" s="10"/>
      <c r="B143" s="30" t="s">
        <v>85</v>
      </c>
      <c r="C143" s="1" t="s">
        <v>304</v>
      </c>
      <c r="D143" s="120" t="s">
        <v>415</v>
      </c>
      <c r="E143" s="3" t="s">
        <v>20</v>
      </c>
      <c r="F143" s="73" t="s">
        <v>395</v>
      </c>
      <c r="G143" s="74" t="s">
        <v>112</v>
      </c>
      <c r="H143" s="75">
        <v>4</v>
      </c>
      <c r="I143" s="76"/>
      <c r="J143" s="96"/>
      <c r="K143" s="77"/>
      <c r="L143" s="77"/>
      <c r="M143" s="38">
        <f t="shared" si="4"/>
        <v>0</v>
      </c>
      <c r="N143" s="100"/>
      <c r="O143" s="81">
        <f>3917.73</f>
        <v>3917.73</v>
      </c>
      <c r="P143" s="81"/>
      <c r="Q143" s="79">
        <f t="shared" si="3"/>
        <v>3917.73</v>
      </c>
      <c r="R143" s="141"/>
    </row>
    <row r="144" spans="1:18" s="13" customFormat="1" ht="15.75" x14ac:dyDescent="0.25">
      <c r="A144" s="10"/>
      <c r="B144" s="27" t="s">
        <v>86</v>
      </c>
      <c r="C144" s="1" t="s">
        <v>17</v>
      </c>
      <c r="D144" s="120"/>
      <c r="E144" s="17" t="s">
        <v>20</v>
      </c>
      <c r="F144" s="73" t="s">
        <v>396</v>
      </c>
      <c r="G144" s="74" t="s">
        <v>112</v>
      </c>
      <c r="H144" s="75">
        <v>6</v>
      </c>
      <c r="I144" s="76">
        <v>3</v>
      </c>
      <c r="J144" s="96">
        <f>1+3+1</f>
        <v>5</v>
      </c>
      <c r="K144" s="77">
        <f>950.9+5134.06+2091.97</f>
        <v>8176.93</v>
      </c>
      <c r="L144" s="77"/>
      <c r="M144" s="38">
        <f t="shared" si="4"/>
        <v>8176.93</v>
      </c>
      <c r="N144" s="100">
        <f>15+4+2</f>
        <v>21</v>
      </c>
      <c r="O144" s="81">
        <f>30236.61+18366.75+8887.09</f>
        <v>57490.45</v>
      </c>
      <c r="P144" s="81">
        <f>30236.61</f>
        <v>30236.61</v>
      </c>
      <c r="Q144" s="12">
        <f t="shared" si="3"/>
        <v>27253.839999999997</v>
      </c>
      <c r="R144" s="141"/>
    </row>
    <row r="145" spans="1:18" s="13" customFormat="1" ht="15.75" x14ac:dyDescent="0.25">
      <c r="A145" s="10"/>
      <c r="B145" s="25" t="s">
        <v>86</v>
      </c>
      <c r="C145" s="1" t="s">
        <v>17</v>
      </c>
      <c r="D145" s="120"/>
      <c r="E145" s="17" t="s">
        <v>20</v>
      </c>
      <c r="F145" s="73" t="s">
        <v>465</v>
      </c>
      <c r="G145" s="11" t="s">
        <v>114</v>
      </c>
      <c r="H145" s="1">
        <v>1</v>
      </c>
      <c r="I145" s="49"/>
      <c r="J145" s="51"/>
      <c r="K145" s="40"/>
      <c r="L145" s="40"/>
      <c r="M145" s="78">
        <f t="shared" si="4"/>
        <v>0</v>
      </c>
      <c r="N145" s="41">
        <v>3</v>
      </c>
      <c r="O145" s="31">
        <v>3107.23</v>
      </c>
      <c r="P145" s="31">
        <v>3107.23</v>
      </c>
      <c r="Q145" s="79">
        <f t="shared" si="3"/>
        <v>0</v>
      </c>
    </row>
    <row r="146" spans="1:18" s="13" customFormat="1" ht="15.75" x14ac:dyDescent="0.25">
      <c r="A146" s="10"/>
      <c r="B146" s="62" t="s">
        <v>87</v>
      </c>
      <c r="C146" s="1" t="s">
        <v>17</v>
      </c>
      <c r="D146" s="120"/>
      <c r="E146" s="17" t="s">
        <v>78</v>
      </c>
      <c r="F146" s="73" t="s">
        <v>142</v>
      </c>
      <c r="G146" s="74" t="s">
        <v>112</v>
      </c>
      <c r="H146" s="75"/>
      <c r="I146" s="76"/>
      <c r="J146" s="96"/>
      <c r="K146" s="77"/>
      <c r="L146" s="77"/>
      <c r="M146" s="38">
        <f t="shared" si="4"/>
        <v>0</v>
      </c>
      <c r="N146" s="100"/>
      <c r="O146" s="81"/>
      <c r="P146" s="81"/>
      <c r="Q146" s="12">
        <f t="shared" si="3"/>
        <v>0</v>
      </c>
      <c r="R146" s="141"/>
    </row>
    <row r="147" spans="1:18" s="13" customFormat="1" ht="15.75" x14ac:dyDescent="0.25">
      <c r="A147" s="10"/>
      <c r="B147" s="62" t="s">
        <v>312</v>
      </c>
      <c r="C147" s="1" t="s">
        <v>17</v>
      </c>
      <c r="D147" s="120"/>
      <c r="E147" s="17" t="s">
        <v>20</v>
      </c>
      <c r="F147" s="73" t="s">
        <v>320</v>
      </c>
      <c r="G147" s="74" t="s">
        <v>112</v>
      </c>
      <c r="H147" s="75">
        <v>8</v>
      </c>
      <c r="I147" s="76">
        <v>2</v>
      </c>
      <c r="J147" s="96">
        <f>1+1</f>
        <v>2</v>
      </c>
      <c r="K147" s="77">
        <f>3319.49+845.24</f>
        <v>4164.7299999999996</v>
      </c>
      <c r="L147" s="77"/>
      <c r="M147" s="38"/>
      <c r="N147" s="100">
        <f>5+6</f>
        <v>11</v>
      </c>
      <c r="O147" s="81">
        <f>4226.2+6627.45</f>
        <v>10853.65</v>
      </c>
      <c r="P147" s="81">
        <f>4226.2</f>
        <v>4226.2</v>
      </c>
      <c r="Q147" s="12"/>
      <c r="R147" s="141"/>
    </row>
    <row r="148" spans="1:18" s="13" customFormat="1" ht="15.75" x14ac:dyDescent="0.25">
      <c r="A148" s="10"/>
      <c r="B148" s="62" t="s">
        <v>494</v>
      </c>
      <c r="C148" s="1" t="s">
        <v>17</v>
      </c>
      <c r="D148" s="120"/>
      <c r="E148" s="17" t="s">
        <v>20</v>
      </c>
      <c r="F148" s="73" t="s">
        <v>497</v>
      </c>
      <c r="G148" s="74" t="s">
        <v>112</v>
      </c>
      <c r="H148" s="75">
        <v>4</v>
      </c>
      <c r="I148" s="76"/>
      <c r="J148" s="96">
        <f>1</f>
        <v>1</v>
      </c>
      <c r="K148" s="77"/>
      <c r="L148" s="77"/>
      <c r="M148" s="38"/>
      <c r="N148" s="100"/>
      <c r="O148" s="81"/>
      <c r="P148" s="81"/>
      <c r="Q148" s="12"/>
      <c r="R148" s="141"/>
    </row>
    <row r="149" spans="1:18" s="13" customFormat="1" ht="15.75" x14ac:dyDescent="0.25">
      <c r="A149" s="10"/>
      <c r="B149" s="62" t="s">
        <v>494</v>
      </c>
      <c r="C149" s="1"/>
      <c r="D149" s="120"/>
      <c r="E149" s="17"/>
      <c r="F149" s="73"/>
      <c r="G149" s="74" t="s">
        <v>114</v>
      </c>
      <c r="H149" s="75">
        <v>7</v>
      </c>
      <c r="I149" s="76"/>
      <c r="J149" s="96"/>
      <c r="K149" s="77"/>
      <c r="L149" s="77"/>
      <c r="M149" s="38"/>
      <c r="N149" s="100"/>
      <c r="O149" s="81"/>
      <c r="P149" s="81"/>
      <c r="Q149" s="12"/>
      <c r="R149" s="141"/>
    </row>
    <row r="150" spans="1:18" s="13" customFormat="1" ht="15.75" x14ac:dyDescent="0.25">
      <c r="A150" s="10"/>
      <c r="B150" s="30" t="s">
        <v>88</v>
      </c>
      <c r="C150" s="1" t="s">
        <v>17</v>
      </c>
      <c r="D150" s="120"/>
      <c r="E150" s="3" t="s">
        <v>89</v>
      </c>
      <c r="F150" s="73" t="s">
        <v>397</v>
      </c>
      <c r="G150" s="74" t="s">
        <v>112</v>
      </c>
      <c r="H150" s="75">
        <v>4</v>
      </c>
      <c r="I150" s="76">
        <v>1</v>
      </c>
      <c r="J150" s="96">
        <f>1+3</f>
        <v>4</v>
      </c>
      <c r="K150" s="77">
        <f>4226.2+2394.91</f>
        <v>6621.11</v>
      </c>
      <c r="L150" s="77"/>
      <c r="M150" s="38">
        <f t="shared" si="4"/>
        <v>6621.11</v>
      </c>
      <c r="N150" s="100">
        <f>4+1+3+1+2+2+1+1</f>
        <v>15</v>
      </c>
      <c r="O150" s="81">
        <f>11967.83+2831.55+10544.37+9418.99+3799.13+1798.04</f>
        <v>40359.909999999996</v>
      </c>
      <c r="P150" s="81">
        <f>11967.83+2831.55</f>
        <v>14799.380000000001</v>
      </c>
      <c r="Q150" s="79">
        <f t="shared" ref="Q150:Q193" si="5">O150-P150</f>
        <v>25560.529999999995</v>
      </c>
      <c r="R150" s="141"/>
    </row>
    <row r="151" spans="1:18" s="13" customFormat="1" ht="15.75" x14ac:dyDescent="0.25">
      <c r="A151" s="10"/>
      <c r="B151" s="24" t="s">
        <v>88</v>
      </c>
      <c r="C151" s="1" t="s">
        <v>17</v>
      </c>
      <c r="D151" s="120"/>
      <c r="E151" s="3" t="s">
        <v>89</v>
      </c>
      <c r="F151" s="73" t="s">
        <v>442</v>
      </c>
      <c r="G151" s="11" t="s">
        <v>118</v>
      </c>
      <c r="H151" s="1">
        <v>1</v>
      </c>
      <c r="I151" s="49"/>
      <c r="J151" s="46"/>
      <c r="K151" s="40"/>
      <c r="L151" s="40"/>
      <c r="M151" s="38">
        <f t="shared" si="4"/>
        <v>0</v>
      </c>
      <c r="N151" s="41">
        <v>2</v>
      </c>
      <c r="O151" s="31">
        <v>8523.52</v>
      </c>
      <c r="P151" s="31">
        <v>6026.87</v>
      </c>
      <c r="Q151" s="12">
        <f t="shared" si="5"/>
        <v>2496.6500000000005</v>
      </c>
    </row>
    <row r="152" spans="1:18" s="13" customFormat="1" ht="15.75" x14ac:dyDescent="0.25">
      <c r="A152" s="10"/>
      <c r="B152" s="24" t="s">
        <v>88</v>
      </c>
      <c r="C152" s="1"/>
      <c r="D152" s="120"/>
      <c r="E152" s="3"/>
      <c r="F152" s="73"/>
      <c r="G152" s="11" t="s">
        <v>114</v>
      </c>
      <c r="H152" s="1">
        <v>1</v>
      </c>
      <c r="I152" s="49"/>
      <c r="J152" s="46"/>
      <c r="K152" s="40"/>
      <c r="L152" s="40"/>
      <c r="M152" s="38"/>
      <c r="N152" s="41"/>
      <c r="O152" s="31"/>
      <c r="P152" s="31"/>
      <c r="Q152" s="12"/>
    </row>
    <row r="153" spans="1:18" s="13" customFormat="1" ht="15.75" x14ac:dyDescent="0.25">
      <c r="A153" s="10"/>
      <c r="B153" s="30" t="s">
        <v>90</v>
      </c>
      <c r="C153" s="1" t="s">
        <v>17</v>
      </c>
      <c r="D153" s="120"/>
      <c r="E153" s="17" t="s">
        <v>20</v>
      </c>
      <c r="F153" s="73" t="s">
        <v>398</v>
      </c>
      <c r="G153" s="74" t="s">
        <v>112</v>
      </c>
      <c r="H153" s="75">
        <v>3</v>
      </c>
      <c r="I153" s="76">
        <v>1</v>
      </c>
      <c r="J153" s="96">
        <f>1</f>
        <v>1</v>
      </c>
      <c r="K153" s="77">
        <f>422.62</f>
        <v>422.62</v>
      </c>
      <c r="L153" s="77"/>
      <c r="M153" s="38">
        <f t="shared" si="4"/>
        <v>422.62</v>
      </c>
      <c r="N153" s="100">
        <f>1+1</f>
        <v>2</v>
      </c>
      <c r="O153" s="81">
        <f>2122.67+787.61</f>
        <v>2910.28</v>
      </c>
      <c r="P153" s="81"/>
      <c r="Q153" s="79">
        <f t="shared" si="5"/>
        <v>2910.28</v>
      </c>
      <c r="R153" s="141"/>
    </row>
    <row r="154" spans="1:18" s="13" customFormat="1" ht="15.75" x14ac:dyDescent="0.25">
      <c r="A154" s="10"/>
      <c r="B154" s="24" t="s">
        <v>90</v>
      </c>
      <c r="C154" s="1" t="s">
        <v>17</v>
      </c>
      <c r="D154" s="120"/>
      <c r="E154" s="17" t="s">
        <v>20</v>
      </c>
      <c r="F154" s="73" t="s">
        <v>466</v>
      </c>
      <c r="G154" s="11" t="s">
        <v>114</v>
      </c>
      <c r="H154" s="1">
        <v>6</v>
      </c>
      <c r="I154" s="49"/>
      <c r="J154" s="51"/>
      <c r="K154" s="40"/>
      <c r="L154" s="40"/>
      <c r="M154" s="78">
        <f t="shared" si="4"/>
        <v>0</v>
      </c>
      <c r="N154" s="41">
        <v>15</v>
      </c>
      <c r="O154" s="31">
        <f>31793</f>
        <v>31793</v>
      </c>
      <c r="P154" s="31">
        <v>20378.8</v>
      </c>
      <c r="Q154" s="12">
        <f t="shared" si="5"/>
        <v>11414.2</v>
      </c>
    </row>
    <row r="155" spans="1:18" s="13" customFormat="1" ht="15.75" x14ac:dyDescent="0.25">
      <c r="A155" s="10"/>
      <c r="B155" s="30" t="s">
        <v>91</v>
      </c>
      <c r="C155" s="1" t="s">
        <v>17</v>
      </c>
      <c r="D155" s="120"/>
      <c r="E155" s="17" t="s">
        <v>20</v>
      </c>
      <c r="F155" s="73" t="s">
        <v>399</v>
      </c>
      <c r="G155" s="74" t="s">
        <v>112</v>
      </c>
      <c r="H155" s="75"/>
      <c r="I155" s="76"/>
      <c r="J155" s="96"/>
      <c r="K155" s="77"/>
      <c r="L155" s="77"/>
      <c r="M155" s="38">
        <f t="shared" si="4"/>
        <v>0</v>
      </c>
      <c r="N155" s="100"/>
      <c r="O155" s="81"/>
      <c r="P155" s="81"/>
      <c r="Q155" s="79">
        <f t="shared" si="5"/>
        <v>0</v>
      </c>
      <c r="R155" s="141"/>
    </row>
    <row r="156" spans="1:18" s="13" customFormat="1" ht="15.75" x14ac:dyDescent="0.25">
      <c r="A156" s="10"/>
      <c r="B156" s="22" t="s">
        <v>138</v>
      </c>
      <c r="C156" s="1" t="s">
        <v>17</v>
      </c>
      <c r="D156" s="120"/>
      <c r="E156" s="17" t="s">
        <v>20</v>
      </c>
      <c r="F156" s="73" t="s">
        <v>467</v>
      </c>
      <c r="G156" s="11" t="s">
        <v>114</v>
      </c>
      <c r="H156" s="1">
        <v>2</v>
      </c>
      <c r="I156" s="49"/>
      <c r="J156" s="51"/>
      <c r="K156" s="37"/>
      <c r="L156" s="37"/>
      <c r="M156" s="78">
        <f t="shared" si="4"/>
        <v>0</v>
      </c>
      <c r="N156" s="39">
        <v>4</v>
      </c>
      <c r="O156" s="31">
        <v>1841</v>
      </c>
      <c r="P156" s="31"/>
      <c r="Q156" s="12">
        <f t="shared" si="5"/>
        <v>1841</v>
      </c>
    </row>
    <row r="157" spans="1:18" s="13" customFormat="1" ht="15.75" x14ac:dyDescent="0.25">
      <c r="A157" s="10"/>
      <c r="B157" s="62" t="s">
        <v>138</v>
      </c>
      <c r="C157" s="1" t="s">
        <v>17</v>
      </c>
      <c r="D157" s="120"/>
      <c r="E157" s="17" t="s">
        <v>20</v>
      </c>
      <c r="F157" s="73" t="s">
        <v>400</v>
      </c>
      <c r="G157" s="74" t="s">
        <v>112</v>
      </c>
      <c r="H157" s="75">
        <v>4</v>
      </c>
      <c r="I157" s="82"/>
      <c r="J157" s="96"/>
      <c r="K157" s="77"/>
      <c r="L157" s="77"/>
      <c r="M157" s="38">
        <f t="shared" si="4"/>
        <v>0</v>
      </c>
      <c r="N157" s="100">
        <f>5</f>
        <v>5</v>
      </c>
      <c r="O157" s="81">
        <v>8995.8700000000008</v>
      </c>
      <c r="P157" s="81">
        <f>8995.87</f>
        <v>8995.8700000000008</v>
      </c>
      <c r="Q157" s="79">
        <f t="shared" si="5"/>
        <v>0</v>
      </c>
      <c r="R157" s="141"/>
    </row>
    <row r="158" spans="1:18" s="13" customFormat="1" ht="15.75" x14ac:dyDescent="0.25">
      <c r="A158" s="10"/>
      <c r="B158" s="62" t="s">
        <v>157</v>
      </c>
      <c r="C158" s="1" t="s">
        <v>17</v>
      </c>
      <c r="D158" s="120"/>
      <c r="E158" s="17" t="s">
        <v>20</v>
      </c>
      <c r="F158" s="73" t="s">
        <v>401</v>
      </c>
      <c r="G158" s="74" t="s">
        <v>112</v>
      </c>
      <c r="H158" s="75">
        <v>5</v>
      </c>
      <c r="I158" s="82"/>
      <c r="J158" s="96"/>
      <c r="K158" s="77"/>
      <c r="L158" s="77"/>
      <c r="M158" s="38">
        <f t="shared" ref="M158:M192" si="6">K158-L158</f>
        <v>0</v>
      </c>
      <c r="N158" s="100"/>
      <c r="O158" s="81"/>
      <c r="P158" s="81"/>
      <c r="Q158" s="12">
        <f t="shared" si="5"/>
        <v>0</v>
      </c>
      <c r="R158" s="141"/>
    </row>
    <row r="159" spans="1:18" s="13" customFormat="1" ht="15.75" x14ac:dyDescent="0.25">
      <c r="A159" s="10"/>
      <c r="B159" s="22" t="s">
        <v>157</v>
      </c>
      <c r="C159" s="1" t="s">
        <v>17</v>
      </c>
      <c r="D159" s="120"/>
      <c r="E159" s="17" t="s">
        <v>20</v>
      </c>
      <c r="F159" s="73"/>
      <c r="G159" s="11" t="s">
        <v>114</v>
      </c>
      <c r="H159" s="1"/>
      <c r="I159" s="49"/>
      <c r="J159" s="51"/>
      <c r="K159" s="37"/>
      <c r="L159" s="37"/>
      <c r="M159" s="38">
        <f t="shared" si="6"/>
        <v>0</v>
      </c>
      <c r="N159" s="39"/>
      <c r="O159" s="31"/>
      <c r="P159" s="31"/>
      <c r="Q159" s="79">
        <f t="shared" si="5"/>
        <v>0</v>
      </c>
    </row>
    <row r="160" spans="1:18" s="15" customFormat="1" ht="15.75" x14ac:dyDescent="0.25">
      <c r="A160" s="14"/>
      <c r="B160" s="80" t="s">
        <v>92</v>
      </c>
      <c r="C160" s="1" t="s">
        <v>17</v>
      </c>
      <c r="D160" s="120"/>
      <c r="E160" s="17" t="s">
        <v>20</v>
      </c>
      <c r="F160" s="73" t="s">
        <v>402</v>
      </c>
      <c r="G160" s="74" t="s">
        <v>112</v>
      </c>
      <c r="H160" s="75">
        <v>4</v>
      </c>
      <c r="I160" s="76">
        <v>1</v>
      </c>
      <c r="J160" s="96">
        <f>1</f>
        <v>1</v>
      </c>
      <c r="K160" s="77">
        <f>1951.74</f>
        <v>1951.74</v>
      </c>
      <c r="L160" s="77"/>
      <c r="M160" s="38">
        <f t="shared" si="6"/>
        <v>1951.74</v>
      </c>
      <c r="N160" s="100">
        <f>4+1</f>
        <v>5</v>
      </c>
      <c r="O160" s="81">
        <f>12624.74+2697.06</f>
        <v>15321.8</v>
      </c>
      <c r="P160" s="81">
        <f>12624.74</f>
        <v>12624.74</v>
      </c>
      <c r="Q160" s="12">
        <f t="shared" si="5"/>
        <v>2697.0599999999995</v>
      </c>
      <c r="R160" s="141"/>
    </row>
    <row r="161" spans="1:18" s="15" customFormat="1" ht="15.75" x14ac:dyDescent="0.25">
      <c r="A161" s="14"/>
      <c r="B161" s="23" t="s">
        <v>92</v>
      </c>
      <c r="C161" s="1" t="s">
        <v>17</v>
      </c>
      <c r="D161" s="120"/>
      <c r="E161" s="17" t="s">
        <v>20</v>
      </c>
      <c r="F161" s="73" t="s">
        <v>129</v>
      </c>
      <c r="G161" s="11" t="s">
        <v>114</v>
      </c>
      <c r="H161" s="1"/>
      <c r="I161" s="49"/>
      <c r="J161" s="51"/>
      <c r="K161" s="40"/>
      <c r="L161" s="40"/>
      <c r="M161" s="38">
        <f t="shared" si="6"/>
        <v>0</v>
      </c>
      <c r="N161" s="39"/>
      <c r="O161" s="31"/>
      <c r="P161" s="31"/>
      <c r="Q161" s="79">
        <f t="shared" si="5"/>
        <v>0</v>
      </c>
    </row>
    <row r="162" spans="1:18" s="13" customFormat="1" ht="15.75" x14ac:dyDescent="0.25">
      <c r="A162" s="10"/>
      <c r="B162" s="30" t="s">
        <v>93</v>
      </c>
      <c r="C162" s="1" t="s">
        <v>17</v>
      </c>
      <c r="D162" s="120"/>
      <c r="E162" s="3" t="s">
        <v>94</v>
      </c>
      <c r="F162" s="73" t="s">
        <v>403</v>
      </c>
      <c r="G162" s="74" t="s">
        <v>112</v>
      </c>
      <c r="H162" s="75">
        <v>7</v>
      </c>
      <c r="I162" s="76">
        <v>2</v>
      </c>
      <c r="J162" s="96">
        <f>2</f>
        <v>2</v>
      </c>
      <c r="K162" s="77">
        <f>2362.84</f>
        <v>2362.84</v>
      </c>
      <c r="L162" s="77">
        <f>2362.84</f>
        <v>2362.84</v>
      </c>
      <c r="M162" s="38">
        <f t="shared" si="6"/>
        <v>0</v>
      </c>
      <c r="N162" s="100">
        <f>3+8</f>
        <v>11</v>
      </c>
      <c r="O162" s="81">
        <f>20117.75</f>
        <v>20117.75</v>
      </c>
      <c r="P162" s="81">
        <f>20117.75</f>
        <v>20117.75</v>
      </c>
      <c r="Q162" s="12">
        <f t="shared" si="5"/>
        <v>0</v>
      </c>
      <c r="R162" s="141"/>
    </row>
    <row r="163" spans="1:18" s="13" customFormat="1" ht="15.75" x14ac:dyDescent="0.25">
      <c r="A163" s="10"/>
      <c r="B163" s="24" t="s">
        <v>93</v>
      </c>
      <c r="C163" s="1" t="s">
        <v>17</v>
      </c>
      <c r="D163" s="120"/>
      <c r="E163" s="3" t="s">
        <v>94</v>
      </c>
      <c r="F163" s="73" t="s">
        <v>130</v>
      </c>
      <c r="G163" s="11" t="s">
        <v>114</v>
      </c>
      <c r="H163" s="1"/>
      <c r="I163" s="49"/>
      <c r="J163" s="51"/>
      <c r="K163" s="40"/>
      <c r="L163" s="77"/>
      <c r="M163" s="38">
        <f t="shared" si="6"/>
        <v>0</v>
      </c>
      <c r="N163" s="41"/>
      <c r="O163" s="31"/>
      <c r="P163" s="31"/>
      <c r="Q163" s="79">
        <f t="shared" si="5"/>
        <v>0</v>
      </c>
    </row>
    <row r="164" spans="1:18" s="13" customFormat="1" ht="15.75" x14ac:dyDescent="0.25">
      <c r="A164" s="10"/>
      <c r="B164" s="24" t="s">
        <v>93</v>
      </c>
      <c r="C164" s="1" t="s">
        <v>17</v>
      </c>
      <c r="D164" s="120"/>
      <c r="E164" s="3" t="s">
        <v>94</v>
      </c>
      <c r="F164" s="73" t="s">
        <v>240</v>
      </c>
      <c r="G164" s="11" t="s">
        <v>118</v>
      </c>
      <c r="H164" s="1"/>
      <c r="I164" s="49"/>
      <c r="J164" s="46"/>
      <c r="K164" s="40"/>
      <c r="L164" s="40"/>
      <c r="M164" s="78">
        <f t="shared" si="6"/>
        <v>0</v>
      </c>
      <c r="N164" s="41"/>
      <c r="O164" s="31"/>
      <c r="P164" s="31"/>
      <c r="Q164" s="12">
        <f t="shared" si="5"/>
        <v>0</v>
      </c>
    </row>
    <row r="165" spans="1:18" s="13" customFormat="1" ht="15.75" x14ac:dyDescent="0.25">
      <c r="A165" s="10"/>
      <c r="B165" s="30" t="s">
        <v>95</v>
      </c>
      <c r="C165" s="1" t="s">
        <v>17</v>
      </c>
      <c r="D165" s="120"/>
      <c r="E165" s="17" t="s">
        <v>20</v>
      </c>
      <c r="F165" s="73" t="s">
        <v>404</v>
      </c>
      <c r="G165" s="74" t="s">
        <v>112</v>
      </c>
      <c r="H165" s="75">
        <v>9</v>
      </c>
      <c r="I165" s="76">
        <v>1</v>
      </c>
      <c r="J165" s="96">
        <f>1</f>
        <v>1</v>
      </c>
      <c r="K165" s="77">
        <f>1061.35</f>
        <v>1061.3499999999999</v>
      </c>
      <c r="L165" s="77"/>
      <c r="M165" s="38">
        <f t="shared" si="6"/>
        <v>1061.3499999999999</v>
      </c>
      <c r="N165" s="100">
        <f>1+6</f>
        <v>7</v>
      </c>
      <c r="O165" s="81">
        <f>11603.82+7559.28</f>
        <v>19163.099999999999</v>
      </c>
      <c r="P165" s="81"/>
      <c r="Q165" s="79">
        <f t="shared" si="5"/>
        <v>19163.099999999999</v>
      </c>
      <c r="R165" s="141"/>
    </row>
    <row r="166" spans="1:18" s="13" customFormat="1" ht="15.75" x14ac:dyDescent="0.25">
      <c r="A166" s="10"/>
      <c r="B166" s="24" t="s">
        <v>95</v>
      </c>
      <c r="C166" s="1" t="s">
        <v>17</v>
      </c>
      <c r="D166" s="120"/>
      <c r="E166" s="17" t="s">
        <v>20</v>
      </c>
      <c r="F166" s="73" t="s">
        <v>291</v>
      </c>
      <c r="G166" s="11" t="s">
        <v>114</v>
      </c>
      <c r="H166" s="1">
        <v>2</v>
      </c>
      <c r="I166" s="49"/>
      <c r="J166" s="51"/>
      <c r="K166" s="40"/>
      <c r="L166" s="40"/>
      <c r="M166" s="78">
        <f t="shared" si="6"/>
        <v>0</v>
      </c>
      <c r="N166" s="41"/>
      <c r="O166" s="31"/>
      <c r="P166" s="31"/>
      <c r="Q166" s="12">
        <f t="shared" si="5"/>
        <v>0</v>
      </c>
    </row>
    <row r="167" spans="1:18" s="13" customFormat="1" ht="15.75" x14ac:dyDescent="0.25">
      <c r="A167" s="10"/>
      <c r="B167" s="30" t="s">
        <v>96</v>
      </c>
      <c r="C167" s="1" t="s">
        <v>17</v>
      </c>
      <c r="D167" s="120"/>
      <c r="E167" s="17" t="s">
        <v>97</v>
      </c>
      <c r="F167" s="73" t="s">
        <v>405</v>
      </c>
      <c r="G167" s="74" t="s">
        <v>112</v>
      </c>
      <c r="H167" s="75">
        <v>1</v>
      </c>
      <c r="I167" s="76"/>
      <c r="J167" s="96"/>
      <c r="K167" s="77"/>
      <c r="L167" s="77"/>
      <c r="M167" s="38">
        <f t="shared" si="6"/>
        <v>0</v>
      </c>
      <c r="N167" s="103">
        <f>1</f>
        <v>1</v>
      </c>
      <c r="O167" s="77">
        <f>1742.31</f>
        <v>1742.31</v>
      </c>
      <c r="P167" s="77"/>
      <c r="Q167" s="79">
        <f t="shared" si="5"/>
        <v>1742.31</v>
      </c>
      <c r="R167" s="141"/>
    </row>
    <row r="168" spans="1:18" s="13" customFormat="1" ht="15.75" x14ac:dyDescent="0.25">
      <c r="A168" s="10"/>
      <c r="B168" s="24" t="s">
        <v>96</v>
      </c>
      <c r="C168" s="1" t="s">
        <v>17</v>
      </c>
      <c r="D168" s="120"/>
      <c r="E168" s="17" t="s">
        <v>97</v>
      </c>
      <c r="F168" s="73" t="s">
        <v>468</v>
      </c>
      <c r="G168" s="11" t="s">
        <v>114</v>
      </c>
      <c r="H168" s="1">
        <v>1</v>
      </c>
      <c r="I168" s="49"/>
      <c r="J168" s="51"/>
      <c r="K168" s="40"/>
      <c r="L168" s="40"/>
      <c r="M168" s="78">
        <f t="shared" si="6"/>
        <v>0</v>
      </c>
      <c r="N168" s="41">
        <v>2</v>
      </c>
      <c r="O168" s="31"/>
      <c r="P168" s="31"/>
      <c r="Q168" s="12">
        <f t="shared" si="5"/>
        <v>0</v>
      </c>
    </row>
    <row r="169" spans="1:18" s="13" customFormat="1" ht="15.75" x14ac:dyDescent="0.25">
      <c r="A169" s="10"/>
      <c r="B169" s="30" t="s">
        <v>98</v>
      </c>
      <c r="C169" s="1" t="s">
        <v>17</v>
      </c>
      <c r="D169" s="120"/>
      <c r="E169" s="17" t="s">
        <v>35</v>
      </c>
      <c r="F169" s="73" t="s">
        <v>406</v>
      </c>
      <c r="G169" s="74" t="s">
        <v>112</v>
      </c>
      <c r="H169" s="75">
        <v>16</v>
      </c>
      <c r="I169" s="76">
        <v>4</v>
      </c>
      <c r="J169" s="96">
        <f>1+2+1</f>
        <v>4</v>
      </c>
      <c r="K169" s="77">
        <f>845.24+1764.25+8353.03</f>
        <v>10962.52</v>
      </c>
      <c r="L169" s="77"/>
      <c r="M169" s="38">
        <f t="shared" si="6"/>
        <v>10962.52</v>
      </c>
      <c r="N169" s="100">
        <f>9+1+1+4+2+1</f>
        <v>18</v>
      </c>
      <c r="O169" s="81">
        <f>17007.01+2697.06+1267.86+31709.38+5331.44-10826.79</f>
        <v>47185.96</v>
      </c>
      <c r="P169" s="81">
        <f>17007.01+10149.24</f>
        <v>27156.25</v>
      </c>
      <c r="Q169" s="79">
        <f t="shared" si="5"/>
        <v>20029.71</v>
      </c>
      <c r="R169" s="141"/>
    </row>
    <row r="170" spans="1:18" s="13" customFormat="1" ht="15.75" x14ac:dyDescent="0.25">
      <c r="A170" s="10"/>
      <c r="B170" s="24" t="s">
        <v>98</v>
      </c>
      <c r="C170" s="1" t="s">
        <v>17</v>
      </c>
      <c r="D170" s="120"/>
      <c r="E170" s="17" t="s">
        <v>35</v>
      </c>
      <c r="F170" s="73" t="s">
        <v>435</v>
      </c>
      <c r="G170" s="8" t="s">
        <v>117</v>
      </c>
      <c r="H170" s="1">
        <v>2</v>
      </c>
      <c r="I170" s="49"/>
      <c r="J170" s="46"/>
      <c r="K170" s="40"/>
      <c r="L170" s="40"/>
      <c r="M170" s="78">
        <f t="shared" si="6"/>
        <v>0</v>
      </c>
      <c r="N170" s="41">
        <f>4</f>
        <v>4</v>
      </c>
      <c r="O170" s="40">
        <v>10721.75</v>
      </c>
      <c r="P170" s="40">
        <v>9286.24</v>
      </c>
      <c r="Q170" s="12">
        <f t="shared" si="5"/>
        <v>1435.5100000000002</v>
      </c>
    </row>
    <row r="171" spans="1:18" s="13" customFormat="1" ht="15.75" x14ac:dyDescent="0.25">
      <c r="A171" s="10"/>
      <c r="B171" s="24" t="s">
        <v>488</v>
      </c>
      <c r="C171" s="1" t="s">
        <v>17</v>
      </c>
      <c r="D171" s="120"/>
      <c r="E171" s="17" t="s">
        <v>97</v>
      </c>
      <c r="F171" s="73" t="s">
        <v>498</v>
      </c>
      <c r="G171" s="8" t="s">
        <v>112</v>
      </c>
      <c r="H171" s="1">
        <v>5</v>
      </c>
      <c r="I171" s="49"/>
      <c r="J171" s="46"/>
      <c r="K171" s="40"/>
      <c r="L171" s="40"/>
      <c r="M171" s="78"/>
      <c r="N171" s="41"/>
      <c r="O171" s="40"/>
      <c r="P171" s="40"/>
      <c r="Q171" s="12"/>
    </row>
    <row r="172" spans="1:18" s="15" customFormat="1" ht="15.75" x14ac:dyDescent="0.25">
      <c r="A172" s="14"/>
      <c r="B172" s="84" t="s">
        <v>99</v>
      </c>
      <c r="C172" s="1" t="s">
        <v>17</v>
      </c>
      <c r="D172" s="120"/>
      <c r="E172" s="3" t="s">
        <v>32</v>
      </c>
      <c r="F172" s="73" t="s">
        <v>418</v>
      </c>
      <c r="G172" s="74" t="s">
        <v>112</v>
      </c>
      <c r="H172" s="75"/>
      <c r="I172" s="76"/>
      <c r="J172" s="96"/>
      <c r="K172" s="77"/>
      <c r="L172" s="77"/>
      <c r="M172" s="38">
        <f t="shared" si="6"/>
        <v>0</v>
      </c>
      <c r="N172" s="100"/>
      <c r="O172" s="81"/>
      <c r="P172" s="81"/>
      <c r="Q172" s="79">
        <f t="shared" si="5"/>
        <v>0</v>
      </c>
      <c r="R172" s="141"/>
    </row>
    <row r="173" spans="1:18" s="15" customFormat="1" ht="15.75" x14ac:dyDescent="0.25">
      <c r="A173" s="14"/>
      <c r="B173" s="29" t="s">
        <v>99</v>
      </c>
      <c r="C173" s="1" t="s">
        <v>17</v>
      </c>
      <c r="D173" s="120"/>
      <c r="E173" s="3" t="s">
        <v>32</v>
      </c>
      <c r="F173" s="73" t="s">
        <v>423</v>
      </c>
      <c r="G173" s="8" t="s">
        <v>117</v>
      </c>
      <c r="H173" s="1"/>
      <c r="I173" s="49"/>
      <c r="J173" s="51"/>
      <c r="K173" s="40"/>
      <c r="L173" s="40"/>
      <c r="M173" s="78">
        <f t="shared" si="6"/>
        <v>0</v>
      </c>
      <c r="N173" s="39"/>
      <c r="O173" s="40"/>
      <c r="P173" s="40"/>
      <c r="Q173" s="12">
        <f t="shared" si="5"/>
        <v>0</v>
      </c>
    </row>
    <row r="174" spans="1:18" s="15" customFormat="1" ht="31.5" x14ac:dyDescent="0.25">
      <c r="A174" s="14"/>
      <c r="B174" s="30" t="s">
        <v>144</v>
      </c>
      <c r="C174" s="1" t="s">
        <v>304</v>
      </c>
      <c r="D174" s="120" t="s">
        <v>313</v>
      </c>
      <c r="E174" s="17" t="s">
        <v>97</v>
      </c>
      <c r="F174" s="73" t="s">
        <v>407</v>
      </c>
      <c r="G174" s="66" t="s">
        <v>112</v>
      </c>
      <c r="H174" s="75">
        <v>7</v>
      </c>
      <c r="I174" s="76">
        <v>4</v>
      </c>
      <c r="J174" s="98">
        <f>2+2+1</f>
        <v>5</v>
      </c>
      <c r="K174" s="77">
        <f>950.9+1449.39+2272.32</f>
        <v>4672.6100000000006</v>
      </c>
      <c r="L174" s="77">
        <f>1373.52</f>
        <v>1373.52</v>
      </c>
      <c r="M174" s="38">
        <f t="shared" si="6"/>
        <v>3299.0900000000006</v>
      </c>
      <c r="N174" s="100">
        <f>3+2+1</f>
        <v>6</v>
      </c>
      <c r="O174" s="77">
        <f>5020.57+5566.06+2694.94</f>
        <v>13281.570000000002</v>
      </c>
      <c r="P174" s="77">
        <f>5071.44</f>
        <v>5071.4399999999996</v>
      </c>
      <c r="Q174" s="79">
        <f t="shared" si="5"/>
        <v>8210.130000000001</v>
      </c>
      <c r="R174" s="141"/>
    </row>
    <row r="175" spans="1:18" s="15" customFormat="1" ht="15.75" x14ac:dyDescent="0.25">
      <c r="A175" s="14"/>
      <c r="B175" s="30" t="s">
        <v>488</v>
      </c>
      <c r="C175" s="1"/>
      <c r="D175" s="120"/>
      <c r="E175" s="17"/>
      <c r="F175" s="73"/>
      <c r="G175" s="66" t="s">
        <v>114</v>
      </c>
      <c r="H175" s="75">
        <v>8</v>
      </c>
      <c r="I175" s="76"/>
      <c r="J175" s="98"/>
      <c r="K175" s="77"/>
      <c r="L175" s="77"/>
      <c r="M175" s="38"/>
      <c r="N175" s="100"/>
      <c r="O175" s="77"/>
      <c r="P175" s="77"/>
      <c r="Q175" s="79"/>
    </row>
    <row r="176" spans="1:18" s="15" customFormat="1" ht="15.75" x14ac:dyDescent="0.25">
      <c r="A176" s="14"/>
      <c r="B176" s="30" t="s">
        <v>488</v>
      </c>
      <c r="C176" s="1"/>
      <c r="D176" s="120"/>
      <c r="E176" s="17"/>
      <c r="F176" s="73"/>
      <c r="G176" s="66" t="s">
        <v>113</v>
      </c>
      <c r="H176" s="75">
        <v>1</v>
      </c>
      <c r="I176" s="76"/>
      <c r="J176" s="98"/>
      <c r="K176" s="77"/>
      <c r="L176" s="77"/>
      <c r="M176" s="38"/>
      <c r="N176" s="100"/>
      <c r="O176" s="77"/>
      <c r="P176" s="77"/>
      <c r="Q176" s="79"/>
    </row>
    <row r="177" spans="1:18" s="15" customFormat="1" ht="31.5" x14ac:dyDescent="0.25">
      <c r="A177" s="14"/>
      <c r="B177" s="34" t="s">
        <v>144</v>
      </c>
      <c r="C177" s="1" t="s">
        <v>446</v>
      </c>
      <c r="D177" s="120" t="s">
        <v>313</v>
      </c>
      <c r="E177" s="3" t="s">
        <v>20</v>
      </c>
      <c r="F177" s="73" t="s">
        <v>485</v>
      </c>
      <c r="G177" s="8" t="s">
        <v>114</v>
      </c>
      <c r="H177" s="1">
        <v>9</v>
      </c>
      <c r="I177" s="53">
        <v>1</v>
      </c>
      <c r="J177" s="52">
        <v>1</v>
      </c>
      <c r="K177" s="40"/>
      <c r="L177" s="40"/>
      <c r="M177" s="78">
        <f t="shared" si="6"/>
        <v>0</v>
      </c>
      <c r="N177" s="42">
        <v>17</v>
      </c>
      <c r="O177" s="31">
        <f>10845.7</f>
        <v>10845.7</v>
      </c>
      <c r="P177" s="31">
        <v>10845.7</v>
      </c>
      <c r="Q177" s="12">
        <f t="shared" si="5"/>
        <v>0</v>
      </c>
    </row>
    <row r="178" spans="1:18" s="21" customFormat="1" ht="47.25" x14ac:dyDescent="0.25">
      <c r="A178" s="1"/>
      <c r="B178" s="30" t="s">
        <v>100</v>
      </c>
      <c r="C178" s="1" t="s">
        <v>304</v>
      </c>
      <c r="D178" s="120" t="s">
        <v>416</v>
      </c>
      <c r="E178" s="17" t="s">
        <v>20</v>
      </c>
      <c r="F178" s="73" t="s">
        <v>408</v>
      </c>
      <c r="G178" s="27" t="s">
        <v>112</v>
      </c>
      <c r="H178" s="75">
        <v>10</v>
      </c>
      <c r="I178" s="76">
        <v>5</v>
      </c>
      <c r="J178" s="98">
        <f>5</f>
        <v>5</v>
      </c>
      <c r="K178" s="86">
        <f>6524.55</f>
        <v>6524.55</v>
      </c>
      <c r="L178" s="86"/>
      <c r="M178" s="38">
        <f t="shared" si="6"/>
        <v>6524.55</v>
      </c>
      <c r="N178" s="100">
        <f>1+3</f>
        <v>4</v>
      </c>
      <c r="O178" s="87">
        <f>10770.58+2113.01</f>
        <v>12883.59</v>
      </c>
      <c r="P178" s="87"/>
      <c r="Q178" s="79">
        <f t="shared" si="5"/>
        <v>12883.59</v>
      </c>
      <c r="R178" s="141"/>
    </row>
    <row r="179" spans="1:18" s="21" customFormat="1" ht="47.25" x14ac:dyDescent="0.25">
      <c r="A179" s="1"/>
      <c r="B179" s="24" t="s">
        <v>100</v>
      </c>
      <c r="C179" s="18" t="s">
        <v>125</v>
      </c>
      <c r="D179" s="120" t="s">
        <v>126</v>
      </c>
      <c r="E179" s="17" t="s">
        <v>20</v>
      </c>
      <c r="F179" s="73" t="s">
        <v>486</v>
      </c>
      <c r="G179" s="20" t="s">
        <v>114</v>
      </c>
      <c r="H179" s="1">
        <v>7</v>
      </c>
      <c r="I179" s="53"/>
      <c r="J179" s="52"/>
      <c r="K179" s="55"/>
      <c r="L179" s="55"/>
      <c r="M179" s="78">
        <f t="shared" si="6"/>
        <v>0</v>
      </c>
      <c r="N179" s="41"/>
      <c r="O179" s="54"/>
      <c r="P179" s="54"/>
      <c r="Q179" s="12">
        <f t="shared" si="5"/>
        <v>0</v>
      </c>
    </row>
    <row r="180" spans="1:18" s="13" customFormat="1" ht="15.75" x14ac:dyDescent="0.25">
      <c r="A180" s="10"/>
      <c r="B180" s="62" t="s">
        <v>101</v>
      </c>
      <c r="C180" s="1" t="s">
        <v>17</v>
      </c>
      <c r="D180" s="120"/>
      <c r="E180" s="17" t="s">
        <v>20</v>
      </c>
      <c r="F180" s="73" t="s">
        <v>409</v>
      </c>
      <c r="G180" s="74" t="s">
        <v>112</v>
      </c>
      <c r="H180" s="75">
        <v>8</v>
      </c>
      <c r="I180" s="76">
        <v>1</v>
      </c>
      <c r="J180" s="96">
        <f>1</f>
        <v>1</v>
      </c>
      <c r="K180" s="77">
        <f>1045.98</f>
        <v>1045.98</v>
      </c>
      <c r="L180" s="77"/>
      <c r="M180" s="38">
        <f t="shared" si="6"/>
        <v>1045.98</v>
      </c>
      <c r="N180" s="100">
        <f>5+2</f>
        <v>7</v>
      </c>
      <c r="O180" s="81">
        <f>6288.07+3061.62</f>
        <v>9349.6899999999987</v>
      </c>
      <c r="P180" s="81"/>
      <c r="Q180" s="79">
        <f t="shared" si="5"/>
        <v>9349.6899999999987</v>
      </c>
      <c r="R180" s="141"/>
    </row>
    <row r="181" spans="1:18" s="13" customFormat="1" ht="15.75" x14ac:dyDescent="0.25">
      <c r="A181" s="10"/>
      <c r="B181" s="62" t="s">
        <v>146</v>
      </c>
      <c r="C181" s="1" t="s">
        <v>17</v>
      </c>
      <c r="D181" s="120"/>
      <c r="E181" s="17" t="s">
        <v>20</v>
      </c>
      <c r="F181" s="73" t="s">
        <v>410</v>
      </c>
      <c r="G181" s="74" t="s">
        <v>112</v>
      </c>
      <c r="H181" s="75">
        <v>5</v>
      </c>
      <c r="I181" s="76">
        <v>5</v>
      </c>
      <c r="J181" s="96">
        <f>4+1</f>
        <v>5</v>
      </c>
      <c r="K181" s="77">
        <f>4610.77+1568.98</f>
        <v>6179.75</v>
      </c>
      <c r="L181" s="77"/>
      <c r="M181" s="38">
        <f t="shared" si="6"/>
        <v>6179.75</v>
      </c>
      <c r="N181" s="100">
        <f>5+1+1</f>
        <v>7</v>
      </c>
      <c r="O181" s="81">
        <f>13579.06+1287.07+2636.18</f>
        <v>17502.309999999998</v>
      </c>
      <c r="P181" s="81">
        <f>13579.06</f>
        <v>13579.06</v>
      </c>
      <c r="Q181" s="12">
        <f t="shared" si="5"/>
        <v>3923.2499999999982</v>
      </c>
      <c r="R181" s="141"/>
    </row>
    <row r="182" spans="1:18" s="13" customFormat="1" ht="15.75" x14ac:dyDescent="0.25">
      <c r="A182" s="10"/>
      <c r="B182" s="22" t="s">
        <v>146</v>
      </c>
      <c r="C182" s="1" t="s">
        <v>17</v>
      </c>
      <c r="D182" s="120"/>
      <c r="E182" s="3" t="s">
        <v>21</v>
      </c>
      <c r="F182" s="73" t="s">
        <v>443</v>
      </c>
      <c r="G182" s="11" t="s">
        <v>118</v>
      </c>
      <c r="H182" s="1">
        <v>3</v>
      </c>
      <c r="I182" s="47"/>
      <c r="J182" s="51"/>
      <c r="K182" s="37"/>
      <c r="L182" s="37"/>
      <c r="M182" s="38">
        <f t="shared" si="6"/>
        <v>0</v>
      </c>
      <c r="N182" s="39">
        <v>3</v>
      </c>
      <c r="O182" s="31">
        <v>3035.18</v>
      </c>
      <c r="P182" s="31">
        <v>1690.48</v>
      </c>
      <c r="Q182" s="79">
        <f t="shared" si="5"/>
        <v>1344.6999999999998</v>
      </c>
    </row>
    <row r="183" spans="1:18" s="13" customFormat="1" ht="15.75" x14ac:dyDescent="0.25">
      <c r="A183" s="10"/>
      <c r="B183" s="27" t="s">
        <v>102</v>
      </c>
      <c r="C183" s="1" t="s">
        <v>17</v>
      </c>
      <c r="D183" s="120"/>
      <c r="E183" s="17" t="s">
        <v>20</v>
      </c>
      <c r="F183" s="73" t="s">
        <v>411</v>
      </c>
      <c r="G183" s="74" t="s">
        <v>112</v>
      </c>
      <c r="H183" s="75">
        <v>8</v>
      </c>
      <c r="I183" s="76">
        <v>2</v>
      </c>
      <c r="J183" s="96">
        <f>1+1</f>
        <v>2</v>
      </c>
      <c r="K183" s="77">
        <f>845.24+845.24</f>
        <v>1690.48</v>
      </c>
      <c r="L183" s="77">
        <f>845.24</f>
        <v>845.24</v>
      </c>
      <c r="M183" s="38">
        <f t="shared" si="6"/>
        <v>845.24</v>
      </c>
      <c r="N183" s="100">
        <f>3</f>
        <v>3</v>
      </c>
      <c r="O183" s="81">
        <f>7808.21+30833.77</f>
        <v>38641.980000000003</v>
      </c>
      <c r="P183" s="81">
        <f>7808.21</f>
        <v>7808.21</v>
      </c>
      <c r="Q183" s="12">
        <f t="shared" si="5"/>
        <v>30833.770000000004</v>
      </c>
      <c r="R183" s="141"/>
    </row>
    <row r="184" spans="1:18" s="13" customFormat="1" ht="15.75" x14ac:dyDescent="0.25">
      <c r="A184" s="10"/>
      <c r="B184" s="25" t="s">
        <v>102</v>
      </c>
      <c r="C184" s="1" t="s">
        <v>17</v>
      </c>
      <c r="D184" s="120"/>
      <c r="E184" s="17" t="s">
        <v>20</v>
      </c>
      <c r="F184" s="73" t="s">
        <v>469</v>
      </c>
      <c r="G184" s="11" t="s">
        <v>114</v>
      </c>
      <c r="H184" s="1">
        <v>3</v>
      </c>
      <c r="I184" s="58"/>
      <c r="J184" s="51"/>
      <c r="K184" s="40"/>
      <c r="L184" s="40"/>
      <c r="M184" s="38">
        <f t="shared" si="6"/>
        <v>0</v>
      </c>
      <c r="N184" s="41">
        <v>7</v>
      </c>
      <c r="O184" s="31">
        <f>7604.1</f>
        <v>7604.1</v>
      </c>
      <c r="P184" s="31">
        <v>7604.1</v>
      </c>
      <c r="Q184" s="79">
        <f t="shared" si="5"/>
        <v>0</v>
      </c>
    </row>
    <row r="185" spans="1:18" s="13" customFormat="1" ht="15.75" x14ac:dyDescent="0.25">
      <c r="A185" s="10"/>
      <c r="B185" s="27" t="s">
        <v>103</v>
      </c>
      <c r="C185" s="1" t="s">
        <v>17</v>
      </c>
      <c r="D185" s="120"/>
      <c r="E185" s="3" t="s">
        <v>20</v>
      </c>
      <c r="F185" s="73" t="s">
        <v>412</v>
      </c>
      <c r="G185" s="74" t="s">
        <v>112</v>
      </c>
      <c r="H185" s="75">
        <v>7</v>
      </c>
      <c r="I185" s="76"/>
      <c r="J185" s="96"/>
      <c r="K185" s="77"/>
      <c r="L185" s="77"/>
      <c r="M185" s="38">
        <f t="shared" si="6"/>
        <v>0</v>
      </c>
      <c r="N185" s="100">
        <f>7</f>
        <v>7</v>
      </c>
      <c r="O185" s="77">
        <f>20193.14</f>
        <v>20193.14</v>
      </c>
      <c r="P185" s="81">
        <f>20193.14</f>
        <v>20193.14</v>
      </c>
      <c r="Q185" s="12">
        <f t="shared" si="5"/>
        <v>0</v>
      </c>
      <c r="R185" s="141"/>
    </row>
    <row r="186" spans="1:18" s="13" customFormat="1" ht="15.75" x14ac:dyDescent="0.25">
      <c r="A186" s="10"/>
      <c r="B186" s="25" t="s">
        <v>103</v>
      </c>
      <c r="C186" s="1" t="s">
        <v>17</v>
      </c>
      <c r="D186" s="120"/>
      <c r="E186" s="3" t="s">
        <v>20</v>
      </c>
      <c r="F186" s="73" t="s">
        <v>470</v>
      </c>
      <c r="G186" s="11" t="s">
        <v>114</v>
      </c>
      <c r="H186" s="1">
        <v>4</v>
      </c>
      <c r="I186" s="49"/>
      <c r="J186" s="51"/>
      <c r="K186" s="40"/>
      <c r="L186" s="40"/>
      <c r="M186" s="38">
        <f t="shared" si="6"/>
        <v>0</v>
      </c>
      <c r="N186" s="41">
        <v>3</v>
      </c>
      <c r="O186" s="31">
        <f>8510.89</f>
        <v>8510.89</v>
      </c>
      <c r="P186" s="31">
        <v>8510.89</v>
      </c>
      <c r="Q186" s="79">
        <f t="shared" si="5"/>
        <v>0</v>
      </c>
    </row>
    <row r="187" spans="1:18" s="15" customFormat="1" ht="15.75" x14ac:dyDescent="0.25">
      <c r="A187" s="14"/>
      <c r="B187" s="28" t="s">
        <v>104</v>
      </c>
      <c r="C187" s="1" t="s">
        <v>17</v>
      </c>
      <c r="D187" s="120"/>
      <c r="E187" s="3" t="s">
        <v>20</v>
      </c>
      <c r="F187" s="73" t="s">
        <v>413</v>
      </c>
      <c r="G187" s="74" t="s">
        <v>112</v>
      </c>
      <c r="H187" s="75">
        <v>6</v>
      </c>
      <c r="I187" s="76">
        <v>4</v>
      </c>
      <c r="J187" s="96">
        <f>3+1</f>
        <v>4</v>
      </c>
      <c r="K187" s="77">
        <f>5112.82+422.64</f>
        <v>5535.46</v>
      </c>
      <c r="L187" s="77"/>
      <c r="M187" s="38">
        <f t="shared" si="6"/>
        <v>5535.46</v>
      </c>
      <c r="N187" s="100">
        <f>4+1</f>
        <v>5</v>
      </c>
      <c r="O187" s="81">
        <f>7087.22</f>
        <v>7087.22</v>
      </c>
      <c r="P187" s="81">
        <f>7086.22</f>
        <v>7086.22</v>
      </c>
      <c r="Q187" s="12">
        <f t="shared" si="5"/>
        <v>1</v>
      </c>
      <c r="R187" s="141"/>
    </row>
    <row r="188" spans="1:18" s="15" customFormat="1" ht="15.75" x14ac:dyDescent="0.25">
      <c r="A188" s="14"/>
      <c r="B188" s="26" t="s">
        <v>104</v>
      </c>
      <c r="C188" s="1" t="s">
        <v>17</v>
      </c>
      <c r="D188" s="120"/>
      <c r="E188" s="3" t="s">
        <v>20</v>
      </c>
      <c r="F188" s="73" t="s">
        <v>471</v>
      </c>
      <c r="G188" s="11" t="s">
        <v>114</v>
      </c>
      <c r="H188" s="1">
        <v>20</v>
      </c>
      <c r="I188" s="49"/>
      <c r="J188" s="51"/>
      <c r="K188" s="40"/>
      <c r="L188" s="40"/>
      <c r="M188" s="38">
        <f t="shared" si="6"/>
        <v>0</v>
      </c>
      <c r="N188" s="39">
        <v>12</v>
      </c>
      <c r="O188" s="31">
        <f>8717.37</f>
        <v>8717.3700000000008</v>
      </c>
      <c r="P188" s="31">
        <v>8717.3700000000008</v>
      </c>
      <c r="Q188" s="79">
        <f t="shared" si="5"/>
        <v>0</v>
      </c>
    </row>
    <row r="189" spans="1:18" s="13" customFormat="1" ht="15.75" x14ac:dyDescent="0.25">
      <c r="A189" s="10"/>
      <c r="B189" s="30" t="s">
        <v>105</v>
      </c>
      <c r="C189" s="1" t="s">
        <v>17</v>
      </c>
      <c r="D189" s="120"/>
      <c r="E189" s="17" t="s">
        <v>35</v>
      </c>
      <c r="F189" s="73" t="s">
        <v>419</v>
      </c>
      <c r="G189" s="74" t="s">
        <v>112</v>
      </c>
      <c r="H189" s="75"/>
      <c r="I189" s="76"/>
      <c r="J189" s="96"/>
      <c r="K189" s="77"/>
      <c r="L189" s="77"/>
      <c r="M189" s="38">
        <f t="shared" si="6"/>
        <v>0</v>
      </c>
      <c r="N189" s="100"/>
      <c r="O189" s="81"/>
      <c r="P189" s="81"/>
      <c r="Q189" s="12">
        <f t="shared" si="5"/>
        <v>0</v>
      </c>
      <c r="R189" s="141"/>
    </row>
    <row r="190" spans="1:18" s="13" customFormat="1" ht="15.75" x14ac:dyDescent="0.25">
      <c r="A190" s="10"/>
      <c r="B190" s="30" t="s">
        <v>26</v>
      </c>
      <c r="C190" s="1" t="s">
        <v>17</v>
      </c>
      <c r="D190" s="120"/>
      <c r="E190" s="3" t="s">
        <v>32</v>
      </c>
      <c r="F190" s="73" t="s">
        <v>246</v>
      </c>
      <c r="G190" s="74" t="s">
        <v>117</v>
      </c>
      <c r="H190" s="75"/>
      <c r="I190" s="76"/>
      <c r="J190" s="96"/>
      <c r="K190" s="77"/>
      <c r="L190" s="77"/>
      <c r="M190" s="78">
        <f t="shared" si="6"/>
        <v>0</v>
      </c>
      <c r="N190" s="100">
        <v>3</v>
      </c>
      <c r="O190" s="81">
        <v>3774.05</v>
      </c>
      <c r="P190" s="81">
        <v>3774.05</v>
      </c>
      <c r="Q190" s="12">
        <f t="shared" si="5"/>
        <v>0</v>
      </c>
    </row>
    <row r="191" spans="1:18" s="13" customFormat="1" ht="15.75" x14ac:dyDescent="0.25">
      <c r="A191" s="10"/>
      <c r="B191" s="24" t="s">
        <v>105</v>
      </c>
      <c r="C191" s="1" t="s">
        <v>17</v>
      </c>
      <c r="D191" s="120"/>
      <c r="E191" s="17" t="s">
        <v>35</v>
      </c>
      <c r="F191" s="73" t="s">
        <v>436</v>
      </c>
      <c r="G191" s="11" t="s">
        <v>117</v>
      </c>
      <c r="H191" s="1"/>
      <c r="I191" s="47"/>
      <c r="J191" s="46"/>
      <c r="K191" s="40"/>
      <c r="L191" s="40"/>
      <c r="M191" s="38">
        <f t="shared" si="6"/>
        <v>0</v>
      </c>
      <c r="N191" s="41"/>
      <c r="O191" s="31"/>
      <c r="P191" s="31"/>
      <c r="Q191" s="79">
        <f t="shared" si="5"/>
        <v>0</v>
      </c>
    </row>
    <row r="192" spans="1:18" s="13" customFormat="1" ht="15.75" x14ac:dyDescent="0.25">
      <c r="A192" s="10"/>
      <c r="B192" s="62" t="s">
        <v>106</v>
      </c>
      <c r="C192" s="1" t="s">
        <v>17</v>
      </c>
      <c r="D192" s="2"/>
      <c r="E192" s="17" t="s">
        <v>20</v>
      </c>
      <c r="F192" s="73" t="s">
        <v>414</v>
      </c>
      <c r="G192" s="74" t="s">
        <v>112</v>
      </c>
      <c r="H192" s="75">
        <v>6</v>
      </c>
      <c r="I192" s="76"/>
      <c r="J192" s="96"/>
      <c r="K192" s="77"/>
      <c r="L192" s="77"/>
      <c r="M192" s="38">
        <f t="shared" si="6"/>
        <v>0</v>
      </c>
      <c r="N192" s="100">
        <f>3</f>
        <v>3</v>
      </c>
      <c r="O192" s="81">
        <f>15956.85</f>
        <v>15956.85</v>
      </c>
      <c r="P192" s="81">
        <f>15956.85</f>
        <v>15956.85</v>
      </c>
      <c r="Q192" s="12">
        <f t="shared" si="5"/>
        <v>0</v>
      </c>
      <c r="R192" s="141"/>
    </row>
    <row r="193" spans="1:18" ht="15.75" x14ac:dyDescent="0.25">
      <c r="A193" s="7"/>
      <c r="B193" s="32"/>
      <c r="C193" s="107"/>
      <c r="D193" s="33"/>
      <c r="E193" s="33"/>
      <c r="F193" s="73"/>
      <c r="G193" s="8" t="s">
        <v>131</v>
      </c>
      <c r="H193" s="106">
        <f t="shared" ref="H193:P193" si="7">SUM(H10:H192)</f>
        <v>1008</v>
      </c>
      <c r="I193" s="59">
        <f t="shared" si="7"/>
        <v>287</v>
      </c>
      <c r="J193" s="43">
        <f t="shared" si="7"/>
        <v>316</v>
      </c>
      <c r="K193" s="56">
        <f t="shared" si="7"/>
        <v>437887.56499999989</v>
      </c>
      <c r="L193" s="56">
        <f t="shared" si="7"/>
        <v>10248.549999999999</v>
      </c>
      <c r="M193" s="44">
        <f>K193-L193</f>
        <v>427639.0149999999</v>
      </c>
      <c r="N193" s="43">
        <f t="shared" si="7"/>
        <v>1172</v>
      </c>
      <c r="O193" s="57">
        <f t="shared" si="7"/>
        <v>2986806.4099999997</v>
      </c>
      <c r="P193" s="57">
        <f t="shared" si="7"/>
        <v>1304397.0500000003</v>
      </c>
      <c r="Q193" s="79">
        <f t="shared" si="5"/>
        <v>1682409.3599999994</v>
      </c>
      <c r="R193" s="129"/>
    </row>
    <row r="194" spans="1:18" x14ac:dyDescent="0.25">
      <c r="K194" s="91" t="s">
        <v>305</v>
      </c>
    </row>
    <row r="195" spans="1:18" ht="45" x14ac:dyDescent="0.25">
      <c r="B195" s="89" t="s">
        <v>316</v>
      </c>
      <c r="F195" s="104" t="s">
        <v>317</v>
      </c>
      <c r="M195" s="142"/>
      <c r="Q195" s="133"/>
    </row>
  </sheetData>
  <mergeCells count="7">
    <mergeCell ref="O1:Q1"/>
    <mergeCell ref="A3:Q3"/>
    <mergeCell ref="A4:Q4"/>
    <mergeCell ref="A5:Q5"/>
    <mergeCell ref="B7:G7"/>
    <mergeCell ref="H7:M7"/>
    <mergeCell ref="N7:Q7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95"/>
  <sheetViews>
    <sheetView workbookViewId="0">
      <selection sqref="A1:XFD1048576"/>
    </sheetView>
  </sheetViews>
  <sheetFormatPr defaultRowHeight="15" x14ac:dyDescent="0.25"/>
  <cols>
    <col min="1" max="1" width="1.85546875" style="6" customWidth="1"/>
    <col min="2" max="2" width="38.28515625" style="88" customWidth="1"/>
    <col min="3" max="3" width="6.5703125" style="19" customWidth="1"/>
    <col min="4" max="4" width="17.42578125" style="19" customWidth="1"/>
    <col min="5" max="5" width="19" style="19" customWidth="1"/>
    <col min="6" max="6" width="6.140625" style="89" customWidth="1"/>
    <col min="7" max="7" width="21.42578125" style="89" customWidth="1"/>
    <col min="8" max="8" width="11.85546875" style="90" customWidth="1"/>
    <col min="9" max="9" width="10.7109375" style="90" customWidth="1"/>
    <col min="10" max="10" width="7.42578125" style="99" customWidth="1"/>
    <col min="11" max="11" width="16.5703125" style="91" customWidth="1"/>
    <col min="12" max="12" width="13.28515625" style="91" customWidth="1"/>
    <col min="13" max="13" width="15.7109375" style="91" customWidth="1"/>
    <col min="14" max="14" width="10.7109375" style="99" customWidth="1"/>
    <col min="15" max="15" width="14" style="92" customWidth="1"/>
    <col min="16" max="16" width="16" style="92" customWidth="1"/>
    <col min="17" max="17" width="14.42578125" style="92" customWidth="1"/>
    <col min="18" max="18" width="11.7109375" style="6" customWidth="1"/>
    <col min="19" max="19" width="9.42578125" style="6" customWidth="1"/>
    <col min="20" max="21" width="9.140625" style="6" customWidth="1"/>
    <col min="22" max="16384" width="9.140625" style="6"/>
  </cols>
  <sheetData>
    <row r="1" spans="1:18" s="105" customFormat="1" x14ac:dyDescent="0.25">
      <c r="B1" s="60"/>
      <c r="C1" s="4"/>
      <c r="D1" s="4"/>
      <c r="E1" s="4"/>
      <c r="F1" s="63"/>
      <c r="G1" s="63"/>
      <c r="H1" s="64"/>
      <c r="I1" s="64"/>
      <c r="J1" s="93"/>
      <c r="K1" s="65"/>
      <c r="L1" s="65"/>
      <c r="M1" s="65"/>
      <c r="N1" s="93"/>
      <c r="O1" s="362" t="s">
        <v>15</v>
      </c>
      <c r="P1" s="362"/>
      <c r="Q1" s="362"/>
    </row>
    <row r="2" spans="1:18" s="105" customFormat="1" x14ac:dyDescent="0.25">
      <c r="A2" s="7"/>
      <c r="B2" s="160"/>
      <c r="C2" s="107"/>
      <c r="D2" s="107"/>
      <c r="E2" s="107"/>
      <c r="F2" s="66"/>
      <c r="G2" s="66"/>
      <c r="H2" s="159"/>
      <c r="I2" s="161"/>
      <c r="J2" s="94"/>
      <c r="K2" s="67"/>
      <c r="L2" s="67"/>
      <c r="M2" s="67"/>
      <c r="N2" s="94"/>
      <c r="O2" s="68"/>
      <c r="P2" s="68"/>
      <c r="Q2" s="68"/>
    </row>
    <row r="3" spans="1:18" s="105" customFormat="1" x14ac:dyDescent="0.25">
      <c r="A3" s="363" t="s">
        <v>318</v>
      </c>
      <c r="B3" s="364"/>
      <c r="C3" s="363"/>
      <c r="D3" s="363"/>
      <c r="E3" s="363"/>
      <c r="F3" s="364"/>
      <c r="G3" s="364"/>
      <c r="H3" s="365"/>
      <c r="I3" s="366"/>
      <c r="J3" s="367"/>
      <c r="K3" s="364"/>
      <c r="L3" s="364"/>
      <c r="M3" s="364"/>
      <c r="N3" s="364"/>
      <c r="O3" s="364"/>
      <c r="P3" s="364"/>
      <c r="Q3" s="364"/>
    </row>
    <row r="4" spans="1:18" s="105" customFormat="1" x14ac:dyDescent="0.25">
      <c r="A4" s="368">
        <v>43591</v>
      </c>
      <c r="B4" s="369"/>
      <c r="C4" s="370"/>
      <c r="D4" s="370"/>
      <c r="E4" s="370"/>
      <c r="F4" s="369"/>
      <c r="G4" s="369"/>
      <c r="H4" s="371"/>
      <c r="I4" s="372"/>
      <c r="J4" s="373"/>
      <c r="K4" s="369"/>
      <c r="L4" s="369"/>
      <c r="M4" s="369"/>
      <c r="N4" s="369"/>
      <c r="O4" s="369"/>
      <c r="P4" s="369"/>
      <c r="Q4" s="369"/>
    </row>
    <row r="5" spans="1:18" s="105" customFormat="1" x14ac:dyDescent="0.25">
      <c r="A5" s="374" t="s">
        <v>14</v>
      </c>
      <c r="B5" s="367"/>
      <c r="C5" s="374"/>
      <c r="D5" s="374"/>
      <c r="E5" s="374"/>
      <c r="F5" s="367"/>
      <c r="G5" s="367"/>
      <c r="H5" s="366"/>
      <c r="I5" s="366"/>
      <c r="J5" s="367"/>
      <c r="K5" s="367"/>
      <c r="L5" s="367"/>
      <c r="M5" s="367"/>
      <c r="N5" s="367"/>
      <c r="O5" s="367"/>
      <c r="P5" s="367"/>
      <c r="Q5" s="367"/>
    </row>
    <row r="6" spans="1:18" s="105" customFormat="1" x14ac:dyDescent="0.25">
      <c r="A6" s="7"/>
      <c r="B6" s="160"/>
      <c r="C6" s="107"/>
      <c r="D6" s="107"/>
      <c r="E6" s="107"/>
      <c r="F6" s="66"/>
      <c r="G6" s="66"/>
      <c r="H6" s="159"/>
      <c r="I6" s="161"/>
      <c r="J6" s="94"/>
      <c r="K6" s="67"/>
      <c r="L6" s="67"/>
      <c r="M6" s="67"/>
      <c r="N6" s="94"/>
      <c r="O6" s="68"/>
      <c r="P6" s="68"/>
      <c r="Q6" s="68"/>
    </row>
    <row r="7" spans="1:18" x14ac:dyDescent="0.25">
      <c r="A7" s="5" t="s">
        <v>0</v>
      </c>
      <c r="B7" s="364" t="s">
        <v>10</v>
      </c>
      <c r="C7" s="375"/>
      <c r="D7" s="375"/>
      <c r="E7" s="375"/>
      <c r="F7" s="364"/>
      <c r="G7" s="364"/>
      <c r="H7" s="365" t="s">
        <v>472</v>
      </c>
      <c r="I7" s="366"/>
      <c r="J7" s="367"/>
      <c r="K7" s="364"/>
      <c r="L7" s="364"/>
      <c r="M7" s="364"/>
      <c r="N7" s="364" t="s">
        <v>132</v>
      </c>
      <c r="O7" s="364"/>
      <c r="P7" s="364"/>
      <c r="Q7" s="364"/>
    </row>
    <row r="8" spans="1:18" ht="195" x14ac:dyDescent="0.25">
      <c r="A8" s="5"/>
      <c r="B8" s="160" t="s">
        <v>4</v>
      </c>
      <c r="C8" s="107" t="s">
        <v>1</v>
      </c>
      <c r="D8" s="107" t="s">
        <v>3</v>
      </c>
      <c r="E8" s="107" t="s">
        <v>2</v>
      </c>
      <c r="F8" s="122" t="s">
        <v>6</v>
      </c>
      <c r="G8" s="66" t="s">
        <v>5</v>
      </c>
      <c r="H8" s="160" t="s">
        <v>7</v>
      </c>
      <c r="I8" s="162" t="s">
        <v>8</v>
      </c>
      <c r="J8" s="94" t="s">
        <v>9</v>
      </c>
      <c r="K8" s="67" t="s">
        <v>11</v>
      </c>
      <c r="L8" s="67" t="s">
        <v>12</v>
      </c>
      <c r="M8" s="67" t="s">
        <v>13</v>
      </c>
      <c r="N8" s="94" t="s">
        <v>9</v>
      </c>
      <c r="O8" s="68" t="s">
        <v>11</v>
      </c>
      <c r="P8" s="68" t="s">
        <v>12</v>
      </c>
      <c r="Q8" s="68" t="s">
        <v>13</v>
      </c>
    </row>
    <row r="9" spans="1:18" x14ac:dyDescent="0.25">
      <c r="A9" s="9">
        <v>1</v>
      </c>
      <c r="B9" s="61">
        <f>A9+1</f>
        <v>2</v>
      </c>
      <c r="C9" s="9">
        <f t="shared" ref="C9:Q9" si="0">B9+1</f>
        <v>3</v>
      </c>
      <c r="D9" s="9">
        <f t="shared" si="0"/>
        <v>4</v>
      </c>
      <c r="E9" s="9">
        <f t="shared" si="0"/>
        <v>5</v>
      </c>
      <c r="F9" s="69">
        <f t="shared" si="0"/>
        <v>6</v>
      </c>
      <c r="G9" s="69">
        <f t="shared" si="0"/>
        <v>7</v>
      </c>
      <c r="H9" s="70">
        <f t="shared" si="0"/>
        <v>8</v>
      </c>
      <c r="I9" s="70">
        <f t="shared" si="0"/>
        <v>9</v>
      </c>
      <c r="J9" s="95">
        <f t="shared" si="0"/>
        <v>10</v>
      </c>
      <c r="K9" s="71">
        <f t="shared" si="0"/>
        <v>11</v>
      </c>
      <c r="L9" s="71">
        <f t="shared" si="0"/>
        <v>12</v>
      </c>
      <c r="M9" s="71">
        <f t="shared" si="0"/>
        <v>13</v>
      </c>
      <c r="N9" s="95">
        <f t="shared" si="0"/>
        <v>14</v>
      </c>
      <c r="O9" s="72">
        <f t="shared" si="0"/>
        <v>15</v>
      </c>
      <c r="P9" s="72">
        <f t="shared" si="0"/>
        <v>16</v>
      </c>
      <c r="Q9" s="72">
        <f t="shared" si="0"/>
        <v>17</v>
      </c>
    </row>
    <row r="10" spans="1:18" s="13" customFormat="1" ht="31.5" x14ac:dyDescent="0.25">
      <c r="A10" s="10"/>
      <c r="B10" s="62" t="s">
        <v>16</v>
      </c>
      <c r="C10" s="1" t="s">
        <v>304</v>
      </c>
      <c r="D10" s="120" t="s">
        <v>315</v>
      </c>
      <c r="E10" s="3" t="s">
        <v>18</v>
      </c>
      <c r="F10" s="73" t="s">
        <v>322</v>
      </c>
      <c r="G10" s="74" t="s">
        <v>112</v>
      </c>
      <c r="H10" s="75">
        <v>7</v>
      </c>
      <c r="I10" s="76">
        <v>3</v>
      </c>
      <c r="J10" s="98">
        <f>2+1</f>
        <v>3</v>
      </c>
      <c r="K10" s="77">
        <f>4792.51+1138.19</f>
        <v>5930.7000000000007</v>
      </c>
      <c r="L10" s="77"/>
      <c r="M10" s="78">
        <f>K10-L10</f>
        <v>5930.7000000000007</v>
      </c>
      <c r="N10" s="100">
        <f>2+5+1</f>
        <v>8</v>
      </c>
      <c r="O10" s="77">
        <f>9108.77</f>
        <v>9108.77</v>
      </c>
      <c r="P10" s="77">
        <f>4765.04</f>
        <v>4765.04</v>
      </c>
      <c r="Q10" s="79">
        <f>O10-P10</f>
        <v>4343.7300000000005</v>
      </c>
      <c r="R10" s="141"/>
    </row>
    <row r="11" spans="1:18" s="13" customFormat="1" ht="31.5" x14ac:dyDescent="0.25">
      <c r="A11" s="10"/>
      <c r="B11" s="22" t="s">
        <v>16</v>
      </c>
      <c r="C11" s="1" t="s">
        <v>304</v>
      </c>
      <c r="D11" s="120" t="s">
        <v>315</v>
      </c>
      <c r="E11" s="3" t="s">
        <v>18</v>
      </c>
      <c r="F11" s="73" t="s">
        <v>322</v>
      </c>
      <c r="G11" s="11" t="s">
        <v>116</v>
      </c>
      <c r="H11" s="1">
        <v>2</v>
      </c>
      <c r="I11" s="49"/>
      <c r="J11" s="46"/>
      <c r="K11" s="31"/>
      <c r="L11" s="31"/>
      <c r="M11" s="38">
        <f t="shared" ref="M11:M83" si="1">K11-L11</f>
        <v>0</v>
      </c>
      <c r="N11" s="41"/>
      <c r="O11" s="31">
        <v>2945</v>
      </c>
      <c r="P11" s="31">
        <v>2945</v>
      </c>
      <c r="Q11" s="12">
        <f t="shared" ref="Q11:Q78" si="2">O11-P11</f>
        <v>0</v>
      </c>
    </row>
    <row r="12" spans="1:18" s="13" customFormat="1" ht="15.75" x14ac:dyDescent="0.25">
      <c r="A12" s="10"/>
      <c r="B12" s="22" t="s">
        <v>490</v>
      </c>
      <c r="C12" s="1"/>
      <c r="D12" s="120"/>
      <c r="E12" s="3"/>
      <c r="F12" s="73"/>
      <c r="G12" s="11" t="s">
        <v>112</v>
      </c>
      <c r="H12" s="1">
        <v>5</v>
      </c>
      <c r="I12" s="49"/>
      <c r="J12" s="46"/>
      <c r="K12" s="31"/>
      <c r="L12" s="31"/>
      <c r="M12" s="38"/>
      <c r="N12" s="41"/>
      <c r="O12" s="31"/>
      <c r="P12" s="31"/>
      <c r="Q12" s="12"/>
    </row>
    <row r="13" spans="1:18" s="15" customFormat="1" ht="15.75" x14ac:dyDescent="0.25">
      <c r="A13" s="14"/>
      <c r="B13" s="80" t="s">
        <v>19</v>
      </c>
      <c r="C13" s="1" t="s">
        <v>17</v>
      </c>
      <c r="D13" s="120"/>
      <c r="E13" s="3" t="s">
        <v>20</v>
      </c>
      <c r="F13" s="73" t="s">
        <v>323</v>
      </c>
      <c r="G13" s="74" t="s">
        <v>112</v>
      </c>
      <c r="H13" s="75">
        <v>8</v>
      </c>
      <c r="I13" s="76">
        <v>5</v>
      </c>
      <c r="J13" s="96">
        <f>1+2+5</f>
        <v>8</v>
      </c>
      <c r="K13" s="77">
        <f>422.62+4792.51+8241.09</f>
        <v>13456.220000000001</v>
      </c>
      <c r="L13" s="77">
        <f>422.62</f>
        <v>422.62</v>
      </c>
      <c r="M13" s="78">
        <f t="shared" si="1"/>
        <v>13033.6</v>
      </c>
      <c r="N13" s="100">
        <f>8</f>
        <v>8</v>
      </c>
      <c r="O13" s="81">
        <v>6459.36</v>
      </c>
      <c r="P13" s="81">
        <f>5614.12+545.24</f>
        <v>6159.36</v>
      </c>
      <c r="Q13" s="79">
        <f t="shared" si="2"/>
        <v>300</v>
      </c>
      <c r="R13" s="141"/>
    </row>
    <row r="14" spans="1:18" s="15" customFormat="1" ht="15.75" x14ac:dyDescent="0.25">
      <c r="A14" s="14"/>
      <c r="B14" s="23" t="s">
        <v>19</v>
      </c>
      <c r="C14" s="1" t="s">
        <v>17</v>
      </c>
      <c r="D14" s="120"/>
      <c r="E14" s="3" t="s">
        <v>20</v>
      </c>
      <c r="F14" s="73" t="s">
        <v>451</v>
      </c>
      <c r="G14" s="11" t="s">
        <v>114</v>
      </c>
      <c r="H14" s="1">
        <v>4</v>
      </c>
      <c r="I14" s="49">
        <v>1</v>
      </c>
      <c r="J14" s="51">
        <v>1</v>
      </c>
      <c r="K14" s="40"/>
      <c r="L14" s="40"/>
      <c r="M14" s="38">
        <f t="shared" si="1"/>
        <v>0</v>
      </c>
      <c r="N14" s="42">
        <v>8</v>
      </c>
      <c r="O14" s="31">
        <v>3818</v>
      </c>
      <c r="P14" s="31">
        <v>3818</v>
      </c>
      <c r="Q14" s="12">
        <f t="shared" si="2"/>
        <v>0</v>
      </c>
    </row>
    <row r="15" spans="1:18" s="15" customFormat="1" ht="15.75" x14ac:dyDescent="0.25">
      <c r="A15" s="14"/>
      <c r="B15" s="62" t="s">
        <v>153</v>
      </c>
      <c r="C15" s="1" t="s">
        <v>17</v>
      </c>
      <c r="D15" s="120"/>
      <c r="E15" s="3" t="s">
        <v>20</v>
      </c>
      <c r="F15" s="73" t="s">
        <v>324</v>
      </c>
      <c r="G15" s="74" t="s">
        <v>112</v>
      </c>
      <c r="H15" s="75">
        <v>5</v>
      </c>
      <c r="I15" s="82">
        <v>2</v>
      </c>
      <c r="J15" s="96">
        <f>1+1+2</f>
        <v>4</v>
      </c>
      <c r="K15" s="77">
        <f>950.9+2451.87+3074.57</f>
        <v>6477.34</v>
      </c>
      <c r="L15" s="77">
        <v>950.9</v>
      </c>
      <c r="M15" s="78">
        <f t="shared" si="1"/>
        <v>5526.4400000000005</v>
      </c>
      <c r="N15" s="114">
        <f>1+2+1+2</f>
        <v>6</v>
      </c>
      <c r="O15" s="81">
        <f>422.62+945.61+2484.69+7964.81</f>
        <v>11817.73</v>
      </c>
      <c r="P15" s="81">
        <f>422.62</f>
        <v>422.62</v>
      </c>
      <c r="Q15" s="79">
        <f t="shared" si="2"/>
        <v>11395.109999999999</v>
      </c>
      <c r="R15" s="141"/>
    </row>
    <row r="16" spans="1:18" s="15" customFormat="1" ht="15.75" x14ac:dyDescent="0.25">
      <c r="A16" s="14"/>
      <c r="B16" s="50" t="s">
        <v>153</v>
      </c>
      <c r="C16" s="1" t="s">
        <v>17</v>
      </c>
      <c r="D16" s="120"/>
      <c r="E16" s="3" t="s">
        <v>20</v>
      </c>
      <c r="F16" s="73" t="s">
        <v>452</v>
      </c>
      <c r="G16" s="11" t="s">
        <v>114</v>
      </c>
      <c r="H16" s="1">
        <v>5</v>
      </c>
      <c r="I16" s="49">
        <v>1</v>
      </c>
      <c r="J16" s="51">
        <v>1</v>
      </c>
      <c r="K16" s="40"/>
      <c r="L16" s="40"/>
      <c r="M16" s="38">
        <f t="shared" si="1"/>
        <v>0</v>
      </c>
      <c r="N16" s="42">
        <v>7</v>
      </c>
      <c r="O16" s="31">
        <v>13319</v>
      </c>
      <c r="P16" s="31">
        <v>8516.5</v>
      </c>
      <c r="Q16" s="12">
        <f t="shared" si="2"/>
        <v>4802.5</v>
      </c>
    </row>
    <row r="17" spans="1:18" s="13" customFormat="1" ht="15.75" x14ac:dyDescent="0.25">
      <c r="A17" s="10"/>
      <c r="B17" s="30" t="s">
        <v>22</v>
      </c>
      <c r="C17" s="1" t="s">
        <v>17</v>
      </c>
      <c r="D17" s="120"/>
      <c r="E17" s="3" t="s">
        <v>23</v>
      </c>
      <c r="F17" s="73" t="s">
        <v>325</v>
      </c>
      <c r="G17" s="74" t="s">
        <v>112</v>
      </c>
      <c r="H17" s="75">
        <v>11</v>
      </c>
      <c r="I17" s="76">
        <v>3</v>
      </c>
      <c r="J17" s="96">
        <f>1+2</f>
        <v>3</v>
      </c>
      <c r="K17" s="77">
        <f>2698.64+1402.33</f>
        <v>4100.9699999999993</v>
      </c>
      <c r="L17" s="77"/>
      <c r="M17" s="78">
        <f t="shared" si="1"/>
        <v>4100.9699999999993</v>
      </c>
      <c r="N17" s="100">
        <f>14+3+7</f>
        <v>24</v>
      </c>
      <c r="O17" s="81">
        <f>22716.4+4171.06+18768.39</f>
        <v>45655.850000000006</v>
      </c>
      <c r="P17" s="81">
        <f>22717.4</f>
        <v>22717.4</v>
      </c>
      <c r="Q17" s="79">
        <f t="shared" si="2"/>
        <v>22938.450000000004</v>
      </c>
      <c r="R17" s="141"/>
    </row>
    <row r="18" spans="1:18" s="13" customFormat="1" ht="15.75" x14ac:dyDescent="0.25">
      <c r="A18" s="10"/>
      <c r="B18" s="24" t="s">
        <v>154</v>
      </c>
      <c r="C18" s="1" t="s">
        <v>17</v>
      </c>
      <c r="D18" s="120"/>
      <c r="E18" s="3" t="s">
        <v>20</v>
      </c>
      <c r="F18" s="73" t="s">
        <v>453</v>
      </c>
      <c r="G18" s="11" t="s">
        <v>114</v>
      </c>
      <c r="H18" s="1">
        <v>10</v>
      </c>
      <c r="I18" s="47"/>
      <c r="J18" s="51"/>
      <c r="K18" s="37"/>
      <c r="L18" s="37"/>
      <c r="M18" s="38">
        <f t="shared" si="1"/>
        <v>0</v>
      </c>
      <c r="N18" s="39">
        <v>6</v>
      </c>
      <c r="O18" s="31">
        <v>5603</v>
      </c>
      <c r="P18" s="31">
        <v>5603</v>
      </c>
      <c r="Q18" s="12">
        <f t="shared" si="2"/>
        <v>0</v>
      </c>
    </row>
    <row r="19" spans="1:18" s="13" customFormat="1" ht="15.75" x14ac:dyDescent="0.25">
      <c r="A19" s="10"/>
      <c r="B19" s="30" t="s">
        <v>154</v>
      </c>
      <c r="C19" s="1" t="s">
        <v>17</v>
      </c>
      <c r="D19" s="120"/>
      <c r="E19" s="3" t="s">
        <v>20</v>
      </c>
      <c r="F19" s="73" t="s">
        <v>326</v>
      </c>
      <c r="G19" s="74" t="s">
        <v>112</v>
      </c>
      <c r="H19" s="75">
        <v>11</v>
      </c>
      <c r="I19" s="76">
        <v>5</v>
      </c>
      <c r="J19" s="96">
        <f>1+1+2+2</f>
        <v>6</v>
      </c>
      <c r="K19" s="77">
        <f>950.9+864.46+845.24</f>
        <v>2660.6000000000004</v>
      </c>
      <c r="L19" s="77"/>
      <c r="M19" s="78">
        <f t="shared" si="1"/>
        <v>2660.6000000000004</v>
      </c>
      <c r="N19" s="100">
        <f>6+3+1+1</f>
        <v>11</v>
      </c>
      <c r="O19" s="128">
        <f>6681.33+7017+1523.5</f>
        <v>15221.83</v>
      </c>
      <c r="P19" s="81">
        <f>8477.51</f>
        <v>8477.51</v>
      </c>
      <c r="Q19" s="79">
        <f t="shared" si="2"/>
        <v>6744.32</v>
      </c>
      <c r="R19" s="141"/>
    </row>
    <row r="20" spans="1:18" s="13" customFormat="1" ht="15.75" x14ac:dyDescent="0.25">
      <c r="A20" s="10"/>
      <c r="B20" s="62" t="s">
        <v>24</v>
      </c>
      <c r="C20" s="1" t="s">
        <v>17</v>
      </c>
      <c r="D20" s="120"/>
      <c r="E20" s="3" t="s">
        <v>20</v>
      </c>
      <c r="F20" s="73" t="s">
        <v>327</v>
      </c>
      <c r="G20" s="74" t="s">
        <v>112</v>
      </c>
      <c r="H20" s="75">
        <v>4</v>
      </c>
      <c r="I20" s="76"/>
      <c r="J20" s="96"/>
      <c r="K20" s="77"/>
      <c r="L20" s="77"/>
      <c r="M20" s="38">
        <f t="shared" si="1"/>
        <v>0</v>
      </c>
      <c r="N20" s="100">
        <f>1</f>
        <v>1</v>
      </c>
      <c r="O20" s="81">
        <f>576.3</f>
        <v>576.29999999999995</v>
      </c>
      <c r="P20" s="81">
        <f>576.3</f>
        <v>576.29999999999995</v>
      </c>
      <c r="Q20" s="12">
        <f t="shared" si="2"/>
        <v>0</v>
      </c>
      <c r="R20" s="141"/>
    </row>
    <row r="21" spans="1:18" s="13" customFormat="1" ht="15.75" x14ac:dyDescent="0.25">
      <c r="A21" s="10"/>
      <c r="B21" s="22" t="s">
        <v>24</v>
      </c>
      <c r="C21" s="1" t="s">
        <v>17</v>
      </c>
      <c r="D21" s="120"/>
      <c r="E21" s="3" t="s">
        <v>20</v>
      </c>
      <c r="F21" s="73" t="s">
        <v>454</v>
      </c>
      <c r="G21" s="11" t="s">
        <v>114</v>
      </c>
      <c r="H21" s="1">
        <v>6</v>
      </c>
      <c r="I21" s="49"/>
      <c r="J21" s="51"/>
      <c r="K21" s="40"/>
      <c r="L21" s="40"/>
      <c r="M21" s="78">
        <f t="shared" si="1"/>
        <v>0</v>
      </c>
      <c r="N21" s="41">
        <v>7</v>
      </c>
      <c r="O21" s="31">
        <v>14635.6</v>
      </c>
      <c r="P21" s="31">
        <v>9413</v>
      </c>
      <c r="Q21" s="79">
        <f t="shared" si="2"/>
        <v>5222.6000000000004</v>
      </c>
    </row>
    <row r="22" spans="1:18" s="13" customFormat="1" ht="15.75" x14ac:dyDescent="0.25">
      <c r="A22" s="10"/>
      <c r="B22" s="62" t="s">
        <v>25</v>
      </c>
      <c r="C22" s="1" t="s">
        <v>17</v>
      </c>
      <c r="D22" s="120"/>
      <c r="E22" s="3" t="s">
        <v>20</v>
      </c>
      <c r="F22" s="73" t="s">
        <v>328</v>
      </c>
      <c r="G22" s="74" t="s">
        <v>112</v>
      </c>
      <c r="H22" s="75">
        <v>5</v>
      </c>
      <c r="I22" s="76">
        <v>1</v>
      </c>
      <c r="J22" s="96">
        <f>1</f>
        <v>1</v>
      </c>
      <c r="K22" s="77">
        <v>1743.31</v>
      </c>
      <c r="L22" s="77">
        <f>1743.31</f>
        <v>1743.31</v>
      </c>
      <c r="M22" s="38">
        <f t="shared" si="1"/>
        <v>0</v>
      </c>
      <c r="N22" s="100">
        <f>6</f>
        <v>6</v>
      </c>
      <c r="O22" s="81">
        <v>14526.7</v>
      </c>
      <c r="P22" s="81">
        <f>14526.7</f>
        <v>14526.7</v>
      </c>
      <c r="Q22" s="12">
        <f t="shared" si="2"/>
        <v>0</v>
      </c>
      <c r="R22" s="141"/>
    </row>
    <row r="23" spans="1:18" s="13" customFormat="1" ht="15.75" x14ac:dyDescent="0.25">
      <c r="A23" s="10"/>
      <c r="B23" s="22" t="s">
        <v>25</v>
      </c>
      <c r="C23" s="1" t="s">
        <v>17</v>
      </c>
      <c r="D23" s="120"/>
      <c r="E23" s="3" t="s">
        <v>20</v>
      </c>
      <c r="F23" s="73" t="s">
        <v>455</v>
      </c>
      <c r="G23" s="11" t="s">
        <v>114</v>
      </c>
      <c r="H23" s="1"/>
      <c r="I23" s="49"/>
      <c r="J23" s="51"/>
      <c r="K23" s="40"/>
      <c r="L23" s="40"/>
      <c r="M23" s="78">
        <f t="shared" si="1"/>
        <v>0</v>
      </c>
      <c r="N23" s="41">
        <v>2</v>
      </c>
      <c r="O23" s="31">
        <v>4146.2</v>
      </c>
      <c r="P23" s="31">
        <f>4146.2</f>
        <v>4146.2</v>
      </c>
      <c r="Q23" s="79">
        <f t="shared" si="2"/>
        <v>0</v>
      </c>
    </row>
    <row r="24" spans="1:18" s="13" customFormat="1" ht="15.75" x14ac:dyDescent="0.25">
      <c r="A24" s="10"/>
      <c r="B24" s="62" t="s">
        <v>26</v>
      </c>
      <c r="C24" s="1" t="s">
        <v>17</v>
      </c>
      <c r="D24" s="120"/>
      <c r="E24" s="3" t="s">
        <v>27</v>
      </c>
      <c r="F24" s="73" t="s">
        <v>329</v>
      </c>
      <c r="G24" s="74" t="s">
        <v>112</v>
      </c>
      <c r="H24" s="75">
        <v>11</v>
      </c>
      <c r="I24" s="76">
        <v>2</v>
      </c>
      <c r="J24" s="96">
        <f>2</f>
        <v>2</v>
      </c>
      <c r="K24" s="77">
        <f>845.24</f>
        <v>845.24</v>
      </c>
      <c r="L24" s="77"/>
      <c r="M24" s="38">
        <f t="shared" si="1"/>
        <v>845.24</v>
      </c>
      <c r="N24" s="100">
        <f>6+1+1</f>
        <v>8</v>
      </c>
      <c r="O24" s="81">
        <f>17838.53+2535.75+7238.9</f>
        <v>27613.18</v>
      </c>
      <c r="P24" s="81">
        <f>14149.86</f>
        <v>14149.86</v>
      </c>
      <c r="Q24" s="12">
        <f t="shared" si="2"/>
        <v>13463.32</v>
      </c>
      <c r="R24" s="141"/>
    </row>
    <row r="25" spans="1:18" s="15" customFormat="1" ht="15.75" x14ac:dyDescent="0.25">
      <c r="A25" s="14"/>
      <c r="B25" s="80" t="s">
        <v>28</v>
      </c>
      <c r="C25" s="1" t="s">
        <v>17</v>
      </c>
      <c r="D25" s="120"/>
      <c r="E25" s="17" t="s">
        <v>29</v>
      </c>
      <c r="F25" s="73" t="s">
        <v>330</v>
      </c>
      <c r="G25" s="74" t="s">
        <v>112</v>
      </c>
      <c r="H25" s="75">
        <v>4</v>
      </c>
      <c r="I25" s="76">
        <v>2</v>
      </c>
      <c r="J25" s="96">
        <f>2</f>
        <v>2</v>
      </c>
      <c r="K25" s="77">
        <f>6135.14</f>
        <v>6135.14</v>
      </c>
      <c r="L25" s="77"/>
      <c r="M25" s="38">
        <f t="shared" si="1"/>
        <v>6135.14</v>
      </c>
      <c r="N25" s="100">
        <f>3+2+4</f>
        <v>9</v>
      </c>
      <c r="O25" s="81">
        <f>5310.83+4630.52+14679.01</f>
        <v>24620.36</v>
      </c>
      <c r="P25" s="81">
        <f>5311.83</f>
        <v>5311.83</v>
      </c>
      <c r="Q25" s="12">
        <f t="shared" si="2"/>
        <v>19308.53</v>
      </c>
      <c r="R25" s="141"/>
    </row>
    <row r="26" spans="1:18" s="15" customFormat="1" ht="15.75" x14ac:dyDescent="0.25">
      <c r="A26" s="14"/>
      <c r="B26" s="23" t="s">
        <v>28</v>
      </c>
      <c r="C26" s="1" t="s">
        <v>17</v>
      </c>
      <c r="D26" s="120"/>
      <c r="E26" s="17" t="s">
        <v>29</v>
      </c>
      <c r="F26" s="73" t="s">
        <v>420</v>
      </c>
      <c r="G26" s="8" t="s">
        <v>117</v>
      </c>
      <c r="H26" s="1">
        <v>1</v>
      </c>
      <c r="I26" s="48"/>
      <c r="J26" s="45"/>
      <c r="K26" s="40"/>
      <c r="L26" s="40"/>
      <c r="M26" s="78">
        <f t="shared" si="1"/>
        <v>0</v>
      </c>
      <c r="N26" s="42">
        <v>1</v>
      </c>
      <c r="O26" s="31"/>
      <c r="P26" s="31"/>
      <c r="Q26" s="79">
        <f t="shared" si="2"/>
        <v>0</v>
      </c>
    </row>
    <row r="27" spans="1:18" s="13" customFormat="1" ht="15.75" x14ac:dyDescent="0.25">
      <c r="A27" s="10"/>
      <c r="B27" s="27" t="s">
        <v>30</v>
      </c>
      <c r="C27" s="1" t="s">
        <v>17</v>
      </c>
      <c r="D27" s="120"/>
      <c r="E27" s="17" t="s">
        <v>21</v>
      </c>
      <c r="F27" s="73" t="s">
        <v>333</v>
      </c>
      <c r="G27" s="74" t="s">
        <v>112</v>
      </c>
      <c r="H27" s="75">
        <v>11</v>
      </c>
      <c r="I27" s="76">
        <v>5</v>
      </c>
      <c r="J27" s="96">
        <f>3+1+3</f>
        <v>7</v>
      </c>
      <c r="K27" s="77">
        <f>2399.78+806.82+6240.86</f>
        <v>9447.4599999999991</v>
      </c>
      <c r="L27" s="77"/>
      <c r="M27" s="38">
        <f t="shared" si="1"/>
        <v>9447.4599999999991</v>
      </c>
      <c r="N27" s="100">
        <f>9+1+3+1</f>
        <v>14</v>
      </c>
      <c r="O27" s="81">
        <f>39871.99+5530.04+5890.35+1728.9</f>
        <v>53021.279999999999</v>
      </c>
      <c r="P27" s="81">
        <f>24771.16</f>
        <v>24771.16</v>
      </c>
      <c r="Q27" s="12">
        <f t="shared" si="2"/>
        <v>28250.12</v>
      </c>
      <c r="R27" s="141"/>
    </row>
    <row r="28" spans="1:18" s="13" customFormat="1" ht="15.75" x14ac:dyDescent="0.25">
      <c r="A28" s="10"/>
      <c r="B28" s="27" t="s">
        <v>491</v>
      </c>
      <c r="C28" s="1" t="s">
        <v>17</v>
      </c>
      <c r="D28" s="120"/>
      <c r="E28" s="3" t="s">
        <v>20</v>
      </c>
      <c r="F28" s="73" t="s">
        <v>495</v>
      </c>
      <c r="G28" s="74" t="s">
        <v>112</v>
      </c>
      <c r="H28" s="75">
        <v>5</v>
      </c>
      <c r="I28" s="76"/>
      <c r="J28" s="96"/>
      <c r="K28" s="77"/>
      <c r="L28" s="77"/>
      <c r="M28" s="38"/>
      <c r="N28" s="100"/>
      <c r="O28" s="81"/>
      <c r="P28" s="81"/>
      <c r="Q28" s="12"/>
      <c r="R28" s="141"/>
    </row>
    <row r="29" spans="1:18" s="13" customFormat="1" ht="15.75" x14ac:dyDescent="0.25">
      <c r="A29" s="10"/>
      <c r="B29" s="27" t="s">
        <v>491</v>
      </c>
      <c r="C29" s="1"/>
      <c r="D29" s="120"/>
      <c r="E29" s="3"/>
      <c r="F29" s="73"/>
      <c r="G29" s="74" t="s">
        <v>114</v>
      </c>
      <c r="H29" s="75">
        <v>3</v>
      </c>
      <c r="I29" s="76"/>
      <c r="J29" s="96"/>
      <c r="K29" s="77"/>
      <c r="L29" s="77"/>
      <c r="M29" s="38"/>
      <c r="N29" s="100"/>
      <c r="O29" s="81"/>
      <c r="P29" s="81"/>
      <c r="Q29" s="12"/>
      <c r="R29" s="141"/>
    </row>
    <row r="30" spans="1:18" s="13" customFormat="1" ht="15.75" x14ac:dyDescent="0.25">
      <c r="A30" s="10"/>
      <c r="B30" s="30" t="s">
        <v>31</v>
      </c>
      <c r="C30" s="1" t="s">
        <v>17</v>
      </c>
      <c r="D30" s="120"/>
      <c r="E30" s="3" t="s">
        <v>32</v>
      </c>
      <c r="F30" s="73" t="s">
        <v>331</v>
      </c>
      <c r="G30" s="74" t="s">
        <v>112</v>
      </c>
      <c r="H30" s="75">
        <v>9</v>
      </c>
      <c r="I30" s="76">
        <v>4</v>
      </c>
      <c r="J30" s="96">
        <f>1+2+3</f>
        <v>6</v>
      </c>
      <c r="K30" s="77">
        <f>633.93+1045.98+5377.62</f>
        <v>7057.53</v>
      </c>
      <c r="L30" s="77"/>
      <c r="M30" s="78">
        <f t="shared" si="1"/>
        <v>7057.53</v>
      </c>
      <c r="N30" s="100">
        <f>1+3+3+1+1</f>
        <v>9</v>
      </c>
      <c r="O30" s="81">
        <f>2299.8+15239.58+6152.75+2720.49+1483.38</f>
        <v>27896.000000000004</v>
      </c>
      <c r="P30" s="81">
        <f>2299.8</f>
        <v>2299.8000000000002</v>
      </c>
      <c r="Q30" s="79">
        <f t="shared" si="2"/>
        <v>25596.200000000004</v>
      </c>
      <c r="R30" s="141"/>
    </row>
    <row r="31" spans="1:18" s="13" customFormat="1" ht="15.75" x14ac:dyDescent="0.25">
      <c r="A31" s="10"/>
      <c r="B31" s="24" t="s">
        <v>31</v>
      </c>
      <c r="C31" s="1" t="s">
        <v>17</v>
      </c>
      <c r="D31" s="120"/>
      <c r="E31" s="3" t="s">
        <v>32</v>
      </c>
      <c r="F31" s="73" t="s">
        <v>422</v>
      </c>
      <c r="G31" s="8" t="s">
        <v>117</v>
      </c>
      <c r="H31" s="1">
        <v>9</v>
      </c>
      <c r="I31" s="49">
        <v>1</v>
      </c>
      <c r="J31" s="46">
        <v>1</v>
      </c>
      <c r="K31" s="40">
        <v>2344.3000000000002</v>
      </c>
      <c r="L31" s="40"/>
      <c r="M31" s="38">
        <f t="shared" si="1"/>
        <v>2344.3000000000002</v>
      </c>
      <c r="N31" s="41">
        <v>6</v>
      </c>
      <c r="O31" s="40">
        <v>12150.4</v>
      </c>
      <c r="P31" s="40">
        <v>5811.1</v>
      </c>
      <c r="Q31" s="12">
        <f t="shared" si="2"/>
        <v>6339.2999999999993</v>
      </c>
    </row>
    <row r="32" spans="1:18" s="15" customFormat="1" ht="15.75" x14ac:dyDescent="0.25">
      <c r="A32" s="14"/>
      <c r="B32" s="80" t="s">
        <v>33</v>
      </c>
      <c r="C32" s="1" t="s">
        <v>17</v>
      </c>
      <c r="D32" s="120"/>
      <c r="E32" s="145" t="s">
        <v>20</v>
      </c>
      <c r="F32" s="73" t="s">
        <v>332</v>
      </c>
      <c r="G32" s="74" t="s">
        <v>112</v>
      </c>
      <c r="H32" s="75">
        <v>6</v>
      </c>
      <c r="I32" s="76">
        <v>3</v>
      </c>
      <c r="J32" s="96">
        <f>1+1+1</f>
        <v>3</v>
      </c>
      <c r="K32" s="77">
        <f>845.245+5363.43</f>
        <v>6208.6750000000002</v>
      </c>
      <c r="L32" s="77"/>
      <c r="M32" s="78">
        <f t="shared" si="1"/>
        <v>6208.6750000000002</v>
      </c>
      <c r="N32" s="100">
        <f>2+1+1+1</f>
        <v>5</v>
      </c>
      <c r="O32" s="81">
        <f>845.24+1613.64+3380.96</f>
        <v>5839.84</v>
      </c>
      <c r="P32" s="81">
        <f>1613.64</f>
        <v>1613.64</v>
      </c>
      <c r="Q32" s="79">
        <f t="shared" si="2"/>
        <v>4226.2</v>
      </c>
      <c r="R32" s="141"/>
    </row>
    <row r="33" spans="1:18" s="15" customFormat="1" ht="15.75" x14ac:dyDescent="0.25">
      <c r="A33" s="14"/>
      <c r="B33" s="23" t="s">
        <v>33</v>
      </c>
      <c r="C33" s="1" t="s">
        <v>17</v>
      </c>
      <c r="D33" s="120"/>
      <c r="E33" s="3" t="s">
        <v>20</v>
      </c>
      <c r="F33" s="73" t="s">
        <v>481</v>
      </c>
      <c r="G33" s="11" t="s">
        <v>114</v>
      </c>
      <c r="H33" s="1">
        <v>3</v>
      </c>
      <c r="I33" s="49"/>
      <c r="J33" s="51"/>
      <c r="K33" s="40"/>
      <c r="L33" s="40"/>
      <c r="M33" s="38">
        <f t="shared" si="1"/>
        <v>0</v>
      </c>
      <c r="N33" s="42">
        <v>13</v>
      </c>
      <c r="O33" s="31">
        <v>13071.87</v>
      </c>
      <c r="P33" s="31">
        <v>13071.87</v>
      </c>
      <c r="Q33" s="12">
        <f t="shared" si="2"/>
        <v>0</v>
      </c>
    </row>
    <row r="34" spans="1:18" s="15" customFormat="1" ht="15.75" x14ac:dyDescent="0.25">
      <c r="A34" s="14"/>
      <c r="B34" s="62" t="s">
        <v>147</v>
      </c>
      <c r="C34" s="1" t="s">
        <v>17</v>
      </c>
      <c r="D34" s="120"/>
      <c r="E34" s="3" t="s">
        <v>29</v>
      </c>
      <c r="F34" s="73" t="s">
        <v>334</v>
      </c>
      <c r="G34" s="74" t="s">
        <v>112</v>
      </c>
      <c r="H34" s="75">
        <v>2</v>
      </c>
      <c r="I34" s="102">
        <v>1</v>
      </c>
      <c r="J34" s="97">
        <f>1</f>
        <v>1</v>
      </c>
      <c r="K34" s="77">
        <f>1854.88</f>
        <v>1854.88</v>
      </c>
      <c r="L34" s="77"/>
      <c r="M34" s="78">
        <f t="shared" si="1"/>
        <v>1854.88</v>
      </c>
      <c r="N34" s="114">
        <f>1+1</f>
        <v>2</v>
      </c>
      <c r="O34" s="81">
        <f>1394.65+2473.17</f>
        <v>3867.82</v>
      </c>
      <c r="P34" s="81">
        <f>1394.65</f>
        <v>1394.65</v>
      </c>
      <c r="Q34" s="79">
        <f t="shared" si="2"/>
        <v>2473.17</v>
      </c>
      <c r="R34" s="141"/>
    </row>
    <row r="35" spans="1:18" s="15" customFormat="1" ht="15.75" x14ac:dyDescent="0.25">
      <c r="A35" s="14"/>
      <c r="B35" s="50" t="s">
        <v>147</v>
      </c>
      <c r="C35" s="1" t="s">
        <v>17</v>
      </c>
      <c r="D35" s="120"/>
      <c r="E35" s="3" t="s">
        <v>29</v>
      </c>
      <c r="F35" s="73" t="s">
        <v>423</v>
      </c>
      <c r="G35" s="11" t="s">
        <v>117</v>
      </c>
      <c r="H35" s="1">
        <v>3</v>
      </c>
      <c r="I35" s="48">
        <v>3</v>
      </c>
      <c r="J35" s="45">
        <v>3</v>
      </c>
      <c r="K35" s="40"/>
      <c r="L35" s="40"/>
      <c r="M35" s="38">
        <f t="shared" si="1"/>
        <v>0</v>
      </c>
      <c r="N35" s="42">
        <v>3</v>
      </c>
      <c r="O35" s="31">
        <v>6874.35</v>
      </c>
      <c r="P35" s="31">
        <v>5570.9</v>
      </c>
      <c r="Q35" s="12">
        <f t="shared" si="2"/>
        <v>1303.4500000000007</v>
      </c>
    </row>
    <row r="36" spans="1:18" s="13" customFormat="1" ht="15.75" x14ac:dyDescent="0.25">
      <c r="A36" s="10"/>
      <c r="B36" s="62" t="s">
        <v>34</v>
      </c>
      <c r="C36" s="1" t="s">
        <v>17</v>
      </c>
      <c r="D36" s="120"/>
      <c r="E36" s="17" t="s">
        <v>35</v>
      </c>
      <c r="F36" s="73" t="s">
        <v>335</v>
      </c>
      <c r="G36" s="74" t="s">
        <v>112</v>
      </c>
      <c r="H36" s="75">
        <v>12</v>
      </c>
      <c r="I36" s="76">
        <v>7</v>
      </c>
      <c r="J36" s="96">
        <f>4+2+2</f>
        <v>8</v>
      </c>
      <c r="K36" s="77">
        <f>8288.4+1267.86+845.24</f>
        <v>10401.5</v>
      </c>
      <c r="L36" s="77"/>
      <c r="M36" s="78">
        <f t="shared" si="1"/>
        <v>10401.5</v>
      </c>
      <c r="N36" s="100">
        <f>4+4+6+1+3+1</f>
        <v>19</v>
      </c>
      <c r="O36" s="81">
        <f>23915.04+21171.88+6399.1+11460.81</f>
        <v>62946.829999999994</v>
      </c>
      <c r="P36" s="81">
        <f>28915.04</f>
        <v>28915.040000000001</v>
      </c>
      <c r="Q36" s="79">
        <f t="shared" si="2"/>
        <v>34031.789999999994</v>
      </c>
      <c r="R36" s="141"/>
    </row>
    <row r="37" spans="1:18" s="13" customFormat="1" ht="15.75" x14ac:dyDescent="0.25">
      <c r="A37" s="10"/>
      <c r="B37" s="22" t="s">
        <v>34</v>
      </c>
      <c r="C37" s="1" t="s">
        <v>17</v>
      </c>
      <c r="D37" s="120"/>
      <c r="E37" s="17" t="s">
        <v>35</v>
      </c>
      <c r="F37" s="73" t="s">
        <v>424</v>
      </c>
      <c r="G37" s="8" t="s">
        <v>117</v>
      </c>
      <c r="H37" s="1">
        <v>2</v>
      </c>
      <c r="I37" s="49">
        <v>1</v>
      </c>
      <c r="J37" s="46">
        <v>1</v>
      </c>
      <c r="K37" s="40"/>
      <c r="L37" s="40"/>
      <c r="M37" s="38">
        <f t="shared" si="1"/>
        <v>0</v>
      </c>
      <c r="N37" s="41">
        <v>3</v>
      </c>
      <c r="O37" s="31">
        <v>5570.9</v>
      </c>
      <c r="P37" s="31"/>
      <c r="Q37" s="12">
        <f t="shared" si="2"/>
        <v>5570.9</v>
      </c>
    </row>
    <row r="38" spans="1:18" s="13" customFormat="1" ht="15.75" x14ac:dyDescent="0.25">
      <c r="A38" s="10"/>
      <c r="B38" s="27" t="s">
        <v>36</v>
      </c>
      <c r="C38" s="1" t="s">
        <v>17</v>
      </c>
      <c r="D38" s="120"/>
      <c r="E38" s="17" t="s">
        <v>32</v>
      </c>
      <c r="F38" s="73" t="s">
        <v>336</v>
      </c>
      <c r="G38" s="74" t="s">
        <v>112</v>
      </c>
      <c r="H38" s="75">
        <v>11</v>
      </c>
      <c r="I38" s="76">
        <v>4</v>
      </c>
      <c r="J38" s="96">
        <f>1+3</f>
        <v>4</v>
      </c>
      <c r="K38" s="77">
        <f>2091.97+4201.22</f>
        <v>6293.1900000000005</v>
      </c>
      <c r="L38" s="77"/>
      <c r="M38" s="78">
        <f t="shared" si="1"/>
        <v>6293.1900000000005</v>
      </c>
      <c r="N38" s="100">
        <f>4+2+5+1</f>
        <v>12</v>
      </c>
      <c r="O38" s="81">
        <f>26828.22+3116.2+14162+4691</f>
        <v>48797.42</v>
      </c>
      <c r="P38" s="81">
        <f>8144.95</f>
        <v>8144.95</v>
      </c>
      <c r="Q38" s="79">
        <f t="shared" si="2"/>
        <v>40652.47</v>
      </c>
      <c r="R38" s="141"/>
    </row>
    <row r="39" spans="1:18" s="13" customFormat="1" ht="15.75" x14ac:dyDescent="0.25">
      <c r="A39" s="10"/>
      <c r="B39" s="27" t="s">
        <v>38</v>
      </c>
      <c r="C39" s="1" t="s">
        <v>17</v>
      </c>
      <c r="D39" s="120"/>
      <c r="E39" s="3" t="s">
        <v>20</v>
      </c>
      <c r="F39" s="73" t="s">
        <v>338</v>
      </c>
      <c r="G39" s="74" t="s">
        <v>112</v>
      </c>
      <c r="H39" s="75">
        <v>24</v>
      </c>
      <c r="I39" s="76">
        <v>11</v>
      </c>
      <c r="J39" s="96">
        <f>5+9</f>
        <v>14</v>
      </c>
      <c r="K39" s="77">
        <f>4427.07+14262.52</f>
        <v>18689.59</v>
      </c>
      <c r="L39" s="77"/>
      <c r="M39" s="78">
        <f t="shared" si="1"/>
        <v>18689.59</v>
      </c>
      <c r="N39" s="100">
        <f>1+14+2</f>
        <v>17</v>
      </c>
      <c r="O39" s="81">
        <f>34449.99+27363.78+23604.86</f>
        <v>85418.63</v>
      </c>
      <c r="P39" s="81">
        <f>34449.99</f>
        <v>34449.99</v>
      </c>
      <c r="Q39" s="79">
        <f t="shared" si="2"/>
        <v>50968.640000000007</v>
      </c>
      <c r="R39" s="141"/>
    </row>
    <row r="40" spans="1:18" s="13" customFormat="1" ht="15.75" x14ac:dyDescent="0.25">
      <c r="A40" s="10"/>
      <c r="B40" s="25" t="s">
        <v>38</v>
      </c>
      <c r="C40" s="1" t="s">
        <v>17</v>
      </c>
      <c r="D40" s="120"/>
      <c r="E40" s="3" t="s">
        <v>20</v>
      </c>
      <c r="F40" s="73" t="s">
        <v>268</v>
      </c>
      <c r="G40" s="11" t="s">
        <v>114</v>
      </c>
      <c r="H40" s="1"/>
      <c r="I40" s="49"/>
      <c r="J40" s="51"/>
      <c r="K40" s="40"/>
      <c r="L40" s="40"/>
      <c r="M40" s="38">
        <f t="shared" si="1"/>
        <v>0</v>
      </c>
      <c r="N40" s="41"/>
      <c r="O40" s="31"/>
      <c r="P40" s="31"/>
      <c r="Q40" s="12">
        <f t="shared" si="2"/>
        <v>0</v>
      </c>
    </row>
    <row r="41" spans="1:18" s="13" customFormat="1" ht="15.75" x14ac:dyDescent="0.25">
      <c r="A41" s="10"/>
      <c r="B41" s="25" t="s">
        <v>38</v>
      </c>
      <c r="C41" s="1" t="s">
        <v>17</v>
      </c>
      <c r="D41" s="120"/>
      <c r="E41" s="3" t="s">
        <v>18</v>
      </c>
      <c r="F41" s="73" t="s">
        <v>324</v>
      </c>
      <c r="G41" s="11" t="s">
        <v>116</v>
      </c>
      <c r="H41" s="1">
        <v>3</v>
      </c>
      <c r="I41" s="49"/>
      <c r="J41" s="51"/>
      <c r="K41" s="40"/>
      <c r="L41" s="40"/>
      <c r="M41" s="38">
        <f t="shared" si="1"/>
        <v>0</v>
      </c>
      <c r="N41" s="41"/>
      <c r="O41" s="31"/>
      <c r="P41" s="31"/>
      <c r="Q41" s="12">
        <f t="shared" si="2"/>
        <v>0</v>
      </c>
    </row>
    <row r="42" spans="1:18" s="13" customFormat="1" ht="15.75" x14ac:dyDescent="0.25">
      <c r="A42" s="10"/>
      <c r="B42" s="22" t="s">
        <v>39</v>
      </c>
      <c r="C42" s="1" t="s">
        <v>17</v>
      </c>
      <c r="D42" s="120"/>
      <c r="E42" s="3" t="s">
        <v>20</v>
      </c>
      <c r="F42" s="73" t="s">
        <v>269</v>
      </c>
      <c r="G42" s="11" t="s">
        <v>114</v>
      </c>
      <c r="H42" s="1"/>
      <c r="I42" s="49"/>
      <c r="J42" s="51"/>
      <c r="K42" s="40"/>
      <c r="L42" s="40"/>
      <c r="M42" s="38">
        <f t="shared" si="1"/>
        <v>0</v>
      </c>
      <c r="N42" s="41"/>
      <c r="O42" s="31"/>
      <c r="P42" s="31"/>
      <c r="Q42" s="12">
        <f t="shared" si="2"/>
        <v>0</v>
      </c>
    </row>
    <row r="43" spans="1:18" s="13" customFormat="1" ht="15.75" x14ac:dyDescent="0.25">
      <c r="A43" s="10"/>
      <c r="B43" s="27" t="s">
        <v>40</v>
      </c>
      <c r="C43" s="1" t="s">
        <v>17</v>
      </c>
      <c r="D43" s="120"/>
      <c r="E43" s="17" t="s">
        <v>41</v>
      </c>
      <c r="F43" s="73" t="s">
        <v>339</v>
      </c>
      <c r="G43" s="74" t="s">
        <v>112</v>
      </c>
      <c r="H43" s="75">
        <v>15</v>
      </c>
      <c r="I43" s="76">
        <v>5</v>
      </c>
      <c r="J43" s="96">
        <f>1+1+3</f>
        <v>5</v>
      </c>
      <c r="K43" s="77">
        <f>1045.98+3271.86</f>
        <v>4317.84</v>
      </c>
      <c r="L43" s="77"/>
      <c r="M43" s="78">
        <f t="shared" si="1"/>
        <v>4317.84</v>
      </c>
      <c r="N43" s="100">
        <f>3+13+6</f>
        <v>22</v>
      </c>
      <c r="O43" s="81">
        <f>17269.31+39990.78+16582.12</f>
        <v>73842.209999999992</v>
      </c>
      <c r="P43" s="81">
        <f>17269.31</f>
        <v>17269.310000000001</v>
      </c>
      <c r="Q43" s="79">
        <f t="shared" si="2"/>
        <v>56572.899999999994</v>
      </c>
      <c r="R43" s="141"/>
    </row>
    <row r="44" spans="1:18" s="13" customFormat="1" ht="15.75" x14ac:dyDescent="0.25">
      <c r="A44" s="10"/>
      <c r="B44" s="25" t="s">
        <v>40</v>
      </c>
      <c r="C44" s="1" t="s">
        <v>17</v>
      </c>
      <c r="D44" s="120"/>
      <c r="E44" s="17" t="s">
        <v>41</v>
      </c>
      <c r="F44" s="73" t="s">
        <v>482</v>
      </c>
      <c r="G44" s="11" t="s">
        <v>114</v>
      </c>
      <c r="H44" s="1"/>
      <c r="I44" s="49"/>
      <c r="J44" s="51"/>
      <c r="K44" s="40"/>
      <c r="L44" s="40"/>
      <c r="M44" s="38">
        <f t="shared" si="1"/>
        <v>0</v>
      </c>
      <c r="N44" s="41">
        <v>1</v>
      </c>
      <c r="O44" s="31">
        <v>3073.6</v>
      </c>
      <c r="P44" s="31">
        <f>3073.6</f>
        <v>3073.6</v>
      </c>
      <c r="Q44" s="12">
        <f t="shared" si="2"/>
        <v>0</v>
      </c>
    </row>
    <row r="45" spans="1:18" s="13" customFormat="1" ht="15.75" x14ac:dyDescent="0.25">
      <c r="A45" s="10"/>
      <c r="B45" s="27" t="s">
        <v>148</v>
      </c>
      <c r="C45" s="1" t="s">
        <v>17</v>
      </c>
      <c r="D45" s="120"/>
      <c r="E45" s="3" t="s">
        <v>20</v>
      </c>
      <c r="F45" s="73" t="s">
        <v>340</v>
      </c>
      <c r="G45" s="74" t="s">
        <v>112</v>
      </c>
      <c r="H45" s="75">
        <v>11</v>
      </c>
      <c r="I45" s="82">
        <v>2</v>
      </c>
      <c r="J45" s="96">
        <f>1+2</f>
        <v>3</v>
      </c>
      <c r="K45" s="77">
        <f>537.88+2110.03</f>
        <v>2647.9100000000003</v>
      </c>
      <c r="L45" s="77"/>
      <c r="M45" s="78">
        <f t="shared" si="1"/>
        <v>2647.9100000000003</v>
      </c>
      <c r="N45" s="100">
        <f>6+5+3+1</f>
        <v>15</v>
      </c>
      <c r="O45" s="81">
        <f>9370.6+9456.38+8868.69+5367.27</f>
        <v>33062.94</v>
      </c>
      <c r="P45" s="81">
        <f>9370.6</f>
        <v>9370.6</v>
      </c>
      <c r="Q45" s="79">
        <f t="shared" si="2"/>
        <v>23692.340000000004</v>
      </c>
      <c r="R45" s="141"/>
    </row>
    <row r="46" spans="1:18" s="13" customFormat="1" ht="15.75" x14ac:dyDescent="0.25">
      <c r="A46" s="10"/>
      <c r="B46" s="25" t="s">
        <v>148</v>
      </c>
      <c r="C46" s="1" t="s">
        <v>17</v>
      </c>
      <c r="D46" s="120"/>
      <c r="E46" s="17" t="s">
        <v>32</v>
      </c>
      <c r="F46" s="73" t="s">
        <v>425</v>
      </c>
      <c r="G46" s="11" t="s">
        <v>117</v>
      </c>
      <c r="H46" s="1">
        <v>5</v>
      </c>
      <c r="I46" s="49"/>
      <c r="J46" s="46"/>
      <c r="K46" s="40"/>
      <c r="L46" s="40"/>
      <c r="M46" s="38">
        <f t="shared" si="1"/>
        <v>0</v>
      </c>
      <c r="N46" s="41">
        <v>2</v>
      </c>
      <c r="O46" s="31">
        <v>7472.69</v>
      </c>
      <c r="P46" s="31"/>
      <c r="Q46" s="12">
        <f t="shared" si="2"/>
        <v>7472.69</v>
      </c>
    </row>
    <row r="47" spans="1:18" s="13" customFormat="1" ht="15.75" x14ac:dyDescent="0.25">
      <c r="A47" s="10"/>
      <c r="B47" s="30" t="s">
        <v>42</v>
      </c>
      <c r="C47" s="1" t="s">
        <v>17</v>
      </c>
      <c r="D47" s="120"/>
      <c r="E47" s="3" t="s">
        <v>23</v>
      </c>
      <c r="F47" s="73" t="s">
        <v>341</v>
      </c>
      <c r="G47" s="74" t="s">
        <v>112</v>
      </c>
      <c r="H47" s="75">
        <v>18</v>
      </c>
      <c r="I47" s="76">
        <v>7</v>
      </c>
      <c r="J47" s="96">
        <f>5+3</f>
        <v>8</v>
      </c>
      <c r="K47" s="77">
        <f>7156.22+3849.11</f>
        <v>11005.33</v>
      </c>
      <c r="L47" s="77"/>
      <c r="M47" s="78">
        <f t="shared" si="1"/>
        <v>11005.33</v>
      </c>
      <c r="N47" s="100">
        <f>4+6+9+2+4+2</f>
        <v>27</v>
      </c>
      <c r="O47" s="81">
        <f>5364.2+26170.88+2849.25+18965.6</f>
        <v>53349.93</v>
      </c>
      <c r="P47" s="81">
        <f>5364.2+20436.7</f>
        <v>25800.9</v>
      </c>
      <c r="Q47" s="79">
        <f t="shared" si="2"/>
        <v>27549.03</v>
      </c>
      <c r="R47" s="141"/>
    </row>
    <row r="48" spans="1:18" s="13" customFormat="1" ht="15.75" x14ac:dyDescent="0.25">
      <c r="A48" s="10"/>
      <c r="B48" s="24" t="s">
        <v>42</v>
      </c>
      <c r="C48" s="1" t="s">
        <v>17</v>
      </c>
      <c r="D48" s="120"/>
      <c r="E48" s="3" t="s">
        <v>23</v>
      </c>
      <c r="F48" s="73" t="s">
        <v>437</v>
      </c>
      <c r="G48" s="11" t="s">
        <v>118</v>
      </c>
      <c r="H48" s="1">
        <v>2</v>
      </c>
      <c r="I48" s="49"/>
      <c r="J48" s="46"/>
      <c r="K48" s="40"/>
      <c r="L48" s="40"/>
      <c r="M48" s="38">
        <f t="shared" si="1"/>
        <v>0</v>
      </c>
      <c r="N48" s="41">
        <v>1</v>
      </c>
      <c r="O48" s="31">
        <v>4226.2</v>
      </c>
      <c r="P48" s="31">
        <v>4226.2</v>
      </c>
      <c r="Q48" s="12">
        <f t="shared" si="2"/>
        <v>0</v>
      </c>
    </row>
    <row r="49" spans="1:18" s="13" customFormat="1" ht="15.75" x14ac:dyDescent="0.25">
      <c r="A49" s="10"/>
      <c r="B49" s="30" t="s">
        <v>173</v>
      </c>
      <c r="C49" s="1" t="s">
        <v>17</v>
      </c>
      <c r="D49" s="120"/>
      <c r="E49" s="11" t="s">
        <v>118</v>
      </c>
      <c r="F49" s="73" t="s">
        <v>342</v>
      </c>
      <c r="G49" s="74" t="s">
        <v>112</v>
      </c>
      <c r="H49" s="75">
        <v>4</v>
      </c>
      <c r="I49" s="76">
        <v>4</v>
      </c>
      <c r="J49" s="96">
        <f>1+2+1</f>
        <v>4</v>
      </c>
      <c r="K49" s="77">
        <f>6833.76+696.36</f>
        <v>7530.12</v>
      </c>
      <c r="L49" s="77"/>
      <c r="M49" s="78">
        <f t="shared" si="1"/>
        <v>7530.12</v>
      </c>
      <c r="N49" s="100">
        <f>4+2</f>
        <v>6</v>
      </c>
      <c r="O49" s="81">
        <f>5931.9+4183.92+3158.95</f>
        <v>13274.77</v>
      </c>
      <c r="P49" s="81">
        <f>5931.9</f>
        <v>5931.9</v>
      </c>
      <c r="Q49" s="79">
        <f t="shared" si="2"/>
        <v>7342.8700000000008</v>
      </c>
      <c r="R49" s="141"/>
    </row>
    <row r="50" spans="1:18" s="13" customFormat="1" ht="15.75" x14ac:dyDescent="0.25">
      <c r="A50" s="10"/>
      <c r="B50" s="22" t="s">
        <v>143</v>
      </c>
      <c r="C50" s="1" t="s">
        <v>64</v>
      </c>
      <c r="D50" s="120" t="s">
        <v>444</v>
      </c>
      <c r="E50" s="3" t="s">
        <v>20</v>
      </c>
      <c r="F50" s="73" t="s">
        <v>445</v>
      </c>
      <c r="G50" s="11" t="s">
        <v>114</v>
      </c>
      <c r="H50" s="1">
        <v>9</v>
      </c>
      <c r="I50" s="47"/>
      <c r="J50" s="51"/>
      <c r="K50" s="37"/>
      <c r="L50" s="37"/>
      <c r="M50" s="78">
        <f t="shared" si="1"/>
        <v>0</v>
      </c>
      <c r="N50" s="39">
        <v>15</v>
      </c>
      <c r="O50" s="31">
        <v>13367.1</v>
      </c>
      <c r="P50" s="31">
        <v>12078.4</v>
      </c>
      <c r="Q50" s="79">
        <f t="shared" si="2"/>
        <v>1288.7000000000007</v>
      </c>
    </row>
    <row r="51" spans="1:18" s="13" customFormat="1" ht="15.75" x14ac:dyDescent="0.25">
      <c r="A51" s="10"/>
      <c r="B51" s="24" t="s">
        <v>158</v>
      </c>
      <c r="C51" s="1" t="s">
        <v>17</v>
      </c>
      <c r="D51" s="120"/>
      <c r="E51" s="17" t="s">
        <v>32</v>
      </c>
      <c r="F51" s="73" t="s">
        <v>426</v>
      </c>
      <c r="G51" s="11" t="s">
        <v>117</v>
      </c>
      <c r="H51" s="1">
        <v>6</v>
      </c>
      <c r="I51" s="47">
        <v>2</v>
      </c>
      <c r="J51" s="51">
        <v>2</v>
      </c>
      <c r="K51" s="37"/>
      <c r="L51" s="37"/>
      <c r="M51" s="38">
        <f t="shared" si="1"/>
        <v>0</v>
      </c>
      <c r="N51" s="39">
        <v>4</v>
      </c>
      <c r="O51" s="31">
        <v>9789.2000000000007</v>
      </c>
      <c r="P51" s="31"/>
      <c r="Q51" s="12">
        <f t="shared" si="2"/>
        <v>9789.2000000000007</v>
      </c>
    </row>
    <row r="52" spans="1:18" s="15" customFormat="1" ht="15.75" x14ac:dyDescent="0.25">
      <c r="A52" s="14"/>
      <c r="B52" s="80" t="s">
        <v>43</v>
      </c>
      <c r="C52" s="1" t="s">
        <v>17</v>
      </c>
      <c r="D52" s="120"/>
      <c r="E52" s="3" t="s">
        <v>18</v>
      </c>
      <c r="F52" s="73" t="s">
        <v>344</v>
      </c>
      <c r="G52" s="74" t="s">
        <v>112</v>
      </c>
      <c r="H52" s="75">
        <v>16</v>
      </c>
      <c r="I52" s="76">
        <v>6</v>
      </c>
      <c r="J52" s="96">
        <f>1+2+2</f>
        <v>5</v>
      </c>
      <c r="K52" s="77">
        <f>1776.93</f>
        <v>1776.93</v>
      </c>
      <c r="L52" s="77"/>
      <c r="M52" s="78">
        <f t="shared" si="1"/>
        <v>1776.93</v>
      </c>
      <c r="N52" s="100">
        <f>1+5+4+1</f>
        <v>11</v>
      </c>
      <c r="O52" s="81">
        <f>1223.8+3810.29+4959.02+10043.87</f>
        <v>20036.980000000003</v>
      </c>
      <c r="P52" s="81">
        <f>1223.8+3810.29</f>
        <v>5034.09</v>
      </c>
      <c r="Q52" s="79">
        <f t="shared" si="2"/>
        <v>15002.890000000003</v>
      </c>
      <c r="R52" s="141"/>
    </row>
    <row r="53" spans="1:18" s="15" customFormat="1" ht="31.5" x14ac:dyDescent="0.25">
      <c r="A53" s="14"/>
      <c r="B53" s="22" t="s">
        <v>43</v>
      </c>
      <c r="C53" s="1" t="s">
        <v>304</v>
      </c>
      <c r="D53" s="120" t="s">
        <v>473</v>
      </c>
      <c r="E53" s="3" t="s">
        <v>18</v>
      </c>
      <c r="F53" s="73" t="s">
        <v>323</v>
      </c>
      <c r="G53" s="11" t="s">
        <v>113</v>
      </c>
      <c r="H53" s="1">
        <v>11</v>
      </c>
      <c r="I53" s="126">
        <v>5</v>
      </c>
      <c r="J53" s="125">
        <v>5</v>
      </c>
      <c r="K53" s="40">
        <v>5071</v>
      </c>
      <c r="L53" s="40"/>
      <c r="M53" s="38">
        <f t="shared" si="1"/>
        <v>5071</v>
      </c>
      <c r="N53" s="39">
        <v>11</v>
      </c>
      <c r="O53" s="31">
        <v>19004</v>
      </c>
      <c r="P53" s="31">
        <v>4999</v>
      </c>
      <c r="Q53" s="12">
        <f t="shared" si="2"/>
        <v>14005</v>
      </c>
    </row>
    <row r="54" spans="1:18" s="13" customFormat="1" ht="15.75" x14ac:dyDescent="0.25">
      <c r="A54" s="10"/>
      <c r="B54" s="30" t="s">
        <v>44</v>
      </c>
      <c r="C54" s="1" t="s">
        <v>17</v>
      </c>
      <c r="D54" s="120"/>
      <c r="E54" s="3" t="s">
        <v>20</v>
      </c>
      <c r="F54" s="73" t="s">
        <v>345</v>
      </c>
      <c r="G54" s="74" t="s">
        <v>112</v>
      </c>
      <c r="H54" s="75">
        <v>6</v>
      </c>
      <c r="I54" s="76">
        <v>6</v>
      </c>
      <c r="J54" s="96">
        <f>1+1+1+4</f>
        <v>7</v>
      </c>
      <c r="K54" s="77">
        <f>2422.38+1267.86+15410.58</f>
        <v>19100.82</v>
      </c>
      <c r="L54" s="77">
        <f>422.62</f>
        <v>422.62</v>
      </c>
      <c r="M54" s="78">
        <f t="shared" si="1"/>
        <v>18678.2</v>
      </c>
      <c r="N54" s="100">
        <f>1+11</f>
        <v>12</v>
      </c>
      <c r="O54" s="81">
        <f>421.62+4603.39+10559.77+72902.04</f>
        <v>88486.819999999992</v>
      </c>
      <c r="P54" s="81"/>
      <c r="Q54" s="79">
        <f t="shared" si="2"/>
        <v>88486.819999999992</v>
      </c>
      <c r="R54" s="141"/>
    </row>
    <row r="55" spans="1:18" s="13" customFormat="1" ht="15.75" x14ac:dyDescent="0.25">
      <c r="A55" s="10"/>
      <c r="B55" s="24" t="s">
        <v>44</v>
      </c>
      <c r="C55" s="1" t="s">
        <v>17</v>
      </c>
      <c r="D55" s="120"/>
      <c r="E55" s="3" t="s">
        <v>20</v>
      </c>
      <c r="F55" s="73" t="s">
        <v>483</v>
      </c>
      <c r="G55" s="11" t="s">
        <v>114</v>
      </c>
      <c r="H55" s="1"/>
      <c r="I55" s="49"/>
      <c r="J55" s="51"/>
      <c r="K55" s="40"/>
      <c r="L55" s="40"/>
      <c r="M55" s="78">
        <f t="shared" si="1"/>
        <v>0</v>
      </c>
      <c r="N55" s="41">
        <v>2</v>
      </c>
      <c r="O55" s="31"/>
      <c r="P55" s="31"/>
      <c r="Q55" s="12">
        <f t="shared" si="2"/>
        <v>0</v>
      </c>
    </row>
    <row r="56" spans="1:18" s="13" customFormat="1" ht="15.75" x14ac:dyDescent="0.25">
      <c r="A56" s="10"/>
      <c r="B56" s="24" t="s">
        <v>492</v>
      </c>
      <c r="C56" s="1" t="s">
        <v>17</v>
      </c>
      <c r="D56" s="120"/>
      <c r="E56" s="3" t="s">
        <v>20</v>
      </c>
      <c r="F56" s="73" t="s">
        <v>499</v>
      </c>
      <c r="G56" s="11" t="s">
        <v>112</v>
      </c>
      <c r="H56" s="1">
        <v>4</v>
      </c>
      <c r="I56" s="49"/>
      <c r="J56" s="51"/>
      <c r="K56" s="40"/>
      <c r="L56" s="40"/>
      <c r="M56" s="78"/>
      <c r="N56" s="41"/>
      <c r="O56" s="31"/>
      <c r="P56" s="31"/>
      <c r="Q56" s="12"/>
    </row>
    <row r="57" spans="1:18" s="13" customFormat="1" ht="15.75" x14ac:dyDescent="0.25">
      <c r="A57" s="10"/>
      <c r="B57" s="27" t="s">
        <v>45</v>
      </c>
      <c r="C57" s="1" t="s">
        <v>17</v>
      </c>
      <c r="D57" s="120"/>
      <c r="E57" s="3" t="s">
        <v>20</v>
      </c>
      <c r="F57" s="73" t="s">
        <v>346</v>
      </c>
      <c r="G57" s="74" t="s">
        <v>112</v>
      </c>
      <c r="H57" s="75"/>
      <c r="I57" s="76"/>
      <c r="J57" s="96"/>
      <c r="K57" s="77"/>
      <c r="L57" s="77"/>
      <c r="M57" s="38">
        <f t="shared" si="1"/>
        <v>0</v>
      </c>
      <c r="N57" s="100">
        <f>1</f>
        <v>1</v>
      </c>
      <c r="O57" s="81">
        <f>17995.91+2729.8</f>
        <v>20725.71</v>
      </c>
      <c r="P57" s="81"/>
      <c r="Q57" s="79">
        <f t="shared" si="2"/>
        <v>20725.71</v>
      </c>
      <c r="R57" s="141"/>
    </row>
    <row r="58" spans="1:18" s="13" customFormat="1" ht="15.75" x14ac:dyDescent="0.25">
      <c r="A58" s="10"/>
      <c r="B58" s="25" t="s">
        <v>45</v>
      </c>
      <c r="C58" s="1" t="s">
        <v>17</v>
      </c>
      <c r="D58" s="120"/>
      <c r="E58" s="3" t="s">
        <v>20</v>
      </c>
      <c r="F58" s="73" t="s">
        <v>484</v>
      </c>
      <c r="G58" s="11" t="s">
        <v>114</v>
      </c>
      <c r="H58" s="1"/>
      <c r="I58" s="49"/>
      <c r="J58" s="51"/>
      <c r="K58" s="40"/>
      <c r="L58" s="40"/>
      <c r="M58" s="78">
        <f t="shared" si="1"/>
        <v>0</v>
      </c>
      <c r="N58" s="41"/>
      <c r="O58" s="31"/>
      <c r="P58" s="31"/>
      <c r="Q58" s="12">
        <f t="shared" si="2"/>
        <v>0</v>
      </c>
    </row>
    <row r="59" spans="1:18" s="15" customFormat="1" ht="15.75" x14ac:dyDescent="0.25">
      <c r="A59" s="14"/>
      <c r="B59" s="28" t="s">
        <v>46</v>
      </c>
      <c r="C59" s="1" t="s">
        <v>17</v>
      </c>
      <c r="D59" s="120"/>
      <c r="E59" s="3" t="s">
        <v>20</v>
      </c>
      <c r="F59" s="73" t="s">
        <v>347</v>
      </c>
      <c r="G59" s="74" t="s">
        <v>112</v>
      </c>
      <c r="H59" s="75">
        <v>7</v>
      </c>
      <c r="I59" s="76">
        <v>4</v>
      </c>
      <c r="J59" s="96">
        <f>1+2+3</f>
        <v>6</v>
      </c>
      <c r="K59" s="77">
        <f>1045.98+1068.08</f>
        <v>2114.06</v>
      </c>
      <c r="L59" s="77"/>
      <c r="M59" s="38">
        <f t="shared" si="1"/>
        <v>2114.06</v>
      </c>
      <c r="N59" s="100">
        <f>4+4+1</f>
        <v>9</v>
      </c>
      <c r="O59" s="81">
        <f>10759.2+10685.34</f>
        <v>21444.54</v>
      </c>
      <c r="P59" s="81"/>
      <c r="Q59" s="79">
        <f t="shared" si="2"/>
        <v>21444.54</v>
      </c>
      <c r="R59" s="141"/>
    </row>
    <row r="60" spans="1:18" s="15" customFormat="1" ht="15.75" x14ac:dyDescent="0.25">
      <c r="A60" s="14"/>
      <c r="B60" s="26" t="s">
        <v>46</v>
      </c>
      <c r="C60" s="1" t="s">
        <v>17</v>
      </c>
      <c r="D60" s="120"/>
      <c r="E60" s="3" t="s">
        <v>20</v>
      </c>
      <c r="F60" s="73" t="s">
        <v>273</v>
      </c>
      <c r="G60" s="11" t="s">
        <v>114</v>
      </c>
      <c r="H60" s="1">
        <v>1</v>
      </c>
      <c r="I60" s="49"/>
      <c r="J60" s="51"/>
      <c r="K60" s="40"/>
      <c r="L60" s="40"/>
      <c r="M60" s="78">
        <f t="shared" si="1"/>
        <v>0</v>
      </c>
      <c r="N60" s="42">
        <v>2</v>
      </c>
      <c r="O60" s="31">
        <v>8068.2</v>
      </c>
      <c r="P60" s="31">
        <f>4034.1</f>
        <v>4034.1</v>
      </c>
      <c r="Q60" s="12">
        <f t="shared" si="2"/>
        <v>4034.1</v>
      </c>
    </row>
    <row r="61" spans="1:18" s="13" customFormat="1" ht="47.25" x14ac:dyDescent="0.25">
      <c r="A61" s="10"/>
      <c r="B61" s="30" t="s">
        <v>47</v>
      </c>
      <c r="C61" s="1" t="s">
        <v>304</v>
      </c>
      <c r="D61" s="120" t="s">
        <v>474</v>
      </c>
      <c r="E61" s="3" t="s">
        <v>18</v>
      </c>
      <c r="F61" s="73" t="s">
        <v>348</v>
      </c>
      <c r="G61" s="74" t="s">
        <v>112</v>
      </c>
      <c r="H61" s="75">
        <v>23</v>
      </c>
      <c r="I61" s="76">
        <v>6</v>
      </c>
      <c r="J61" s="98">
        <f>1+1+3+2</f>
        <v>7</v>
      </c>
      <c r="K61" s="154">
        <f>1129.78+866.14+4090.7</f>
        <v>6086.62</v>
      </c>
      <c r="L61" s="77"/>
      <c r="M61" s="38">
        <f t="shared" si="1"/>
        <v>6086.62</v>
      </c>
      <c r="N61" s="100">
        <f>7+3+4+10+6+1+2</f>
        <v>33</v>
      </c>
      <c r="O61" s="81">
        <f>8477.51+15159.83+14079.46+15414.2+17995.91+2065.56</f>
        <v>73192.47</v>
      </c>
      <c r="P61" s="81">
        <f>8477.51</f>
        <v>8477.51</v>
      </c>
      <c r="Q61" s="79">
        <f t="shared" si="2"/>
        <v>64714.96</v>
      </c>
      <c r="R61" s="141"/>
    </row>
    <row r="62" spans="1:18" s="13" customFormat="1" ht="47.25" x14ac:dyDescent="0.25">
      <c r="A62" s="10"/>
      <c r="B62" s="22" t="s">
        <v>120</v>
      </c>
      <c r="C62" s="1" t="s">
        <v>304</v>
      </c>
      <c r="D62" s="120" t="s">
        <v>474</v>
      </c>
      <c r="E62" s="3" t="s">
        <v>18</v>
      </c>
      <c r="F62" s="73" t="s">
        <v>334</v>
      </c>
      <c r="G62" s="11" t="s">
        <v>116</v>
      </c>
      <c r="H62" s="1">
        <v>16</v>
      </c>
      <c r="I62" s="53">
        <v>4</v>
      </c>
      <c r="J62" s="127">
        <v>4</v>
      </c>
      <c r="K62" s="40">
        <v>4323</v>
      </c>
      <c r="L62" s="40"/>
      <c r="M62" s="78">
        <f t="shared" si="1"/>
        <v>4323</v>
      </c>
      <c r="N62" s="41">
        <v>7</v>
      </c>
      <c r="O62" s="31">
        <v>30280</v>
      </c>
      <c r="P62" s="31">
        <v>25605</v>
      </c>
      <c r="Q62" s="12">
        <f t="shared" si="2"/>
        <v>4675</v>
      </c>
    </row>
    <row r="63" spans="1:18" s="13" customFormat="1" ht="15.75" x14ac:dyDescent="0.25">
      <c r="A63" s="10"/>
      <c r="B63" s="30" t="s">
        <v>134</v>
      </c>
      <c r="C63" s="1" t="s">
        <v>17</v>
      </c>
      <c r="D63" s="120"/>
      <c r="E63" s="3" t="s">
        <v>20</v>
      </c>
      <c r="F63" s="73" t="s">
        <v>349</v>
      </c>
      <c r="G63" s="74" t="s">
        <v>112</v>
      </c>
      <c r="H63" s="75">
        <v>8</v>
      </c>
      <c r="I63" s="76">
        <v>7</v>
      </c>
      <c r="J63" s="96">
        <f>1+4+1</f>
        <v>6</v>
      </c>
      <c r="K63" s="77">
        <f>7301.48+1473.89+1911.09+1690.48</f>
        <v>12376.939999999999</v>
      </c>
      <c r="L63" s="77"/>
      <c r="M63" s="38">
        <f t="shared" si="1"/>
        <v>12376.939999999999</v>
      </c>
      <c r="N63" s="100">
        <f>4+1</f>
        <v>5</v>
      </c>
      <c r="O63" s="81">
        <f>5020.05+3215.31+12312.39+4648.82+32425.98</f>
        <v>57622.55</v>
      </c>
      <c r="P63" s="81"/>
      <c r="Q63" s="79">
        <f t="shared" si="2"/>
        <v>57622.55</v>
      </c>
      <c r="R63" s="141"/>
    </row>
    <row r="64" spans="1:18" s="13" customFormat="1" ht="15.75" x14ac:dyDescent="0.25">
      <c r="A64" s="10"/>
      <c r="B64" s="24" t="s">
        <v>134</v>
      </c>
      <c r="C64" s="1" t="s">
        <v>17</v>
      </c>
      <c r="D64" s="120"/>
      <c r="E64" s="3" t="s">
        <v>20</v>
      </c>
      <c r="F64" s="73" t="s">
        <v>456</v>
      </c>
      <c r="G64" s="11" t="s">
        <v>114</v>
      </c>
      <c r="H64" s="1">
        <v>12</v>
      </c>
      <c r="I64" s="49">
        <v>2</v>
      </c>
      <c r="J64" s="51">
        <v>2</v>
      </c>
      <c r="K64" s="40"/>
      <c r="L64" s="40"/>
      <c r="M64" s="78">
        <f t="shared" si="1"/>
        <v>0</v>
      </c>
      <c r="N64" s="41">
        <v>22</v>
      </c>
      <c r="O64" s="31">
        <v>16425.57</v>
      </c>
      <c r="P64" s="31">
        <v>16425.57</v>
      </c>
      <c r="Q64" s="12">
        <f t="shared" si="2"/>
        <v>0</v>
      </c>
    </row>
    <row r="65" spans="1:18" s="13" customFormat="1" ht="15.75" x14ac:dyDescent="0.25">
      <c r="A65" s="10"/>
      <c r="B65" s="62" t="s">
        <v>48</v>
      </c>
      <c r="C65" s="1" t="s">
        <v>17</v>
      </c>
      <c r="D65" s="120"/>
      <c r="E65" s="3" t="s">
        <v>20</v>
      </c>
      <c r="F65" s="73" t="s">
        <v>350</v>
      </c>
      <c r="G65" s="74" t="s">
        <v>112</v>
      </c>
      <c r="H65" s="75">
        <v>9</v>
      </c>
      <c r="I65" s="76">
        <v>4</v>
      </c>
      <c r="J65" s="96">
        <f>1</f>
        <v>1</v>
      </c>
      <c r="K65" s="77">
        <f>4805.96+2585.78</f>
        <v>7391.74</v>
      </c>
      <c r="L65" s="77"/>
      <c r="M65" s="38">
        <f t="shared" si="1"/>
        <v>7391.74</v>
      </c>
      <c r="N65" s="100">
        <f>2+1</f>
        <v>3</v>
      </c>
      <c r="O65" s="81">
        <f>23174.33+2535.72+11633.02+6993.42</f>
        <v>44336.490000000005</v>
      </c>
      <c r="P65" s="81">
        <f>22598.03</f>
        <v>22598.03</v>
      </c>
      <c r="Q65" s="79">
        <f t="shared" si="2"/>
        <v>21738.460000000006</v>
      </c>
      <c r="R65" s="141"/>
    </row>
    <row r="66" spans="1:18" s="13" customFormat="1" ht="15.75" x14ac:dyDescent="0.25">
      <c r="A66" s="10"/>
      <c r="B66" s="62" t="s">
        <v>49</v>
      </c>
      <c r="C66" s="1" t="s">
        <v>17</v>
      </c>
      <c r="D66" s="120"/>
      <c r="E66" s="3" t="s">
        <v>50</v>
      </c>
      <c r="F66" s="73" t="s">
        <v>351</v>
      </c>
      <c r="G66" s="74" t="s">
        <v>112</v>
      </c>
      <c r="H66" s="75">
        <v>13</v>
      </c>
      <c r="I66" s="76">
        <v>2</v>
      </c>
      <c r="J66" s="96">
        <f>1</f>
        <v>1</v>
      </c>
      <c r="K66" s="77">
        <f>525.65+1267.86</f>
        <v>1793.5099999999998</v>
      </c>
      <c r="L66" s="77"/>
      <c r="M66" s="78">
        <f t="shared" si="1"/>
        <v>1793.5099999999998</v>
      </c>
      <c r="N66" s="100">
        <f>5+1+3</f>
        <v>9</v>
      </c>
      <c r="O66" s="81">
        <f>7374+1806.93+7275.53+4666.9+2684.03</f>
        <v>23807.39</v>
      </c>
      <c r="P66" s="81">
        <f>7374</f>
        <v>7374</v>
      </c>
      <c r="Q66" s="12">
        <f t="shared" si="2"/>
        <v>16433.39</v>
      </c>
      <c r="R66" s="141"/>
    </row>
    <row r="67" spans="1:18" s="13" customFormat="1" ht="15.75" x14ac:dyDescent="0.25">
      <c r="A67" s="10"/>
      <c r="B67" s="22" t="s">
        <v>49</v>
      </c>
      <c r="C67" s="1" t="s">
        <v>17</v>
      </c>
      <c r="D67" s="120"/>
      <c r="E67" s="3" t="s">
        <v>50</v>
      </c>
      <c r="F67" s="73" t="s">
        <v>427</v>
      </c>
      <c r="G67" s="11" t="s">
        <v>115</v>
      </c>
      <c r="H67" s="1">
        <v>6</v>
      </c>
      <c r="I67" s="49">
        <v>1</v>
      </c>
      <c r="J67" s="46">
        <v>1</v>
      </c>
      <c r="K67" s="40"/>
      <c r="L67" s="40"/>
      <c r="M67" s="38">
        <f t="shared" si="1"/>
        <v>0</v>
      </c>
      <c r="N67" s="41">
        <v>8</v>
      </c>
      <c r="O67" s="31">
        <v>9893.2000000000007</v>
      </c>
      <c r="P67" s="31">
        <v>4898.6000000000004</v>
      </c>
      <c r="Q67" s="79">
        <f t="shared" si="2"/>
        <v>4994.6000000000004</v>
      </c>
    </row>
    <row r="68" spans="1:18" s="13" customFormat="1" ht="15.75" x14ac:dyDescent="0.25">
      <c r="A68" s="10"/>
      <c r="B68" s="27" t="s">
        <v>51</v>
      </c>
      <c r="C68" s="1" t="s">
        <v>17</v>
      </c>
      <c r="D68" s="120"/>
      <c r="E68" s="3" t="s">
        <v>20</v>
      </c>
      <c r="F68" s="73" t="s">
        <v>186</v>
      </c>
      <c r="G68" s="74" t="s">
        <v>112</v>
      </c>
      <c r="H68" s="75"/>
      <c r="I68" s="76"/>
      <c r="J68" s="96"/>
      <c r="K68" s="77"/>
      <c r="L68" s="77"/>
      <c r="M68" s="78">
        <f t="shared" si="1"/>
        <v>0</v>
      </c>
      <c r="N68" s="100">
        <f>1</f>
        <v>1</v>
      </c>
      <c r="O68" s="81">
        <v>2451.87</v>
      </c>
      <c r="P68" s="81">
        <f>2451.87</f>
        <v>2451.87</v>
      </c>
      <c r="Q68" s="12">
        <f t="shared" si="2"/>
        <v>0</v>
      </c>
      <c r="R68" s="141"/>
    </row>
    <row r="69" spans="1:18" s="13" customFormat="1" ht="15.75" x14ac:dyDescent="0.25">
      <c r="A69" s="10"/>
      <c r="B69" s="27" t="s">
        <v>51</v>
      </c>
      <c r="C69" s="1" t="s">
        <v>17</v>
      </c>
      <c r="D69" s="120"/>
      <c r="E69" s="3" t="s">
        <v>20</v>
      </c>
      <c r="F69" s="73" t="s">
        <v>276</v>
      </c>
      <c r="G69" s="11" t="s">
        <v>114</v>
      </c>
      <c r="H69" s="1"/>
      <c r="I69" s="49"/>
      <c r="J69" s="51"/>
      <c r="K69" s="40"/>
      <c r="L69" s="40"/>
      <c r="M69" s="38">
        <f t="shared" si="1"/>
        <v>0</v>
      </c>
      <c r="N69" s="41">
        <v>3</v>
      </c>
      <c r="O69" s="31">
        <v>6763.6</v>
      </c>
      <c r="P69" s="31">
        <v>6763.6</v>
      </c>
      <c r="Q69" s="79">
        <f t="shared" si="2"/>
        <v>0</v>
      </c>
    </row>
    <row r="70" spans="1:18" s="13" customFormat="1" ht="15.75" x14ac:dyDescent="0.25">
      <c r="A70" s="10"/>
      <c r="B70" s="62" t="s">
        <v>52</v>
      </c>
      <c r="C70" s="1" t="s">
        <v>17</v>
      </c>
      <c r="D70" s="120"/>
      <c r="E70" s="3" t="s">
        <v>20</v>
      </c>
      <c r="F70" s="73" t="s">
        <v>352</v>
      </c>
      <c r="G70" s="74" t="s">
        <v>112</v>
      </c>
      <c r="H70" s="75">
        <v>5</v>
      </c>
      <c r="I70" s="76"/>
      <c r="J70" s="96"/>
      <c r="K70" s="77"/>
      <c r="L70" s="77"/>
      <c r="M70" s="78">
        <f t="shared" si="1"/>
        <v>0</v>
      </c>
      <c r="N70" s="100">
        <f>4+3+1+1</f>
        <v>9</v>
      </c>
      <c r="O70" s="81">
        <f>5977.15+48296.91+7596.86+1061.83</f>
        <v>62932.750000000007</v>
      </c>
      <c r="P70" s="81">
        <f>48296.91</f>
        <v>48296.91</v>
      </c>
      <c r="Q70" s="12">
        <f t="shared" si="2"/>
        <v>14635.840000000004</v>
      </c>
      <c r="R70" s="141"/>
    </row>
    <row r="71" spans="1:18" s="13" customFormat="1" ht="15.75" x14ac:dyDescent="0.25">
      <c r="A71" s="10"/>
      <c r="B71" s="22" t="s">
        <v>52</v>
      </c>
      <c r="C71" s="1" t="s">
        <v>17</v>
      </c>
      <c r="D71" s="120"/>
      <c r="E71" s="3" t="s">
        <v>20</v>
      </c>
      <c r="F71" s="73" t="s">
        <v>457</v>
      </c>
      <c r="G71" s="11" t="s">
        <v>114</v>
      </c>
      <c r="H71" s="1">
        <v>7</v>
      </c>
      <c r="I71" s="49">
        <v>1</v>
      </c>
      <c r="J71" s="51">
        <v>1</v>
      </c>
      <c r="K71" s="40"/>
      <c r="L71" s="40"/>
      <c r="M71" s="38">
        <f t="shared" si="1"/>
        <v>0</v>
      </c>
      <c r="N71" s="41">
        <v>12</v>
      </c>
      <c r="O71" s="31">
        <v>19664.86</v>
      </c>
      <c r="P71" s="31">
        <v>11388.46</v>
      </c>
      <c r="Q71" s="79">
        <f t="shared" si="2"/>
        <v>8276.4000000000015</v>
      </c>
    </row>
    <row r="72" spans="1:18" s="13" customFormat="1" ht="15.75" x14ac:dyDescent="0.25">
      <c r="A72" s="10"/>
      <c r="B72" s="27" t="s">
        <v>53</v>
      </c>
      <c r="C72" s="1" t="s">
        <v>17</v>
      </c>
      <c r="D72" s="120"/>
      <c r="E72" s="3" t="s">
        <v>20</v>
      </c>
      <c r="F72" s="73" t="s">
        <v>353</v>
      </c>
      <c r="G72" s="74" t="s">
        <v>112</v>
      </c>
      <c r="H72" s="75">
        <v>6</v>
      </c>
      <c r="I72" s="76"/>
      <c r="J72" s="96"/>
      <c r="K72" s="77"/>
      <c r="L72" s="77"/>
      <c r="M72" s="78">
        <f>K72-L72</f>
        <v>0</v>
      </c>
      <c r="N72" s="100">
        <f>1+2+2</f>
        <v>5</v>
      </c>
      <c r="O72" s="81">
        <f>1743.3+3921.71+422.62</f>
        <v>6087.63</v>
      </c>
      <c r="P72" s="81">
        <f>422.62+1743.3</f>
        <v>2165.92</v>
      </c>
      <c r="Q72" s="12">
        <f t="shared" si="2"/>
        <v>3921.71</v>
      </c>
      <c r="R72" s="141"/>
    </row>
    <row r="73" spans="1:18" s="13" customFormat="1" ht="15.75" x14ac:dyDescent="0.25">
      <c r="A73" s="10"/>
      <c r="B73" s="27" t="s">
        <v>149</v>
      </c>
      <c r="C73" s="1" t="s">
        <v>17</v>
      </c>
      <c r="D73" s="120"/>
      <c r="E73" s="3" t="s">
        <v>383</v>
      </c>
      <c r="F73" s="73" t="s">
        <v>354</v>
      </c>
      <c r="G73" s="74" t="s">
        <v>112</v>
      </c>
      <c r="H73" s="75">
        <v>20</v>
      </c>
      <c r="I73" s="76"/>
      <c r="J73" s="96"/>
      <c r="K73" s="77"/>
      <c r="L73" s="77"/>
      <c r="M73" s="38">
        <f t="shared" si="1"/>
        <v>0</v>
      </c>
      <c r="N73" s="100">
        <f>2+2</f>
        <v>4</v>
      </c>
      <c r="O73" s="81">
        <f>3676.8+3431.65</f>
        <v>7108.4500000000007</v>
      </c>
      <c r="P73" s="81"/>
      <c r="Q73" s="79">
        <f t="shared" si="2"/>
        <v>7108.4500000000007</v>
      </c>
      <c r="R73" s="141"/>
    </row>
    <row r="74" spans="1:18" s="13" customFormat="1" ht="15.75" x14ac:dyDescent="0.25">
      <c r="A74" s="10"/>
      <c r="B74" s="25" t="s">
        <v>149</v>
      </c>
      <c r="C74" s="1" t="s">
        <v>17</v>
      </c>
      <c r="D74" s="120"/>
      <c r="E74" s="3" t="s">
        <v>383</v>
      </c>
      <c r="F74" s="73" t="s">
        <v>438</v>
      </c>
      <c r="G74" s="11" t="s">
        <v>118</v>
      </c>
      <c r="H74" s="1">
        <v>3</v>
      </c>
      <c r="I74" s="47"/>
      <c r="J74" s="51"/>
      <c r="K74" s="37"/>
      <c r="L74" s="37"/>
      <c r="M74" s="78">
        <f t="shared" si="1"/>
        <v>0</v>
      </c>
      <c r="N74" s="39">
        <v>3</v>
      </c>
      <c r="O74" s="31">
        <v>4994.6000000000004</v>
      </c>
      <c r="P74" s="31">
        <v>2689.4</v>
      </c>
      <c r="Q74" s="12">
        <f t="shared" si="2"/>
        <v>2305.2000000000003</v>
      </c>
    </row>
    <row r="75" spans="1:18" s="13" customFormat="1" ht="15.75" x14ac:dyDescent="0.25">
      <c r="A75" s="10"/>
      <c r="B75" s="62" t="s">
        <v>107</v>
      </c>
      <c r="C75" s="1" t="s">
        <v>17</v>
      </c>
      <c r="D75" s="120"/>
      <c r="E75" s="17" t="s">
        <v>20</v>
      </c>
      <c r="F75" s="73" t="s">
        <v>355</v>
      </c>
      <c r="G75" s="74" t="s">
        <v>112</v>
      </c>
      <c r="H75" s="75">
        <v>6</v>
      </c>
      <c r="I75" s="76"/>
      <c r="J75" s="96">
        <f>1</f>
        <v>1</v>
      </c>
      <c r="K75" s="77">
        <f>666.63</f>
        <v>666.63</v>
      </c>
      <c r="L75" s="77"/>
      <c r="M75" s="38">
        <f t="shared" si="1"/>
        <v>666.63</v>
      </c>
      <c r="N75" s="100">
        <f>2+6</f>
        <v>8</v>
      </c>
      <c r="O75" s="81">
        <f>7612.92+18804.48+9163.33</f>
        <v>35580.730000000003</v>
      </c>
      <c r="P75" s="81">
        <f>7612.92+9952.7</f>
        <v>17565.620000000003</v>
      </c>
      <c r="Q75" s="79">
        <f t="shared" si="2"/>
        <v>18015.11</v>
      </c>
      <c r="R75" s="141"/>
    </row>
    <row r="76" spans="1:18" s="13" customFormat="1" ht="15.75" x14ac:dyDescent="0.25">
      <c r="A76" s="10"/>
      <c r="B76" s="30" t="s">
        <v>54</v>
      </c>
      <c r="C76" s="1" t="s">
        <v>17</v>
      </c>
      <c r="D76" s="120"/>
      <c r="E76" s="17" t="s">
        <v>20</v>
      </c>
      <c r="F76" s="73" t="s">
        <v>356</v>
      </c>
      <c r="G76" s="74" t="s">
        <v>112</v>
      </c>
      <c r="H76" s="75"/>
      <c r="I76" s="76"/>
      <c r="J76" s="96"/>
      <c r="K76" s="77"/>
      <c r="L76" s="77"/>
      <c r="M76" s="38">
        <f t="shared" si="1"/>
        <v>0</v>
      </c>
      <c r="N76" s="100">
        <f>4</f>
        <v>4</v>
      </c>
      <c r="O76" s="81">
        <f>17895.28</f>
        <v>17895.28</v>
      </c>
      <c r="P76" s="81"/>
      <c r="Q76" s="79">
        <f t="shared" si="2"/>
        <v>17895.28</v>
      </c>
      <c r="R76" s="141"/>
    </row>
    <row r="77" spans="1:18" s="13" customFormat="1" ht="31.5" x14ac:dyDescent="0.25">
      <c r="A77" s="10"/>
      <c r="B77" s="27" t="s">
        <v>55</v>
      </c>
      <c r="C77" s="1" t="s">
        <v>304</v>
      </c>
      <c r="D77" s="120" t="s">
        <v>387</v>
      </c>
      <c r="E77" s="3" t="s">
        <v>20</v>
      </c>
      <c r="F77" s="73" t="s">
        <v>357</v>
      </c>
      <c r="G77" s="74" t="s">
        <v>112</v>
      </c>
      <c r="H77" s="75">
        <v>12</v>
      </c>
      <c r="I77" s="76">
        <v>5</v>
      </c>
      <c r="J77" s="96"/>
      <c r="K77" s="77">
        <f>1267.86+6667.8</f>
        <v>7935.66</v>
      </c>
      <c r="L77" s="77"/>
      <c r="M77" s="78">
        <f t="shared" si="1"/>
        <v>7935.66</v>
      </c>
      <c r="N77" s="100">
        <f>2+1+2</f>
        <v>5</v>
      </c>
      <c r="O77" s="81">
        <f>34854.19+2113.1+6430.67+5463.42</f>
        <v>48861.38</v>
      </c>
      <c r="P77" s="81">
        <f>34854.19</f>
        <v>34854.19</v>
      </c>
      <c r="Q77" s="12">
        <f t="shared" si="2"/>
        <v>14007.189999999995</v>
      </c>
      <c r="R77" s="141"/>
    </row>
    <row r="78" spans="1:18" s="13" customFormat="1" ht="31.5" x14ac:dyDescent="0.25">
      <c r="A78" s="10"/>
      <c r="B78" s="62" t="s">
        <v>56</v>
      </c>
      <c r="C78" s="1" t="s">
        <v>17</v>
      </c>
      <c r="D78" s="120" t="s">
        <v>386</v>
      </c>
      <c r="E78" s="3" t="s">
        <v>18</v>
      </c>
      <c r="F78" s="73" t="s">
        <v>358</v>
      </c>
      <c r="G78" s="74" t="s">
        <v>112</v>
      </c>
      <c r="H78" s="75">
        <v>4</v>
      </c>
      <c r="I78" s="76">
        <v>1</v>
      </c>
      <c r="J78" s="96">
        <f>1</f>
        <v>1</v>
      </c>
      <c r="K78" s="77">
        <f>678.11</f>
        <v>678.11</v>
      </c>
      <c r="L78" s="77"/>
      <c r="M78" s="38">
        <f t="shared" si="1"/>
        <v>678.11</v>
      </c>
      <c r="N78" s="100"/>
      <c r="O78" s="81"/>
      <c r="P78" s="81"/>
      <c r="Q78" s="79">
        <f t="shared" si="2"/>
        <v>0</v>
      </c>
      <c r="R78" s="141"/>
    </row>
    <row r="79" spans="1:18" s="13" customFormat="1" ht="31.5" x14ac:dyDescent="0.25">
      <c r="A79" s="10"/>
      <c r="B79" s="22" t="s">
        <v>56</v>
      </c>
      <c r="C79" s="1" t="s">
        <v>304</v>
      </c>
      <c r="D79" s="120" t="s">
        <v>386</v>
      </c>
      <c r="E79" s="3" t="s">
        <v>18</v>
      </c>
      <c r="F79" s="73" t="s">
        <v>476</v>
      </c>
      <c r="G79" s="11" t="s">
        <v>113</v>
      </c>
      <c r="H79" s="1">
        <v>4</v>
      </c>
      <c r="I79" s="49">
        <v>2</v>
      </c>
      <c r="J79" s="46">
        <v>2</v>
      </c>
      <c r="K79" s="40">
        <v>1480</v>
      </c>
      <c r="L79" s="40"/>
      <c r="M79" s="78">
        <f t="shared" si="1"/>
        <v>1480</v>
      </c>
      <c r="N79" s="41"/>
      <c r="O79" s="31">
        <v>7612</v>
      </c>
      <c r="P79" s="31">
        <v>7612</v>
      </c>
      <c r="Q79" s="12">
        <f t="shared" ref="Q79:Q146" si="3">O79-P79</f>
        <v>0</v>
      </c>
    </row>
    <row r="80" spans="1:18" s="13" customFormat="1" ht="15.75" x14ac:dyDescent="0.25">
      <c r="A80" s="10"/>
      <c r="B80" s="62" t="s">
        <v>156</v>
      </c>
      <c r="C80" s="1" t="s">
        <v>304</v>
      </c>
      <c r="D80" s="120"/>
      <c r="E80" s="3" t="s">
        <v>20</v>
      </c>
      <c r="F80" s="73" t="s">
        <v>359</v>
      </c>
      <c r="G80" s="74" t="s">
        <v>112</v>
      </c>
      <c r="H80" s="75">
        <v>3</v>
      </c>
      <c r="I80" s="76">
        <v>2</v>
      </c>
      <c r="J80" s="96">
        <f>2</f>
        <v>2</v>
      </c>
      <c r="K80" s="77">
        <f>1690.48</f>
        <v>1690.48</v>
      </c>
      <c r="L80" s="77"/>
      <c r="M80" s="38">
        <f t="shared" si="1"/>
        <v>1690.48</v>
      </c>
      <c r="N80" s="100">
        <f>3+1</f>
        <v>4</v>
      </c>
      <c r="O80" s="81">
        <f>5488.54+2398.37+422.62</f>
        <v>8309.5300000000007</v>
      </c>
      <c r="P80" s="81">
        <f>5488.54</f>
        <v>5488.54</v>
      </c>
      <c r="Q80" s="79">
        <f t="shared" si="3"/>
        <v>2820.9900000000007</v>
      </c>
      <c r="R80" s="141"/>
    </row>
    <row r="81" spans="1:18" s="15" customFormat="1" ht="15.75" x14ac:dyDescent="0.25">
      <c r="A81" s="14"/>
      <c r="B81" s="80" t="s">
        <v>57</v>
      </c>
      <c r="C81" s="1" t="s">
        <v>17</v>
      </c>
      <c r="D81" s="120"/>
      <c r="E81" s="3" t="s">
        <v>20</v>
      </c>
      <c r="F81" s="73" t="s">
        <v>360</v>
      </c>
      <c r="G81" s="74" t="s">
        <v>112</v>
      </c>
      <c r="H81" s="75">
        <v>6</v>
      </c>
      <c r="I81" s="76">
        <v>2</v>
      </c>
      <c r="J81" s="96">
        <f>2</f>
        <v>2</v>
      </c>
      <c r="K81" s="77">
        <f>806.82</f>
        <v>806.82</v>
      </c>
      <c r="L81" s="77"/>
      <c r="M81" s="78">
        <f t="shared" si="1"/>
        <v>806.82</v>
      </c>
      <c r="N81" s="100">
        <f>2+1</f>
        <v>3</v>
      </c>
      <c r="O81" s="81">
        <f>2745.3</f>
        <v>2745.3</v>
      </c>
      <c r="P81" s="81"/>
      <c r="Q81" s="12">
        <f t="shared" si="3"/>
        <v>2745.3</v>
      </c>
      <c r="R81" s="141"/>
    </row>
    <row r="82" spans="1:18" s="15" customFormat="1" ht="15.75" x14ac:dyDescent="0.25">
      <c r="A82" s="14"/>
      <c r="B82" s="23" t="s">
        <v>57</v>
      </c>
      <c r="C82" s="1" t="s">
        <v>17</v>
      </c>
      <c r="D82" s="120"/>
      <c r="E82" s="3" t="s">
        <v>20</v>
      </c>
      <c r="F82" s="73" t="s">
        <v>458</v>
      </c>
      <c r="G82" s="11" t="s">
        <v>114</v>
      </c>
      <c r="H82" s="1">
        <v>16</v>
      </c>
      <c r="I82" s="49">
        <v>2</v>
      </c>
      <c r="J82" s="51">
        <v>2</v>
      </c>
      <c r="K82" s="40"/>
      <c r="L82" s="40"/>
      <c r="M82" s="38">
        <f t="shared" si="1"/>
        <v>0</v>
      </c>
      <c r="N82" s="42">
        <v>10</v>
      </c>
      <c r="O82" s="31">
        <v>5825.46</v>
      </c>
      <c r="P82" s="31">
        <v>5825.46</v>
      </c>
      <c r="Q82" s="79">
        <f t="shared" si="3"/>
        <v>0</v>
      </c>
    </row>
    <row r="83" spans="1:18" s="13" customFormat="1" ht="15.75" x14ac:dyDescent="0.25">
      <c r="A83" s="10"/>
      <c r="B83" s="62" t="s">
        <v>58</v>
      </c>
      <c r="C83" s="1" t="s">
        <v>17</v>
      </c>
      <c r="D83" s="120"/>
      <c r="E83" s="3" t="s">
        <v>20</v>
      </c>
      <c r="F83" s="73" t="s">
        <v>361</v>
      </c>
      <c r="G83" s="74" t="s">
        <v>112</v>
      </c>
      <c r="H83" s="75">
        <v>4</v>
      </c>
      <c r="I83" s="76"/>
      <c r="J83" s="96"/>
      <c r="K83" s="77"/>
      <c r="L83" s="77"/>
      <c r="M83" s="78">
        <f t="shared" si="1"/>
        <v>0</v>
      </c>
      <c r="N83" s="100">
        <f>1+1+3</f>
        <v>5</v>
      </c>
      <c r="O83" s="81">
        <f>9196.24+2480.78+2954.11+15214.32</f>
        <v>29845.45</v>
      </c>
      <c r="P83" s="81"/>
      <c r="Q83" s="12">
        <f t="shared" si="3"/>
        <v>29845.45</v>
      </c>
      <c r="R83" s="141"/>
    </row>
    <row r="84" spans="1:18" s="13" customFormat="1" ht="15.75" x14ac:dyDescent="0.25">
      <c r="A84" s="10"/>
      <c r="B84" s="22" t="s">
        <v>58</v>
      </c>
      <c r="C84" s="1" t="s">
        <v>17</v>
      </c>
      <c r="D84" s="120"/>
      <c r="E84" s="3" t="s">
        <v>20</v>
      </c>
      <c r="F84" s="73" t="s">
        <v>478</v>
      </c>
      <c r="G84" s="11" t="s">
        <v>114</v>
      </c>
      <c r="H84" s="1">
        <v>3</v>
      </c>
      <c r="I84" s="49"/>
      <c r="J84" s="51"/>
      <c r="K84" s="40"/>
      <c r="L84" s="40"/>
      <c r="M84" s="38">
        <f t="shared" ref="M84:M157" si="4">K84-L84</f>
        <v>0</v>
      </c>
      <c r="N84" s="41">
        <v>21</v>
      </c>
      <c r="O84" s="31">
        <v>23095.57</v>
      </c>
      <c r="P84" s="31">
        <v>16615.25</v>
      </c>
      <c r="Q84" s="79">
        <f t="shared" si="3"/>
        <v>6480.32</v>
      </c>
    </row>
    <row r="85" spans="1:18" s="13" customFormat="1" ht="15.75" x14ac:dyDescent="0.25">
      <c r="A85" s="10"/>
      <c r="B85" s="62" t="s">
        <v>59</v>
      </c>
      <c r="C85" s="1" t="s">
        <v>17</v>
      </c>
      <c r="D85" s="120"/>
      <c r="E85" s="3" t="s">
        <v>20</v>
      </c>
      <c r="F85" s="73" t="s">
        <v>362</v>
      </c>
      <c r="G85" s="74" t="s">
        <v>112</v>
      </c>
      <c r="H85" s="75">
        <v>7</v>
      </c>
      <c r="I85" s="76">
        <v>3</v>
      </c>
      <c r="J85" s="96">
        <f>1+1+1</f>
        <v>3</v>
      </c>
      <c r="K85" s="77">
        <f>403.41</f>
        <v>403.41</v>
      </c>
      <c r="L85" s="77"/>
      <c r="M85" s="78">
        <f t="shared" si="4"/>
        <v>403.41</v>
      </c>
      <c r="N85" s="100">
        <f>1+2+2+1</f>
        <v>6</v>
      </c>
      <c r="O85" s="81">
        <f>6646.05+1267.86+979.71</f>
        <v>8893.619999999999</v>
      </c>
      <c r="P85" s="81">
        <f>2353.23+5561.68</f>
        <v>7914.91</v>
      </c>
      <c r="Q85" s="12">
        <f t="shared" si="3"/>
        <v>978.70999999999913</v>
      </c>
      <c r="R85" s="141"/>
    </row>
    <row r="86" spans="1:18" s="13" customFormat="1" ht="15.75" x14ac:dyDescent="0.25">
      <c r="A86" s="10"/>
      <c r="B86" s="22" t="s">
        <v>59</v>
      </c>
      <c r="C86" s="1" t="s">
        <v>17</v>
      </c>
      <c r="D86" s="120"/>
      <c r="E86" s="3" t="s">
        <v>20</v>
      </c>
      <c r="F86" s="73" t="s">
        <v>128</v>
      </c>
      <c r="G86" s="11" t="s">
        <v>114</v>
      </c>
      <c r="H86" s="1"/>
      <c r="I86" s="49"/>
      <c r="J86" s="51"/>
      <c r="K86" s="40"/>
      <c r="L86" s="40"/>
      <c r="M86" s="38">
        <f t="shared" si="4"/>
        <v>0</v>
      </c>
      <c r="N86" s="41"/>
      <c r="O86" s="31"/>
      <c r="P86" s="31"/>
      <c r="Q86" s="79">
        <f t="shared" si="3"/>
        <v>0</v>
      </c>
    </row>
    <row r="87" spans="1:18" s="13" customFormat="1" ht="15.75" x14ac:dyDescent="0.25">
      <c r="A87" s="10"/>
      <c r="B87" s="27" t="s">
        <v>60</v>
      </c>
      <c r="C87" s="1" t="s">
        <v>17</v>
      </c>
      <c r="D87" s="120"/>
      <c r="E87" s="3" t="s">
        <v>20</v>
      </c>
      <c r="F87" s="73" t="s">
        <v>364</v>
      </c>
      <c r="G87" s="74" t="s">
        <v>112</v>
      </c>
      <c r="H87" s="75">
        <v>7</v>
      </c>
      <c r="I87" s="76">
        <v>1</v>
      </c>
      <c r="J87" s="96">
        <f>1</f>
        <v>1</v>
      </c>
      <c r="K87" s="77">
        <f>634.93</f>
        <v>634.92999999999995</v>
      </c>
      <c r="L87" s="77"/>
      <c r="M87" s="78">
        <f t="shared" si="4"/>
        <v>634.92999999999995</v>
      </c>
      <c r="N87" s="100">
        <f>4+1</f>
        <v>5</v>
      </c>
      <c r="O87" s="81">
        <f>15124.53+2065.75</f>
        <v>17190.28</v>
      </c>
      <c r="P87" s="81">
        <f>15125.53</f>
        <v>15125.53</v>
      </c>
      <c r="Q87" s="12">
        <f t="shared" si="3"/>
        <v>2064.7499999999982</v>
      </c>
      <c r="R87" s="141"/>
    </row>
    <row r="88" spans="1:18" s="13" customFormat="1" ht="15.75" x14ac:dyDescent="0.25">
      <c r="A88" s="10"/>
      <c r="B88" s="25" t="s">
        <v>60</v>
      </c>
      <c r="C88" s="1" t="s">
        <v>17</v>
      </c>
      <c r="D88" s="120"/>
      <c r="E88" s="3" t="s">
        <v>20</v>
      </c>
      <c r="F88" s="73" t="s">
        <v>479</v>
      </c>
      <c r="G88" s="11" t="s">
        <v>114</v>
      </c>
      <c r="H88" s="1">
        <v>4</v>
      </c>
      <c r="I88" s="49"/>
      <c r="J88" s="51"/>
      <c r="K88" s="40"/>
      <c r="L88" s="40"/>
      <c r="M88" s="38">
        <f t="shared" si="4"/>
        <v>0</v>
      </c>
      <c r="N88" s="41">
        <v>7</v>
      </c>
      <c r="O88" s="31">
        <v>6259.4</v>
      </c>
      <c r="P88" s="31">
        <v>6259.4</v>
      </c>
      <c r="Q88" s="79">
        <f t="shared" si="3"/>
        <v>0</v>
      </c>
    </row>
    <row r="89" spans="1:18" s="13" customFormat="1" ht="15.75" x14ac:dyDescent="0.25">
      <c r="A89" s="10"/>
      <c r="B89" s="25" t="s">
        <v>493</v>
      </c>
      <c r="C89" s="1" t="s">
        <v>17</v>
      </c>
      <c r="D89" s="120"/>
      <c r="E89" s="3" t="s">
        <v>20</v>
      </c>
      <c r="F89" s="73" t="s">
        <v>496</v>
      </c>
      <c r="G89" s="11" t="s">
        <v>112</v>
      </c>
      <c r="H89" s="1">
        <v>4</v>
      </c>
      <c r="I89" s="49"/>
      <c r="J89" s="51"/>
      <c r="K89" s="40"/>
      <c r="L89" s="40"/>
      <c r="M89" s="38"/>
      <c r="N89" s="41"/>
      <c r="O89" s="31"/>
      <c r="P89" s="31"/>
      <c r="Q89" s="79"/>
    </row>
    <row r="90" spans="1:18" s="15" customFormat="1" ht="15.75" x14ac:dyDescent="0.25">
      <c r="A90" s="14"/>
      <c r="B90" s="28" t="s">
        <v>61</v>
      </c>
      <c r="C90" s="1" t="s">
        <v>17</v>
      </c>
      <c r="D90" s="120"/>
      <c r="E90" s="3" t="s">
        <v>20</v>
      </c>
      <c r="F90" s="73" t="s">
        <v>363</v>
      </c>
      <c r="G90" s="74" t="s">
        <v>112</v>
      </c>
      <c r="H90" s="75"/>
      <c r="I90" s="76"/>
      <c r="J90" s="96"/>
      <c r="K90" s="77"/>
      <c r="L90" s="77"/>
      <c r="M90" s="78">
        <f t="shared" si="4"/>
        <v>0</v>
      </c>
      <c r="N90" s="100"/>
      <c r="O90" s="81"/>
      <c r="P90" s="81"/>
      <c r="Q90" s="12">
        <f t="shared" si="3"/>
        <v>0</v>
      </c>
      <c r="R90" s="141"/>
    </row>
    <row r="91" spans="1:18" s="15" customFormat="1" ht="15.75" x14ac:dyDescent="0.25">
      <c r="A91" s="14"/>
      <c r="B91" s="26" t="s">
        <v>61</v>
      </c>
      <c r="C91" s="1" t="s">
        <v>17</v>
      </c>
      <c r="D91" s="120"/>
      <c r="E91" s="3" t="s">
        <v>20</v>
      </c>
      <c r="F91" s="73" t="s">
        <v>121</v>
      </c>
      <c r="G91" s="11" t="s">
        <v>114</v>
      </c>
      <c r="H91" s="1"/>
      <c r="I91" s="49"/>
      <c r="J91" s="51"/>
      <c r="K91" s="40"/>
      <c r="L91" s="40"/>
      <c r="M91" s="38">
        <f t="shared" si="4"/>
        <v>0</v>
      </c>
      <c r="N91" s="42"/>
      <c r="O91" s="31"/>
      <c r="P91" s="31"/>
      <c r="Q91" s="79">
        <f t="shared" si="3"/>
        <v>0</v>
      </c>
    </row>
    <row r="92" spans="1:18" s="15" customFormat="1" ht="15.75" x14ac:dyDescent="0.25">
      <c r="A92" s="14"/>
      <c r="B92" s="20" t="s">
        <v>306</v>
      </c>
      <c r="C92" s="1" t="s">
        <v>17</v>
      </c>
      <c r="D92" s="120"/>
      <c r="E92" s="3" t="s">
        <v>35</v>
      </c>
      <c r="F92" s="73" t="s">
        <v>365</v>
      </c>
      <c r="G92" s="11" t="s">
        <v>112</v>
      </c>
      <c r="H92" s="1">
        <v>20</v>
      </c>
      <c r="I92" s="58">
        <v>7</v>
      </c>
      <c r="J92" s="51">
        <f>1+2+1+3</f>
        <v>7</v>
      </c>
      <c r="K92" s="40">
        <f>1045.98+2658.7+35696.14+4892.46</f>
        <v>44293.279999999999</v>
      </c>
      <c r="L92" s="40">
        <f>1045.98</f>
        <v>1045.98</v>
      </c>
      <c r="M92" s="78">
        <f t="shared" si="4"/>
        <v>43247.299999999996</v>
      </c>
      <c r="N92" s="39">
        <f>7+2+2+2</f>
        <v>13</v>
      </c>
      <c r="O92" s="31">
        <f>2313.84+6162.57+2330.32+1690.48</f>
        <v>12497.21</v>
      </c>
      <c r="P92" s="31">
        <f>2313.84+6162.57</f>
        <v>8476.41</v>
      </c>
      <c r="Q92" s="12">
        <f t="shared" si="3"/>
        <v>4020.7999999999993</v>
      </c>
      <c r="R92" s="141"/>
    </row>
    <row r="93" spans="1:18" s="13" customFormat="1" ht="15.75" x14ac:dyDescent="0.25">
      <c r="A93" s="10"/>
      <c r="B93" s="22" t="s">
        <v>306</v>
      </c>
      <c r="C93" s="1" t="s">
        <v>17</v>
      </c>
      <c r="D93" s="120"/>
      <c r="E93" s="3" t="s">
        <v>27</v>
      </c>
      <c r="F93" s="73" t="s">
        <v>421</v>
      </c>
      <c r="G93" s="11" t="s">
        <v>117</v>
      </c>
      <c r="H93" s="1">
        <v>2</v>
      </c>
      <c r="I93" s="49"/>
      <c r="J93" s="46"/>
      <c r="K93" s="40"/>
      <c r="L93" s="40"/>
      <c r="M93" s="78">
        <f>K93-L93</f>
        <v>0</v>
      </c>
      <c r="N93" s="41"/>
      <c r="O93" s="40"/>
      <c r="P93" s="40"/>
      <c r="Q93" s="79">
        <f>O93-P93</f>
        <v>0</v>
      </c>
    </row>
    <row r="94" spans="1:18" s="13" customFormat="1" ht="15.75" x14ac:dyDescent="0.25">
      <c r="A94" s="10"/>
      <c r="B94" s="27" t="s">
        <v>62</v>
      </c>
      <c r="C94" s="1" t="s">
        <v>17</v>
      </c>
      <c r="D94" s="120"/>
      <c r="E94" s="3" t="s">
        <v>35</v>
      </c>
      <c r="F94" s="73" t="s">
        <v>366</v>
      </c>
      <c r="G94" s="74" t="s">
        <v>112</v>
      </c>
      <c r="H94" s="75">
        <v>9</v>
      </c>
      <c r="I94" s="76">
        <v>7</v>
      </c>
      <c r="J94" s="96">
        <f>1+3+1</f>
        <v>5</v>
      </c>
      <c r="K94" s="77">
        <f>3613.4+1872.01</f>
        <v>5485.41</v>
      </c>
      <c r="L94" s="77"/>
      <c r="M94" s="38">
        <f t="shared" si="4"/>
        <v>5485.41</v>
      </c>
      <c r="N94" s="100">
        <f>6+2+1+2</f>
        <v>11</v>
      </c>
      <c r="O94" s="81">
        <f>19511.33+1270.93+3979.74+2500.85+8530.18</f>
        <v>35793.03</v>
      </c>
      <c r="P94" s="81">
        <f>19512.33</f>
        <v>19512.330000000002</v>
      </c>
      <c r="Q94" s="79">
        <f t="shared" si="3"/>
        <v>16280.699999999997</v>
      </c>
      <c r="R94" s="141"/>
    </row>
    <row r="95" spans="1:18" s="13" customFormat="1" ht="15.75" x14ac:dyDescent="0.25">
      <c r="A95" s="10"/>
      <c r="B95" s="25" t="s">
        <v>62</v>
      </c>
      <c r="C95" s="1" t="s">
        <v>17</v>
      </c>
      <c r="D95" s="120"/>
      <c r="E95" s="3" t="s">
        <v>35</v>
      </c>
      <c r="F95" s="73" t="s">
        <v>428</v>
      </c>
      <c r="G95" s="11" t="s">
        <v>117</v>
      </c>
      <c r="H95" s="1">
        <v>1</v>
      </c>
      <c r="I95" s="49"/>
      <c r="J95" s="46"/>
      <c r="K95" s="40"/>
      <c r="L95" s="40"/>
      <c r="M95" s="78">
        <f t="shared" si="4"/>
        <v>0</v>
      </c>
      <c r="N95" s="41">
        <v>9</v>
      </c>
      <c r="O95" s="31">
        <v>18561.900000000001</v>
      </c>
      <c r="P95" s="31">
        <v>14143.6</v>
      </c>
      <c r="Q95" s="12">
        <f t="shared" si="3"/>
        <v>4418.3000000000011</v>
      </c>
    </row>
    <row r="96" spans="1:18" s="13" customFormat="1" ht="15.75" x14ac:dyDescent="0.25">
      <c r="A96" s="10"/>
      <c r="B96" s="25" t="s">
        <v>63</v>
      </c>
      <c r="C96" s="1" t="s">
        <v>64</v>
      </c>
      <c r="D96" s="120" t="s">
        <v>65</v>
      </c>
      <c r="E96" s="3" t="s">
        <v>20</v>
      </c>
      <c r="F96" s="73" t="s">
        <v>480</v>
      </c>
      <c r="G96" s="11" t="s">
        <v>114</v>
      </c>
      <c r="H96" s="1"/>
      <c r="I96" s="49"/>
      <c r="J96" s="51"/>
      <c r="K96" s="40"/>
      <c r="L96" s="40"/>
      <c r="M96" s="38">
        <f t="shared" si="4"/>
        <v>0</v>
      </c>
      <c r="N96" s="41"/>
      <c r="O96" s="31"/>
      <c r="P96" s="31"/>
      <c r="Q96" s="79">
        <f t="shared" si="3"/>
        <v>0</v>
      </c>
    </row>
    <row r="97" spans="1:19" s="13" customFormat="1" ht="15.75" x14ac:dyDescent="0.25">
      <c r="A97" s="10"/>
      <c r="B97" s="27" t="s">
        <v>155</v>
      </c>
      <c r="C97" s="1" t="s">
        <v>17</v>
      </c>
      <c r="D97" s="120"/>
      <c r="E97" s="3" t="s">
        <v>20</v>
      </c>
      <c r="F97" s="73" t="s">
        <v>367</v>
      </c>
      <c r="G97" s="74" t="s">
        <v>112</v>
      </c>
      <c r="H97" s="75">
        <v>6</v>
      </c>
      <c r="I97" s="82">
        <v>1</v>
      </c>
      <c r="J97" s="96">
        <f>1</f>
        <v>1</v>
      </c>
      <c r="K97" s="77">
        <f>3117.56</f>
        <v>3117.56</v>
      </c>
      <c r="L97" s="77"/>
      <c r="M97" s="78">
        <f t="shared" si="4"/>
        <v>3117.56</v>
      </c>
      <c r="N97" s="100">
        <f>1+1+1</f>
        <v>3</v>
      </c>
      <c r="O97" s="81">
        <f>1798.06+2123.67</f>
        <v>3921.73</v>
      </c>
      <c r="P97" s="81"/>
      <c r="Q97" s="12">
        <f t="shared" si="3"/>
        <v>3921.73</v>
      </c>
      <c r="R97" s="141"/>
    </row>
    <row r="98" spans="1:19" s="13" customFormat="1" ht="15.75" x14ac:dyDescent="0.25">
      <c r="A98" s="10"/>
      <c r="B98" s="25" t="s">
        <v>155</v>
      </c>
      <c r="C98" s="1" t="s">
        <v>17</v>
      </c>
      <c r="D98" s="120"/>
      <c r="E98" s="3" t="s">
        <v>20</v>
      </c>
      <c r="F98" s="73" t="s">
        <v>459</v>
      </c>
      <c r="G98" s="11" t="s">
        <v>114</v>
      </c>
      <c r="H98" s="1">
        <v>6</v>
      </c>
      <c r="I98" s="49"/>
      <c r="J98" s="51"/>
      <c r="K98" s="40"/>
      <c r="L98" s="40"/>
      <c r="M98" s="38">
        <f t="shared" si="4"/>
        <v>0</v>
      </c>
      <c r="N98" s="41">
        <v>13</v>
      </c>
      <c r="O98" s="31">
        <v>17392.43</v>
      </c>
      <c r="P98" s="31">
        <v>17392.43</v>
      </c>
      <c r="Q98" s="79">
        <f t="shared" si="3"/>
        <v>0</v>
      </c>
    </row>
    <row r="99" spans="1:19" s="13" customFormat="1" ht="15.75" x14ac:dyDescent="0.25">
      <c r="A99" s="10"/>
      <c r="B99" s="30" t="s">
        <v>66</v>
      </c>
      <c r="C99" s="1" t="s">
        <v>17</v>
      </c>
      <c r="D99" s="120"/>
      <c r="E99" s="3" t="s">
        <v>21</v>
      </c>
      <c r="F99" s="73" t="s">
        <v>368</v>
      </c>
      <c r="G99" s="74" t="s">
        <v>112</v>
      </c>
      <c r="H99" s="75">
        <v>11</v>
      </c>
      <c r="I99" s="76">
        <v>8</v>
      </c>
      <c r="J99" s="96">
        <f>1+3+2+3</f>
        <v>9</v>
      </c>
      <c r="K99" s="77">
        <f>1045.98+4309.04+3820.12+1872.01+4253.49</f>
        <v>15300.64</v>
      </c>
      <c r="L99" s="77"/>
      <c r="M99" s="78">
        <f t="shared" si="4"/>
        <v>15300.64</v>
      </c>
      <c r="N99" s="100">
        <f>6+3+8+7+1+1+1+2</f>
        <v>29</v>
      </c>
      <c r="O99" s="81">
        <f>11911.17+23136+18060.17+1977.84+2091.97</f>
        <v>57177.149999999994</v>
      </c>
      <c r="P99" s="81">
        <f>1152.6+11911.47</f>
        <v>13064.07</v>
      </c>
      <c r="Q99" s="12">
        <f t="shared" si="3"/>
        <v>44113.079999999994</v>
      </c>
      <c r="R99" s="141"/>
    </row>
    <row r="100" spans="1:19" s="13" customFormat="1" ht="15.75" x14ac:dyDescent="0.25">
      <c r="A100" s="10"/>
      <c r="B100" s="24" t="s">
        <v>66</v>
      </c>
      <c r="C100" s="1" t="s">
        <v>17</v>
      </c>
      <c r="D100" s="120"/>
      <c r="E100" s="3" t="s">
        <v>21</v>
      </c>
      <c r="F100" s="73" t="s">
        <v>439</v>
      </c>
      <c r="G100" s="11" t="s">
        <v>118</v>
      </c>
      <c r="H100" s="1">
        <v>5</v>
      </c>
      <c r="I100" s="49"/>
      <c r="J100" s="46"/>
      <c r="K100" s="40"/>
      <c r="L100" s="40"/>
      <c r="M100" s="38">
        <f t="shared" si="4"/>
        <v>0</v>
      </c>
      <c r="N100" s="41">
        <v>14</v>
      </c>
      <c r="O100" s="31">
        <v>54769</v>
      </c>
      <c r="P100" s="31">
        <v>6149.38</v>
      </c>
      <c r="Q100" s="79">
        <f t="shared" si="3"/>
        <v>48619.62</v>
      </c>
    </row>
    <row r="101" spans="1:19" s="13" customFormat="1" ht="15.75" x14ac:dyDescent="0.25">
      <c r="A101" s="10"/>
      <c r="B101" s="62" t="s">
        <v>137</v>
      </c>
      <c r="C101" s="1" t="s">
        <v>17</v>
      </c>
      <c r="D101" s="120"/>
      <c r="E101" s="17" t="s">
        <v>35</v>
      </c>
      <c r="F101" s="73" t="s">
        <v>369</v>
      </c>
      <c r="G101" s="74" t="s">
        <v>112</v>
      </c>
      <c r="H101" s="75">
        <v>13</v>
      </c>
      <c r="I101" s="76">
        <v>7</v>
      </c>
      <c r="J101" s="96">
        <f>3+3</f>
        <v>6</v>
      </c>
      <c r="K101" s="77">
        <f>504.26+845.24+3380.96</f>
        <v>4730.46</v>
      </c>
      <c r="L101" s="77"/>
      <c r="M101" s="78">
        <f t="shared" si="4"/>
        <v>4730.46</v>
      </c>
      <c r="N101" s="100">
        <f>5+1+1+2</f>
        <v>9</v>
      </c>
      <c r="O101" s="81">
        <f>2617.36+422.62+3852.18+3380.96</f>
        <v>10273.119999999999</v>
      </c>
      <c r="P101" s="81">
        <f>2617.36</f>
        <v>2617.36</v>
      </c>
      <c r="Q101" s="12">
        <f t="shared" si="3"/>
        <v>7655.7599999999984</v>
      </c>
      <c r="R101" s="141"/>
    </row>
    <row r="102" spans="1:19" s="13" customFormat="1" ht="15.75" x14ac:dyDescent="0.25">
      <c r="A102" s="10"/>
      <c r="B102" s="22" t="s">
        <v>137</v>
      </c>
      <c r="C102" s="1" t="s">
        <v>17</v>
      </c>
      <c r="D102" s="120"/>
      <c r="E102" s="17" t="s">
        <v>35</v>
      </c>
      <c r="F102" s="73" t="s">
        <v>429</v>
      </c>
      <c r="G102" s="11" t="s">
        <v>117</v>
      </c>
      <c r="H102" s="1">
        <v>1</v>
      </c>
      <c r="I102" s="49"/>
      <c r="J102" s="51"/>
      <c r="K102" s="37"/>
      <c r="L102" s="37"/>
      <c r="M102" s="78">
        <f t="shared" si="4"/>
        <v>0</v>
      </c>
      <c r="N102" s="39">
        <v>1</v>
      </c>
      <c r="O102" s="31">
        <v>7299.8</v>
      </c>
      <c r="P102" s="31"/>
      <c r="Q102" s="79">
        <f t="shared" si="3"/>
        <v>7299.8</v>
      </c>
    </row>
    <row r="103" spans="1:19" s="13" customFormat="1" ht="15.75" x14ac:dyDescent="0.25">
      <c r="A103" s="10"/>
      <c r="B103" s="30" t="s">
        <v>67</v>
      </c>
      <c r="C103" s="1" t="s">
        <v>17</v>
      </c>
      <c r="D103" s="120"/>
      <c r="E103" s="17" t="s">
        <v>21</v>
      </c>
      <c r="F103" s="73" t="s">
        <v>370</v>
      </c>
      <c r="G103" s="74" t="s">
        <v>112</v>
      </c>
      <c r="H103" s="75">
        <v>13</v>
      </c>
      <c r="I103" s="76">
        <v>5</v>
      </c>
      <c r="J103" s="96">
        <f>2+1+1+2</f>
        <v>6</v>
      </c>
      <c r="K103" s="77">
        <f>3319.85+1198.9</f>
        <v>4518.75</v>
      </c>
      <c r="L103" s="77"/>
      <c r="M103" s="38">
        <f t="shared" si="4"/>
        <v>4518.75</v>
      </c>
      <c r="N103" s="100">
        <f>4+9+4+4+1+3</f>
        <v>25</v>
      </c>
      <c r="O103" s="81">
        <f>29696.65+38129.03+13567.9+20687.05+2022.79</f>
        <v>104103.41999999998</v>
      </c>
      <c r="P103" s="81">
        <f>34696.65</f>
        <v>34696.65</v>
      </c>
      <c r="Q103" s="12">
        <f t="shared" si="3"/>
        <v>69406.76999999999</v>
      </c>
      <c r="R103" s="141"/>
    </row>
    <row r="104" spans="1:19" s="13" customFormat="1" ht="15.75" x14ac:dyDescent="0.25">
      <c r="A104" s="10"/>
      <c r="B104" s="24" t="s">
        <v>67</v>
      </c>
      <c r="C104" s="1" t="s">
        <v>17</v>
      </c>
      <c r="D104" s="120"/>
      <c r="E104" s="17" t="s">
        <v>21</v>
      </c>
      <c r="F104" s="73" t="s">
        <v>440</v>
      </c>
      <c r="G104" s="11" t="s">
        <v>118</v>
      </c>
      <c r="H104" s="1">
        <v>8</v>
      </c>
      <c r="I104" s="49">
        <v>1</v>
      </c>
      <c r="J104" s="46"/>
      <c r="K104" s="40"/>
      <c r="L104" s="40"/>
      <c r="M104" s="78">
        <f t="shared" si="4"/>
        <v>0</v>
      </c>
      <c r="N104" s="41">
        <v>10</v>
      </c>
      <c r="O104" s="31">
        <v>33384.03</v>
      </c>
      <c r="P104" s="31">
        <v>13467.29</v>
      </c>
      <c r="Q104" s="79">
        <f t="shared" si="3"/>
        <v>19916.739999999998</v>
      </c>
    </row>
    <row r="105" spans="1:19" s="13" customFormat="1" ht="15.75" x14ac:dyDescent="0.25">
      <c r="A105" s="10"/>
      <c r="B105" s="30" t="s">
        <v>68</v>
      </c>
      <c r="C105" s="1" t="s">
        <v>17</v>
      </c>
      <c r="D105" s="120"/>
      <c r="E105" s="17" t="s">
        <v>32</v>
      </c>
      <c r="F105" s="73" t="s">
        <v>371</v>
      </c>
      <c r="G105" s="74" t="s">
        <v>112</v>
      </c>
      <c r="H105" s="75">
        <v>11</v>
      </c>
      <c r="I105" s="76">
        <v>5</v>
      </c>
      <c r="J105" s="96">
        <f>2+1+2</f>
        <v>5</v>
      </c>
      <c r="K105" s="77">
        <f>1128.59+422.62+1152.6</f>
        <v>2703.81</v>
      </c>
      <c r="L105" s="77"/>
      <c r="M105" s="38">
        <f t="shared" si="4"/>
        <v>2703.81</v>
      </c>
      <c r="N105" s="100">
        <f>6+5+1+4</f>
        <v>16</v>
      </c>
      <c r="O105" s="81">
        <f>7813.73+8523.5+1452.28+12582.19</f>
        <v>30371.699999999997</v>
      </c>
      <c r="P105" s="81">
        <f>7813.73</f>
        <v>7813.73</v>
      </c>
      <c r="Q105" s="12">
        <f t="shared" si="3"/>
        <v>22557.969999999998</v>
      </c>
      <c r="R105" s="141"/>
    </row>
    <row r="106" spans="1:19" s="13" customFormat="1" ht="15.75" x14ac:dyDescent="0.25">
      <c r="A106" s="10"/>
      <c r="B106" s="24" t="s">
        <v>68</v>
      </c>
      <c r="C106" s="1" t="s">
        <v>17</v>
      </c>
      <c r="D106" s="120"/>
      <c r="E106" s="17" t="s">
        <v>32</v>
      </c>
      <c r="F106" s="73" t="s">
        <v>430</v>
      </c>
      <c r="G106" s="8" t="s">
        <v>117</v>
      </c>
      <c r="H106" s="1">
        <v>1</v>
      </c>
      <c r="I106" s="49"/>
      <c r="J106" s="46"/>
      <c r="K106" s="40"/>
      <c r="L106" s="40"/>
      <c r="M106" s="78">
        <f t="shared" si="4"/>
        <v>0</v>
      </c>
      <c r="N106" s="41"/>
      <c r="O106" s="40"/>
      <c r="P106" s="40"/>
      <c r="Q106" s="79">
        <f t="shared" si="3"/>
        <v>0</v>
      </c>
    </row>
    <row r="107" spans="1:19" s="15" customFormat="1" ht="15.75" x14ac:dyDescent="0.25">
      <c r="A107" s="14"/>
      <c r="B107" s="28" t="s">
        <v>69</v>
      </c>
      <c r="C107" s="1" t="s">
        <v>17</v>
      </c>
      <c r="D107" s="120"/>
      <c r="E107" s="3" t="s">
        <v>20</v>
      </c>
      <c r="F107" s="73" t="s">
        <v>372</v>
      </c>
      <c r="G107" s="74" t="s">
        <v>112</v>
      </c>
      <c r="H107" s="75">
        <v>4</v>
      </c>
      <c r="I107" s="76">
        <v>1</v>
      </c>
      <c r="J107" s="96">
        <f>1</f>
        <v>1</v>
      </c>
      <c r="K107" s="77"/>
      <c r="L107" s="77"/>
      <c r="M107" s="38">
        <f t="shared" si="4"/>
        <v>0</v>
      </c>
      <c r="N107" s="100">
        <f>3+2+1+1</f>
        <v>7</v>
      </c>
      <c r="O107" s="77">
        <f>7210.31+3647.96+1306.28</f>
        <v>12164.550000000001</v>
      </c>
      <c r="P107" s="77">
        <f>7201.31</f>
        <v>7201.31</v>
      </c>
      <c r="Q107" s="12">
        <f t="shared" si="3"/>
        <v>4963.2400000000007</v>
      </c>
      <c r="R107" s="141"/>
    </row>
    <row r="108" spans="1:19" s="13" customFormat="1" ht="15.75" x14ac:dyDescent="0.25">
      <c r="A108" s="10"/>
      <c r="B108" s="62" t="s">
        <v>70</v>
      </c>
      <c r="C108" s="1" t="s">
        <v>17</v>
      </c>
      <c r="D108" s="120"/>
      <c r="E108" s="3" t="s">
        <v>20</v>
      </c>
      <c r="F108" s="73" t="s">
        <v>373</v>
      </c>
      <c r="G108" s="74" t="s">
        <v>112</v>
      </c>
      <c r="H108" s="75">
        <v>6</v>
      </c>
      <c r="I108" s="76">
        <v>2</v>
      </c>
      <c r="J108" s="96">
        <f>2</f>
        <v>2</v>
      </c>
      <c r="K108" s="77">
        <f>1959.42</f>
        <v>1959.42</v>
      </c>
      <c r="L108" s="77"/>
      <c r="M108" s="78">
        <f t="shared" si="4"/>
        <v>1959.42</v>
      </c>
      <c r="N108" s="100">
        <f>2+3+4</f>
        <v>9</v>
      </c>
      <c r="O108" s="81">
        <v>7606.2</v>
      </c>
      <c r="P108" s="81">
        <f>3534.95</f>
        <v>3534.95</v>
      </c>
      <c r="Q108" s="79">
        <f t="shared" si="3"/>
        <v>4071.25</v>
      </c>
      <c r="R108" s="141"/>
    </row>
    <row r="109" spans="1:19" s="13" customFormat="1" ht="15.75" x14ac:dyDescent="0.25">
      <c r="A109" s="10"/>
      <c r="B109" s="22" t="s">
        <v>70</v>
      </c>
      <c r="C109" s="1" t="s">
        <v>17</v>
      </c>
      <c r="D109" s="120"/>
      <c r="E109" s="3" t="s">
        <v>20</v>
      </c>
      <c r="F109" s="73" t="s">
        <v>460</v>
      </c>
      <c r="G109" s="11" t="s">
        <v>114</v>
      </c>
      <c r="H109" s="1">
        <v>17</v>
      </c>
      <c r="I109" s="49">
        <v>1</v>
      </c>
      <c r="J109" s="51">
        <v>1</v>
      </c>
      <c r="K109" s="40"/>
      <c r="L109" s="40"/>
      <c r="M109" s="38">
        <f t="shared" si="4"/>
        <v>0</v>
      </c>
      <c r="N109" s="41">
        <v>28</v>
      </c>
      <c r="O109" s="31">
        <v>36457.769999999997</v>
      </c>
      <c r="P109" s="31">
        <v>29350.07</v>
      </c>
      <c r="Q109" s="12">
        <f t="shared" si="3"/>
        <v>7107.6999999999971</v>
      </c>
    </row>
    <row r="110" spans="1:19" s="15" customFormat="1" ht="15.75" x14ac:dyDescent="0.25">
      <c r="A110" s="14"/>
      <c r="B110" s="80" t="s">
        <v>71</v>
      </c>
      <c r="C110" s="1" t="s">
        <v>17</v>
      </c>
      <c r="D110" s="120"/>
      <c r="E110" s="3" t="s">
        <v>32</v>
      </c>
      <c r="F110" s="73" t="s">
        <v>374</v>
      </c>
      <c r="G110" s="74" t="s">
        <v>112</v>
      </c>
      <c r="H110" s="75">
        <v>11</v>
      </c>
      <c r="I110" s="76">
        <v>6</v>
      </c>
      <c r="J110" s="96">
        <f>3+1+2</f>
        <v>6</v>
      </c>
      <c r="K110" s="77">
        <f>1536.8+461.04+1748.88</f>
        <v>3746.7200000000003</v>
      </c>
      <c r="L110" s="77"/>
      <c r="M110" s="78">
        <f t="shared" si="4"/>
        <v>3746.7200000000003</v>
      </c>
      <c r="N110" s="100">
        <f>3+2+1</f>
        <v>6</v>
      </c>
      <c r="O110" s="81">
        <f>9567.93+3616.67+403.41</f>
        <v>13588.01</v>
      </c>
      <c r="P110" s="81">
        <f>9567.93</f>
        <v>9567.93</v>
      </c>
      <c r="Q110" s="79">
        <f t="shared" si="3"/>
        <v>4020.08</v>
      </c>
      <c r="R110" s="141"/>
      <c r="S110" s="36"/>
    </row>
    <row r="111" spans="1:19" s="15" customFormat="1" ht="15.75" x14ac:dyDescent="0.25">
      <c r="A111" s="14"/>
      <c r="B111" s="23" t="s">
        <v>71</v>
      </c>
      <c r="C111" s="1" t="s">
        <v>17</v>
      </c>
      <c r="D111" s="120"/>
      <c r="E111" s="3" t="s">
        <v>32</v>
      </c>
      <c r="F111" s="73" t="s">
        <v>431</v>
      </c>
      <c r="G111" s="11" t="s">
        <v>115</v>
      </c>
      <c r="H111" s="1">
        <v>5</v>
      </c>
      <c r="I111" s="48">
        <v>3</v>
      </c>
      <c r="J111" s="45">
        <v>3</v>
      </c>
      <c r="K111" s="40">
        <v>3842</v>
      </c>
      <c r="L111" s="40"/>
      <c r="M111" s="38">
        <f t="shared" si="4"/>
        <v>3842</v>
      </c>
      <c r="N111" s="39">
        <f>5</f>
        <v>5</v>
      </c>
      <c r="O111" s="40">
        <v>6595.5</v>
      </c>
      <c r="P111" s="40">
        <v>6595.5</v>
      </c>
      <c r="Q111" s="12">
        <f t="shared" si="3"/>
        <v>0</v>
      </c>
    </row>
    <row r="112" spans="1:19" s="13" customFormat="1" ht="15.75" x14ac:dyDescent="0.25">
      <c r="A112" s="10"/>
      <c r="B112" s="62" t="s">
        <v>319</v>
      </c>
      <c r="C112" s="1" t="s">
        <v>17</v>
      </c>
      <c r="D112" s="120"/>
      <c r="E112" s="3" t="s">
        <v>20</v>
      </c>
      <c r="F112" s="73" t="s">
        <v>375</v>
      </c>
      <c r="G112" s="74" t="s">
        <v>112</v>
      </c>
      <c r="H112" s="75">
        <v>17</v>
      </c>
      <c r="I112" s="76">
        <v>8</v>
      </c>
      <c r="J112" s="96">
        <f>2+1+4+3</f>
        <v>10</v>
      </c>
      <c r="K112" s="77">
        <f>710.77+1523.35+6753.23+7215.52</f>
        <v>16202.869999999999</v>
      </c>
      <c r="L112" s="77"/>
      <c r="M112" s="78">
        <f>K112-L112</f>
        <v>16202.869999999999</v>
      </c>
      <c r="N112" s="100">
        <f>3+1+2+1</f>
        <v>7</v>
      </c>
      <c r="O112" s="77">
        <f>13419.94+726.71+2846.77+3770.56</f>
        <v>20763.980000000003</v>
      </c>
      <c r="P112" s="77">
        <f>13419.94</f>
        <v>13419.94</v>
      </c>
      <c r="Q112" s="79">
        <f>O112-P112</f>
        <v>7344.0400000000027</v>
      </c>
      <c r="R112" s="141"/>
    </row>
    <row r="113" spans="1:18" s="15" customFormat="1" ht="15.75" x14ac:dyDescent="0.25">
      <c r="A113" s="14"/>
      <c r="B113" s="62" t="s">
        <v>150</v>
      </c>
      <c r="C113" s="1" t="s">
        <v>17</v>
      </c>
      <c r="D113" s="120"/>
      <c r="E113" s="3" t="s">
        <v>35</v>
      </c>
      <c r="F113" s="73" t="s">
        <v>376</v>
      </c>
      <c r="G113" s="74" t="s">
        <v>112</v>
      </c>
      <c r="H113" s="75">
        <v>9</v>
      </c>
      <c r="I113" s="76">
        <v>2</v>
      </c>
      <c r="J113" s="97">
        <f>1+1</f>
        <v>2</v>
      </c>
      <c r="K113" s="77">
        <f>1343.65+384.2</f>
        <v>1727.8500000000001</v>
      </c>
      <c r="L113" s="77"/>
      <c r="M113" s="78">
        <f t="shared" si="4"/>
        <v>1727.8500000000001</v>
      </c>
      <c r="N113" s="114">
        <f>8+1+1+2</f>
        <v>12</v>
      </c>
      <c r="O113" s="77">
        <f>5997.32+3719.39+3054.34+13138.17</f>
        <v>25909.22</v>
      </c>
      <c r="P113" s="81">
        <f>3885.22+2113.1</f>
        <v>5998.32</v>
      </c>
      <c r="Q113" s="79">
        <f t="shared" si="3"/>
        <v>19910.900000000001</v>
      </c>
      <c r="R113" s="141"/>
    </row>
    <row r="114" spans="1:18" s="15" customFormat="1" ht="15.75" x14ac:dyDescent="0.25">
      <c r="A114" s="14"/>
      <c r="B114" s="50" t="s">
        <v>150</v>
      </c>
      <c r="C114" s="1" t="s">
        <v>17</v>
      </c>
      <c r="D114" s="120"/>
      <c r="E114" s="3" t="s">
        <v>32</v>
      </c>
      <c r="F114" s="73" t="s">
        <v>487</v>
      </c>
      <c r="G114" s="11" t="s">
        <v>117</v>
      </c>
      <c r="H114" s="1"/>
      <c r="I114" s="48"/>
      <c r="J114" s="45"/>
      <c r="K114" s="40"/>
      <c r="L114" s="37"/>
      <c r="M114" s="38">
        <f t="shared" si="4"/>
        <v>0</v>
      </c>
      <c r="N114" s="42">
        <v>1</v>
      </c>
      <c r="O114" s="40">
        <v>4226.2</v>
      </c>
      <c r="P114" s="40"/>
      <c r="Q114" s="12">
        <f t="shared" si="3"/>
        <v>4226.2</v>
      </c>
    </row>
    <row r="115" spans="1:18" s="13" customFormat="1" ht="15.75" x14ac:dyDescent="0.25">
      <c r="A115" s="10"/>
      <c r="B115" s="30" t="s">
        <v>72</v>
      </c>
      <c r="C115" s="1" t="s">
        <v>17</v>
      </c>
      <c r="D115" s="120"/>
      <c r="E115" s="3" t="s">
        <v>21</v>
      </c>
      <c r="F115" s="73" t="s">
        <v>377</v>
      </c>
      <c r="G115" s="74" t="s">
        <v>112</v>
      </c>
      <c r="H115" s="75">
        <v>11</v>
      </c>
      <c r="I115" s="76">
        <v>2</v>
      </c>
      <c r="J115" s="96">
        <f>1+1+1</f>
        <v>3</v>
      </c>
      <c r="K115" s="77">
        <f>633.93+1415.78+1610.18</f>
        <v>3659.8900000000003</v>
      </c>
      <c r="L115" s="77"/>
      <c r="M115" s="78">
        <f t="shared" si="4"/>
        <v>3659.8900000000003</v>
      </c>
      <c r="N115" s="100">
        <f>1+3+1+1+1</f>
        <v>7</v>
      </c>
      <c r="O115" s="81">
        <f>1950.74+10237.13+6595.95+3861.21+1348.53</f>
        <v>23993.559999999998</v>
      </c>
      <c r="P115" s="81">
        <f>1951.74+10237.13</f>
        <v>12188.869999999999</v>
      </c>
      <c r="Q115" s="79">
        <f t="shared" si="3"/>
        <v>11804.689999999999</v>
      </c>
      <c r="R115" s="141"/>
    </row>
    <row r="116" spans="1:18" s="13" customFormat="1" ht="15.75" x14ac:dyDescent="0.25">
      <c r="A116" s="10"/>
      <c r="B116" s="24" t="s">
        <v>72</v>
      </c>
      <c r="C116" s="1" t="s">
        <v>17</v>
      </c>
      <c r="D116" s="120"/>
      <c r="E116" s="3" t="s">
        <v>21</v>
      </c>
      <c r="F116" s="73" t="s">
        <v>441</v>
      </c>
      <c r="G116" s="11" t="s">
        <v>118</v>
      </c>
      <c r="H116" s="1">
        <v>5</v>
      </c>
      <c r="I116" s="49"/>
      <c r="J116" s="46"/>
      <c r="K116" s="40"/>
      <c r="L116" s="40"/>
      <c r="M116" s="38">
        <f t="shared" si="4"/>
        <v>0</v>
      </c>
      <c r="N116" s="41">
        <v>12</v>
      </c>
      <c r="O116" s="31">
        <v>45577.03</v>
      </c>
      <c r="P116" s="31">
        <v>9750.3799999999992</v>
      </c>
      <c r="Q116" s="12">
        <f t="shared" si="3"/>
        <v>35826.65</v>
      </c>
    </row>
    <row r="117" spans="1:18" s="15" customFormat="1" ht="15.75" x14ac:dyDescent="0.25">
      <c r="A117" s="14"/>
      <c r="B117" s="84" t="s">
        <v>73</v>
      </c>
      <c r="C117" s="1" t="s">
        <v>17</v>
      </c>
      <c r="D117" s="120"/>
      <c r="E117" s="3" t="s">
        <v>74</v>
      </c>
      <c r="F117" s="73" t="s">
        <v>378</v>
      </c>
      <c r="G117" s="74" t="s">
        <v>112</v>
      </c>
      <c r="H117" s="75">
        <v>16</v>
      </c>
      <c r="I117" s="76">
        <v>9</v>
      </c>
      <c r="J117" s="96">
        <f>9</f>
        <v>9</v>
      </c>
      <c r="K117" s="77">
        <f>6305.33</f>
        <v>6305.33</v>
      </c>
      <c r="L117" s="77"/>
      <c r="M117" s="78">
        <f t="shared" si="4"/>
        <v>6305.33</v>
      </c>
      <c r="N117" s="100">
        <f>5+3</f>
        <v>8</v>
      </c>
      <c r="O117" s="81">
        <f>5416.39+9506.99</f>
        <v>14923.380000000001</v>
      </c>
      <c r="P117" s="81">
        <f>5417.39</f>
        <v>5417.39</v>
      </c>
      <c r="Q117" s="79">
        <f t="shared" si="3"/>
        <v>9505.9900000000016</v>
      </c>
      <c r="R117" s="141"/>
    </row>
    <row r="118" spans="1:18" s="15" customFormat="1" ht="15.75" x14ac:dyDescent="0.25">
      <c r="A118" s="14"/>
      <c r="B118" s="29" t="s">
        <v>73</v>
      </c>
      <c r="C118" s="1" t="s">
        <v>17</v>
      </c>
      <c r="D118" s="120"/>
      <c r="E118" s="3" t="s">
        <v>74</v>
      </c>
      <c r="F118" s="73" t="s">
        <v>282</v>
      </c>
      <c r="G118" s="11" t="s">
        <v>114</v>
      </c>
      <c r="H118" s="1"/>
      <c r="I118" s="49"/>
      <c r="J118" s="51"/>
      <c r="K118" s="40"/>
      <c r="L118" s="40"/>
      <c r="M118" s="38">
        <f t="shared" si="4"/>
        <v>0</v>
      </c>
      <c r="N118" s="42">
        <v>1</v>
      </c>
      <c r="O118" s="31"/>
      <c r="P118" s="31"/>
      <c r="Q118" s="12">
        <f t="shared" si="3"/>
        <v>0</v>
      </c>
    </row>
    <row r="119" spans="1:18" s="13" customFormat="1" ht="15.75" x14ac:dyDescent="0.25">
      <c r="A119" s="10"/>
      <c r="B119" s="30" t="s">
        <v>135</v>
      </c>
      <c r="C119" s="1" t="s">
        <v>17</v>
      </c>
      <c r="D119" s="120"/>
      <c r="E119" s="17" t="s">
        <v>35</v>
      </c>
      <c r="F119" s="73" t="s">
        <v>379</v>
      </c>
      <c r="G119" s="74" t="s">
        <v>112</v>
      </c>
      <c r="H119" s="75">
        <v>12</v>
      </c>
      <c r="I119" s="76">
        <v>6</v>
      </c>
      <c r="J119" s="96">
        <f>1+6</f>
        <v>7</v>
      </c>
      <c r="K119" s="77">
        <f>697.32+4374.12</f>
        <v>5071.4399999999996</v>
      </c>
      <c r="L119" s="77">
        <f>697.32</f>
        <v>697.32</v>
      </c>
      <c r="M119" s="38">
        <f t="shared" si="4"/>
        <v>4374.12</v>
      </c>
      <c r="N119" s="100">
        <f>2+5+1+2+2</f>
        <v>12</v>
      </c>
      <c r="O119" s="81">
        <f>6432.89+2283.68</f>
        <v>8716.57</v>
      </c>
      <c r="P119" s="81">
        <f>6432.89</f>
        <v>6432.89</v>
      </c>
      <c r="Q119" s="12">
        <f t="shared" si="3"/>
        <v>2283.6799999999994</v>
      </c>
      <c r="R119" s="141"/>
    </row>
    <row r="120" spans="1:18" s="13" customFormat="1" ht="15.75" x14ac:dyDescent="0.25">
      <c r="A120" s="10"/>
      <c r="B120" s="24" t="s">
        <v>135</v>
      </c>
      <c r="C120" s="1" t="s">
        <v>17</v>
      </c>
      <c r="D120" s="120"/>
      <c r="E120" s="17" t="s">
        <v>35</v>
      </c>
      <c r="F120" s="73" t="s">
        <v>432</v>
      </c>
      <c r="G120" s="11" t="s">
        <v>115</v>
      </c>
      <c r="H120" s="1"/>
      <c r="I120" s="49"/>
      <c r="J120" s="46"/>
      <c r="K120" s="40"/>
      <c r="L120" s="40"/>
      <c r="M120" s="78">
        <f t="shared" si="4"/>
        <v>0</v>
      </c>
      <c r="N120" s="41">
        <v>1</v>
      </c>
      <c r="O120" s="31"/>
      <c r="P120" s="31"/>
      <c r="Q120" s="79">
        <f t="shared" si="3"/>
        <v>0</v>
      </c>
    </row>
    <row r="121" spans="1:18" s="13" customFormat="1" ht="15.75" x14ac:dyDescent="0.25">
      <c r="A121" s="10"/>
      <c r="B121" s="30" t="s">
        <v>145</v>
      </c>
      <c r="C121" s="1" t="s">
        <v>17</v>
      </c>
      <c r="D121" s="120"/>
      <c r="E121" s="17" t="s">
        <v>20</v>
      </c>
      <c r="F121" s="73" t="s">
        <v>380</v>
      </c>
      <c r="G121" s="74" t="s">
        <v>112</v>
      </c>
      <c r="H121" s="75">
        <v>4</v>
      </c>
      <c r="I121" s="82">
        <v>2</v>
      </c>
      <c r="J121" s="96">
        <f>2+1</f>
        <v>3</v>
      </c>
      <c r="K121" s="77">
        <f>5169.72+1100</f>
        <v>6269.72</v>
      </c>
      <c r="L121" s="77"/>
      <c r="M121" s="38">
        <f t="shared" si="4"/>
        <v>6269.72</v>
      </c>
      <c r="N121" s="100">
        <f>1+1+2+1</f>
        <v>5</v>
      </c>
      <c r="O121" s="81">
        <f>5120.23+3915.15+1114.12</f>
        <v>10149.5</v>
      </c>
      <c r="P121" s="81">
        <f>5120.23</f>
        <v>5120.2299999999996</v>
      </c>
      <c r="Q121" s="12">
        <f t="shared" si="3"/>
        <v>5029.2700000000004</v>
      </c>
      <c r="R121" s="141"/>
    </row>
    <row r="122" spans="1:18" s="13" customFormat="1" ht="15.75" x14ac:dyDescent="0.25">
      <c r="A122" s="10"/>
      <c r="B122" s="24" t="s">
        <v>145</v>
      </c>
      <c r="C122" s="1" t="s">
        <v>17</v>
      </c>
      <c r="D122" s="120"/>
      <c r="E122" s="17" t="s">
        <v>20</v>
      </c>
      <c r="F122" s="73" t="s">
        <v>461</v>
      </c>
      <c r="G122" s="11" t="s">
        <v>114</v>
      </c>
      <c r="H122" s="1">
        <v>1</v>
      </c>
      <c r="I122" s="49"/>
      <c r="J122" s="51"/>
      <c r="K122" s="40"/>
      <c r="L122" s="40"/>
      <c r="M122" s="78">
        <f t="shared" si="4"/>
        <v>0</v>
      </c>
      <c r="N122" s="41">
        <v>9</v>
      </c>
      <c r="O122" s="31">
        <v>19379.400000000001</v>
      </c>
      <c r="P122" s="31">
        <v>13232.2</v>
      </c>
      <c r="Q122" s="79">
        <f t="shared" si="3"/>
        <v>6147.2000000000007</v>
      </c>
    </row>
    <row r="123" spans="1:18" s="13" customFormat="1" ht="15.75" x14ac:dyDescent="0.25">
      <c r="A123" s="10"/>
      <c r="B123" s="62" t="s">
        <v>76</v>
      </c>
      <c r="C123" s="1" t="s">
        <v>17</v>
      </c>
      <c r="D123" s="120"/>
      <c r="E123" s="3" t="s">
        <v>20</v>
      </c>
      <c r="F123" s="73" t="s">
        <v>381</v>
      </c>
      <c r="G123" s="74" t="s">
        <v>112</v>
      </c>
      <c r="H123" s="75">
        <v>17</v>
      </c>
      <c r="I123" s="76">
        <v>10</v>
      </c>
      <c r="J123" s="96">
        <f>1+6+3+1</f>
        <v>11</v>
      </c>
      <c r="K123" s="77">
        <f>6556.06+2806.39+2697.06+1267.86</f>
        <v>13327.37</v>
      </c>
      <c r="L123" s="77">
        <f>384.2</f>
        <v>384.2</v>
      </c>
      <c r="M123" s="38">
        <f t="shared" si="4"/>
        <v>12943.17</v>
      </c>
      <c r="N123" s="100">
        <f>5+6+2</f>
        <v>13</v>
      </c>
      <c r="O123" s="81">
        <f>11527.9+19846.52+1011.91+9641+2451.87</f>
        <v>44479.200000000004</v>
      </c>
      <c r="P123" s="81">
        <f>11144.7</f>
        <v>11144.7</v>
      </c>
      <c r="Q123" s="12">
        <f t="shared" si="3"/>
        <v>33334.5</v>
      </c>
      <c r="R123" s="141"/>
    </row>
    <row r="124" spans="1:18" s="13" customFormat="1" ht="15.75" x14ac:dyDescent="0.25">
      <c r="A124" s="10"/>
      <c r="B124" s="22" t="s">
        <v>76</v>
      </c>
      <c r="C124" s="1" t="s">
        <v>17</v>
      </c>
      <c r="D124" s="120"/>
      <c r="E124" s="3" t="s">
        <v>20</v>
      </c>
      <c r="F124" s="73" t="s">
        <v>462</v>
      </c>
      <c r="G124" s="11" t="s">
        <v>114</v>
      </c>
      <c r="H124" s="1">
        <v>6</v>
      </c>
      <c r="I124" s="49">
        <v>1</v>
      </c>
      <c r="J124" s="51">
        <v>1</v>
      </c>
      <c r="K124" s="40"/>
      <c r="L124" s="40"/>
      <c r="M124" s="78">
        <f t="shared" si="4"/>
        <v>0</v>
      </c>
      <c r="N124" s="41">
        <v>9</v>
      </c>
      <c r="O124" s="31">
        <v>17927.759999999998</v>
      </c>
      <c r="P124" s="31">
        <v>8706.9599999999991</v>
      </c>
      <c r="Q124" s="79">
        <f t="shared" si="3"/>
        <v>9220.7999999999993</v>
      </c>
    </row>
    <row r="125" spans="1:18" s="13" customFormat="1" ht="15.75" x14ac:dyDescent="0.25">
      <c r="A125" s="10"/>
      <c r="B125" s="30" t="s">
        <v>77</v>
      </c>
      <c r="C125" s="1" t="s">
        <v>17</v>
      </c>
      <c r="D125" s="120"/>
      <c r="E125" s="3" t="s">
        <v>32</v>
      </c>
      <c r="F125" s="73" t="s">
        <v>388</v>
      </c>
      <c r="G125" s="74" t="s">
        <v>112</v>
      </c>
      <c r="H125" s="75">
        <v>8</v>
      </c>
      <c r="I125" s="76">
        <v>4</v>
      </c>
      <c r="J125" s="96">
        <f>2+2</f>
        <v>4</v>
      </c>
      <c r="K125" s="77">
        <f>2440.63+1507.02</f>
        <v>3947.65</v>
      </c>
      <c r="L125" s="77"/>
      <c r="M125" s="38">
        <f t="shared" si="4"/>
        <v>3947.65</v>
      </c>
      <c r="N125" s="100">
        <f>5+2+3+3+1</f>
        <v>14</v>
      </c>
      <c r="O125" s="81">
        <f>11716.73+6848.82+4046.18+11166.34+8845.95</f>
        <v>42624.020000000004</v>
      </c>
      <c r="P125" s="81">
        <f>11716.73</f>
        <v>11716.73</v>
      </c>
      <c r="Q125" s="12">
        <f t="shared" si="3"/>
        <v>30907.290000000005</v>
      </c>
      <c r="R125" s="141"/>
    </row>
    <row r="126" spans="1:18" s="13" customFormat="1" ht="15.75" x14ac:dyDescent="0.25">
      <c r="A126" s="10"/>
      <c r="B126" s="24" t="s">
        <v>77</v>
      </c>
      <c r="C126" s="1" t="s">
        <v>17</v>
      </c>
      <c r="D126" s="120"/>
      <c r="E126" s="3" t="s">
        <v>32</v>
      </c>
      <c r="F126" s="73" t="s">
        <v>433</v>
      </c>
      <c r="G126" s="11" t="s">
        <v>117</v>
      </c>
      <c r="H126" s="1">
        <v>1</v>
      </c>
      <c r="I126" s="49"/>
      <c r="J126" s="46"/>
      <c r="K126" s="40"/>
      <c r="L126" s="40"/>
      <c r="M126" s="78">
        <f t="shared" si="4"/>
        <v>0</v>
      </c>
      <c r="N126" s="41">
        <v>5</v>
      </c>
      <c r="O126" s="31">
        <v>15666.81</v>
      </c>
      <c r="P126" s="31">
        <v>15666.81</v>
      </c>
      <c r="Q126" s="79">
        <f t="shared" si="3"/>
        <v>0</v>
      </c>
    </row>
    <row r="127" spans="1:18" s="13" customFormat="1" ht="15.75" x14ac:dyDescent="0.25">
      <c r="A127" s="10"/>
      <c r="B127" s="24" t="s">
        <v>321</v>
      </c>
      <c r="C127" s="1" t="s">
        <v>17</v>
      </c>
      <c r="D127" s="120"/>
      <c r="E127" s="3" t="s">
        <v>21</v>
      </c>
      <c r="F127" s="73" t="s">
        <v>489</v>
      </c>
      <c r="G127" s="11" t="s">
        <v>112</v>
      </c>
      <c r="H127" s="1">
        <v>3</v>
      </c>
      <c r="I127" s="49"/>
      <c r="J127" s="46"/>
      <c r="K127" s="40"/>
      <c r="L127" s="40"/>
      <c r="M127" s="78"/>
      <c r="N127" s="41"/>
      <c r="O127" s="31"/>
      <c r="P127" s="31"/>
      <c r="Q127" s="79"/>
      <c r="R127" s="141"/>
    </row>
    <row r="128" spans="1:18" s="13" customFormat="1" ht="31.5" x14ac:dyDescent="0.25">
      <c r="A128" s="10"/>
      <c r="B128" s="62" t="s">
        <v>79</v>
      </c>
      <c r="C128" s="1" t="s">
        <v>304</v>
      </c>
      <c r="D128" s="120" t="s">
        <v>385</v>
      </c>
      <c r="E128" s="3" t="s">
        <v>18</v>
      </c>
      <c r="F128" s="73" t="s">
        <v>389</v>
      </c>
      <c r="G128" s="74" t="s">
        <v>112</v>
      </c>
      <c r="H128" s="75">
        <v>10</v>
      </c>
      <c r="I128" s="76">
        <v>2</v>
      </c>
      <c r="J128" s="96">
        <f>2</f>
        <v>2</v>
      </c>
      <c r="K128" s="77">
        <f>2091.97</f>
        <v>2091.9699999999998</v>
      </c>
      <c r="L128" s="77"/>
      <c r="M128" s="38">
        <f t="shared" si="4"/>
        <v>2091.9699999999998</v>
      </c>
      <c r="N128" s="100">
        <f>2+2+1+2</f>
        <v>7</v>
      </c>
      <c r="O128" s="81">
        <f>1547.4+4166.12+7835.61+1675.01</f>
        <v>15224.140000000001</v>
      </c>
      <c r="P128" s="81">
        <f>1548.4</f>
        <v>1548.4</v>
      </c>
      <c r="Q128" s="12">
        <f t="shared" si="3"/>
        <v>13675.740000000002</v>
      </c>
      <c r="R128" s="141"/>
    </row>
    <row r="129" spans="1:18" s="13" customFormat="1" ht="31.5" x14ac:dyDescent="0.25">
      <c r="A129" s="10"/>
      <c r="B129" s="22" t="s">
        <v>79</v>
      </c>
      <c r="C129" s="1" t="s">
        <v>304</v>
      </c>
      <c r="D129" s="120" t="s">
        <v>475</v>
      </c>
      <c r="E129" s="3" t="s">
        <v>18</v>
      </c>
      <c r="F129" s="73" t="s">
        <v>329</v>
      </c>
      <c r="G129" s="11" t="s">
        <v>113</v>
      </c>
      <c r="H129" s="1">
        <v>21</v>
      </c>
      <c r="I129" s="53">
        <v>8</v>
      </c>
      <c r="J129" s="127">
        <v>8</v>
      </c>
      <c r="K129" s="31">
        <v>3754</v>
      </c>
      <c r="L129" s="31"/>
      <c r="M129" s="78">
        <f t="shared" si="4"/>
        <v>3754</v>
      </c>
      <c r="N129" s="41">
        <v>9</v>
      </c>
      <c r="O129" s="31">
        <v>33212</v>
      </c>
      <c r="P129" s="31">
        <v>20839</v>
      </c>
      <c r="Q129" s="79">
        <f t="shared" si="3"/>
        <v>12373</v>
      </c>
    </row>
    <row r="130" spans="1:18" s="13" customFormat="1" ht="15.75" x14ac:dyDescent="0.25">
      <c r="A130" s="10"/>
      <c r="B130" s="62" t="s">
        <v>151</v>
      </c>
      <c r="C130" s="1" t="s">
        <v>17</v>
      </c>
      <c r="D130" s="120"/>
      <c r="E130" s="3" t="s">
        <v>32</v>
      </c>
      <c r="F130" s="73" t="s">
        <v>390</v>
      </c>
      <c r="G130" s="74" t="s">
        <v>112</v>
      </c>
      <c r="H130" s="75">
        <v>23</v>
      </c>
      <c r="I130" s="82">
        <v>8</v>
      </c>
      <c r="J130" s="96">
        <f>1+3+3</f>
        <v>7</v>
      </c>
      <c r="K130" s="81">
        <f>2317+4640.19+5864.19</f>
        <v>12821.38</v>
      </c>
      <c r="L130" s="81"/>
      <c r="M130" s="38">
        <f t="shared" si="4"/>
        <v>12821.38</v>
      </c>
      <c r="N130" s="100">
        <f>9+3+5+1</f>
        <v>18</v>
      </c>
      <c r="O130" s="81">
        <f>10726.94+18822.65+5703.53+12846.53+1320.36</f>
        <v>49420.01</v>
      </c>
      <c r="P130" s="81">
        <f>10726.94</f>
        <v>10726.94</v>
      </c>
      <c r="Q130" s="12">
        <f t="shared" si="3"/>
        <v>38693.07</v>
      </c>
      <c r="R130" s="141"/>
    </row>
    <row r="131" spans="1:18" s="13" customFormat="1" ht="15.75" x14ac:dyDescent="0.25">
      <c r="A131" s="10"/>
      <c r="B131" s="22" t="s">
        <v>151</v>
      </c>
      <c r="C131" s="1" t="s">
        <v>17</v>
      </c>
      <c r="D131" s="120"/>
      <c r="E131" s="3" t="s">
        <v>32</v>
      </c>
      <c r="F131" s="73" t="s">
        <v>434</v>
      </c>
      <c r="G131" s="11" t="s">
        <v>117</v>
      </c>
      <c r="H131" s="1">
        <v>5</v>
      </c>
      <c r="I131" s="49"/>
      <c r="J131" s="46"/>
      <c r="K131" s="40"/>
      <c r="L131" s="40"/>
      <c r="M131" s="78">
        <f t="shared" si="4"/>
        <v>0</v>
      </c>
      <c r="N131" s="41">
        <v>12</v>
      </c>
      <c r="O131" s="31">
        <v>19824.099999999999</v>
      </c>
      <c r="P131" s="31">
        <v>14253.2</v>
      </c>
      <c r="Q131" s="79">
        <f t="shared" si="3"/>
        <v>5570.8999999999978</v>
      </c>
    </row>
    <row r="132" spans="1:18" s="13" customFormat="1" ht="15.75" x14ac:dyDescent="0.25">
      <c r="A132" s="10"/>
      <c r="B132" s="62" t="s">
        <v>80</v>
      </c>
      <c r="C132" s="1" t="s">
        <v>17</v>
      </c>
      <c r="D132" s="120"/>
      <c r="E132" s="3" t="s">
        <v>81</v>
      </c>
      <c r="F132" s="73" t="s">
        <v>417</v>
      </c>
      <c r="G132" s="74" t="s">
        <v>112</v>
      </c>
      <c r="H132" s="75"/>
      <c r="I132" s="76"/>
      <c r="J132" s="96"/>
      <c r="K132" s="77"/>
      <c r="L132" s="77"/>
      <c r="M132" s="38">
        <f t="shared" si="4"/>
        <v>0</v>
      </c>
      <c r="N132" s="100">
        <f>2</f>
        <v>2</v>
      </c>
      <c r="O132" s="81">
        <f>3040.94</f>
        <v>3040.94</v>
      </c>
      <c r="P132" s="81"/>
      <c r="Q132" s="12">
        <f t="shared" si="3"/>
        <v>3040.94</v>
      </c>
      <c r="R132" s="141"/>
    </row>
    <row r="133" spans="1:18" s="13" customFormat="1" ht="15.75" x14ac:dyDescent="0.25">
      <c r="A133" s="10"/>
      <c r="B133" s="22" t="s">
        <v>80</v>
      </c>
      <c r="C133" s="1" t="s">
        <v>17</v>
      </c>
      <c r="D133" s="120"/>
      <c r="E133" s="3" t="s">
        <v>81</v>
      </c>
      <c r="F133" s="73" t="s">
        <v>285</v>
      </c>
      <c r="G133" s="11" t="s">
        <v>114</v>
      </c>
      <c r="H133" s="1"/>
      <c r="I133" s="49"/>
      <c r="J133" s="51"/>
      <c r="K133" s="40"/>
      <c r="L133" s="40"/>
      <c r="M133" s="78">
        <f t="shared" si="4"/>
        <v>0</v>
      </c>
      <c r="N133" s="41">
        <v>17</v>
      </c>
      <c r="O133" s="31">
        <f>21200.04</f>
        <v>21200.04</v>
      </c>
      <c r="P133" s="31">
        <v>16128.6</v>
      </c>
      <c r="Q133" s="79">
        <f t="shared" si="3"/>
        <v>5071.4400000000005</v>
      </c>
    </row>
    <row r="134" spans="1:18" s="13" customFormat="1" ht="15.75" x14ac:dyDescent="0.25">
      <c r="A134" s="10"/>
      <c r="B134" s="30" t="s">
        <v>82</v>
      </c>
      <c r="C134" s="1" t="s">
        <v>17</v>
      </c>
      <c r="D134" s="120"/>
      <c r="E134" s="3" t="s">
        <v>20</v>
      </c>
      <c r="F134" s="73" t="s">
        <v>394</v>
      </c>
      <c r="G134" s="74" t="s">
        <v>112</v>
      </c>
      <c r="H134" s="75">
        <v>5</v>
      </c>
      <c r="I134" s="76"/>
      <c r="J134" s="96"/>
      <c r="K134" s="77"/>
      <c r="L134" s="77"/>
      <c r="M134" s="38">
        <f t="shared" si="4"/>
        <v>0</v>
      </c>
      <c r="N134" s="100">
        <f>3+5</f>
        <v>8</v>
      </c>
      <c r="O134" s="81">
        <f>5975.84+23579.15</f>
        <v>29554.99</v>
      </c>
      <c r="P134" s="81">
        <f>15975.84-2007.3+300</f>
        <v>14268.54</v>
      </c>
      <c r="Q134" s="12">
        <f t="shared" si="3"/>
        <v>15286.45</v>
      </c>
      <c r="R134" s="141"/>
    </row>
    <row r="135" spans="1:18" s="13" customFormat="1" ht="15.75" x14ac:dyDescent="0.25">
      <c r="A135" s="10"/>
      <c r="B135" s="24" t="s">
        <v>82</v>
      </c>
      <c r="C135" s="1" t="s">
        <v>17</v>
      </c>
      <c r="D135" s="120"/>
      <c r="E135" s="3" t="s">
        <v>20</v>
      </c>
      <c r="F135" s="73" t="s">
        <v>463</v>
      </c>
      <c r="G135" s="11" t="s">
        <v>114</v>
      </c>
      <c r="H135" s="1">
        <v>12</v>
      </c>
      <c r="I135" s="49"/>
      <c r="J135" s="51"/>
      <c r="K135" s="40"/>
      <c r="L135" s="40"/>
      <c r="M135" s="78">
        <f t="shared" si="4"/>
        <v>0</v>
      </c>
      <c r="N135" s="41">
        <v>7</v>
      </c>
      <c r="O135" s="31">
        <v>10757.8</v>
      </c>
      <c r="P135" s="31">
        <f>4314.3</f>
        <v>4314.3</v>
      </c>
      <c r="Q135" s="79">
        <f t="shared" si="3"/>
        <v>6443.4999999999991</v>
      </c>
    </row>
    <row r="136" spans="1:18" s="13" customFormat="1" ht="15.75" x14ac:dyDescent="0.25">
      <c r="A136" s="10"/>
      <c r="B136" s="24" t="s">
        <v>309</v>
      </c>
      <c r="C136" s="1"/>
      <c r="D136" s="120"/>
      <c r="E136" s="3" t="s">
        <v>20</v>
      </c>
      <c r="F136" s="73" t="s">
        <v>391</v>
      </c>
      <c r="G136" s="11" t="s">
        <v>112</v>
      </c>
      <c r="H136" s="1">
        <v>10</v>
      </c>
      <c r="I136" s="58">
        <v>1</v>
      </c>
      <c r="J136" s="51">
        <f>1</f>
        <v>1</v>
      </c>
      <c r="K136" s="40">
        <f>3606.1</f>
        <v>3606.1</v>
      </c>
      <c r="L136" s="40"/>
      <c r="M136" s="38">
        <f t="shared" si="4"/>
        <v>3606.1</v>
      </c>
      <c r="N136" s="41">
        <f>1+5+1</f>
        <v>7</v>
      </c>
      <c r="O136" s="31">
        <f>3088.97+13147.65+1267.86</f>
        <v>17504.48</v>
      </c>
      <c r="P136" s="31" t="s">
        <v>305</v>
      </c>
      <c r="Q136" s="79"/>
      <c r="R136" s="141"/>
    </row>
    <row r="137" spans="1:18" s="13" customFormat="1" ht="15.75" x14ac:dyDescent="0.25">
      <c r="A137" s="10"/>
      <c r="B137" s="30" t="s">
        <v>152</v>
      </c>
      <c r="C137" s="1" t="s">
        <v>17</v>
      </c>
      <c r="D137" s="120"/>
      <c r="E137" s="3" t="s">
        <v>35</v>
      </c>
      <c r="F137" s="73" t="s">
        <v>392</v>
      </c>
      <c r="G137" s="74" t="s">
        <v>112</v>
      </c>
      <c r="H137" s="75">
        <v>7</v>
      </c>
      <c r="I137" s="76">
        <v>5</v>
      </c>
      <c r="J137" s="96">
        <f>1+1+2+1</f>
        <v>5</v>
      </c>
      <c r="K137" s="77">
        <f>403.41+845.24</f>
        <v>1248.6500000000001</v>
      </c>
      <c r="L137" s="77"/>
      <c r="M137" s="38">
        <f t="shared" si="4"/>
        <v>1248.6500000000001</v>
      </c>
      <c r="N137" s="100">
        <f>2+2+2+1+1</f>
        <v>8</v>
      </c>
      <c r="O137" s="81">
        <f>1690.48+3050.26+3661.61+4648.82+1267.86+1690.48+9282.42</f>
        <v>25291.93</v>
      </c>
      <c r="P137" s="81">
        <f>1690.4</f>
        <v>1690.4</v>
      </c>
      <c r="Q137" s="12">
        <f t="shared" si="3"/>
        <v>23601.53</v>
      </c>
      <c r="R137" s="141"/>
    </row>
    <row r="138" spans="1:18" s="13" customFormat="1" ht="15.75" x14ac:dyDescent="0.25">
      <c r="A138" s="10"/>
      <c r="B138" s="24" t="s">
        <v>152</v>
      </c>
      <c r="C138" s="1" t="s">
        <v>17</v>
      </c>
      <c r="D138" s="120"/>
      <c r="E138" s="3" t="s">
        <v>32</v>
      </c>
      <c r="F138" s="73"/>
      <c r="G138" s="11" t="s">
        <v>117</v>
      </c>
      <c r="H138" s="1"/>
      <c r="I138" s="49"/>
      <c r="J138" s="46"/>
      <c r="K138" s="40"/>
      <c r="L138" s="40"/>
      <c r="M138" s="78">
        <f t="shared" si="4"/>
        <v>0</v>
      </c>
      <c r="N138" s="41"/>
      <c r="O138" s="31"/>
      <c r="P138" s="31"/>
      <c r="Q138" s="79">
        <f t="shared" si="3"/>
        <v>0</v>
      </c>
    </row>
    <row r="139" spans="1:18" s="13" customFormat="1" ht="15.75" x14ac:dyDescent="0.25">
      <c r="A139" s="10"/>
      <c r="B139" s="30" t="s">
        <v>83</v>
      </c>
      <c r="C139" s="1" t="s">
        <v>17</v>
      </c>
      <c r="D139" s="120"/>
      <c r="E139" s="3" t="s">
        <v>20</v>
      </c>
      <c r="F139" s="73" t="s">
        <v>393</v>
      </c>
      <c r="G139" s="74" t="s">
        <v>112</v>
      </c>
      <c r="H139" s="75">
        <v>9</v>
      </c>
      <c r="I139" s="76">
        <v>4</v>
      </c>
      <c r="J139" s="96">
        <f>1+1+2</f>
        <v>4</v>
      </c>
      <c r="K139" s="77">
        <f>768.4+2535.72</f>
        <v>3304.12</v>
      </c>
      <c r="L139" s="77"/>
      <c r="M139" s="38">
        <f t="shared" si="4"/>
        <v>3304.12</v>
      </c>
      <c r="N139" s="100">
        <f>1+2+1</f>
        <v>4</v>
      </c>
      <c r="O139" s="81">
        <f>5837.09+1922.92</f>
        <v>7760.01</v>
      </c>
      <c r="P139" s="81"/>
      <c r="Q139" s="12">
        <f t="shared" si="3"/>
        <v>7760.01</v>
      </c>
      <c r="R139" s="141"/>
    </row>
    <row r="140" spans="1:18" s="13" customFormat="1" ht="15.75" x14ac:dyDescent="0.25">
      <c r="A140" s="10"/>
      <c r="B140" s="24" t="s">
        <v>83</v>
      </c>
      <c r="C140" s="1" t="s">
        <v>17</v>
      </c>
      <c r="D140" s="120"/>
      <c r="E140" s="3" t="s">
        <v>20</v>
      </c>
      <c r="F140" s="73" t="s">
        <v>464</v>
      </c>
      <c r="G140" s="11" t="s">
        <v>114</v>
      </c>
      <c r="H140" s="1">
        <v>9</v>
      </c>
      <c r="I140" s="49">
        <v>3</v>
      </c>
      <c r="J140" s="51">
        <v>3</v>
      </c>
      <c r="K140" s="40"/>
      <c r="L140" s="40"/>
      <c r="M140" s="78">
        <f t="shared" si="4"/>
        <v>0</v>
      </c>
      <c r="N140" s="41">
        <v>25</v>
      </c>
      <c r="O140" s="31">
        <v>43871.3</v>
      </c>
      <c r="P140" s="31">
        <v>34650.5</v>
      </c>
      <c r="Q140" s="79">
        <f t="shared" si="3"/>
        <v>9220.8000000000029</v>
      </c>
    </row>
    <row r="141" spans="1:18" s="13" customFormat="1" ht="15.75" x14ac:dyDescent="0.25">
      <c r="A141" s="10"/>
      <c r="B141" s="24" t="s">
        <v>310</v>
      </c>
      <c r="C141" s="1"/>
      <c r="D141" s="120"/>
      <c r="E141" s="3" t="s">
        <v>20</v>
      </c>
      <c r="F141" s="73"/>
      <c r="G141" s="11" t="s">
        <v>114</v>
      </c>
      <c r="H141" s="1"/>
      <c r="I141" s="49"/>
      <c r="J141" s="51"/>
      <c r="K141" s="40"/>
      <c r="L141" s="40"/>
      <c r="M141" s="78"/>
      <c r="N141" s="41"/>
      <c r="O141" s="31"/>
      <c r="P141" s="31"/>
      <c r="Q141" s="79"/>
    </row>
    <row r="142" spans="1:18" s="13" customFormat="1" ht="15.75" x14ac:dyDescent="0.25">
      <c r="A142" s="10"/>
      <c r="B142" s="30" t="s">
        <v>84</v>
      </c>
      <c r="C142" s="1"/>
      <c r="D142" s="120"/>
      <c r="E142" s="3" t="s">
        <v>20</v>
      </c>
      <c r="F142" s="73" t="s">
        <v>287</v>
      </c>
      <c r="G142" s="11" t="s">
        <v>114</v>
      </c>
      <c r="H142" s="1"/>
      <c r="I142" s="49"/>
      <c r="J142" s="51"/>
      <c r="K142" s="40"/>
      <c r="L142" s="40"/>
      <c r="M142" s="38">
        <f t="shared" si="4"/>
        <v>0</v>
      </c>
      <c r="N142" s="41"/>
      <c r="O142" s="31"/>
      <c r="P142" s="31"/>
      <c r="Q142" s="12">
        <f t="shared" si="3"/>
        <v>0</v>
      </c>
    </row>
    <row r="143" spans="1:18" s="13" customFormat="1" ht="47.25" x14ac:dyDescent="0.25">
      <c r="A143" s="10"/>
      <c r="B143" s="30" t="s">
        <v>85</v>
      </c>
      <c r="C143" s="1" t="s">
        <v>304</v>
      </c>
      <c r="D143" s="120" t="s">
        <v>415</v>
      </c>
      <c r="E143" s="3" t="s">
        <v>20</v>
      </c>
      <c r="F143" s="73" t="s">
        <v>395</v>
      </c>
      <c r="G143" s="74" t="s">
        <v>112</v>
      </c>
      <c r="H143" s="75">
        <v>6</v>
      </c>
      <c r="I143" s="76"/>
      <c r="J143" s="96"/>
      <c r="K143" s="77"/>
      <c r="L143" s="77"/>
      <c r="M143" s="38">
        <f t="shared" si="4"/>
        <v>0</v>
      </c>
      <c r="N143" s="100"/>
      <c r="O143" s="81">
        <f>3917.73</f>
        <v>3917.73</v>
      </c>
      <c r="P143" s="81"/>
      <c r="Q143" s="79">
        <f t="shared" si="3"/>
        <v>3917.73</v>
      </c>
      <c r="R143" s="141"/>
    </row>
    <row r="144" spans="1:18" s="13" customFormat="1" ht="15.75" x14ac:dyDescent="0.25">
      <c r="A144" s="10"/>
      <c r="B144" s="27" t="s">
        <v>86</v>
      </c>
      <c r="C144" s="1" t="s">
        <v>17</v>
      </c>
      <c r="D144" s="120"/>
      <c r="E144" s="17" t="s">
        <v>20</v>
      </c>
      <c r="F144" s="73" t="s">
        <v>396</v>
      </c>
      <c r="G144" s="74" t="s">
        <v>112</v>
      </c>
      <c r="H144" s="75">
        <v>7</v>
      </c>
      <c r="I144" s="76">
        <v>3</v>
      </c>
      <c r="J144" s="96">
        <f>1+3+1</f>
        <v>5</v>
      </c>
      <c r="K144" s="77">
        <f>950.9+5134.06+2091.97</f>
        <v>8176.93</v>
      </c>
      <c r="L144" s="77"/>
      <c r="M144" s="38">
        <f t="shared" si="4"/>
        <v>8176.93</v>
      </c>
      <c r="N144" s="100">
        <f>15+4+2</f>
        <v>21</v>
      </c>
      <c r="O144" s="81">
        <f>30236.61+18366.75+8887.09</f>
        <v>57490.45</v>
      </c>
      <c r="P144" s="81">
        <f>30236.61</f>
        <v>30236.61</v>
      </c>
      <c r="Q144" s="12">
        <f t="shared" si="3"/>
        <v>27253.839999999997</v>
      </c>
      <c r="R144" s="141"/>
    </row>
    <row r="145" spans="1:18" s="13" customFormat="1" ht="15.75" x14ac:dyDescent="0.25">
      <c r="A145" s="10"/>
      <c r="B145" s="25" t="s">
        <v>86</v>
      </c>
      <c r="C145" s="1" t="s">
        <v>17</v>
      </c>
      <c r="D145" s="120"/>
      <c r="E145" s="17" t="s">
        <v>20</v>
      </c>
      <c r="F145" s="73" t="s">
        <v>465</v>
      </c>
      <c r="G145" s="11" t="s">
        <v>114</v>
      </c>
      <c r="H145" s="1">
        <v>2</v>
      </c>
      <c r="I145" s="49"/>
      <c r="J145" s="51"/>
      <c r="K145" s="40"/>
      <c r="L145" s="40"/>
      <c r="M145" s="78">
        <f t="shared" si="4"/>
        <v>0</v>
      </c>
      <c r="N145" s="41">
        <v>6</v>
      </c>
      <c r="O145" s="31">
        <v>3107.23</v>
      </c>
      <c r="P145" s="31">
        <v>3107.23</v>
      </c>
      <c r="Q145" s="79">
        <f t="shared" si="3"/>
        <v>0</v>
      </c>
    </row>
    <row r="146" spans="1:18" s="13" customFormat="1" ht="15.75" x14ac:dyDescent="0.25">
      <c r="A146" s="10"/>
      <c r="B146" s="62" t="s">
        <v>87</v>
      </c>
      <c r="C146" s="1" t="s">
        <v>17</v>
      </c>
      <c r="D146" s="120"/>
      <c r="E146" s="17" t="s">
        <v>78</v>
      </c>
      <c r="F146" s="73" t="s">
        <v>142</v>
      </c>
      <c r="G146" s="74" t="s">
        <v>112</v>
      </c>
      <c r="H146" s="75"/>
      <c r="I146" s="76"/>
      <c r="J146" s="96"/>
      <c r="K146" s="77"/>
      <c r="L146" s="77"/>
      <c r="M146" s="38">
        <f t="shared" si="4"/>
        <v>0</v>
      </c>
      <c r="N146" s="100"/>
      <c r="O146" s="81"/>
      <c r="P146" s="81"/>
      <c r="Q146" s="12">
        <f t="shared" si="3"/>
        <v>0</v>
      </c>
      <c r="R146" s="141"/>
    </row>
    <row r="147" spans="1:18" s="13" customFormat="1" ht="15.75" x14ac:dyDescent="0.25">
      <c r="A147" s="10"/>
      <c r="B147" s="62" t="s">
        <v>312</v>
      </c>
      <c r="C147" s="1" t="s">
        <v>17</v>
      </c>
      <c r="D147" s="120"/>
      <c r="E147" s="17" t="s">
        <v>20</v>
      </c>
      <c r="F147" s="73" t="s">
        <v>320</v>
      </c>
      <c r="G147" s="74" t="s">
        <v>112</v>
      </c>
      <c r="H147" s="75">
        <v>9</v>
      </c>
      <c r="I147" s="76">
        <v>2</v>
      </c>
      <c r="J147" s="96">
        <f>1+1</f>
        <v>2</v>
      </c>
      <c r="K147" s="77">
        <f>3319.49+845.24</f>
        <v>4164.7299999999996</v>
      </c>
      <c r="L147" s="77"/>
      <c r="M147" s="38"/>
      <c r="N147" s="100">
        <f>5+6</f>
        <v>11</v>
      </c>
      <c r="O147" s="81">
        <f>4226.2+6627.45</f>
        <v>10853.65</v>
      </c>
      <c r="P147" s="81">
        <f>4226.2</f>
        <v>4226.2</v>
      </c>
      <c r="Q147" s="12"/>
      <c r="R147" s="141"/>
    </row>
    <row r="148" spans="1:18" s="13" customFormat="1" ht="15.75" x14ac:dyDescent="0.25">
      <c r="A148" s="10"/>
      <c r="B148" s="62" t="s">
        <v>494</v>
      </c>
      <c r="C148" s="1" t="s">
        <v>17</v>
      </c>
      <c r="D148" s="120"/>
      <c r="E148" s="17" t="s">
        <v>20</v>
      </c>
      <c r="F148" s="73" t="s">
        <v>497</v>
      </c>
      <c r="G148" s="74" t="s">
        <v>112</v>
      </c>
      <c r="H148" s="75">
        <v>4</v>
      </c>
      <c r="I148" s="76">
        <v>1</v>
      </c>
      <c r="J148" s="96">
        <f>1</f>
        <v>1</v>
      </c>
      <c r="K148" s="77"/>
      <c r="L148" s="77"/>
      <c r="M148" s="38"/>
      <c r="N148" s="100"/>
      <c r="O148" s="81"/>
      <c r="P148" s="81"/>
      <c r="Q148" s="12"/>
      <c r="R148" s="141"/>
    </row>
    <row r="149" spans="1:18" s="13" customFormat="1" ht="15.75" x14ac:dyDescent="0.25">
      <c r="A149" s="10"/>
      <c r="B149" s="62" t="s">
        <v>494</v>
      </c>
      <c r="C149" s="1"/>
      <c r="D149" s="120"/>
      <c r="E149" s="17"/>
      <c r="F149" s="73"/>
      <c r="G149" s="74" t="s">
        <v>114</v>
      </c>
      <c r="H149" s="75">
        <v>11</v>
      </c>
      <c r="I149" s="76"/>
      <c r="J149" s="96"/>
      <c r="K149" s="77"/>
      <c r="L149" s="77"/>
      <c r="M149" s="38"/>
      <c r="N149" s="100"/>
      <c r="O149" s="81"/>
      <c r="P149" s="81"/>
      <c r="Q149" s="12"/>
      <c r="R149" s="141"/>
    </row>
    <row r="150" spans="1:18" s="13" customFormat="1" ht="15.75" x14ac:dyDescent="0.25">
      <c r="A150" s="10"/>
      <c r="B150" s="30" t="s">
        <v>88</v>
      </c>
      <c r="C150" s="1" t="s">
        <v>17</v>
      </c>
      <c r="D150" s="120"/>
      <c r="E150" s="3" t="s">
        <v>89</v>
      </c>
      <c r="F150" s="73" t="s">
        <v>397</v>
      </c>
      <c r="G150" s="74" t="s">
        <v>112</v>
      </c>
      <c r="H150" s="75">
        <v>4</v>
      </c>
      <c r="I150" s="76">
        <v>4</v>
      </c>
      <c r="J150" s="96">
        <f>1+3</f>
        <v>4</v>
      </c>
      <c r="K150" s="77">
        <f>4226.2+2394.91</f>
        <v>6621.11</v>
      </c>
      <c r="L150" s="77"/>
      <c r="M150" s="38">
        <f t="shared" si="4"/>
        <v>6621.11</v>
      </c>
      <c r="N150" s="100">
        <f>4+1+3+1+2+2+1+1</f>
        <v>15</v>
      </c>
      <c r="O150" s="81">
        <f>11967.83+2831.55+10544.37+9418.99+3799.13+1798.04</f>
        <v>40359.909999999996</v>
      </c>
      <c r="P150" s="81">
        <f>11967.83+2831.55</f>
        <v>14799.380000000001</v>
      </c>
      <c r="Q150" s="79">
        <f t="shared" ref="Q150:Q193" si="5">O150-P150</f>
        <v>25560.529999999995</v>
      </c>
      <c r="R150" s="141"/>
    </row>
    <row r="151" spans="1:18" s="13" customFormat="1" ht="15.75" x14ac:dyDescent="0.25">
      <c r="A151" s="10"/>
      <c r="B151" s="24" t="s">
        <v>88</v>
      </c>
      <c r="C151" s="1" t="s">
        <v>17</v>
      </c>
      <c r="D151" s="120"/>
      <c r="E151" s="3" t="s">
        <v>89</v>
      </c>
      <c r="F151" s="73" t="s">
        <v>442</v>
      </c>
      <c r="G151" s="11" t="s">
        <v>118</v>
      </c>
      <c r="H151" s="1">
        <v>1</v>
      </c>
      <c r="I151" s="49"/>
      <c r="J151" s="46"/>
      <c r="K151" s="40"/>
      <c r="L151" s="40"/>
      <c r="M151" s="38">
        <f t="shared" si="4"/>
        <v>0</v>
      </c>
      <c r="N151" s="41">
        <v>2</v>
      </c>
      <c r="O151" s="31">
        <v>8523.52</v>
      </c>
      <c r="P151" s="31">
        <v>6026.87</v>
      </c>
      <c r="Q151" s="12">
        <f t="shared" si="5"/>
        <v>2496.6500000000005</v>
      </c>
    </row>
    <row r="152" spans="1:18" s="13" customFormat="1" ht="15.75" x14ac:dyDescent="0.25">
      <c r="A152" s="10"/>
      <c r="B152" s="24" t="s">
        <v>88</v>
      </c>
      <c r="C152" s="1"/>
      <c r="D152" s="120"/>
      <c r="E152" s="3"/>
      <c r="F152" s="73"/>
      <c r="G152" s="11" t="s">
        <v>114</v>
      </c>
      <c r="H152" s="1">
        <v>1</v>
      </c>
      <c r="I152" s="49"/>
      <c r="J152" s="46"/>
      <c r="K152" s="40"/>
      <c r="L152" s="40"/>
      <c r="M152" s="38"/>
      <c r="N152" s="41"/>
      <c r="O152" s="31"/>
      <c r="P152" s="31"/>
      <c r="Q152" s="12"/>
    </row>
    <row r="153" spans="1:18" s="13" customFormat="1" ht="15.75" x14ac:dyDescent="0.25">
      <c r="A153" s="10"/>
      <c r="B153" s="30" t="s">
        <v>90</v>
      </c>
      <c r="C153" s="1" t="s">
        <v>17</v>
      </c>
      <c r="D153" s="120"/>
      <c r="E153" s="17" t="s">
        <v>20</v>
      </c>
      <c r="F153" s="73" t="s">
        <v>398</v>
      </c>
      <c r="G153" s="74" t="s">
        <v>112</v>
      </c>
      <c r="H153" s="75">
        <v>4</v>
      </c>
      <c r="I153" s="76">
        <v>1</v>
      </c>
      <c r="J153" s="96">
        <f>1</f>
        <v>1</v>
      </c>
      <c r="K153" s="77">
        <f>422.62</f>
        <v>422.62</v>
      </c>
      <c r="L153" s="77"/>
      <c r="M153" s="38">
        <f t="shared" si="4"/>
        <v>422.62</v>
      </c>
      <c r="N153" s="100">
        <f>1+1</f>
        <v>2</v>
      </c>
      <c r="O153" s="81">
        <f>2122.67+787.61</f>
        <v>2910.28</v>
      </c>
      <c r="P153" s="81"/>
      <c r="Q153" s="79">
        <f t="shared" si="5"/>
        <v>2910.28</v>
      </c>
      <c r="R153" s="141"/>
    </row>
    <row r="154" spans="1:18" s="13" customFormat="1" ht="15.75" x14ac:dyDescent="0.25">
      <c r="A154" s="10"/>
      <c r="B154" s="24" t="s">
        <v>90</v>
      </c>
      <c r="C154" s="1" t="s">
        <v>17</v>
      </c>
      <c r="D154" s="120"/>
      <c r="E154" s="17" t="s">
        <v>20</v>
      </c>
      <c r="F154" s="73" t="s">
        <v>466</v>
      </c>
      <c r="G154" s="11" t="s">
        <v>114</v>
      </c>
      <c r="H154" s="1">
        <v>8</v>
      </c>
      <c r="I154" s="49">
        <v>1</v>
      </c>
      <c r="J154" s="51">
        <v>1</v>
      </c>
      <c r="K154" s="40"/>
      <c r="L154" s="40"/>
      <c r="M154" s="78">
        <f t="shared" si="4"/>
        <v>0</v>
      </c>
      <c r="N154" s="41">
        <v>19</v>
      </c>
      <c r="O154" s="31">
        <f>31793</f>
        <v>31793</v>
      </c>
      <c r="P154" s="31">
        <v>20378.8</v>
      </c>
      <c r="Q154" s="12">
        <f t="shared" si="5"/>
        <v>11414.2</v>
      </c>
    </row>
    <row r="155" spans="1:18" s="13" customFormat="1" ht="15.75" x14ac:dyDescent="0.25">
      <c r="A155" s="10"/>
      <c r="B155" s="30" t="s">
        <v>91</v>
      </c>
      <c r="C155" s="1" t="s">
        <v>17</v>
      </c>
      <c r="D155" s="120"/>
      <c r="E155" s="17" t="s">
        <v>20</v>
      </c>
      <c r="F155" s="73" t="s">
        <v>399</v>
      </c>
      <c r="G155" s="74" t="s">
        <v>112</v>
      </c>
      <c r="H155" s="75"/>
      <c r="I155" s="76"/>
      <c r="J155" s="96"/>
      <c r="K155" s="77"/>
      <c r="L155" s="77"/>
      <c r="M155" s="38">
        <f t="shared" si="4"/>
        <v>0</v>
      </c>
      <c r="N155" s="100"/>
      <c r="O155" s="81"/>
      <c r="P155" s="81"/>
      <c r="Q155" s="79">
        <f t="shared" si="5"/>
        <v>0</v>
      </c>
      <c r="R155" s="141"/>
    </row>
    <row r="156" spans="1:18" s="13" customFormat="1" ht="15.75" x14ac:dyDescent="0.25">
      <c r="A156" s="10"/>
      <c r="B156" s="22" t="s">
        <v>138</v>
      </c>
      <c r="C156" s="1" t="s">
        <v>17</v>
      </c>
      <c r="D156" s="120"/>
      <c r="E156" s="17" t="s">
        <v>20</v>
      </c>
      <c r="F156" s="73" t="s">
        <v>467</v>
      </c>
      <c r="G156" s="11" t="s">
        <v>114</v>
      </c>
      <c r="H156" s="1">
        <v>3</v>
      </c>
      <c r="I156" s="49"/>
      <c r="J156" s="51"/>
      <c r="K156" s="37"/>
      <c r="L156" s="37"/>
      <c r="M156" s="78">
        <f t="shared" si="4"/>
        <v>0</v>
      </c>
      <c r="N156" s="39">
        <v>4</v>
      </c>
      <c r="O156" s="31">
        <v>1841</v>
      </c>
      <c r="P156" s="31"/>
      <c r="Q156" s="12">
        <f t="shared" si="5"/>
        <v>1841</v>
      </c>
    </row>
    <row r="157" spans="1:18" s="13" customFormat="1" ht="15.75" x14ac:dyDescent="0.25">
      <c r="A157" s="10"/>
      <c r="B157" s="62" t="s">
        <v>138</v>
      </c>
      <c r="C157" s="1" t="s">
        <v>17</v>
      </c>
      <c r="D157" s="120"/>
      <c r="E157" s="17" t="s">
        <v>20</v>
      </c>
      <c r="F157" s="73" t="s">
        <v>400</v>
      </c>
      <c r="G157" s="74" t="s">
        <v>112</v>
      </c>
      <c r="H157" s="75">
        <v>4</v>
      </c>
      <c r="I157" s="82"/>
      <c r="J157" s="96"/>
      <c r="K157" s="77"/>
      <c r="L157" s="77"/>
      <c r="M157" s="38">
        <f t="shared" si="4"/>
        <v>0</v>
      </c>
      <c r="N157" s="100">
        <f>5</f>
        <v>5</v>
      </c>
      <c r="O157" s="81">
        <v>8995.8700000000008</v>
      </c>
      <c r="P157" s="81">
        <f>8995.87</f>
        <v>8995.8700000000008</v>
      </c>
      <c r="Q157" s="79">
        <f t="shared" si="5"/>
        <v>0</v>
      </c>
      <c r="R157" s="141"/>
    </row>
    <row r="158" spans="1:18" s="13" customFormat="1" ht="15.75" x14ac:dyDescent="0.25">
      <c r="A158" s="10"/>
      <c r="B158" s="62" t="s">
        <v>157</v>
      </c>
      <c r="C158" s="1" t="s">
        <v>17</v>
      </c>
      <c r="D158" s="120"/>
      <c r="E158" s="17" t="s">
        <v>20</v>
      </c>
      <c r="F158" s="73" t="s">
        <v>401</v>
      </c>
      <c r="G158" s="74" t="s">
        <v>112</v>
      </c>
      <c r="H158" s="75">
        <v>6</v>
      </c>
      <c r="I158" s="82"/>
      <c r="J158" s="96"/>
      <c r="K158" s="77"/>
      <c r="L158" s="77"/>
      <c r="M158" s="38">
        <f t="shared" ref="M158:M192" si="6">K158-L158</f>
        <v>0</v>
      </c>
      <c r="N158" s="100"/>
      <c r="O158" s="81"/>
      <c r="P158" s="81"/>
      <c r="Q158" s="12">
        <f t="shared" si="5"/>
        <v>0</v>
      </c>
      <c r="R158" s="141"/>
    </row>
    <row r="159" spans="1:18" s="13" customFormat="1" ht="15.75" x14ac:dyDescent="0.25">
      <c r="A159" s="10"/>
      <c r="B159" s="22" t="s">
        <v>157</v>
      </c>
      <c r="C159" s="1" t="s">
        <v>17</v>
      </c>
      <c r="D159" s="120"/>
      <c r="E159" s="17" t="s">
        <v>20</v>
      </c>
      <c r="F159" s="73"/>
      <c r="G159" s="11" t="s">
        <v>114</v>
      </c>
      <c r="H159" s="1"/>
      <c r="I159" s="49"/>
      <c r="J159" s="51"/>
      <c r="K159" s="37"/>
      <c r="L159" s="37"/>
      <c r="M159" s="38">
        <f t="shared" si="6"/>
        <v>0</v>
      </c>
      <c r="N159" s="39"/>
      <c r="O159" s="31"/>
      <c r="P159" s="31"/>
      <c r="Q159" s="79">
        <f t="shared" si="5"/>
        <v>0</v>
      </c>
    </row>
    <row r="160" spans="1:18" s="15" customFormat="1" ht="15.75" x14ac:dyDescent="0.25">
      <c r="A160" s="14"/>
      <c r="B160" s="80" t="s">
        <v>92</v>
      </c>
      <c r="C160" s="1" t="s">
        <v>17</v>
      </c>
      <c r="D160" s="120"/>
      <c r="E160" s="17" t="s">
        <v>20</v>
      </c>
      <c r="F160" s="73" t="s">
        <v>402</v>
      </c>
      <c r="G160" s="74" t="s">
        <v>112</v>
      </c>
      <c r="H160" s="75">
        <v>5</v>
      </c>
      <c r="I160" s="76">
        <v>1</v>
      </c>
      <c r="J160" s="96">
        <f>1</f>
        <v>1</v>
      </c>
      <c r="K160" s="77">
        <f>1951.74</f>
        <v>1951.74</v>
      </c>
      <c r="L160" s="77"/>
      <c r="M160" s="38">
        <f t="shared" si="6"/>
        <v>1951.74</v>
      </c>
      <c r="N160" s="100">
        <f>4+1</f>
        <v>5</v>
      </c>
      <c r="O160" s="81">
        <f>12624.74+2697.06</f>
        <v>15321.8</v>
      </c>
      <c r="P160" s="81">
        <f>12624.74</f>
        <v>12624.74</v>
      </c>
      <c r="Q160" s="12">
        <f t="shared" si="5"/>
        <v>2697.0599999999995</v>
      </c>
      <c r="R160" s="141"/>
    </row>
    <row r="161" spans="1:18" s="15" customFormat="1" ht="15.75" x14ac:dyDescent="0.25">
      <c r="A161" s="14"/>
      <c r="B161" s="23" t="s">
        <v>92</v>
      </c>
      <c r="C161" s="1" t="s">
        <v>17</v>
      </c>
      <c r="D161" s="120"/>
      <c r="E161" s="17" t="s">
        <v>20</v>
      </c>
      <c r="F161" s="73" t="s">
        <v>129</v>
      </c>
      <c r="G161" s="11" t="s">
        <v>114</v>
      </c>
      <c r="H161" s="1"/>
      <c r="I161" s="49"/>
      <c r="J161" s="51"/>
      <c r="K161" s="40"/>
      <c r="L161" s="40"/>
      <c r="M161" s="38">
        <f t="shared" si="6"/>
        <v>0</v>
      </c>
      <c r="N161" s="39"/>
      <c r="O161" s="31"/>
      <c r="P161" s="31"/>
      <c r="Q161" s="79">
        <f t="shared" si="5"/>
        <v>0</v>
      </c>
    </row>
    <row r="162" spans="1:18" s="13" customFormat="1" ht="15.75" x14ac:dyDescent="0.25">
      <c r="A162" s="10"/>
      <c r="B162" s="30" t="s">
        <v>93</v>
      </c>
      <c r="C162" s="1" t="s">
        <v>17</v>
      </c>
      <c r="D162" s="120"/>
      <c r="E162" s="3" t="s">
        <v>94</v>
      </c>
      <c r="F162" s="73" t="s">
        <v>403</v>
      </c>
      <c r="G162" s="74" t="s">
        <v>112</v>
      </c>
      <c r="H162" s="75">
        <v>7</v>
      </c>
      <c r="I162" s="76">
        <v>2</v>
      </c>
      <c r="J162" s="96">
        <f>2</f>
        <v>2</v>
      </c>
      <c r="K162" s="77">
        <f>2362.84</f>
        <v>2362.84</v>
      </c>
      <c r="L162" s="77">
        <f>2362.84</f>
        <v>2362.84</v>
      </c>
      <c r="M162" s="38">
        <f t="shared" si="6"/>
        <v>0</v>
      </c>
      <c r="N162" s="100">
        <f>3+8</f>
        <v>11</v>
      </c>
      <c r="O162" s="81">
        <f>20117.75</f>
        <v>20117.75</v>
      </c>
      <c r="P162" s="81">
        <f>20117.75</f>
        <v>20117.75</v>
      </c>
      <c r="Q162" s="12">
        <f t="shared" si="5"/>
        <v>0</v>
      </c>
      <c r="R162" s="141"/>
    </row>
    <row r="163" spans="1:18" s="13" customFormat="1" ht="15.75" x14ac:dyDescent="0.25">
      <c r="A163" s="10"/>
      <c r="B163" s="24" t="s">
        <v>93</v>
      </c>
      <c r="C163" s="1" t="s">
        <v>17</v>
      </c>
      <c r="D163" s="120"/>
      <c r="E163" s="3" t="s">
        <v>94</v>
      </c>
      <c r="F163" s="73" t="s">
        <v>130</v>
      </c>
      <c r="G163" s="11" t="s">
        <v>114</v>
      </c>
      <c r="H163" s="1"/>
      <c r="I163" s="49"/>
      <c r="J163" s="51"/>
      <c r="K163" s="40"/>
      <c r="L163" s="77"/>
      <c r="M163" s="38">
        <f t="shared" si="6"/>
        <v>0</v>
      </c>
      <c r="N163" s="41"/>
      <c r="O163" s="31"/>
      <c r="P163" s="31"/>
      <c r="Q163" s="79">
        <f t="shared" si="5"/>
        <v>0</v>
      </c>
    </row>
    <row r="164" spans="1:18" s="13" customFormat="1" ht="15.75" x14ac:dyDescent="0.25">
      <c r="A164" s="10"/>
      <c r="B164" s="24" t="s">
        <v>93</v>
      </c>
      <c r="C164" s="1" t="s">
        <v>17</v>
      </c>
      <c r="D164" s="120"/>
      <c r="E164" s="3" t="s">
        <v>94</v>
      </c>
      <c r="F164" s="73" t="s">
        <v>240</v>
      </c>
      <c r="G164" s="11" t="s">
        <v>118</v>
      </c>
      <c r="H164" s="1"/>
      <c r="I164" s="49"/>
      <c r="J164" s="46"/>
      <c r="K164" s="40"/>
      <c r="L164" s="40"/>
      <c r="M164" s="78">
        <f t="shared" si="6"/>
        <v>0</v>
      </c>
      <c r="N164" s="41"/>
      <c r="O164" s="31"/>
      <c r="P164" s="31"/>
      <c r="Q164" s="12">
        <f t="shared" si="5"/>
        <v>0</v>
      </c>
    </row>
    <row r="165" spans="1:18" s="13" customFormat="1" ht="15.75" x14ac:dyDescent="0.25">
      <c r="A165" s="10"/>
      <c r="B165" s="30" t="s">
        <v>95</v>
      </c>
      <c r="C165" s="1" t="s">
        <v>17</v>
      </c>
      <c r="D165" s="120"/>
      <c r="E165" s="17" t="s">
        <v>20</v>
      </c>
      <c r="F165" s="73" t="s">
        <v>404</v>
      </c>
      <c r="G165" s="74" t="s">
        <v>112</v>
      </c>
      <c r="H165" s="75">
        <v>9</v>
      </c>
      <c r="I165" s="76">
        <v>1</v>
      </c>
      <c r="J165" s="96">
        <f>1</f>
        <v>1</v>
      </c>
      <c r="K165" s="77">
        <f>1061.35</f>
        <v>1061.3499999999999</v>
      </c>
      <c r="L165" s="77"/>
      <c r="M165" s="38">
        <f t="shared" si="6"/>
        <v>1061.3499999999999</v>
      </c>
      <c r="N165" s="100">
        <f>1+6</f>
        <v>7</v>
      </c>
      <c r="O165" s="81">
        <f>11603.82+7559.28</f>
        <v>19163.099999999999</v>
      </c>
      <c r="P165" s="81"/>
      <c r="Q165" s="79">
        <f t="shared" si="5"/>
        <v>19163.099999999999</v>
      </c>
      <c r="R165" s="141"/>
    </row>
    <row r="166" spans="1:18" s="13" customFormat="1" ht="15.75" x14ac:dyDescent="0.25">
      <c r="A166" s="10"/>
      <c r="B166" s="24" t="s">
        <v>95</v>
      </c>
      <c r="C166" s="1" t="s">
        <v>17</v>
      </c>
      <c r="D166" s="120"/>
      <c r="E166" s="17" t="s">
        <v>20</v>
      </c>
      <c r="F166" s="73" t="s">
        <v>291</v>
      </c>
      <c r="G166" s="11" t="s">
        <v>114</v>
      </c>
      <c r="H166" s="1">
        <v>3</v>
      </c>
      <c r="I166" s="49"/>
      <c r="J166" s="51"/>
      <c r="K166" s="40"/>
      <c r="L166" s="40"/>
      <c r="M166" s="78">
        <f t="shared" si="6"/>
        <v>0</v>
      </c>
      <c r="N166" s="41">
        <v>9</v>
      </c>
      <c r="O166" s="31"/>
      <c r="P166" s="31"/>
      <c r="Q166" s="12">
        <f t="shared" si="5"/>
        <v>0</v>
      </c>
    </row>
    <row r="167" spans="1:18" s="13" customFormat="1" ht="15.75" x14ac:dyDescent="0.25">
      <c r="A167" s="10"/>
      <c r="B167" s="30" t="s">
        <v>96</v>
      </c>
      <c r="C167" s="1" t="s">
        <v>17</v>
      </c>
      <c r="D167" s="120"/>
      <c r="E167" s="17" t="s">
        <v>97</v>
      </c>
      <c r="F167" s="73" t="s">
        <v>405</v>
      </c>
      <c r="G167" s="74" t="s">
        <v>112</v>
      </c>
      <c r="H167" s="75">
        <v>1</v>
      </c>
      <c r="I167" s="76"/>
      <c r="J167" s="96"/>
      <c r="K167" s="77"/>
      <c r="L167" s="77"/>
      <c r="M167" s="38">
        <f t="shared" si="6"/>
        <v>0</v>
      </c>
      <c r="N167" s="103">
        <f>1</f>
        <v>1</v>
      </c>
      <c r="O167" s="77">
        <f>1742.31</f>
        <v>1742.31</v>
      </c>
      <c r="P167" s="77"/>
      <c r="Q167" s="79">
        <f t="shared" si="5"/>
        <v>1742.31</v>
      </c>
      <c r="R167" s="141"/>
    </row>
    <row r="168" spans="1:18" s="13" customFormat="1" ht="15.75" x14ac:dyDescent="0.25">
      <c r="A168" s="10"/>
      <c r="B168" s="24" t="s">
        <v>96</v>
      </c>
      <c r="C168" s="1" t="s">
        <v>17</v>
      </c>
      <c r="D168" s="120"/>
      <c r="E168" s="17" t="s">
        <v>97</v>
      </c>
      <c r="F168" s="73" t="s">
        <v>468</v>
      </c>
      <c r="G168" s="11" t="s">
        <v>114</v>
      </c>
      <c r="H168" s="1">
        <v>1</v>
      </c>
      <c r="I168" s="49"/>
      <c r="J168" s="51"/>
      <c r="K168" s="40"/>
      <c r="L168" s="40"/>
      <c r="M168" s="78">
        <f t="shared" si="6"/>
        <v>0</v>
      </c>
      <c r="N168" s="41">
        <v>2</v>
      </c>
      <c r="O168" s="31"/>
      <c r="P168" s="31"/>
      <c r="Q168" s="12">
        <f t="shared" si="5"/>
        <v>0</v>
      </c>
    </row>
    <row r="169" spans="1:18" s="13" customFormat="1" ht="15.75" x14ac:dyDescent="0.25">
      <c r="A169" s="10"/>
      <c r="B169" s="30" t="s">
        <v>98</v>
      </c>
      <c r="C169" s="1" t="s">
        <v>17</v>
      </c>
      <c r="D169" s="120"/>
      <c r="E169" s="17" t="s">
        <v>35</v>
      </c>
      <c r="F169" s="73" t="s">
        <v>406</v>
      </c>
      <c r="G169" s="74" t="s">
        <v>112</v>
      </c>
      <c r="H169" s="75">
        <v>18</v>
      </c>
      <c r="I169" s="76">
        <v>4</v>
      </c>
      <c r="J169" s="96">
        <f>1+2+1</f>
        <v>4</v>
      </c>
      <c r="K169" s="77">
        <f>845.24+1764.25+8353.03</f>
        <v>10962.52</v>
      </c>
      <c r="L169" s="77"/>
      <c r="M169" s="38">
        <f t="shared" si="6"/>
        <v>10962.52</v>
      </c>
      <c r="N169" s="100">
        <f>9+1+1+4+2+1</f>
        <v>18</v>
      </c>
      <c r="O169" s="81">
        <f>17007.01+2697.06+1267.86+31709.38+5331.44-10826.79</f>
        <v>47185.96</v>
      </c>
      <c r="P169" s="81">
        <f>17007.01+10149.24</f>
        <v>27156.25</v>
      </c>
      <c r="Q169" s="79">
        <f t="shared" si="5"/>
        <v>20029.71</v>
      </c>
      <c r="R169" s="141"/>
    </row>
    <row r="170" spans="1:18" s="13" customFormat="1" ht="15.75" x14ac:dyDescent="0.25">
      <c r="A170" s="10"/>
      <c r="B170" s="24" t="s">
        <v>98</v>
      </c>
      <c r="C170" s="1" t="s">
        <v>17</v>
      </c>
      <c r="D170" s="120"/>
      <c r="E170" s="17" t="s">
        <v>35</v>
      </c>
      <c r="F170" s="73" t="s">
        <v>435</v>
      </c>
      <c r="G170" s="8" t="s">
        <v>117</v>
      </c>
      <c r="H170" s="1">
        <v>2</v>
      </c>
      <c r="I170" s="49">
        <v>1</v>
      </c>
      <c r="J170" s="46">
        <v>1</v>
      </c>
      <c r="K170" s="40"/>
      <c r="L170" s="40"/>
      <c r="M170" s="78">
        <f t="shared" si="6"/>
        <v>0</v>
      </c>
      <c r="N170" s="41">
        <f>4</f>
        <v>4</v>
      </c>
      <c r="O170" s="40">
        <v>10721.75</v>
      </c>
      <c r="P170" s="40">
        <v>9286.24</v>
      </c>
      <c r="Q170" s="12">
        <f t="shared" si="5"/>
        <v>1435.5100000000002</v>
      </c>
    </row>
    <row r="171" spans="1:18" s="13" customFormat="1" ht="15.75" x14ac:dyDescent="0.25">
      <c r="A171" s="10"/>
      <c r="B171" s="24" t="s">
        <v>488</v>
      </c>
      <c r="C171" s="1" t="s">
        <v>17</v>
      </c>
      <c r="D171" s="120"/>
      <c r="E171" s="17" t="s">
        <v>97</v>
      </c>
      <c r="F171" s="73" t="s">
        <v>498</v>
      </c>
      <c r="G171" s="8" t="s">
        <v>112</v>
      </c>
      <c r="H171" s="1">
        <v>5</v>
      </c>
      <c r="I171" s="49"/>
      <c r="J171" s="46"/>
      <c r="K171" s="40"/>
      <c r="L171" s="40"/>
      <c r="M171" s="78"/>
      <c r="N171" s="41"/>
      <c r="O171" s="40"/>
      <c r="P171" s="40"/>
      <c r="Q171" s="12"/>
    </row>
    <row r="172" spans="1:18" s="15" customFormat="1" ht="15.75" x14ac:dyDescent="0.25">
      <c r="A172" s="14"/>
      <c r="B172" s="84" t="s">
        <v>99</v>
      </c>
      <c r="C172" s="1" t="s">
        <v>17</v>
      </c>
      <c r="D172" s="120"/>
      <c r="E172" s="3" t="s">
        <v>32</v>
      </c>
      <c r="F172" s="73" t="s">
        <v>418</v>
      </c>
      <c r="G172" s="74" t="s">
        <v>112</v>
      </c>
      <c r="H172" s="75"/>
      <c r="I172" s="76"/>
      <c r="J172" s="96"/>
      <c r="K172" s="77"/>
      <c r="L172" s="77"/>
      <c r="M172" s="38">
        <f t="shared" si="6"/>
        <v>0</v>
      </c>
      <c r="N172" s="100"/>
      <c r="O172" s="81"/>
      <c r="P172" s="81"/>
      <c r="Q172" s="79">
        <f t="shared" si="5"/>
        <v>0</v>
      </c>
      <c r="R172" s="141"/>
    </row>
    <row r="173" spans="1:18" s="15" customFormat="1" ht="15.75" x14ac:dyDescent="0.25">
      <c r="A173" s="14"/>
      <c r="B173" s="29" t="s">
        <v>99</v>
      </c>
      <c r="C173" s="1" t="s">
        <v>17</v>
      </c>
      <c r="D173" s="120"/>
      <c r="E173" s="3" t="s">
        <v>32</v>
      </c>
      <c r="F173" s="73" t="s">
        <v>423</v>
      </c>
      <c r="G173" s="8" t="s">
        <v>117</v>
      </c>
      <c r="H173" s="1"/>
      <c r="I173" s="49"/>
      <c r="J173" s="51"/>
      <c r="K173" s="40"/>
      <c r="L173" s="40"/>
      <c r="M173" s="78">
        <f t="shared" si="6"/>
        <v>0</v>
      </c>
      <c r="N173" s="39"/>
      <c r="O173" s="40"/>
      <c r="P173" s="40"/>
      <c r="Q173" s="12">
        <f t="shared" si="5"/>
        <v>0</v>
      </c>
    </row>
    <row r="174" spans="1:18" s="15" customFormat="1" ht="31.5" x14ac:dyDescent="0.25">
      <c r="A174" s="14"/>
      <c r="B174" s="30" t="s">
        <v>144</v>
      </c>
      <c r="C174" s="1" t="s">
        <v>304</v>
      </c>
      <c r="D174" s="120" t="s">
        <v>313</v>
      </c>
      <c r="E174" s="17" t="s">
        <v>97</v>
      </c>
      <c r="F174" s="73" t="s">
        <v>407</v>
      </c>
      <c r="G174" s="66" t="s">
        <v>112</v>
      </c>
      <c r="H174" s="75">
        <v>7</v>
      </c>
      <c r="I174" s="76">
        <v>4</v>
      </c>
      <c r="J174" s="98">
        <f>2+2+1</f>
        <v>5</v>
      </c>
      <c r="K174" s="77">
        <f>950.9+1449.39+2272.32</f>
        <v>4672.6100000000006</v>
      </c>
      <c r="L174" s="77">
        <f>1373.52</f>
        <v>1373.52</v>
      </c>
      <c r="M174" s="38">
        <f t="shared" si="6"/>
        <v>3299.0900000000006</v>
      </c>
      <c r="N174" s="100">
        <f>3+2+1</f>
        <v>6</v>
      </c>
      <c r="O174" s="77">
        <f>5020.57+5566.06+2694.94</f>
        <v>13281.570000000002</v>
      </c>
      <c r="P174" s="77">
        <f>5071.44</f>
        <v>5071.4399999999996</v>
      </c>
      <c r="Q174" s="79">
        <f t="shared" si="5"/>
        <v>8210.130000000001</v>
      </c>
      <c r="R174" s="141"/>
    </row>
    <row r="175" spans="1:18" s="15" customFormat="1" ht="15.75" x14ac:dyDescent="0.25">
      <c r="A175" s="14"/>
      <c r="B175" s="30" t="s">
        <v>488</v>
      </c>
      <c r="C175" s="1"/>
      <c r="D175" s="120"/>
      <c r="E175" s="17"/>
      <c r="F175" s="73"/>
      <c r="G175" s="66" t="s">
        <v>114</v>
      </c>
      <c r="H175" s="75">
        <v>11</v>
      </c>
      <c r="I175" s="76"/>
      <c r="J175" s="98"/>
      <c r="K175" s="77"/>
      <c r="L175" s="77"/>
      <c r="M175" s="38"/>
      <c r="N175" s="100"/>
      <c r="O175" s="77"/>
      <c r="P175" s="77"/>
      <c r="Q175" s="79"/>
    </row>
    <row r="176" spans="1:18" s="15" customFormat="1" ht="15.75" x14ac:dyDescent="0.25">
      <c r="A176" s="14"/>
      <c r="B176" s="30" t="s">
        <v>488</v>
      </c>
      <c r="C176" s="1"/>
      <c r="D176" s="120"/>
      <c r="E176" s="17"/>
      <c r="F176" s="73"/>
      <c r="G176" s="66" t="s">
        <v>113</v>
      </c>
      <c r="H176" s="75">
        <v>2</v>
      </c>
      <c r="I176" s="76"/>
      <c r="J176" s="98"/>
      <c r="K176" s="77"/>
      <c r="L176" s="77"/>
      <c r="M176" s="38"/>
      <c r="N176" s="100"/>
      <c r="O176" s="77"/>
      <c r="P176" s="77"/>
      <c r="Q176" s="79"/>
    </row>
    <row r="177" spans="1:18" s="15" customFormat="1" ht="31.5" x14ac:dyDescent="0.25">
      <c r="A177" s="14"/>
      <c r="B177" s="34" t="s">
        <v>144</v>
      </c>
      <c r="C177" s="1" t="s">
        <v>446</v>
      </c>
      <c r="D177" s="120" t="s">
        <v>313</v>
      </c>
      <c r="E177" s="3" t="s">
        <v>20</v>
      </c>
      <c r="F177" s="73" t="s">
        <v>485</v>
      </c>
      <c r="G177" s="8" t="s">
        <v>114</v>
      </c>
      <c r="H177" s="1">
        <v>13</v>
      </c>
      <c r="I177" s="53">
        <v>1</v>
      </c>
      <c r="J177" s="52">
        <v>1</v>
      </c>
      <c r="K177" s="40"/>
      <c r="L177" s="40"/>
      <c r="M177" s="78">
        <f t="shared" si="6"/>
        <v>0</v>
      </c>
      <c r="N177" s="42">
        <v>18</v>
      </c>
      <c r="O177" s="31">
        <f>10845.7</f>
        <v>10845.7</v>
      </c>
      <c r="P177" s="31">
        <v>10845.7</v>
      </c>
      <c r="Q177" s="12">
        <f t="shared" si="5"/>
        <v>0</v>
      </c>
    </row>
    <row r="178" spans="1:18" s="21" customFormat="1" ht="47.25" x14ac:dyDescent="0.25">
      <c r="A178" s="1"/>
      <c r="B178" s="30" t="s">
        <v>100</v>
      </c>
      <c r="C178" s="1" t="s">
        <v>304</v>
      </c>
      <c r="D178" s="120" t="s">
        <v>416</v>
      </c>
      <c r="E178" s="17" t="s">
        <v>20</v>
      </c>
      <c r="F178" s="73" t="s">
        <v>408</v>
      </c>
      <c r="G178" s="27" t="s">
        <v>112</v>
      </c>
      <c r="H178" s="75">
        <v>10</v>
      </c>
      <c r="I178" s="76">
        <v>5</v>
      </c>
      <c r="J178" s="98">
        <f>5</f>
        <v>5</v>
      </c>
      <c r="K178" s="86">
        <f>6524.55</f>
        <v>6524.55</v>
      </c>
      <c r="L178" s="86"/>
      <c r="M178" s="38">
        <f t="shared" si="6"/>
        <v>6524.55</v>
      </c>
      <c r="N178" s="100">
        <f>1+3</f>
        <v>4</v>
      </c>
      <c r="O178" s="87">
        <f>10770.58+2113.01</f>
        <v>12883.59</v>
      </c>
      <c r="P178" s="87"/>
      <c r="Q178" s="79">
        <f t="shared" si="5"/>
        <v>12883.59</v>
      </c>
      <c r="R178" s="141"/>
    </row>
    <row r="179" spans="1:18" s="21" customFormat="1" ht="47.25" x14ac:dyDescent="0.25">
      <c r="A179" s="1"/>
      <c r="B179" s="24" t="s">
        <v>100</v>
      </c>
      <c r="C179" s="18" t="s">
        <v>125</v>
      </c>
      <c r="D179" s="120" t="s">
        <v>126</v>
      </c>
      <c r="E179" s="17" t="s">
        <v>20</v>
      </c>
      <c r="F179" s="73" t="s">
        <v>486</v>
      </c>
      <c r="G179" s="20" t="s">
        <v>114</v>
      </c>
      <c r="H179" s="1">
        <v>7</v>
      </c>
      <c r="I179" s="53"/>
      <c r="J179" s="52"/>
      <c r="K179" s="55"/>
      <c r="L179" s="55"/>
      <c r="M179" s="78">
        <f t="shared" si="6"/>
        <v>0</v>
      </c>
      <c r="N179" s="41"/>
      <c r="O179" s="54"/>
      <c r="P179" s="54"/>
      <c r="Q179" s="12">
        <f t="shared" si="5"/>
        <v>0</v>
      </c>
    </row>
    <row r="180" spans="1:18" s="13" customFormat="1" ht="15.75" x14ac:dyDescent="0.25">
      <c r="A180" s="10"/>
      <c r="B180" s="62" t="s">
        <v>101</v>
      </c>
      <c r="C180" s="1" t="s">
        <v>17</v>
      </c>
      <c r="D180" s="120"/>
      <c r="E180" s="17" t="s">
        <v>20</v>
      </c>
      <c r="F180" s="73" t="s">
        <v>409</v>
      </c>
      <c r="G180" s="74" t="s">
        <v>112</v>
      </c>
      <c r="H180" s="75">
        <v>8</v>
      </c>
      <c r="I180" s="76">
        <v>1</v>
      </c>
      <c r="J180" s="96">
        <f>1</f>
        <v>1</v>
      </c>
      <c r="K180" s="77">
        <f>1045.98</f>
        <v>1045.98</v>
      </c>
      <c r="L180" s="77"/>
      <c r="M180" s="38">
        <f t="shared" si="6"/>
        <v>1045.98</v>
      </c>
      <c r="N180" s="100">
        <f>5+2</f>
        <v>7</v>
      </c>
      <c r="O180" s="81">
        <f>6288.07+3061.62</f>
        <v>9349.6899999999987</v>
      </c>
      <c r="P180" s="81"/>
      <c r="Q180" s="79">
        <f t="shared" si="5"/>
        <v>9349.6899999999987</v>
      </c>
      <c r="R180" s="141"/>
    </row>
    <row r="181" spans="1:18" s="13" customFormat="1" ht="15.75" x14ac:dyDescent="0.25">
      <c r="A181" s="10"/>
      <c r="B181" s="62" t="s">
        <v>146</v>
      </c>
      <c r="C181" s="1" t="s">
        <v>17</v>
      </c>
      <c r="D181" s="120"/>
      <c r="E181" s="17" t="s">
        <v>20</v>
      </c>
      <c r="F181" s="73" t="s">
        <v>410</v>
      </c>
      <c r="G181" s="74" t="s">
        <v>112</v>
      </c>
      <c r="H181" s="75">
        <v>6</v>
      </c>
      <c r="I181" s="76">
        <v>5</v>
      </c>
      <c r="J181" s="96">
        <f>4+1</f>
        <v>5</v>
      </c>
      <c r="K181" s="77">
        <f>4610.77+1568.98</f>
        <v>6179.75</v>
      </c>
      <c r="L181" s="77"/>
      <c r="M181" s="38">
        <f t="shared" si="6"/>
        <v>6179.75</v>
      </c>
      <c r="N181" s="100">
        <f>5+1+1</f>
        <v>7</v>
      </c>
      <c r="O181" s="81">
        <f>13579.06+1287.07+2636.18</f>
        <v>17502.309999999998</v>
      </c>
      <c r="P181" s="81">
        <f>13579.06</f>
        <v>13579.06</v>
      </c>
      <c r="Q181" s="12">
        <f t="shared" si="5"/>
        <v>3923.2499999999982</v>
      </c>
      <c r="R181" s="141"/>
    </row>
    <row r="182" spans="1:18" s="13" customFormat="1" ht="15.75" x14ac:dyDescent="0.25">
      <c r="A182" s="10"/>
      <c r="B182" s="22" t="s">
        <v>146</v>
      </c>
      <c r="C182" s="1" t="s">
        <v>17</v>
      </c>
      <c r="D182" s="120"/>
      <c r="E182" s="3" t="s">
        <v>21</v>
      </c>
      <c r="F182" s="73" t="s">
        <v>443</v>
      </c>
      <c r="G182" s="11" t="s">
        <v>118</v>
      </c>
      <c r="H182" s="1">
        <v>4</v>
      </c>
      <c r="I182" s="47"/>
      <c r="J182" s="51"/>
      <c r="K182" s="37"/>
      <c r="L182" s="37"/>
      <c r="M182" s="38">
        <f t="shared" si="6"/>
        <v>0</v>
      </c>
      <c r="N182" s="39">
        <v>3</v>
      </c>
      <c r="O182" s="31">
        <v>3035.18</v>
      </c>
      <c r="P182" s="31">
        <v>1690.48</v>
      </c>
      <c r="Q182" s="79">
        <f t="shared" si="5"/>
        <v>1344.6999999999998</v>
      </c>
    </row>
    <row r="183" spans="1:18" s="13" customFormat="1" ht="15.75" x14ac:dyDescent="0.25">
      <c r="A183" s="10"/>
      <c r="B183" s="27" t="s">
        <v>102</v>
      </c>
      <c r="C183" s="1" t="s">
        <v>17</v>
      </c>
      <c r="D183" s="120"/>
      <c r="E183" s="17" t="s">
        <v>20</v>
      </c>
      <c r="F183" s="73" t="s">
        <v>411</v>
      </c>
      <c r="G183" s="74" t="s">
        <v>112</v>
      </c>
      <c r="H183" s="75">
        <v>8</v>
      </c>
      <c r="I183" s="76">
        <v>2</v>
      </c>
      <c r="J183" s="96">
        <f>1+1</f>
        <v>2</v>
      </c>
      <c r="K183" s="77">
        <f>845.24+845.24</f>
        <v>1690.48</v>
      </c>
      <c r="L183" s="77">
        <f>845.24</f>
        <v>845.24</v>
      </c>
      <c r="M183" s="38">
        <f t="shared" si="6"/>
        <v>845.24</v>
      </c>
      <c r="N183" s="100">
        <f>3</f>
        <v>3</v>
      </c>
      <c r="O183" s="81">
        <f>7808.21+30833.77</f>
        <v>38641.980000000003</v>
      </c>
      <c r="P183" s="81">
        <f>7808.21</f>
        <v>7808.21</v>
      </c>
      <c r="Q183" s="12">
        <f t="shared" si="5"/>
        <v>30833.770000000004</v>
      </c>
      <c r="R183" s="141"/>
    </row>
    <row r="184" spans="1:18" s="13" customFormat="1" ht="15.75" x14ac:dyDescent="0.25">
      <c r="A184" s="10"/>
      <c r="B184" s="25" t="s">
        <v>102</v>
      </c>
      <c r="C184" s="1" t="s">
        <v>17</v>
      </c>
      <c r="D184" s="120"/>
      <c r="E184" s="17" t="s">
        <v>20</v>
      </c>
      <c r="F184" s="73" t="s">
        <v>469</v>
      </c>
      <c r="G184" s="11" t="s">
        <v>114</v>
      </c>
      <c r="H184" s="1">
        <v>4</v>
      </c>
      <c r="I184" s="58">
        <v>2</v>
      </c>
      <c r="J184" s="51">
        <v>2</v>
      </c>
      <c r="K184" s="40"/>
      <c r="L184" s="40"/>
      <c r="M184" s="38">
        <f t="shared" si="6"/>
        <v>0</v>
      </c>
      <c r="N184" s="41">
        <v>8</v>
      </c>
      <c r="O184" s="31">
        <f>7604.1</f>
        <v>7604.1</v>
      </c>
      <c r="P184" s="31">
        <v>7604.1</v>
      </c>
      <c r="Q184" s="79">
        <f t="shared" si="5"/>
        <v>0</v>
      </c>
    </row>
    <row r="185" spans="1:18" s="13" customFormat="1" ht="15.75" x14ac:dyDescent="0.25">
      <c r="A185" s="10"/>
      <c r="B185" s="27" t="s">
        <v>103</v>
      </c>
      <c r="C185" s="1" t="s">
        <v>17</v>
      </c>
      <c r="D185" s="120"/>
      <c r="E185" s="3" t="s">
        <v>20</v>
      </c>
      <c r="F185" s="73" t="s">
        <v>412</v>
      </c>
      <c r="G185" s="74" t="s">
        <v>112</v>
      </c>
      <c r="H185" s="75">
        <v>7</v>
      </c>
      <c r="I185" s="76"/>
      <c r="J185" s="96"/>
      <c r="K185" s="77"/>
      <c r="L185" s="77"/>
      <c r="M185" s="38">
        <f t="shared" si="6"/>
        <v>0</v>
      </c>
      <c r="N185" s="100">
        <f>7</f>
        <v>7</v>
      </c>
      <c r="O185" s="77">
        <f>20193.14</f>
        <v>20193.14</v>
      </c>
      <c r="P185" s="81">
        <f>20193.14</f>
        <v>20193.14</v>
      </c>
      <c r="Q185" s="12">
        <f t="shared" si="5"/>
        <v>0</v>
      </c>
      <c r="R185" s="141"/>
    </row>
    <row r="186" spans="1:18" s="13" customFormat="1" ht="15.75" x14ac:dyDescent="0.25">
      <c r="A186" s="10"/>
      <c r="B186" s="25" t="s">
        <v>103</v>
      </c>
      <c r="C186" s="1" t="s">
        <v>17</v>
      </c>
      <c r="D186" s="120"/>
      <c r="E186" s="3" t="s">
        <v>20</v>
      </c>
      <c r="F186" s="73" t="s">
        <v>470</v>
      </c>
      <c r="G186" s="11" t="s">
        <v>114</v>
      </c>
      <c r="H186" s="1">
        <v>5</v>
      </c>
      <c r="I186" s="49"/>
      <c r="J186" s="51"/>
      <c r="K186" s="40"/>
      <c r="L186" s="40"/>
      <c r="M186" s="38">
        <f t="shared" si="6"/>
        <v>0</v>
      </c>
      <c r="N186" s="41">
        <v>4</v>
      </c>
      <c r="O186" s="31">
        <f>8510.89</f>
        <v>8510.89</v>
      </c>
      <c r="P186" s="31">
        <v>8510.89</v>
      </c>
      <c r="Q186" s="79">
        <f t="shared" si="5"/>
        <v>0</v>
      </c>
    </row>
    <row r="187" spans="1:18" s="15" customFormat="1" ht="15.75" x14ac:dyDescent="0.25">
      <c r="A187" s="14"/>
      <c r="B187" s="28" t="s">
        <v>104</v>
      </c>
      <c r="C187" s="1" t="s">
        <v>17</v>
      </c>
      <c r="D187" s="120"/>
      <c r="E187" s="3" t="s">
        <v>20</v>
      </c>
      <c r="F187" s="73" t="s">
        <v>413</v>
      </c>
      <c r="G187" s="74" t="s">
        <v>112</v>
      </c>
      <c r="H187" s="75">
        <v>7</v>
      </c>
      <c r="I187" s="76">
        <v>4</v>
      </c>
      <c r="J187" s="96">
        <f>3+1</f>
        <v>4</v>
      </c>
      <c r="K187" s="77">
        <f>5112.82+422.64</f>
        <v>5535.46</v>
      </c>
      <c r="L187" s="77"/>
      <c r="M187" s="38">
        <f t="shared" si="6"/>
        <v>5535.46</v>
      </c>
      <c r="N187" s="100">
        <f>4+1</f>
        <v>5</v>
      </c>
      <c r="O187" s="81">
        <f>7087.22</f>
        <v>7087.22</v>
      </c>
      <c r="P187" s="81">
        <f>7086.22</f>
        <v>7086.22</v>
      </c>
      <c r="Q187" s="12">
        <f t="shared" si="5"/>
        <v>1</v>
      </c>
      <c r="R187" s="141"/>
    </row>
    <row r="188" spans="1:18" s="15" customFormat="1" ht="15.75" x14ac:dyDescent="0.25">
      <c r="A188" s="14"/>
      <c r="B188" s="26" t="s">
        <v>104</v>
      </c>
      <c r="C188" s="1" t="s">
        <v>17</v>
      </c>
      <c r="D188" s="120"/>
      <c r="E188" s="3" t="s">
        <v>20</v>
      </c>
      <c r="F188" s="73" t="s">
        <v>471</v>
      </c>
      <c r="G188" s="11" t="s">
        <v>114</v>
      </c>
      <c r="H188" s="1">
        <v>21</v>
      </c>
      <c r="I188" s="49">
        <v>1</v>
      </c>
      <c r="J188" s="51">
        <v>1</v>
      </c>
      <c r="K188" s="40"/>
      <c r="L188" s="40"/>
      <c r="M188" s="38">
        <f t="shared" si="6"/>
        <v>0</v>
      </c>
      <c r="N188" s="39">
        <v>14</v>
      </c>
      <c r="O188" s="31">
        <f>8717.37</f>
        <v>8717.3700000000008</v>
      </c>
      <c r="P188" s="31">
        <v>8717.3700000000008</v>
      </c>
      <c r="Q188" s="79">
        <f t="shared" si="5"/>
        <v>0</v>
      </c>
    </row>
    <row r="189" spans="1:18" s="13" customFormat="1" ht="15.75" x14ac:dyDescent="0.25">
      <c r="A189" s="10"/>
      <c r="B189" s="30" t="s">
        <v>105</v>
      </c>
      <c r="C189" s="1" t="s">
        <v>17</v>
      </c>
      <c r="D189" s="120"/>
      <c r="E189" s="17" t="s">
        <v>35</v>
      </c>
      <c r="F189" s="73" t="s">
        <v>419</v>
      </c>
      <c r="G189" s="74" t="s">
        <v>112</v>
      </c>
      <c r="H189" s="75"/>
      <c r="I189" s="76"/>
      <c r="J189" s="96"/>
      <c r="K189" s="77"/>
      <c r="L189" s="77"/>
      <c r="M189" s="38">
        <f t="shared" si="6"/>
        <v>0</v>
      </c>
      <c r="N189" s="100"/>
      <c r="O189" s="81"/>
      <c r="P189" s="81"/>
      <c r="Q189" s="12">
        <f t="shared" si="5"/>
        <v>0</v>
      </c>
      <c r="R189" s="141"/>
    </row>
    <row r="190" spans="1:18" s="13" customFormat="1" ht="15.75" x14ac:dyDescent="0.25">
      <c r="A190" s="10"/>
      <c r="B190" s="30" t="s">
        <v>26</v>
      </c>
      <c r="C190" s="1" t="s">
        <v>17</v>
      </c>
      <c r="D190" s="120"/>
      <c r="E190" s="3" t="s">
        <v>32</v>
      </c>
      <c r="F190" s="73" t="s">
        <v>246</v>
      </c>
      <c r="G190" s="74" t="s">
        <v>117</v>
      </c>
      <c r="H190" s="75"/>
      <c r="I190" s="76"/>
      <c r="J190" s="96"/>
      <c r="K190" s="77"/>
      <c r="L190" s="77"/>
      <c r="M190" s="78">
        <f t="shared" si="6"/>
        <v>0</v>
      </c>
      <c r="N190" s="100">
        <v>3</v>
      </c>
      <c r="O190" s="81">
        <v>3774.05</v>
      </c>
      <c r="P190" s="81">
        <v>3774.05</v>
      </c>
      <c r="Q190" s="12">
        <f t="shared" si="5"/>
        <v>0</v>
      </c>
    </row>
    <row r="191" spans="1:18" s="13" customFormat="1" ht="15.75" x14ac:dyDescent="0.25">
      <c r="A191" s="10"/>
      <c r="B191" s="24" t="s">
        <v>105</v>
      </c>
      <c r="C191" s="1" t="s">
        <v>17</v>
      </c>
      <c r="D191" s="120"/>
      <c r="E191" s="17" t="s">
        <v>35</v>
      </c>
      <c r="F191" s="73" t="s">
        <v>436</v>
      </c>
      <c r="G191" s="11" t="s">
        <v>117</v>
      </c>
      <c r="H191" s="1"/>
      <c r="I191" s="47"/>
      <c r="J191" s="46"/>
      <c r="K191" s="40"/>
      <c r="L191" s="40"/>
      <c r="M191" s="38">
        <f t="shared" si="6"/>
        <v>0</v>
      </c>
      <c r="N191" s="41"/>
      <c r="O191" s="31"/>
      <c r="P191" s="31"/>
      <c r="Q191" s="79">
        <f t="shared" si="5"/>
        <v>0</v>
      </c>
    </row>
    <row r="192" spans="1:18" s="13" customFormat="1" ht="15.75" x14ac:dyDescent="0.25">
      <c r="A192" s="10"/>
      <c r="B192" s="62" t="s">
        <v>106</v>
      </c>
      <c r="C192" s="1" t="s">
        <v>17</v>
      </c>
      <c r="D192" s="2"/>
      <c r="E192" s="17" t="s">
        <v>20</v>
      </c>
      <c r="F192" s="73" t="s">
        <v>414</v>
      </c>
      <c r="G192" s="74" t="s">
        <v>112</v>
      </c>
      <c r="H192" s="75">
        <v>7</v>
      </c>
      <c r="I192" s="76"/>
      <c r="J192" s="96"/>
      <c r="K192" s="77"/>
      <c r="L192" s="77"/>
      <c r="M192" s="38">
        <f t="shared" si="6"/>
        <v>0</v>
      </c>
      <c r="N192" s="100">
        <f>3</f>
        <v>3</v>
      </c>
      <c r="O192" s="81">
        <f>15956.85</f>
        <v>15956.85</v>
      </c>
      <c r="P192" s="81">
        <f>15956.85</f>
        <v>15956.85</v>
      </c>
      <c r="Q192" s="12">
        <f t="shared" si="5"/>
        <v>0</v>
      </c>
      <c r="R192" s="141"/>
    </row>
    <row r="193" spans="1:18" ht="15.75" x14ac:dyDescent="0.25">
      <c r="A193" s="7"/>
      <c r="B193" s="32"/>
      <c r="C193" s="107"/>
      <c r="D193" s="33"/>
      <c r="E193" s="33"/>
      <c r="F193" s="73"/>
      <c r="G193" s="8" t="s">
        <v>131</v>
      </c>
      <c r="H193" s="106">
        <f t="shared" ref="H193:P193" si="7">SUM(H10:H192)</f>
        <v>1144</v>
      </c>
      <c r="I193" s="59">
        <f t="shared" si="7"/>
        <v>326</v>
      </c>
      <c r="J193" s="43">
        <f t="shared" si="7"/>
        <v>342</v>
      </c>
      <c r="K193" s="56">
        <f t="shared" si="7"/>
        <v>437887.56499999989</v>
      </c>
      <c r="L193" s="56">
        <f t="shared" si="7"/>
        <v>10248.549999999999</v>
      </c>
      <c r="M193" s="44">
        <f>K193-L193</f>
        <v>427639.0149999999</v>
      </c>
      <c r="N193" s="43">
        <f t="shared" si="7"/>
        <v>1240</v>
      </c>
      <c r="O193" s="57">
        <f t="shared" si="7"/>
        <v>2986806.4099999997</v>
      </c>
      <c r="P193" s="57">
        <f t="shared" si="7"/>
        <v>1304397.0500000003</v>
      </c>
      <c r="Q193" s="79">
        <f t="shared" si="5"/>
        <v>1682409.3599999994</v>
      </c>
      <c r="R193" s="129"/>
    </row>
    <row r="194" spans="1:18" x14ac:dyDescent="0.25">
      <c r="K194" s="91" t="s">
        <v>305</v>
      </c>
    </row>
    <row r="195" spans="1:18" ht="45" x14ac:dyDescent="0.25">
      <c r="B195" s="89" t="s">
        <v>316</v>
      </c>
      <c r="F195" s="104" t="s">
        <v>317</v>
      </c>
      <c r="M195" s="142"/>
      <c r="Q195" s="133"/>
    </row>
  </sheetData>
  <mergeCells count="7">
    <mergeCell ref="O1:Q1"/>
    <mergeCell ref="A3:Q3"/>
    <mergeCell ref="A4:Q4"/>
    <mergeCell ref="A5:Q5"/>
    <mergeCell ref="B7:G7"/>
    <mergeCell ref="H7:M7"/>
    <mergeCell ref="N7:Q7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95"/>
  <sheetViews>
    <sheetView workbookViewId="0">
      <selection sqref="A1:XFD1048576"/>
    </sheetView>
  </sheetViews>
  <sheetFormatPr defaultRowHeight="15" x14ac:dyDescent="0.25"/>
  <cols>
    <col min="1" max="1" width="1.85546875" style="6" customWidth="1"/>
    <col min="2" max="2" width="38.28515625" style="88" customWidth="1"/>
    <col min="3" max="3" width="6.5703125" style="19" customWidth="1"/>
    <col min="4" max="4" width="17.42578125" style="19" customWidth="1"/>
    <col min="5" max="5" width="19" style="19" customWidth="1"/>
    <col min="6" max="6" width="6.140625" style="89" customWidth="1"/>
    <col min="7" max="7" width="21.42578125" style="89" customWidth="1"/>
    <col min="8" max="8" width="11.85546875" style="90" customWidth="1"/>
    <col min="9" max="9" width="10.7109375" style="90" customWidth="1"/>
    <col min="10" max="10" width="7.42578125" style="99" customWidth="1"/>
    <col min="11" max="11" width="16.5703125" style="91" customWidth="1"/>
    <col min="12" max="12" width="13.28515625" style="91" customWidth="1"/>
    <col min="13" max="13" width="15.7109375" style="91" customWidth="1"/>
    <col min="14" max="14" width="10.7109375" style="99" customWidth="1"/>
    <col min="15" max="15" width="14" style="92" customWidth="1"/>
    <col min="16" max="16" width="16" style="92" customWidth="1"/>
    <col min="17" max="17" width="14.42578125" style="92" customWidth="1"/>
    <col min="18" max="18" width="11.7109375" style="6" customWidth="1"/>
    <col min="19" max="19" width="9.42578125" style="6" customWidth="1"/>
    <col min="20" max="21" width="9.140625" style="6" customWidth="1"/>
    <col min="22" max="16384" width="9.140625" style="6"/>
  </cols>
  <sheetData>
    <row r="1" spans="1:18" s="105" customFormat="1" x14ac:dyDescent="0.25">
      <c r="B1" s="60"/>
      <c r="C1" s="4"/>
      <c r="D1" s="4"/>
      <c r="E1" s="4"/>
      <c r="F1" s="63"/>
      <c r="G1" s="63"/>
      <c r="H1" s="64"/>
      <c r="I1" s="64"/>
      <c r="J1" s="93"/>
      <c r="K1" s="65"/>
      <c r="L1" s="65"/>
      <c r="M1" s="65"/>
      <c r="N1" s="93"/>
      <c r="O1" s="362" t="s">
        <v>15</v>
      </c>
      <c r="P1" s="362"/>
      <c r="Q1" s="362"/>
    </row>
    <row r="2" spans="1:18" s="105" customFormat="1" x14ac:dyDescent="0.25">
      <c r="A2" s="7"/>
      <c r="B2" s="164"/>
      <c r="C2" s="107"/>
      <c r="D2" s="107"/>
      <c r="E2" s="107"/>
      <c r="F2" s="66"/>
      <c r="G2" s="66"/>
      <c r="H2" s="163"/>
      <c r="I2" s="163"/>
      <c r="J2" s="94"/>
      <c r="K2" s="67"/>
      <c r="L2" s="67"/>
      <c r="M2" s="67"/>
      <c r="N2" s="94"/>
      <c r="O2" s="68"/>
      <c r="P2" s="68"/>
      <c r="Q2" s="68"/>
    </row>
    <row r="3" spans="1:18" s="105" customFormat="1" x14ac:dyDescent="0.25">
      <c r="A3" s="363" t="s">
        <v>318</v>
      </c>
      <c r="B3" s="364"/>
      <c r="C3" s="363"/>
      <c r="D3" s="363"/>
      <c r="E3" s="363"/>
      <c r="F3" s="364"/>
      <c r="G3" s="364"/>
      <c r="H3" s="365"/>
      <c r="I3" s="366"/>
      <c r="J3" s="367"/>
      <c r="K3" s="364"/>
      <c r="L3" s="364"/>
      <c r="M3" s="364"/>
      <c r="N3" s="364"/>
      <c r="O3" s="364"/>
      <c r="P3" s="364"/>
      <c r="Q3" s="364"/>
    </row>
    <row r="4" spans="1:18" s="105" customFormat="1" x14ac:dyDescent="0.25">
      <c r="A4" s="368">
        <v>43598</v>
      </c>
      <c r="B4" s="369"/>
      <c r="C4" s="370"/>
      <c r="D4" s="370"/>
      <c r="E4" s="370"/>
      <c r="F4" s="369"/>
      <c r="G4" s="369"/>
      <c r="H4" s="371"/>
      <c r="I4" s="372"/>
      <c r="J4" s="373"/>
      <c r="K4" s="369"/>
      <c r="L4" s="369"/>
      <c r="M4" s="369"/>
      <c r="N4" s="369"/>
      <c r="O4" s="369"/>
      <c r="P4" s="369"/>
      <c r="Q4" s="369"/>
    </row>
    <row r="5" spans="1:18" s="105" customFormat="1" x14ac:dyDescent="0.25">
      <c r="A5" s="374" t="s">
        <v>14</v>
      </c>
      <c r="B5" s="367"/>
      <c r="C5" s="374"/>
      <c r="D5" s="374"/>
      <c r="E5" s="374"/>
      <c r="F5" s="367"/>
      <c r="G5" s="367"/>
      <c r="H5" s="366"/>
      <c r="I5" s="366"/>
      <c r="J5" s="367"/>
      <c r="K5" s="367"/>
      <c r="L5" s="367"/>
      <c r="M5" s="367"/>
      <c r="N5" s="367"/>
      <c r="O5" s="367"/>
      <c r="P5" s="367"/>
      <c r="Q5" s="367"/>
    </row>
    <row r="6" spans="1:18" s="105" customFormat="1" x14ac:dyDescent="0.25">
      <c r="A6" s="7"/>
      <c r="B6" s="164"/>
      <c r="C6" s="107"/>
      <c r="D6" s="107"/>
      <c r="E6" s="107"/>
      <c r="F6" s="66"/>
      <c r="G6" s="66"/>
      <c r="H6" s="163"/>
      <c r="I6" s="163"/>
      <c r="J6" s="94"/>
      <c r="K6" s="67"/>
      <c r="L6" s="67"/>
      <c r="M6" s="67"/>
      <c r="N6" s="94"/>
      <c r="O6" s="68"/>
      <c r="P6" s="68"/>
      <c r="Q6" s="68"/>
    </row>
    <row r="7" spans="1:18" x14ac:dyDescent="0.25">
      <c r="A7" s="5" t="s">
        <v>0</v>
      </c>
      <c r="B7" s="364" t="s">
        <v>10</v>
      </c>
      <c r="C7" s="375"/>
      <c r="D7" s="375"/>
      <c r="E7" s="375"/>
      <c r="F7" s="364"/>
      <c r="G7" s="364"/>
      <c r="H7" s="365" t="s">
        <v>472</v>
      </c>
      <c r="I7" s="366"/>
      <c r="J7" s="367"/>
      <c r="K7" s="364"/>
      <c r="L7" s="364"/>
      <c r="M7" s="364"/>
      <c r="N7" s="364" t="s">
        <v>132</v>
      </c>
      <c r="O7" s="364"/>
      <c r="P7" s="364"/>
      <c r="Q7" s="364"/>
    </row>
    <row r="8" spans="1:18" ht="195" x14ac:dyDescent="0.25">
      <c r="A8" s="5"/>
      <c r="B8" s="164" t="s">
        <v>4</v>
      </c>
      <c r="C8" s="107" t="s">
        <v>1</v>
      </c>
      <c r="D8" s="107" t="s">
        <v>3</v>
      </c>
      <c r="E8" s="107" t="s">
        <v>2</v>
      </c>
      <c r="F8" s="122" t="s">
        <v>6</v>
      </c>
      <c r="G8" s="66" t="s">
        <v>5</v>
      </c>
      <c r="H8" s="164" t="s">
        <v>7</v>
      </c>
      <c r="I8" s="164" t="s">
        <v>8</v>
      </c>
      <c r="J8" s="94" t="s">
        <v>9</v>
      </c>
      <c r="K8" s="67" t="s">
        <v>11</v>
      </c>
      <c r="L8" s="67" t="s">
        <v>12</v>
      </c>
      <c r="M8" s="67" t="s">
        <v>13</v>
      </c>
      <c r="N8" s="94" t="s">
        <v>9</v>
      </c>
      <c r="O8" s="68" t="s">
        <v>11</v>
      </c>
      <c r="P8" s="68" t="s">
        <v>12</v>
      </c>
      <c r="Q8" s="68" t="s">
        <v>13</v>
      </c>
    </row>
    <row r="9" spans="1:18" x14ac:dyDescent="0.25">
      <c r="A9" s="9">
        <v>1</v>
      </c>
      <c r="B9" s="61">
        <f>A9+1</f>
        <v>2</v>
      </c>
      <c r="C9" s="9">
        <f t="shared" ref="C9:Q9" si="0">B9+1</f>
        <v>3</v>
      </c>
      <c r="D9" s="9">
        <f t="shared" si="0"/>
        <v>4</v>
      </c>
      <c r="E9" s="9">
        <f t="shared" si="0"/>
        <v>5</v>
      </c>
      <c r="F9" s="69">
        <f t="shared" si="0"/>
        <v>6</v>
      </c>
      <c r="G9" s="69">
        <f t="shared" si="0"/>
        <v>7</v>
      </c>
      <c r="H9" s="70">
        <f t="shared" si="0"/>
        <v>8</v>
      </c>
      <c r="I9" s="70">
        <f t="shared" si="0"/>
        <v>9</v>
      </c>
      <c r="J9" s="95">
        <f t="shared" si="0"/>
        <v>10</v>
      </c>
      <c r="K9" s="71">
        <f t="shared" si="0"/>
        <v>11</v>
      </c>
      <c r="L9" s="71">
        <f t="shared" si="0"/>
        <v>12</v>
      </c>
      <c r="M9" s="71">
        <f t="shared" si="0"/>
        <v>13</v>
      </c>
      <c r="N9" s="95">
        <f t="shared" si="0"/>
        <v>14</v>
      </c>
      <c r="O9" s="72">
        <f t="shared" si="0"/>
        <v>15</v>
      </c>
      <c r="P9" s="72">
        <f t="shared" si="0"/>
        <v>16</v>
      </c>
      <c r="Q9" s="72">
        <f t="shared" si="0"/>
        <v>17</v>
      </c>
    </row>
    <row r="10" spans="1:18" s="13" customFormat="1" ht="31.5" x14ac:dyDescent="0.25">
      <c r="A10" s="10"/>
      <c r="B10" s="62" t="s">
        <v>16</v>
      </c>
      <c r="C10" s="1" t="s">
        <v>304</v>
      </c>
      <c r="D10" s="165" t="s">
        <v>315</v>
      </c>
      <c r="E10" s="3" t="s">
        <v>18</v>
      </c>
      <c r="F10" s="73" t="s">
        <v>322</v>
      </c>
      <c r="G10" s="74" t="s">
        <v>112</v>
      </c>
      <c r="H10" s="75">
        <v>7</v>
      </c>
      <c r="I10" s="76">
        <v>3</v>
      </c>
      <c r="J10" s="98">
        <f>2+1</f>
        <v>3</v>
      </c>
      <c r="K10" s="77">
        <f>4792.51+1138.19+504.26</f>
        <v>6434.9600000000009</v>
      </c>
      <c r="L10" s="77">
        <f>4765.04</f>
        <v>4765.04</v>
      </c>
      <c r="M10" s="78">
        <f>K10-L10</f>
        <v>1669.920000000001</v>
      </c>
      <c r="N10" s="100">
        <f>2+5+1+2</f>
        <v>10</v>
      </c>
      <c r="O10" s="77">
        <f>9108.77+6924.32</f>
        <v>16033.09</v>
      </c>
      <c r="P10" s="77">
        <f>9108.77</f>
        <v>9108.77</v>
      </c>
      <c r="Q10" s="79">
        <f>O10-P10</f>
        <v>6924.32</v>
      </c>
      <c r="R10" s="141"/>
    </row>
    <row r="11" spans="1:18" s="13" customFormat="1" ht="31.5" x14ac:dyDescent="0.25">
      <c r="A11" s="10"/>
      <c r="B11" s="22" t="s">
        <v>16</v>
      </c>
      <c r="C11" s="1" t="s">
        <v>304</v>
      </c>
      <c r="D11" s="165" t="s">
        <v>315</v>
      </c>
      <c r="E11" s="3" t="s">
        <v>18</v>
      </c>
      <c r="F11" s="73" t="s">
        <v>322</v>
      </c>
      <c r="G11" s="11" t="s">
        <v>116</v>
      </c>
      <c r="H11" s="1">
        <v>2</v>
      </c>
      <c r="I11" s="49"/>
      <c r="J11" s="46"/>
      <c r="K11" s="31"/>
      <c r="L11" s="31"/>
      <c r="M11" s="38">
        <f t="shared" ref="M11:M83" si="1">K11-L11</f>
        <v>0</v>
      </c>
      <c r="N11" s="41"/>
      <c r="O11" s="31">
        <v>2945</v>
      </c>
      <c r="P11" s="31">
        <v>2945</v>
      </c>
      <c r="Q11" s="12">
        <f t="shared" ref="Q11:Q78" si="2">O11-P11</f>
        <v>0</v>
      </c>
    </row>
    <row r="12" spans="1:18" s="13" customFormat="1" ht="15.75" x14ac:dyDescent="0.25">
      <c r="A12" s="10"/>
      <c r="B12" s="22" t="s">
        <v>490</v>
      </c>
      <c r="C12" s="1"/>
      <c r="D12" s="165"/>
      <c r="E12" s="3"/>
      <c r="F12" s="73"/>
      <c r="G12" s="11" t="s">
        <v>112</v>
      </c>
      <c r="H12" s="1">
        <v>5</v>
      </c>
      <c r="I12" s="49"/>
      <c r="J12" s="46"/>
      <c r="K12" s="31"/>
      <c r="L12" s="31"/>
      <c r="M12" s="38"/>
      <c r="N12" s="41"/>
      <c r="O12" s="31"/>
      <c r="P12" s="31"/>
      <c r="Q12" s="12"/>
    </row>
    <row r="13" spans="1:18" s="15" customFormat="1" ht="15.75" x14ac:dyDescent="0.25">
      <c r="A13" s="14"/>
      <c r="B13" s="80" t="s">
        <v>19</v>
      </c>
      <c r="C13" s="1" t="s">
        <v>17</v>
      </c>
      <c r="D13" s="165"/>
      <c r="E13" s="3" t="s">
        <v>20</v>
      </c>
      <c r="F13" s="73" t="s">
        <v>323</v>
      </c>
      <c r="G13" s="74" t="s">
        <v>112</v>
      </c>
      <c r="H13" s="75">
        <v>8</v>
      </c>
      <c r="I13" s="76">
        <v>7</v>
      </c>
      <c r="J13" s="96">
        <f>1+2+5+2</f>
        <v>10</v>
      </c>
      <c r="K13" s="77">
        <f>422.62+4792.51+8241.09</f>
        <v>13456.220000000001</v>
      </c>
      <c r="L13" s="77">
        <f>422.62</f>
        <v>422.62</v>
      </c>
      <c r="M13" s="78">
        <f t="shared" si="1"/>
        <v>13033.6</v>
      </c>
      <c r="N13" s="100">
        <f>8+3</f>
        <v>11</v>
      </c>
      <c r="O13" s="81">
        <v>6459.36</v>
      </c>
      <c r="P13" s="81">
        <f>5614.12+545.24</f>
        <v>6159.36</v>
      </c>
      <c r="Q13" s="79">
        <f t="shared" si="2"/>
        <v>300</v>
      </c>
      <c r="R13" s="141"/>
    </row>
    <row r="14" spans="1:18" s="15" customFormat="1" ht="15.75" x14ac:dyDescent="0.25">
      <c r="A14" s="14"/>
      <c r="B14" s="23" t="s">
        <v>19</v>
      </c>
      <c r="C14" s="1" t="s">
        <v>17</v>
      </c>
      <c r="D14" s="165"/>
      <c r="E14" s="3" t="s">
        <v>20</v>
      </c>
      <c r="F14" s="73" t="s">
        <v>451</v>
      </c>
      <c r="G14" s="11" t="s">
        <v>114</v>
      </c>
      <c r="H14" s="1">
        <v>4</v>
      </c>
      <c r="I14" s="49">
        <v>1</v>
      </c>
      <c r="J14" s="51">
        <v>1</v>
      </c>
      <c r="K14" s="40"/>
      <c r="L14" s="40"/>
      <c r="M14" s="38">
        <f t="shared" si="1"/>
        <v>0</v>
      </c>
      <c r="N14" s="42">
        <v>8</v>
      </c>
      <c r="O14" s="31">
        <v>3818</v>
      </c>
      <c r="P14" s="31">
        <v>3818</v>
      </c>
      <c r="Q14" s="12">
        <f t="shared" si="2"/>
        <v>0</v>
      </c>
    </row>
    <row r="15" spans="1:18" s="15" customFormat="1" ht="15.75" x14ac:dyDescent="0.25">
      <c r="A15" s="14"/>
      <c r="B15" s="62" t="s">
        <v>153</v>
      </c>
      <c r="C15" s="1" t="s">
        <v>17</v>
      </c>
      <c r="D15" s="165"/>
      <c r="E15" s="3" t="s">
        <v>20</v>
      </c>
      <c r="F15" s="73" t="s">
        <v>324</v>
      </c>
      <c r="G15" s="74" t="s">
        <v>112</v>
      </c>
      <c r="H15" s="75">
        <v>5</v>
      </c>
      <c r="I15" s="82">
        <v>3</v>
      </c>
      <c r="J15" s="96">
        <f>1+1+2+1</f>
        <v>5</v>
      </c>
      <c r="K15" s="77">
        <f>950.9+2451.87+3074.57</f>
        <v>6477.34</v>
      </c>
      <c r="L15" s="77">
        <v>950.9</v>
      </c>
      <c r="M15" s="78">
        <f t="shared" si="1"/>
        <v>5526.4400000000005</v>
      </c>
      <c r="N15" s="114">
        <f>1+2+1+2+1</f>
        <v>7</v>
      </c>
      <c r="O15" s="81">
        <f>422.62+945.61+2484.69+7964.81</f>
        <v>11817.73</v>
      </c>
      <c r="P15" s="81">
        <f>422.62</f>
        <v>422.62</v>
      </c>
      <c r="Q15" s="79">
        <f t="shared" si="2"/>
        <v>11395.109999999999</v>
      </c>
      <c r="R15" s="141"/>
    </row>
    <row r="16" spans="1:18" s="15" customFormat="1" ht="15.75" x14ac:dyDescent="0.25">
      <c r="A16" s="14"/>
      <c r="B16" s="50" t="s">
        <v>153</v>
      </c>
      <c r="C16" s="1" t="s">
        <v>17</v>
      </c>
      <c r="D16" s="165"/>
      <c r="E16" s="3" t="s">
        <v>20</v>
      </c>
      <c r="F16" s="73" t="s">
        <v>452</v>
      </c>
      <c r="G16" s="11" t="s">
        <v>114</v>
      </c>
      <c r="H16" s="1">
        <v>6</v>
      </c>
      <c r="I16" s="49">
        <v>1</v>
      </c>
      <c r="J16" s="51">
        <v>1</v>
      </c>
      <c r="K16" s="40"/>
      <c r="L16" s="40"/>
      <c r="M16" s="38">
        <f t="shared" si="1"/>
        <v>0</v>
      </c>
      <c r="N16" s="42">
        <v>7</v>
      </c>
      <c r="O16" s="31">
        <v>13319</v>
      </c>
      <c r="P16" s="31">
        <v>8516.5</v>
      </c>
      <c r="Q16" s="12">
        <f t="shared" si="2"/>
        <v>4802.5</v>
      </c>
    </row>
    <row r="17" spans="1:18" s="13" customFormat="1" ht="15.75" x14ac:dyDescent="0.25">
      <c r="A17" s="10"/>
      <c r="B17" s="30" t="s">
        <v>22</v>
      </c>
      <c r="C17" s="1" t="s">
        <v>17</v>
      </c>
      <c r="D17" s="165"/>
      <c r="E17" s="3" t="s">
        <v>23</v>
      </c>
      <c r="F17" s="73" t="s">
        <v>325</v>
      </c>
      <c r="G17" s="74" t="s">
        <v>112</v>
      </c>
      <c r="H17" s="75">
        <v>12</v>
      </c>
      <c r="I17" s="76">
        <v>3</v>
      </c>
      <c r="J17" s="96">
        <f>1+2</f>
        <v>3</v>
      </c>
      <c r="K17" s="77">
        <f>2698.64+1402.33</f>
        <v>4100.9699999999993</v>
      </c>
      <c r="L17" s="77">
        <f>2698.64</f>
        <v>2698.64</v>
      </c>
      <c r="M17" s="78">
        <f t="shared" si="1"/>
        <v>1402.3299999999995</v>
      </c>
      <c r="N17" s="100">
        <f>14+3+7</f>
        <v>24</v>
      </c>
      <c r="O17" s="81">
        <f>22716.4+4171.06+18768.39</f>
        <v>45655.850000000006</v>
      </c>
      <c r="P17" s="81">
        <f>22717.4+4171.06</f>
        <v>26888.460000000003</v>
      </c>
      <c r="Q17" s="79">
        <f t="shared" si="2"/>
        <v>18767.390000000003</v>
      </c>
      <c r="R17" s="141"/>
    </row>
    <row r="18" spans="1:18" s="13" customFormat="1" ht="15.75" x14ac:dyDescent="0.25">
      <c r="A18" s="10"/>
      <c r="B18" s="24" t="s">
        <v>154</v>
      </c>
      <c r="C18" s="1" t="s">
        <v>17</v>
      </c>
      <c r="D18" s="165"/>
      <c r="E18" s="3" t="s">
        <v>20</v>
      </c>
      <c r="F18" s="73" t="s">
        <v>453</v>
      </c>
      <c r="G18" s="11" t="s">
        <v>114</v>
      </c>
      <c r="H18" s="1">
        <v>12</v>
      </c>
      <c r="I18" s="47"/>
      <c r="J18" s="51"/>
      <c r="K18" s="37"/>
      <c r="L18" s="37"/>
      <c r="M18" s="38">
        <f t="shared" si="1"/>
        <v>0</v>
      </c>
      <c r="N18" s="39">
        <v>6</v>
      </c>
      <c r="O18" s="31">
        <v>5603</v>
      </c>
      <c r="P18" s="31">
        <v>5603</v>
      </c>
      <c r="Q18" s="12">
        <f t="shared" si="2"/>
        <v>0</v>
      </c>
    </row>
    <row r="19" spans="1:18" s="13" customFormat="1" ht="15.75" x14ac:dyDescent="0.25">
      <c r="A19" s="10"/>
      <c r="B19" s="30" t="s">
        <v>154</v>
      </c>
      <c r="C19" s="1" t="s">
        <v>17</v>
      </c>
      <c r="D19" s="165"/>
      <c r="E19" s="3" t="s">
        <v>20</v>
      </c>
      <c r="F19" s="73" t="s">
        <v>326</v>
      </c>
      <c r="G19" s="74" t="s">
        <v>112</v>
      </c>
      <c r="H19" s="75">
        <v>11</v>
      </c>
      <c r="I19" s="76">
        <v>5</v>
      </c>
      <c r="J19" s="96">
        <f>1+1+2+2</f>
        <v>6</v>
      </c>
      <c r="K19" s="77">
        <f>950.9+864.46+845.24</f>
        <v>2660.6000000000004</v>
      </c>
      <c r="L19" s="77">
        <f>950.9+272.68</f>
        <v>1223.58</v>
      </c>
      <c r="M19" s="78">
        <f t="shared" si="1"/>
        <v>1437.0200000000004</v>
      </c>
      <c r="N19" s="100">
        <f>6+3+1+1</f>
        <v>11</v>
      </c>
      <c r="O19" s="128">
        <f>6681.33+7017+1523.5</f>
        <v>15221.83</v>
      </c>
      <c r="P19" s="81">
        <f>8477.51+6744.32</f>
        <v>15221.83</v>
      </c>
      <c r="Q19" s="79">
        <f t="shared" si="2"/>
        <v>0</v>
      </c>
      <c r="R19" s="141"/>
    </row>
    <row r="20" spans="1:18" s="13" customFormat="1" ht="15.75" x14ac:dyDescent="0.25">
      <c r="A20" s="10"/>
      <c r="B20" s="62" t="s">
        <v>24</v>
      </c>
      <c r="C20" s="1" t="s">
        <v>17</v>
      </c>
      <c r="D20" s="165"/>
      <c r="E20" s="3" t="s">
        <v>20</v>
      </c>
      <c r="F20" s="73" t="s">
        <v>327</v>
      </c>
      <c r="G20" s="74" t="s">
        <v>112</v>
      </c>
      <c r="H20" s="75">
        <v>4</v>
      </c>
      <c r="I20" s="76"/>
      <c r="J20" s="96"/>
      <c r="K20" s="77"/>
      <c r="L20" s="77"/>
      <c r="M20" s="38">
        <f t="shared" si="1"/>
        <v>0</v>
      </c>
      <c r="N20" s="100">
        <f>1</f>
        <v>1</v>
      </c>
      <c r="O20" s="81">
        <f>576.3</f>
        <v>576.29999999999995</v>
      </c>
      <c r="P20" s="81">
        <f>576.3</f>
        <v>576.29999999999995</v>
      </c>
      <c r="Q20" s="12">
        <f t="shared" si="2"/>
        <v>0</v>
      </c>
      <c r="R20" s="141"/>
    </row>
    <row r="21" spans="1:18" s="13" customFormat="1" ht="15.75" x14ac:dyDescent="0.25">
      <c r="A21" s="10"/>
      <c r="B21" s="22" t="s">
        <v>24</v>
      </c>
      <c r="C21" s="1" t="s">
        <v>17</v>
      </c>
      <c r="D21" s="165"/>
      <c r="E21" s="3" t="s">
        <v>20</v>
      </c>
      <c r="F21" s="73" t="s">
        <v>454</v>
      </c>
      <c r="G21" s="11" t="s">
        <v>114</v>
      </c>
      <c r="H21" s="1">
        <v>7</v>
      </c>
      <c r="I21" s="49"/>
      <c r="J21" s="51"/>
      <c r="K21" s="40"/>
      <c r="L21" s="40"/>
      <c r="M21" s="78">
        <f t="shared" si="1"/>
        <v>0</v>
      </c>
      <c r="N21" s="41">
        <v>7</v>
      </c>
      <c r="O21" s="31">
        <v>14635.6</v>
      </c>
      <c r="P21" s="31">
        <v>9413</v>
      </c>
      <c r="Q21" s="79">
        <f t="shared" si="2"/>
        <v>5222.6000000000004</v>
      </c>
    </row>
    <row r="22" spans="1:18" s="13" customFormat="1" ht="15.75" x14ac:dyDescent="0.25">
      <c r="A22" s="10"/>
      <c r="B22" s="62" t="s">
        <v>25</v>
      </c>
      <c r="C22" s="1" t="s">
        <v>17</v>
      </c>
      <c r="D22" s="165"/>
      <c r="E22" s="3" t="s">
        <v>20</v>
      </c>
      <c r="F22" s="73" t="s">
        <v>328</v>
      </c>
      <c r="G22" s="74" t="s">
        <v>112</v>
      </c>
      <c r="H22" s="75">
        <v>5</v>
      </c>
      <c r="I22" s="76">
        <v>1</v>
      </c>
      <c r="J22" s="96">
        <f>1+1</f>
        <v>2</v>
      </c>
      <c r="K22" s="77">
        <v>1743.31</v>
      </c>
      <c r="L22" s="77">
        <f>1743.31</f>
        <v>1743.31</v>
      </c>
      <c r="M22" s="38">
        <f t="shared" si="1"/>
        <v>0</v>
      </c>
      <c r="N22" s="100">
        <f>6+1</f>
        <v>7</v>
      </c>
      <c r="O22" s="81">
        <v>14526.7</v>
      </c>
      <c r="P22" s="81">
        <f>14526.7</f>
        <v>14526.7</v>
      </c>
      <c r="Q22" s="12">
        <f t="shared" si="2"/>
        <v>0</v>
      </c>
      <c r="R22" s="141"/>
    </row>
    <row r="23" spans="1:18" s="13" customFormat="1" ht="15.75" x14ac:dyDescent="0.25">
      <c r="A23" s="10"/>
      <c r="B23" s="22" t="s">
        <v>25</v>
      </c>
      <c r="C23" s="1" t="s">
        <v>17</v>
      </c>
      <c r="D23" s="165"/>
      <c r="E23" s="3" t="s">
        <v>20</v>
      </c>
      <c r="F23" s="73" t="s">
        <v>455</v>
      </c>
      <c r="G23" s="11" t="s">
        <v>114</v>
      </c>
      <c r="H23" s="1">
        <v>1</v>
      </c>
      <c r="I23" s="49"/>
      <c r="J23" s="51"/>
      <c r="K23" s="40"/>
      <c r="L23" s="40"/>
      <c r="M23" s="78">
        <f t="shared" si="1"/>
        <v>0</v>
      </c>
      <c r="N23" s="41">
        <v>2</v>
      </c>
      <c r="O23" s="31">
        <v>4146.2</v>
      </c>
      <c r="P23" s="31">
        <f>4146.2</f>
        <v>4146.2</v>
      </c>
      <c r="Q23" s="79">
        <f t="shared" si="2"/>
        <v>0</v>
      </c>
    </row>
    <row r="24" spans="1:18" s="13" customFormat="1" ht="15.75" x14ac:dyDescent="0.25">
      <c r="A24" s="10"/>
      <c r="B24" s="62" t="s">
        <v>26</v>
      </c>
      <c r="C24" s="1" t="s">
        <v>17</v>
      </c>
      <c r="D24" s="165"/>
      <c r="E24" s="3" t="s">
        <v>27</v>
      </c>
      <c r="F24" s="73" t="s">
        <v>329</v>
      </c>
      <c r="G24" s="74" t="s">
        <v>112</v>
      </c>
      <c r="H24" s="75">
        <v>12</v>
      </c>
      <c r="I24" s="76">
        <v>4</v>
      </c>
      <c r="J24" s="96">
        <f>2+2</f>
        <v>4</v>
      </c>
      <c r="K24" s="77">
        <f>845.24</f>
        <v>845.24</v>
      </c>
      <c r="L24" s="77"/>
      <c r="M24" s="38">
        <f t="shared" si="1"/>
        <v>845.24</v>
      </c>
      <c r="N24" s="100">
        <f>6+1+1</f>
        <v>8</v>
      </c>
      <c r="O24" s="81">
        <f>17838.53+2535.75+7238.9</f>
        <v>27613.18</v>
      </c>
      <c r="P24" s="81">
        <f>14149.86</f>
        <v>14149.86</v>
      </c>
      <c r="Q24" s="12">
        <f t="shared" si="2"/>
        <v>13463.32</v>
      </c>
      <c r="R24" s="141"/>
    </row>
    <row r="25" spans="1:18" s="15" customFormat="1" ht="15.75" x14ac:dyDescent="0.25">
      <c r="A25" s="14"/>
      <c r="B25" s="80" t="s">
        <v>28</v>
      </c>
      <c r="C25" s="1" t="s">
        <v>17</v>
      </c>
      <c r="D25" s="165"/>
      <c r="E25" s="17" t="s">
        <v>29</v>
      </c>
      <c r="F25" s="73" t="s">
        <v>330</v>
      </c>
      <c r="G25" s="74" t="s">
        <v>112</v>
      </c>
      <c r="H25" s="75">
        <v>4</v>
      </c>
      <c r="I25" s="76">
        <v>2</v>
      </c>
      <c r="J25" s="96">
        <f>2</f>
        <v>2</v>
      </c>
      <c r="K25" s="77">
        <f>6135.14</f>
        <v>6135.14</v>
      </c>
      <c r="L25" s="77"/>
      <c r="M25" s="38">
        <f t="shared" si="1"/>
        <v>6135.14</v>
      </c>
      <c r="N25" s="100">
        <f>3+2+4</f>
        <v>9</v>
      </c>
      <c r="O25" s="81">
        <f>5310.83+4630.52+14679.01</f>
        <v>24620.36</v>
      </c>
      <c r="P25" s="81">
        <f>5311.83+19308.53</f>
        <v>24620.36</v>
      </c>
      <c r="Q25" s="12">
        <f t="shared" si="2"/>
        <v>0</v>
      </c>
      <c r="R25" s="141"/>
    </row>
    <row r="26" spans="1:18" s="15" customFormat="1" ht="15.75" x14ac:dyDescent="0.25">
      <c r="A26" s="14"/>
      <c r="B26" s="23" t="s">
        <v>28</v>
      </c>
      <c r="C26" s="1" t="s">
        <v>17</v>
      </c>
      <c r="D26" s="165"/>
      <c r="E26" s="17" t="s">
        <v>29</v>
      </c>
      <c r="F26" s="73" t="s">
        <v>420</v>
      </c>
      <c r="G26" s="8" t="s">
        <v>117</v>
      </c>
      <c r="H26" s="1">
        <v>1</v>
      </c>
      <c r="I26" s="48"/>
      <c r="J26" s="45"/>
      <c r="K26" s="40"/>
      <c r="L26" s="40"/>
      <c r="M26" s="78">
        <f t="shared" si="1"/>
        <v>0</v>
      </c>
      <c r="N26" s="42">
        <v>1</v>
      </c>
      <c r="O26" s="31"/>
      <c r="P26" s="31"/>
      <c r="Q26" s="79">
        <f t="shared" si="2"/>
        <v>0</v>
      </c>
    </row>
    <row r="27" spans="1:18" s="13" customFormat="1" ht="15.75" x14ac:dyDescent="0.25">
      <c r="A27" s="10"/>
      <c r="B27" s="27" t="s">
        <v>30</v>
      </c>
      <c r="C27" s="1" t="s">
        <v>17</v>
      </c>
      <c r="D27" s="165"/>
      <c r="E27" s="17" t="s">
        <v>21</v>
      </c>
      <c r="F27" s="73" t="s">
        <v>333</v>
      </c>
      <c r="G27" s="74" t="s">
        <v>112</v>
      </c>
      <c r="H27" s="75">
        <v>12</v>
      </c>
      <c r="I27" s="76">
        <v>5</v>
      </c>
      <c r="J27" s="96">
        <f>3+1+3</f>
        <v>7</v>
      </c>
      <c r="K27" s="77">
        <f>2399.78+806.82+6240.86</f>
        <v>9447.4599999999991</v>
      </c>
      <c r="L27" s="77">
        <f>2399.78</f>
        <v>2399.7800000000002</v>
      </c>
      <c r="M27" s="38">
        <f t="shared" si="1"/>
        <v>7047.6799999999985</v>
      </c>
      <c r="N27" s="100">
        <f>9+1+3+1+1</f>
        <v>15</v>
      </c>
      <c r="O27" s="81">
        <f>39871.99+5530.04+5890.35+1728.9</f>
        <v>53021.279999999999</v>
      </c>
      <c r="P27" s="81">
        <f>24771.16+15100.83</f>
        <v>39871.99</v>
      </c>
      <c r="Q27" s="12">
        <f t="shared" si="2"/>
        <v>13149.29</v>
      </c>
      <c r="R27" s="141"/>
    </row>
    <row r="28" spans="1:18" s="13" customFormat="1" ht="15.75" x14ac:dyDescent="0.25">
      <c r="A28" s="10"/>
      <c r="B28" s="27" t="s">
        <v>491</v>
      </c>
      <c r="C28" s="1" t="s">
        <v>17</v>
      </c>
      <c r="D28" s="165"/>
      <c r="E28" s="3" t="s">
        <v>20</v>
      </c>
      <c r="F28" s="73" t="s">
        <v>495</v>
      </c>
      <c r="G28" s="74" t="s">
        <v>112</v>
      </c>
      <c r="H28" s="75">
        <v>7</v>
      </c>
      <c r="I28" s="76">
        <v>2</v>
      </c>
      <c r="J28" s="96">
        <f>2</f>
        <v>2</v>
      </c>
      <c r="K28" s="77"/>
      <c r="L28" s="77"/>
      <c r="M28" s="38"/>
      <c r="N28" s="100"/>
      <c r="O28" s="81"/>
      <c r="P28" s="81"/>
      <c r="Q28" s="12"/>
      <c r="R28" s="141"/>
    </row>
    <row r="29" spans="1:18" s="13" customFormat="1" ht="15.75" x14ac:dyDescent="0.25">
      <c r="A29" s="10"/>
      <c r="B29" s="27" t="s">
        <v>491</v>
      </c>
      <c r="C29" s="1"/>
      <c r="D29" s="165"/>
      <c r="E29" s="3"/>
      <c r="F29" s="73"/>
      <c r="G29" s="74" t="s">
        <v>114</v>
      </c>
      <c r="H29" s="75">
        <v>4</v>
      </c>
      <c r="I29" s="76"/>
      <c r="J29" s="96"/>
      <c r="K29" s="77"/>
      <c r="L29" s="77"/>
      <c r="M29" s="38"/>
      <c r="N29" s="100"/>
      <c r="O29" s="81"/>
      <c r="P29" s="81"/>
      <c r="Q29" s="12"/>
      <c r="R29" s="141"/>
    </row>
    <row r="30" spans="1:18" s="13" customFormat="1" ht="15.75" x14ac:dyDescent="0.25">
      <c r="A30" s="10"/>
      <c r="B30" s="30" t="s">
        <v>31</v>
      </c>
      <c r="C30" s="1" t="s">
        <v>17</v>
      </c>
      <c r="D30" s="165"/>
      <c r="E30" s="3" t="s">
        <v>32</v>
      </c>
      <c r="F30" s="73" t="s">
        <v>331</v>
      </c>
      <c r="G30" s="74" t="s">
        <v>112</v>
      </c>
      <c r="H30" s="75">
        <v>9</v>
      </c>
      <c r="I30" s="76">
        <v>5</v>
      </c>
      <c r="J30" s="96">
        <f>1+2+3+1</f>
        <v>7</v>
      </c>
      <c r="K30" s="77">
        <f>633.93+1045.98+5377.62</f>
        <v>7057.53</v>
      </c>
      <c r="L30" s="77"/>
      <c r="M30" s="78">
        <f t="shared" si="1"/>
        <v>7057.53</v>
      </c>
      <c r="N30" s="100">
        <f>1+3+3+1+1</f>
        <v>9</v>
      </c>
      <c r="O30" s="81">
        <f>2299.8+15239.58+6152.75+2720.49+1483.38</f>
        <v>27896.000000000004</v>
      </c>
      <c r="P30" s="81">
        <f>2299.8</f>
        <v>2299.8000000000002</v>
      </c>
      <c r="Q30" s="79">
        <f t="shared" si="2"/>
        <v>25596.200000000004</v>
      </c>
      <c r="R30" s="141"/>
    </row>
    <row r="31" spans="1:18" s="13" customFormat="1" ht="15.75" x14ac:dyDescent="0.25">
      <c r="A31" s="10"/>
      <c r="B31" s="24" t="s">
        <v>31</v>
      </c>
      <c r="C31" s="1" t="s">
        <v>17</v>
      </c>
      <c r="D31" s="165"/>
      <c r="E31" s="3" t="s">
        <v>32</v>
      </c>
      <c r="F31" s="73" t="s">
        <v>422</v>
      </c>
      <c r="G31" s="8" t="s">
        <v>117</v>
      </c>
      <c r="H31" s="1">
        <v>9</v>
      </c>
      <c r="I31" s="49">
        <v>1</v>
      </c>
      <c r="J31" s="46">
        <v>1</v>
      </c>
      <c r="K31" s="40">
        <v>2344.3000000000002</v>
      </c>
      <c r="L31" s="40"/>
      <c r="M31" s="38">
        <f t="shared" si="1"/>
        <v>2344.3000000000002</v>
      </c>
      <c r="N31" s="41">
        <v>6</v>
      </c>
      <c r="O31" s="40">
        <v>12150.4</v>
      </c>
      <c r="P31" s="40">
        <v>5811.1</v>
      </c>
      <c r="Q31" s="12">
        <f t="shared" si="2"/>
        <v>6339.2999999999993</v>
      </c>
    </row>
    <row r="32" spans="1:18" s="15" customFormat="1" ht="15.75" x14ac:dyDescent="0.25">
      <c r="A32" s="14"/>
      <c r="B32" s="80" t="s">
        <v>33</v>
      </c>
      <c r="C32" s="1" t="s">
        <v>17</v>
      </c>
      <c r="D32" s="165"/>
      <c r="E32" s="145" t="s">
        <v>20</v>
      </c>
      <c r="F32" s="73" t="s">
        <v>332</v>
      </c>
      <c r="G32" s="74" t="s">
        <v>112</v>
      </c>
      <c r="H32" s="75">
        <v>6</v>
      </c>
      <c r="I32" s="76">
        <v>3</v>
      </c>
      <c r="J32" s="96">
        <f>1+1+1</f>
        <v>3</v>
      </c>
      <c r="K32" s="77">
        <f>845.245+5363.43</f>
        <v>6208.6750000000002</v>
      </c>
      <c r="L32" s="77"/>
      <c r="M32" s="78">
        <f t="shared" si="1"/>
        <v>6208.6750000000002</v>
      </c>
      <c r="N32" s="100">
        <f>2+1+1+1+1</f>
        <v>6</v>
      </c>
      <c r="O32" s="81">
        <f>845.24+1613.64+3380.96</f>
        <v>5839.84</v>
      </c>
      <c r="P32" s="81">
        <f>1613.64</f>
        <v>1613.64</v>
      </c>
      <c r="Q32" s="79">
        <f t="shared" si="2"/>
        <v>4226.2</v>
      </c>
      <c r="R32" s="141"/>
    </row>
    <row r="33" spans="1:18" s="15" customFormat="1" ht="15.75" x14ac:dyDescent="0.25">
      <c r="A33" s="14"/>
      <c r="B33" s="23" t="s">
        <v>33</v>
      </c>
      <c r="C33" s="1" t="s">
        <v>17</v>
      </c>
      <c r="D33" s="165"/>
      <c r="E33" s="3" t="s">
        <v>20</v>
      </c>
      <c r="F33" s="73" t="s">
        <v>481</v>
      </c>
      <c r="G33" s="11" t="s">
        <v>114</v>
      </c>
      <c r="H33" s="1">
        <v>3</v>
      </c>
      <c r="I33" s="49"/>
      <c r="J33" s="51"/>
      <c r="K33" s="40"/>
      <c r="L33" s="40"/>
      <c r="M33" s="38">
        <f t="shared" si="1"/>
        <v>0</v>
      </c>
      <c r="N33" s="42">
        <v>13</v>
      </c>
      <c r="O33" s="31">
        <v>13071.87</v>
      </c>
      <c r="P33" s="31">
        <v>13071.87</v>
      </c>
      <c r="Q33" s="12">
        <f t="shared" si="2"/>
        <v>0</v>
      </c>
    </row>
    <row r="34" spans="1:18" s="15" customFormat="1" ht="15.75" x14ac:dyDescent="0.25">
      <c r="A34" s="14"/>
      <c r="B34" s="62" t="s">
        <v>147</v>
      </c>
      <c r="C34" s="1" t="s">
        <v>17</v>
      </c>
      <c r="D34" s="165"/>
      <c r="E34" s="3" t="s">
        <v>29</v>
      </c>
      <c r="F34" s="73" t="s">
        <v>334</v>
      </c>
      <c r="G34" s="74" t="s">
        <v>112</v>
      </c>
      <c r="H34" s="75">
        <v>2</v>
      </c>
      <c r="I34" s="102">
        <v>1</v>
      </c>
      <c r="J34" s="97">
        <f>1+1</f>
        <v>2</v>
      </c>
      <c r="K34" s="77">
        <f>1854.88</f>
        <v>1854.88</v>
      </c>
      <c r="L34" s="77"/>
      <c r="M34" s="78">
        <f t="shared" si="1"/>
        <v>1854.88</v>
      </c>
      <c r="N34" s="114">
        <f>1+1+1</f>
        <v>3</v>
      </c>
      <c r="O34" s="81">
        <f>1394.65+2473.17</f>
        <v>3867.82</v>
      </c>
      <c r="P34" s="81">
        <f>1394.65</f>
        <v>1394.65</v>
      </c>
      <c r="Q34" s="79">
        <f t="shared" si="2"/>
        <v>2473.17</v>
      </c>
      <c r="R34" s="141"/>
    </row>
    <row r="35" spans="1:18" s="15" customFormat="1" ht="15.75" x14ac:dyDescent="0.25">
      <c r="A35" s="14"/>
      <c r="B35" s="50" t="s">
        <v>147</v>
      </c>
      <c r="C35" s="1" t="s">
        <v>17</v>
      </c>
      <c r="D35" s="165"/>
      <c r="E35" s="3" t="s">
        <v>29</v>
      </c>
      <c r="F35" s="73" t="s">
        <v>423</v>
      </c>
      <c r="G35" s="11" t="s">
        <v>117</v>
      </c>
      <c r="H35" s="1">
        <v>3</v>
      </c>
      <c r="I35" s="48">
        <v>3</v>
      </c>
      <c r="J35" s="45">
        <v>3</v>
      </c>
      <c r="K35" s="40">
        <v>1728.9</v>
      </c>
      <c r="L35" s="40"/>
      <c r="M35" s="38">
        <f t="shared" si="1"/>
        <v>1728.9</v>
      </c>
      <c r="N35" s="42">
        <v>3</v>
      </c>
      <c r="O35" s="31">
        <v>6874.35</v>
      </c>
      <c r="P35" s="31"/>
      <c r="Q35" s="12">
        <f t="shared" si="2"/>
        <v>6874.35</v>
      </c>
    </row>
    <row r="36" spans="1:18" s="13" customFormat="1" ht="15.75" x14ac:dyDescent="0.25">
      <c r="A36" s="10"/>
      <c r="B36" s="62" t="s">
        <v>34</v>
      </c>
      <c r="C36" s="1" t="s">
        <v>17</v>
      </c>
      <c r="D36" s="165"/>
      <c r="E36" s="17" t="s">
        <v>35</v>
      </c>
      <c r="F36" s="73" t="s">
        <v>335</v>
      </c>
      <c r="G36" s="74" t="s">
        <v>112</v>
      </c>
      <c r="H36" s="75">
        <v>14</v>
      </c>
      <c r="I36" s="76">
        <v>7</v>
      </c>
      <c r="J36" s="96">
        <f>4+2+2</f>
        <v>8</v>
      </c>
      <c r="K36" s="77">
        <f>8288.4+1267.86+845.24</f>
        <v>10401.5</v>
      </c>
      <c r="L36" s="77"/>
      <c r="M36" s="78">
        <f t="shared" si="1"/>
        <v>10401.5</v>
      </c>
      <c r="N36" s="100">
        <f>4+4+6+1+3+1+3</f>
        <v>22</v>
      </c>
      <c r="O36" s="81">
        <f>23915.04+21171.88+6399.1+11460.81</f>
        <v>62946.829999999994</v>
      </c>
      <c r="P36" s="81">
        <f>28915.04+21171.88</f>
        <v>50086.92</v>
      </c>
      <c r="Q36" s="79">
        <f t="shared" si="2"/>
        <v>12859.909999999996</v>
      </c>
      <c r="R36" s="141"/>
    </row>
    <row r="37" spans="1:18" s="13" customFormat="1" ht="15.75" x14ac:dyDescent="0.25">
      <c r="A37" s="10"/>
      <c r="B37" s="22" t="s">
        <v>34</v>
      </c>
      <c r="C37" s="1" t="s">
        <v>17</v>
      </c>
      <c r="D37" s="165"/>
      <c r="E37" s="17" t="s">
        <v>35</v>
      </c>
      <c r="F37" s="73" t="s">
        <v>424</v>
      </c>
      <c r="G37" s="8" t="s">
        <v>117</v>
      </c>
      <c r="H37" s="1">
        <v>2</v>
      </c>
      <c r="I37" s="49">
        <v>1</v>
      </c>
      <c r="J37" s="46">
        <v>1</v>
      </c>
      <c r="K37" s="40"/>
      <c r="L37" s="40"/>
      <c r="M37" s="38">
        <f t="shared" si="1"/>
        <v>0</v>
      </c>
      <c r="N37" s="41">
        <v>3</v>
      </c>
      <c r="O37" s="31">
        <v>5570.9</v>
      </c>
      <c r="P37" s="31">
        <v>5570.9</v>
      </c>
      <c r="Q37" s="12">
        <f t="shared" si="2"/>
        <v>0</v>
      </c>
    </row>
    <row r="38" spans="1:18" s="13" customFormat="1" ht="15.75" x14ac:dyDescent="0.25">
      <c r="A38" s="10"/>
      <c r="B38" s="27" t="s">
        <v>36</v>
      </c>
      <c r="C38" s="1" t="s">
        <v>17</v>
      </c>
      <c r="D38" s="165"/>
      <c r="E38" s="17" t="s">
        <v>32</v>
      </c>
      <c r="F38" s="73" t="s">
        <v>336</v>
      </c>
      <c r="G38" s="74" t="s">
        <v>112</v>
      </c>
      <c r="H38" s="75">
        <v>11</v>
      </c>
      <c r="I38" s="76">
        <v>7</v>
      </c>
      <c r="J38" s="96">
        <f>1+3+4</f>
        <v>8</v>
      </c>
      <c r="K38" s="77">
        <f>2091.97+4201.22</f>
        <v>6293.1900000000005</v>
      </c>
      <c r="L38" s="77"/>
      <c r="M38" s="78">
        <f t="shared" si="1"/>
        <v>6293.1900000000005</v>
      </c>
      <c r="N38" s="100">
        <f>4+2+5+1+1</f>
        <v>13</v>
      </c>
      <c r="O38" s="81">
        <f>26828.22+3116.2+14162+4691</f>
        <v>48797.42</v>
      </c>
      <c r="P38" s="81">
        <f>8144.95</f>
        <v>8144.95</v>
      </c>
      <c r="Q38" s="79">
        <f t="shared" si="2"/>
        <v>40652.47</v>
      </c>
      <c r="R38" s="141"/>
    </row>
    <row r="39" spans="1:18" s="13" customFormat="1" ht="15.75" x14ac:dyDescent="0.25">
      <c r="A39" s="10"/>
      <c r="B39" s="27" t="s">
        <v>38</v>
      </c>
      <c r="C39" s="1" t="s">
        <v>17</v>
      </c>
      <c r="D39" s="165"/>
      <c r="E39" s="3" t="s">
        <v>20</v>
      </c>
      <c r="F39" s="73" t="s">
        <v>338</v>
      </c>
      <c r="G39" s="74" t="s">
        <v>112</v>
      </c>
      <c r="H39" s="75">
        <v>25</v>
      </c>
      <c r="I39" s="76">
        <v>15</v>
      </c>
      <c r="J39" s="96">
        <f>5+9+3+4</f>
        <v>21</v>
      </c>
      <c r="K39" s="77">
        <f>4427.07+14262.52</f>
        <v>18689.59</v>
      </c>
      <c r="L39" s="77"/>
      <c r="M39" s="78">
        <f t="shared" si="1"/>
        <v>18689.59</v>
      </c>
      <c r="N39" s="100">
        <f>1+14+2+2</f>
        <v>19</v>
      </c>
      <c r="O39" s="81">
        <f>34449.99+27363.78+23604.86</f>
        <v>85418.63</v>
      </c>
      <c r="P39" s="81">
        <f>34449.99</f>
        <v>34449.99</v>
      </c>
      <c r="Q39" s="79">
        <f t="shared" si="2"/>
        <v>50968.640000000007</v>
      </c>
      <c r="R39" s="141"/>
    </row>
    <row r="40" spans="1:18" s="13" customFormat="1" ht="15.75" x14ac:dyDescent="0.25">
      <c r="A40" s="10"/>
      <c r="B40" s="25" t="s">
        <v>38</v>
      </c>
      <c r="C40" s="1" t="s">
        <v>17</v>
      </c>
      <c r="D40" s="165"/>
      <c r="E40" s="3" t="s">
        <v>20</v>
      </c>
      <c r="F40" s="73" t="s">
        <v>268</v>
      </c>
      <c r="G40" s="11" t="s">
        <v>114</v>
      </c>
      <c r="H40" s="1"/>
      <c r="I40" s="49"/>
      <c r="J40" s="51"/>
      <c r="K40" s="40"/>
      <c r="L40" s="40"/>
      <c r="M40" s="38">
        <f t="shared" si="1"/>
        <v>0</v>
      </c>
      <c r="N40" s="41"/>
      <c r="O40" s="31"/>
      <c r="P40" s="31"/>
      <c r="Q40" s="12">
        <f t="shared" si="2"/>
        <v>0</v>
      </c>
    </row>
    <row r="41" spans="1:18" s="13" customFormat="1" ht="15.75" x14ac:dyDescent="0.25">
      <c r="A41" s="10"/>
      <c r="B41" s="25" t="s">
        <v>38</v>
      </c>
      <c r="C41" s="1" t="s">
        <v>17</v>
      </c>
      <c r="D41" s="165"/>
      <c r="E41" s="3" t="s">
        <v>18</v>
      </c>
      <c r="F41" s="73" t="s">
        <v>324</v>
      </c>
      <c r="G41" s="11" t="s">
        <v>116</v>
      </c>
      <c r="H41" s="1">
        <v>3</v>
      </c>
      <c r="I41" s="49"/>
      <c r="J41" s="51"/>
      <c r="K41" s="40"/>
      <c r="L41" s="40"/>
      <c r="M41" s="38">
        <f t="shared" si="1"/>
        <v>0</v>
      </c>
      <c r="N41" s="41"/>
      <c r="O41" s="31"/>
      <c r="P41" s="31"/>
      <c r="Q41" s="12">
        <f t="shared" si="2"/>
        <v>0</v>
      </c>
    </row>
    <row r="42" spans="1:18" s="13" customFormat="1" ht="15.75" x14ac:dyDescent="0.25">
      <c r="A42" s="10"/>
      <c r="B42" s="22" t="s">
        <v>39</v>
      </c>
      <c r="C42" s="1" t="s">
        <v>17</v>
      </c>
      <c r="D42" s="165"/>
      <c r="E42" s="3" t="s">
        <v>20</v>
      </c>
      <c r="F42" s="73" t="s">
        <v>269</v>
      </c>
      <c r="G42" s="11" t="s">
        <v>114</v>
      </c>
      <c r="H42" s="1"/>
      <c r="I42" s="49"/>
      <c r="J42" s="51"/>
      <c r="K42" s="40"/>
      <c r="L42" s="40"/>
      <c r="M42" s="38">
        <f t="shared" si="1"/>
        <v>0</v>
      </c>
      <c r="N42" s="41"/>
      <c r="O42" s="31"/>
      <c r="P42" s="31"/>
      <c r="Q42" s="12">
        <f t="shared" si="2"/>
        <v>0</v>
      </c>
    </row>
    <row r="43" spans="1:18" s="13" customFormat="1" ht="15.75" x14ac:dyDescent="0.25">
      <c r="A43" s="10"/>
      <c r="B43" s="27" t="s">
        <v>40</v>
      </c>
      <c r="C43" s="1" t="s">
        <v>17</v>
      </c>
      <c r="D43" s="165"/>
      <c r="E43" s="17" t="s">
        <v>41</v>
      </c>
      <c r="F43" s="73" t="s">
        <v>339</v>
      </c>
      <c r="G43" s="74" t="s">
        <v>112</v>
      </c>
      <c r="H43" s="75">
        <v>15</v>
      </c>
      <c r="I43" s="76">
        <v>10</v>
      </c>
      <c r="J43" s="96">
        <f>1+1+3+9</f>
        <v>14</v>
      </c>
      <c r="K43" s="77">
        <f>1045.98+3271.86</f>
        <v>4317.84</v>
      </c>
      <c r="L43" s="77">
        <f>1764.25</f>
        <v>1764.25</v>
      </c>
      <c r="M43" s="78">
        <f t="shared" si="1"/>
        <v>2553.59</v>
      </c>
      <c r="N43" s="100">
        <f>3+13+6+5</f>
        <v>27</v>
      </c>
      <c r="O43" s="81">
        <f>17269.31+39990.78+16582.12</f>
        <v>73842.209999999992</v>
      </c>
      <c r="P43" s="81">
        <f>17269.31+38226.53</f>
        <v>55495.839999999997</v>
      </c>
      <c r="Q43" s="79">
        <f t="shared" si="2"/>
        <v>18346.369999999995</v>
      </c>
      <c r="R43" s="141"/>
    </row>
    <row r="44" spans="1:18" s="13" customFormat="1" ht="15.75" x14ac:dyDescent="0.25">
      <c r="A44" s="10"/>
      <c r="B44" s="25" t="s">
        <v>40</v>
      </c>
      <c r="C44" s="1" t="s">
        <v>17</v>
      </c>
      <c r="D44" s="165"/>
      <c r="E44" s="17" t="s">
        <v>41</v>
      </c>
      <c r="F44" s="73" t="s">
        <v>482</v>
      </c>
      <c r="G44" s="11" t="s">
        <v>114</v>
      </c>
      <c r="H44" s="1"/>
      <c r="I44" s="49"/>
      <c r="J44" s="51"/>
      <c r="K44" s="40"/>
      <c r="L44" s="40"/>
      <c r="M44" s="38">
        <f t="shared" si="1"/>
        <v>0</v>
      </c>
      <c r="N44" s="41">
        <v>1</v>
      </c>
      <c r="O44" s="31">
        <v>3073.6</v>
      </c>
      <c r="P44" s="31">
        <f>3073.6</f>
        <v>3073.6</v>
      </c>
      <c r="Q44" s="12">
        <f t="shared" si="2"/>
        <v>0</v>
      </c>
    </row>
    <row r="45" spans="1:18" s="13" customFormat="1" ht="15.75" x14ac:dyDescent="0.25">
      <c r="A45" s="10"/>
      <c r="B45" s="27" t="s">
        <v>148</v>
      </c>
      <c r="C45" s="1" t="s">
        <v>17</v>
      </c>
      <c r="D45" s="165"/>
      <c r="E45" s="3" t="s">
        <v>20</v>
      </c>
      <c r="F45" s="73" t="s">
        <v>340</v>
      </c>
      <c r="G45" s="74" t="s">
        <v>112</v>
      </c>
      <c r="H45" s="75">
        <v>11</v>
      </c>
      <c r="I45" s="82">
        <v>4</v>
      </c>
      <c r="J45" s="96">
        <f>1+2+1</f>
        <v>4</v>
      </c>
      <c r="K45" s="77">
        <f>537.88+2110.03</f>
        <v>2647.9100000000003</v>
      </c>
      <c r="L45" s="77"/>
      <c r="M45" s="78">
        <f t="shared" si="1"/>
        <v>2647.9100000000003</v>
      </c>
      <c r="N45" s="100">
        <f>6+5+3+1+1</f>
        <v>16</v>
      </c>
      <c r="O45" s="81">
        <f>9370.6+9456.38+8868.69+5367.27</f>
        <v>33062.94</v>
      </c>
      <c r="P45" s="81">
        <f>9370.6</f>
        <v>9370.6</v>
      </c>
      <c r="Q45" s="79">
        <f t="shared" si="2"/>
        <v>23692.340000000004</v>
      </c>
      <c r="R45" s="141"/>
    </row>
    <row r="46" spans="1:18" s="13" customFormat="1" ht="15.75" x14ac:dyDescent="0.25">
      <c r="A46" s="10"/>
      <c r="B46" s="25" t="s">
        <v>148</v>
      </c>
      <c r="C46" s="1" t="s">
        <v>17</v>
      </c>
      <c r="D46" s="165"/>
      <c r="E46" s="17" t="s">
        <v>32</v>
      </c>
      <c r="F46" s="73" t="s">
        <v>425</v>
      </c>
      <c r="G46" s="11" t="s">
        <v>117</v>
      </c>
      <c r="H46" s="1">
        <v>5</v>
      </c>
      <c r="I46" s="49"/>
      <c r="J46" s="46"/>
      <c r="K46" s="40">
        <v>3649.9</v>
      </c>
      <c r="L46" s="40"/>
      <c r="M46" s="38">
        <f t="shared" si="1"/>
        <v>3649.9</v>
      </c>
      <c r="N46" s="41">
        <v>2</v>
      </c>
      <c r="O46" s="31">
        <v>7472.69</v>
      </c>
      <c r="P46" s="31"/>
      <c r="Q46" s="12">
        <f t="shared" si="2"/>
        <v>7472.69</v>
      </c>
    </row>
    <row r="47" spans="1:18" s="13" customFormat="1" ht="15.75" x14ac:dyDescent="0.25">
      <c r="A47" s="10"/>
      <c r="B47" s="30" t="s">
        <v>42</v>
      </c>
      <c r="C47" s="1" t="s">
        <v>17</v>
      </c>
      <c r="D47" s="165"/>
      <c r="E47" s="3" t="s">
        <v>23</v>
      </c>
      <c r="F47" s="73" t="s">
        <v>341</v>
      </c>
      <c r="G47" s="74" t="s">
        <v>112</v>
      </c>
      <c r="H47" s="75">
        <v>20</v>
      </c>
      <c r="I47" s="76">
        <v>11</v>
      </c>
      <c r="J47" s="96">
        <f>5+3+5</f>
        <v>13</v>
      </c>
      <c r="K47" s="77">
        <f>7156.22+3849.11</f>
        <v>11005.33</v>
      </c>
      <c r="L47" s="77"/>
      <c r="M47" s="78">
        <f t="shared" si="1"/>
        <v>11005.33</v>
      </c>
      <c r="N47" s="100">
        <f>4+6+9+2+4+2+2</f>
        <v>29</v>
      </c>
      <c r="O47" s="81">
        <f>5364.2+26170.88+2849.25+18965.6</f>
        <v>53349.93</v>
      </c>
      <c r="P47" s="81">
        <f>5364.2+20436.7+5734.18</f>
        <v>31535.08</v>
      </c>
      <c r="Q47" s="79">
        <f t="shared" si="2"/>
        <v>21814.85</v>
      </c>
      <c r="R47" s="141"/>
    </row>
    <row r="48" spans="1:18" s="13" customFormat="1" ht="15.75" x14ac:dyDescent="0.25">
      <c r="A48" s="10"/>
      <c r="B48" s="24" t="s">
        <v>42</v>
      </c>
      <c r="C48" s="1" t="s">
        <v>17</v>
      </c>
      <c r="D48" s="165"/>
      <c r="E48" s="3" t="s">
        <v>23</v>
      </c>
      <c r="F48" s="73" t="s">
        <v>437</v>
      </c>
      <c r="G48" s="11" t="s">
        <v>118</v>
      </c>
      <c r="H48" s="1">
        <v>2</v>
      </c>
      <c r="I48" s="49"/>
      <c r="J48" s="46"/>
      <c r="K48" s="40"/>
      <c r="L48" s="40"/>
      <c r="M48" s="38">
        <f t="shared" si="1"/>
        <v>0</v>
      </c>
      <c r="N48" s="41">
        <v>1</v>
      </c>
      <c r="O48" s="31">
        <v>7766.4</v>
      </c>
      <c r="P48" s="31">
        <v>4226.2</v>
      </c>
      <c r="Q48" s="12">
        <f t="shared" si="2"/>
        <v>3540.2</v>
      </c>
    </row>
    <row r="49" spans="1:18" s="13" customFormat="1" ht="15.75" x14ac:dyDescent="0.25">
      <c r="A49" s="10"/>
      <c r="B49" s="30" t="s">
        <v>173</v>
      </c>
      <c r="C49" s="1" t="s">
        <v>17</v>
      </c>
      <c r="D49" s="165"/>
      <c r="E49" s="11" t="s">
        <v>118</v>
      </c>
      <c r="F49" s="73" t="s">
        <v>342</v>
      </c>
      <c r="G49" s="74" t="s">
        <v>112</v>
      </c>
      <c r="H49" s="75">
        <v>4</v>
      </c>
      <c r="I49" s="76">
        <v>4</v>
      </c>
      <c r="J49" s="96">
        <f>1+2+1</f>
        <v>4</v>
      </c>
      <c r="K49" s="77">
        <f>6833.76+696.36</f>
        <v>7530.12</v>
      </c>
      <c r="L49" s="77">
        <f>6833.76</f>
        <v>6833.76</v>
      </c>
      <c r="M49" s="78">
        <f t="shared" si="1"/>
        <v>696.35999999999967</v>
      </c>
      <c r="N49" s="100">
        <f>4+2</f>
        <v>6</v>
      </c>
      <c r="O49" s="81">
        <f>5931.9+4183.92+3158.95</f>
        <v>13274.77</v>
      </c>
      <c r="P49" s="81">
        <f>5931.9+4183.92</f>
        <v>10115.82</v>
      </c>
      <c r="Q49" s="79">
        <f t="shared" si="2"/>
        <v>3158.9500000000007</v>
      </c>
      <c r="R49" s="141"/>
    </row>
    <row r="50" spans="1:18" s="13" customFormat="1" ht="15.75" x14ac:dyDescent="0.25">
      <c r="A50" s="10"/>
      <c r="B50" s="22" t="s">
        <v>143</v>
      </c>
      <c r="C50" s="1" t="s">
        <v>64</v>
      </c>
      <c r="D50" s="165" t="s">
        <v>444</v>
      </c>
      <c r="E50" s="3" t="s">
        <v>20</v>
      </c>
      <c r="F50" s="73" t="s">
        <v>445</v>
      </c>
      <c r="G50" s="11" t="s">
        <v>114</v>
      </c>
      <c r="H50" s="1">
        <v>10</v>
      </c>
      <c r="I50" s="47"/>
      <c r="J50" s="51"/>
      <c r="K50" s="37"/>
      <c r="L50" s="37"/>
      <c r="M50" s="78">
        <f t="shared" si="1"/>
        <v>0</v>
      </c>
      <c r="N50" s="39">
        <v>15</v>
      </c>
      <c r="O50" s="31">
        <v>13367.1</v>
      </c>
      <c r="P50" s="31">
        <v>12078.4</v>
      </c>
      <c r="Q50" s="79">
        <f t="shared" si="2"/>
        <v>1288.7000000000007</v>
      </c>
    </row>
    <row r="51" spans="1:18" s="13" customFormat="1" ht="15.75" x14ac:dyDescent="0.25">
      <c r="A51" s="10"/>
      <c r="B51" s="24" t="s">
        <v>158</v>
      </c>
      <c r="C51" s="1" t="s">
        <v>17</v>
      </c>
      <c r="D51" s="165"/>
      <c r="E51" s="17" t="s">
        <v>32</v>
      </c>
      <c r="F51" s="73" t="s">
        <v>426</v>
      </c>
      <c r="G51" s="11" t="s">
        <v>117</v>
      </c>
      <c r="H51" s="1">
        <v>6</v>
      </c>
      <c r="I51" s="47">
        <v>2</v>
      </c>
      <c r="J51" s="51">
        <v>2</v>
      </c>
      <c r="K51" s="37"/>
      <c r="L51" s="37"/>
      <c r="M51" s="38">
        <f t="shared" si="1"/>
        <v>0</v>
      </c>
      <c r="N51" s="39">
        <v>4</v>
      </c>
      <c r="O51" s="31">
        <v>9789.2000000000007</v>
      </c>
      <c r="P51" s="31"/>
      <c r="Q51" s="12">
        <f t="shared" si="2"/>
        <v>9789.2000000000007</v>
      </c>
    </row>
    <row r="52" spans="1:18" s="15" customFormat="1" ht="15.75" x14ac:dyDescent="0.25">
      <c r="A52" s="14"/>
      <c r="B52" s="80" t="s">
        <v>43</v>
      </c>
      <c r="C52" s="1" t="s">
        <v>17</v>
      </c>
      <c r="D52" s="165"/>
      <c r="E52" s="3" t="s">
        <v>18</v>
      </c>
      <c r="F52" s="73" t="s">
        <v>344</v>
      </c>
      <c r="G52" s="74" t="s">
        <v>112</v>
      </c>
      <c r="H52" s="75">
        <v>16</v>
      </c>
      <c r="I52" s="76">
        <v>12</v>
      </c>
      <c r="J52" s="96">
        <f>1+2+2+5+2</f>
        <v>12</v>
      </c>
      <c r="K52" s="77">
        <f>1776.93+926.88</f>
        <v>2703.81</v>
      </c>
      <c r="L52" s="77"/>
      <c r="M52" s="78">
        <f t="shared" si="1"/>
        <v>2703.81</v>
      </c>
      <c r="N52" s="100">
        <f>1+5+4+1+1</f>
        <v>12</v>
      </c>
      <c r="O52" s="81">
        <f>1223.8+3810.29+4959.02+10043.87+2769.48</f>
        <v>22806.460000000003</v>
      </c>
      <c r="P52" s="81">
        <f>1223.8+3810.29</f>
        <v>5034.09</v>
      </c>
      <c r="Q52" s="79">
        <f t="shared" si="2"/>
        <v>17772.370000000003</v>
      </c>
      <c r="R52" s="141"/>
    </row>
    <row r="53" spans="1:18" s="15" customFormat="1" ht="31.5" x14ac:dyDescent="0.25">
      <c r="A53" s="14"/>
      <c r="B53" s="22" t="s">
        <v>43</v>
      </c>
      <c r="C53" s="1" t="s">
        <v>304</v>
      </c>
      <c r="D53" s="165" t="s">
        <v>473</v>
      </c>
      <c r="E53" s="3" t="s">
        <v>18</v>
      </c>
      <c r="F53" s="73" t="s">
        <v>323</v>
      </c>
      <c r="G53" s="11" t="s">
        <v>113</v>
      </c>
      <c r="H53" s="1">
        <v>11</v>
      </c>
      <c r="I53" s="126">
        <v>5</v>
      </c>
      <c r="J53" s="125">
        <v>5</v>
      </c>
      <c r="K53" s="40">
        <v>6339</v>
      </c>
      <c r="L53" s="40">
        <v>3804</v>
      </c>
      <c r="M53" s="38">
        <f t="shared" si="1"/>
        <v>2535</v>
      </c>
      <c r="N53" s="39">
        <v>11</v>
      </c>
      <c r="O53" s="31">
        <v>25343</v>
      </c>
      <c r="P53" s="31">
        <v>8360</v>
      </c>
      <c r="Q53" s="12">
        <f t="shared" si="2"/>
        <v>16983</v>
      </c>
    </row>
    <row r="54" spans="1:18" s="13" customFormat="1" ht="15.75" x14ac:dyDescent="0.25">
      <c r="A54" s="10"/>
      <c r="B54" s="30" t="s">
        <v>44</v>
      </c>
      <c r="C54" s="1" t="s">
        <v>17</v>
      </c>
      <c r="D54" s="165"/>
      <c r="E54" s="3" t="s">
        <v>20</v>
      </c>
      <c r="F54" s="73" t="s">
        <v>345</v>
      </c>
      <c r="G54" s="74" t="s">
        <v>112</v>
      </c>
      <c r="H54" s="75">
        <v>6</v>
      </c>
      <c r="I54" s="76">
        <v>6</v>
      </c>
      <c r="J54" s="96">
        <f>1+1+1+4</f>
        <v>7</v>
      </c>
      <c r="K54" s="77">
        <f>2422.38+1267.86+15410.58</f>
        <v>19100.82</v>
      </c>
      <c r="L54" s="77">
        <f>422.62+3690.24</f>
        <v>4112.8599999999997</v>
      </c>
      <c r="M54" s="78">
        <f t="shared" si="1"/>
        <v>14987.96</v>
      </c>
      <c r="N54" s="100">
        <f>1+11</f>
        <v>12</v>
      </c>
      <c r="O54" s="81">
        <f>421.62+4603.39+10559.77+72902.04</f>
        <v>88486.819999999992</v>
      </c>
      <c r="P54" s="81">
        <f>10559.77</f>
        <v>10559.77</v>
      </c>
      <c r="Q54" s="79">
        <f t="shared" si="2"/>
        <v>77927.049999999988</v>
      </c>
      <c r="R54" s="141"/>
    </row>
    <row r="55" spans="1:18" s="13" customFormat="1" ht="15.75" x14ac:dyDescent="0.25">
      <c r="A55" s="10"/>
      <c r="B55" s="24" t="s">
        <v>44</v>
      </c>
      <c r="C55" s="1" t="s">
        <v>17</v>
      </c>
      <c r="D55" s="165"/>
      <c r="E55" s="3" t="s">
        <v>20</v>
      </c>
      <c r="F55" s="73" t="s">
        <v>483</v>
      </c>
      <c r="G55" s="11" t="s">
        <v>114</v>
      </c>
      <c r="H55" s="1"/>
      <c r="I55" s="49"/>
      <c r="J55" s="51"/>
      <c r="K55" s="40"/>
      <c r="L55" s="40"/>
      <c r="M55" s="78">
        <f t="shared" si="1"/>
        <v>0</v>
      </c>
      <c r="N55" s="41">
        <v>2</v>
      </c>
      <c r="O55" s="31"/>
      <c r="P55" s="31"/>
      <c r="Q55" s="12">
        <f t="shared" si="2"/>
        <v>0</v>
      </c>
    </row>
    <row r="56" spans="1:18" s="13" customFormat="1" ht="15.75" x14ac:dyDescent="0.25">
      <c r="A56" s="10"/>
      <c r="B56" s="24" t="s">
        <v>492</v>
      </c>
      <c r="C56" s="1" t="s">
        <v>17</v>
      </c>
      <c r="D56" s="165"/>
      <c r="E56" s="3" t="s">
        <v>20</v>
      </c>
      <c r="F56" s="73" t="s">
        <v>499</v>
      </c>
      <c r="G56" s="11" t="s">
        <v>112</v>
      </c>
      <c r="H56" s="1">
        <v>4</v>
      </c>
      <c r="I56" s="49"/>
      <c r="J56" s="51"/>
      <c r="K56" s="40"/>
      <c r="L56" s="40"/>
      <c r="M56" s="78"/>
      <c r="N56" s="41"/>
      <c r="O56" s="31"/>
      <c r="P56" s="31"/>
      <c r="Q56" s="12"/>
    </row>
    <row r="57" spans="1:18" s="13" customFormat="1" ht="15.75" x14ac:dyDescent="0.25">
      <c r="A57" s="10"/>
      <c r="B57" s="27" t="s">
        <v>45</v>
      </c>
      <c r="C57" s="1" t="s">
        <v>17</v>
      </c>
      <c r="D57" s="165"/>
      <c r="E57" s="3" t="s">
        <v>20</v>
      </c>
      <c r="F57" s="73" t="s">
        <v>346</v>
      </c>
      <c r="G57" s="74" t="s">
        <v>112</v>
      </c>
      <c r="H57" s="75"/>
      <c r="I57" s="76"/>
      <c r="J57" s="96"/>
      <c r="K57" s="77"/>
      <c r="L57" s="77"/>
      <c r="M57" s="38">
        <f t="shared" si="1"/>
        <v>0</v>
      </c>
      <c r="N57" s="100">
        <f>1</f>
        <v>1</v>
      </c>
      <c r="O57" s="81">
        <f>17995.91+2729.8</f>
        <v>20725.71</v>
      </c>
      <c r="P57" s="81"/>
      <c r="Q57" s="79">
        <f t="shared" si="2"/>
        <v>20725.71</v>
      </c>
      <c r="R57" s="141"/>
    </row>
    <row r="58" spans="1:18" s="13" customFormat="1" ht="15.75" x14ac:dyDescent="0.25">
      <c r="A58" s="10"/>
      <c r="B58" s="25" t="s">
        <v>45</v>
      </c>
      <c r="C58" s="1" t="s">
        <v>17</v>
      </c>
      <c r="D58" s="165"/>
      <c r="E58" s="3" t="s">
        <v>20</v>
      </c>
      <c r="F58" s="73" t="s">
        <v>484</v>
      </c>
      <c r="G58" s="11" t="s">
        <v>114</v>
      </c>
      <c r="H58" s="1"/>
      <c r="I58" s="49"/>
      <c r="J58" s="51"/>
      <c r="K58" s="40"/>
      <c r="L58" s="40"/>
      <c r="M58" s="78">
        <f t="shared" si="1"/>
        <v>0</v>
      </c>
      <c r="N58" s="41"/>
      <c r="O58" s="31"/>
      <c r="P58" s="31"/>
      <c r="Q58" s="12">
        <f t="shared" si="2"/>
        <v>0</v>
      </c>
    </row>
    <row r="59" spans="1:18" s="15" customFormat="1" ht="15.75" x14ac:dyDescent="0.25">
      <c r="A59" s="14"/>
      <c r="B59" s="28" t="s">
        <v>46</v>
      </c>
      <c r="C59" s="1" t="s">
        <v>17</v>
      </c>
      <c r="D59" s="165"/>
      <c r="E59" s="3" t="s">
        <v>20</v>
      </c>
      <c r="F59" s="73" t="s">
        <v>347</v>
      </c>
      <c r="G59" s="74" t="s">
        <v>112</v>
      </c>
      <c r="H59" s="75">
        <v>7</v>
      </c>
      <c r="I59" s="76">
        <v>4</v>
      </c>
      <c r="J59" s="96">
        <f>1+2+3</f>
        <v>6</v>
      </c>
      <c r="K59" s="77">
        <f>1045.98+1068.08+8157.32</f>
        <v>10271.379999999999</v>
      </c>
      <c r="L59" s="77"/>
      <c r="M59" s="38">
        <f t="shared" si="1"/>
        <v>10271.379999999999</v>
      </c>
      <c r="N59" s="100">
        <f>4+4+1</f>
        <v>9</v>
      </c>
      <c r="O59" s="81">
        <f>10759.2+10685.34</f>
        <v>21444.54</v>
      </c>
      <c r="P59" s="81"/>
      <c r="Q59" s="79">
        <f t="shared" si="2"/>
        <v>21444.54</v>
      </c>
      <c r="R59" s="141"/>
    </row>
    <row r="60" spans="1:18" s="15" customFormat="1" ht="15.75" x14ac:dyDescent="0.25">
      <c r="A60" s="14"/>
      <c r="B60" s="26" t="s">
        <v>46</v>
      </c>
      <c r="C60" s="1" t="s">
        <v>17</v>
      </c>
      <c r="D60" s="165"/>
      <c r="E60" s="3" t="s">
        <v>20</v>
      </c>
      <c r="F60" s="73" t="s">
        <v>273</v>
      </c>
      <c r="G60" s="11" t="s">
        <v>114</v>
      </c>
      <c r="H60" s="1">
        <v>1</v>
      </c>
      <c r="I60" s="49"/>
      <c r="J60" s="51"/>
      <c r="K60" s="40"/>
      <c r="L60" s="40"/>
      <c r="M60" s="78">
        <f t="shared" si="1"/>
        <v>0</v>
      </c>
      <c r="N60" s="42">
        <v>2</v>
      </c>
      <c r="O60" s="31">
        <v>8068.2</v>
      </c>
      <c r="P60" s="31">
        <f>4034.1</f>
        <v>4034.1</v>
      </c>
      <c r="Q60" s="12">
        <f t="shared" si="2"/>
        <v>4034.1</v>
      </c>
    </row>
    <row r="61" spans="1:18" s="13" customFormat="1" ht="47.25" x14ac:dyDescent="0.25">
      <c r="A61" s="10"/>
      <c r="B61" s="30" t="s">
        <v>47</v>
      </c>
      <c r="C61" s="1" t="s">
        <v>304</v>
      </c>
      <c r="D61" s="165" t="s">
        <v>474</v>
      </c>
      <c r="E61" s="3" t="s">
        <v>18</v>
      </c>
      <c r="F61" s="73" t="s">
        <v>348</v>
      </c>
      <c r="G61" s="74" t="s">
        <v>112</v>
      </c>
      <c r="H61" s="75">
        <v>23</v>
      </c>
      <c r="I61" s="76">
        <v>12</v>
      </c>
      <c r="J61" s="98">
        <f>1+1+3+21+7+2</f>
        <v>35</v>
      </c>
      <c r="K61" s="154">
        <f>1129.78+866.14+4090.7+2466.18</f>
        <v>8552.7999999999993</v>
      </c>
      <c r="L61" s="77"/>
      <c r="M61" s="38">
        <f t="shared" si="1"/>
        <v>8552.7999999999993</v>
      </c>
      <c r="N61" s="100">
        <f>7+3+4+10+6+1+2+1</f>
        <v>34</v>
      </c>
      <c r="O61" s="81">
        <f>8477.51+15159.83+14079.46+15414.2+17995.91+2065.56+1859.53+9543.86</f>
        <v>84595.86</v>
      </c>
      <c r="P61" s="81">
        <f>8477.51+15159.83</f>
        <v>23637.34</v>
      </c>
      <c r="Q61" s="79">
        <f t="shared" si="2"/>
        <v>60958.520000000004</v>
      </c>
      <c r="R61" s="141"/>
    </row>
    <row r="62" spans="1:18" s="13" customFormat="1" ht="47.25" x14ac:dyDescent="0.25">
      <c r="A62" s="10"/>
      <c r="B62" s="22" t="s">
        <v>120</v>
      </c>
      <c r="C62" s="1" t="s">
        <v>304</v>
      </c>
      <c r="D62" s="165" t="s">
        <v>474</v>
      </c>
      <c r="E62" s="3" t="s">
        <v>18</v>
      </c>
      <c r="F62" s="73" t="s">
        <v>334</v>
      </c>
      <c r="G62" s="11" t="s">
        <v>116</v>
      </c>
      <c r="H62" s="1">
        <v>16</v>
      </c>
      <c r="I62" s="53">
        <v>4</v>
      </c>
      <c r="J62" s="127">
        <v>4</v>
      </c>
      <c r="K62" s="40">
        <v>5591</v>
      </c>
      <c r="L62" s="40">
        <v>1268</v>
      </c>
      <c r="M62" s="78">
        <f t="shared" si="1"/>
        <v>4323</v>
      </c>
      <c r="N62" s="41">
        <v>7</v>
      </c>
      <c r="O62" s="31">
        <v>34506</v>
      </c>
      <c r="P62" s="31">
        <v>26928</v>
      </c>
      <c r="Q62" s="12">
        <f t="shared" si="2"/>
        <v>7578</v>
      </c>
    </row>
    <row r="63" spans="1:18" s="13" customFormat="1" ht="15.75" x14ac:dyDescent="0.25">
      <c r="A63" s="10"/>
      <c r="B63" s="30" t="s">
        <v>134</v>
      </c>
      <c r="C63" s="1" t="s">
        <v>17</v>
      </c>
      <c r="D63" s="165"/>
      <c r="E63" s="3" t="s">
        <v>20</v>
      </c>
      <c r="F63" s="73" t="s">
        <v>349</v>
      </c>
      <c r="G63" s="74" t="s">
        <v>112</v>
      </c>
      <c r="H63" s="75">
        <v>8</v>
      </c>
      <c r="I63" s="76">
        <v>7</v>
      </c>
      <c r="J63" s="96">
        <f>1+4+1</f>
        <v>6</v>
      </c>
      <c r="K63" s="77">
        <f>7301.48+1473.89+1911.09+1690.48</f>
        <v>12376.939999999999</v>
      </c>
      <c r="L63" s="77"/>
      <c r="M63" s="38">
        <f t="shared" si="1"/>
        <v>12376.939999999999</v>
      </c>
      <c r="N63" s="100">
        <f>4+1</f>
        <v>5</v>
      </c>
      <c r="O63" s="81">
        <f>5020.05+3215.31+12312.39+4648.82+32425.98</f>
        <v>57622.55</v>
      </c>
      <c r="P63" s="81"/>
      <c r="Q63" s="79">
        <f t="shared" si="2"/>
        <v>57622.55</v>
      </c>
      <c r="R63" s="141"/>
    </row>
    <row r="64" spans="1:18" s="13" customFormat="1" ht="15.75" x14ac:dyDescent="0.25">
      <c r="A64" s="10"/>
      <c r="B64" s="24" t="s">
        <v>134</v>
      </c>
      <c r="C64" s="1" t="s">
        <v>17</v>
      </c>
      <c r="D64" s="165"/>
      <c r="E64" s="3" t="s">
        <v>20</v>
      </c>
      <c r="F64" s="73" t="s">
        <v>456</v>
      </c>
      <c r="G64" s="11" t="s">
        <v>114</v>
      </c>
      <c r="H64" s="1">
        <v>12</v>
      </c>
      <c r="I64" s="49">
        <v>2</v>
      </c>
      <c r="J64" s="51">
        <v>2</v>
      </c>
      <c r="K64" s="40"/>
      <c r="L64" s="40"/>
      <c r="M64" s="78">
        <f t="shared" si="1"/>
        <v>0</v>
      </c>
      <c r="N64" s="41">
        <v>22</v>
      </c>
      <c r="O64" s="31">
        <v>16425.57</v>
      </c>
      <c r="P64" s="31">
        <v>16425.57</v>
      </c>
      <c r="Q64" s="12">
        <f t="shared" si="2"/>
        <v>0</v>
      </c>
    </row>
    <row r="65" spans="1:18" s="13" customFormat="1" ht="15.75" x14ac:dyDescent="0.25">
      <c r="A65" s="10"/>
      <c r="B65" s="62" t="s">
        <v>48</v>
      </c>
      <c r="C65" s="1" t="s">
        <v>17</v>
      </c>
      <c r="D65" s="165"/>
      <c r="E65" s="3" t="s">
        <v>20</v>
      </c>
      <c r="F65" s="73" t="s">
        <v>350</v>
      </c>
      <c r="G65" s="74" t="s">
        <v>112</v>
      </c>
      <c r="H65" s="75">
        <v>9</v>
      </c>
      <c r="I65" s="76">
        <v>5</v>
      </c>
      <c r="J65" s="96">
        <f>1+1</f>
        <v>2</v>
      </c>
      <c r="K65" s="77">
        <f>4805.96+2585.78</f>
        <v>7391.74</v>
      </c>
      <c r="L65" s="77"/>
      <c r="M65" s="38">
        <f t="shared" si="1"/>
        <v>7391.74</v>
      </c>
      <c r="N65" s="100">
        <f>2+1+2</f>
        <v>5</v>
      </c>
      <c r="O65" s="81">
        <f>23174.33+2535.72+11633.02+6993.42</f>
        <v>44336.490000000005</v>
      </c>
      <c r="P65" s="81">
        <f>22598.03</f>
        <v>22598.03</v>
      </c>
      <c r="Q65" s="79">
        <f t="shared" si="2"/>
        <v>21738.460000000006</v>
      </c>
      <c r="R65" s="141"/>
    </row>
    <row r="66" spans="1:18" s="13" customFormat="1" ht="15.75" x14ac:dyDescent="0.25">
      <c r="A66" s="10"/>
      <c r="B66" s="62" t="s">
        <v>49</v>
      </c>
      <c r="C66" s="1" t="s">
        <v>17</v>
      </c>
      <c r="D66" s="165"/>
      <c r="E66" s="3" t="s">
        <v>50</v>
      </c>
      <c r="F66" s="73" t="s">
        <v>351</v>
      </c>
      <c r="G66" s="74" t="s">
        <v>112</v>
      </c>
      <c r="H66" s="75">
        <v>13</v>
      </c>
      <c r="I66" s="76">
        <v>5</v>
      </c>
      <c r="J66" s="96">
        <f>1+4</f>
        <v>5</v>
      </c>
      <c r="K66" s="77">
        <f>525.65+1267.86</f>
        <v>1793.5099999999998</v>
      </c>
      <c r="L66" s="77"/>
      <c r="M66" s="78">
        <f t="shared" si="1"/>
        <v>1793.5099999999998</v>
      </c>
      <c r="N66" s="100">
        <f>5+1+3</f>
        <v>9</v>
      </c>
      <c r="O66" s="81">
        <f>7374+1806.93+7275.53+4666.9+2684.03</f>
        <v>23807.39</v>
      </c>
      <c r="P66" s="81">
        <f>7374</f>
        <v>7374</v>
      </c>
      <c r="Q66" s="12">
        <f t="shared" si="2"/>
        <v>16433.39</v>
      </c>
      <c r="R66" s="141"/>
    </row>
    <row r="67" spans="1:18" s="13" customFormat="1" ht="15.75" x14ac:dyDescent="0.25">
      <c r="A67" s="10"/>
      <c r="B67" s="22" t="s">
        <v>49</v>
      </c>
      <c r="C67" s="1" t="s">
        <v>17</v>
      </c>
      <c r="D67" s="165"/>
      <c r="E67" s="3" t="s">
        <v>50</v>
      </c>
      <c r="F67" s="73" t="s">
        <v>427</v>
      </c>
      <c r="G67" s="11" t="s">
        <v>115</v>
      </c>
      <c r="H67" s="1">
        <v>7</v>
      </c>
      <c r="I67" s="49">
        <v>1</v>
      </c>
      <c r="J67" s="46">
        <v>1</v>
      </c>
      <c r="K67" s="40">
        <v>2408.23</v>
      </c>
      <c r="L67" s="40"/>
      <c r="M67" s="38">
        <f t="shared" si="1"/>
        <v>2408.23</v>
      </c>
      <c r="N67" s="41">
        <v>8</v>
      </c>
      <c r="O67" s="31">
        <v>11237.9</v>
      </c>
      <c r="P67" s="31">
        <v>4898.6000000000004</v>
      </c>
      <c r="Q67" s="79">
        <f t="shared" si="2"/>
        <v>6339.2999999999993</v>
      </c>
    </row>
    <row r="68" spans="1:18" s="13" customFormat="1" ht="15.75" x14ac:dyDescent="0.25">
      <c r="A68" s="10"/>
      <c r="B68" s="27" t="s">
        <v>51</v>
      </c>
      <c r="C68" s="1" t="s">
        <v>17</v>
      </c>
      <c r="D68" s="165"/>
      <c r="E68" s="3" t="s">
        <v>20</v>
      </c>
      <c r="F68" s="73" t="s">
        <v>186</v>
      </c>
      <c r="G68" s="74" t="s">
        <v>112</v>
      </c>
      <c r="H68" s="75"/>
      <c r="I68" s="76"/>
      <c r="J68" s="96"/>
      <c r="K68" s="77"/>
      <c r="L68" s="77"/>
      <c r="M68" s="78">
        <f t="shared" si="1"/>
        <v>0</v>
      </c>
      <c r="N68" s="100">
        <f>1</f>
        <v>1</v>
      </c>
      <c r="O68" s="81">
        <v>2451.87</v>
      </c>
      <c r="P68" s="81">
        <f>2451.87</f>
        <v>2451.87</v>
      </c>
      <c r="Q68" s="12">
        <f t="shared" si="2"/>
        <v>0</v>
      </c>
      <c r="R68" s="141"/>
    </row>
    <row r="69" spans="1:18" s="13" customFormat="1" ht="15.75" x14ac:dyDescent="0.25">
      <c r="A69" s="10"/>
      <c r="B69" s="27" t="s">
        <v>51</v>
      </c>
      <c r="C69" s="1" t="s">
        <v>17</v>
      </c>
      <c r="D69" s="165"/>
      <c r="E69" s="3" t="s">
        <v>20</v>
      </c>
      <c r="F69" s="73" t="s">
        <v>276</v>
      </c>
      <c r="G69" s="11" t="s">
        <v>114</v>
      </c>
      <c r="H69" s="1"/>
      <c r="I69" s="49"/>
      <c r="J69" s="51"/>
      <c r="K69" s="40"/>
      <c r="L69" s="40"/>
      <c r="M69" s="38">
        <f t="shared" si="1"/>
        <v>0</v>
      </c>
      <c r="N69" s="41">
        <v>3</v>
      </c>
      <c r="O69" s="31">
        <v>6763.6</v>
      </c>
      <c r="P69" s="31">
        <v>6763.6</v>
      </c>
      <c r="Q69" s="79">
        <f t="shared" si="2"/>
        <v>0</v>
      </c>
    </row>
    <row r="70" spans="1:18" s="13" customFormat="1" ht="15.75" x14ac:dyDescent="0.25">
      <c r="A70" s="10"/>
      <c r="B70" s="62" t="s">
        <v>52</v>
      </c>
      <c r="C70" s="1" t="s">
        <v>17</v>
      </c>
      <c r="D70" s="165"/>
      <c r="E70" s="3" t="s">
        <v>20</v>
      </c>
      <c r="F70" s="73" t="s">
        <v>352</v>
      </c>
      <c r="G70" s="74" t="s">
        <v>112</v>
      </c>
      <c r="H70" s="75">
        <v>5</v>
      </c>
      <c r="I70" s="76"/>
      <c r="J70" s="96"/>
      <c r="K70" s="77"/>
      <c r="L70" s="77"/>
      <c r="M70" s="78">
        <f t="shared" si="1"/>
        <v>0</v>
      </c>
      <c r="N70" s="100">
        <f>4+3+1+1+2</f>
        <v>11</v>
      </c>
      <c r="O70" s="81">
        <f>5977.15+48296.91+7596.86+1061.83</f>
        <v>62932.750000000007</v>
      </c>
      <c r="P70" s="81">
        <f>48296.91</f>
        <v>48296.91</v>
      </c>
      <c r="Q70" s="12">
        <f t="shared" si="2"/>
        <v>14635.840000000004</v>
      </c>
      <c r="R70" s="141"/>
    </row>
    <row r="71" spans="1:18" s="13" customFormat="1" ht="15.75" x14ac:dyDescent="0.25">
      <c r="A71" s="10"/>
      <c r="B71" s="22" t="s">
        <v>52</v>
      </c>
      <c r="C71" s="1" t="s">
        <v>17</v>
      </c>
      <c r="D71" s="165"/>
      <c r="E71" s="3" t="s">
        <v>20</v>
      </c>
      <c r="F71" s="73" t="s">
        <v>457</v>
      </c>
      <c r="G71" s="11" t="s">
        <v>114</v>
      </c>
      <c r="H71" s="1">
        <v>7</v>
      </c>
      <c r="I71" s="49">
        <v>1</v>
      </c>
      <c r="J71" s="51">
        <v>1</v>
      </c>
      <c r="K71" s="40"/>
      <c r="L71" s="40"/>
      <c r="M71" s="38">
        <f t="shared" si="1"/>
        <v>0</v>
      </c>
      <c r="N71" s="41">
        <v>12</v>
      </c>
      <c r="O71" s="31">
        <v>19664.86</v>
      </c>
      <c r="P71" s="31">
        <v>11388.46</v>
      </c>
      <c r="Q71" s="79">
        <f t="shared" si="2"/>
        <v>8276.4000000000015</v>
      </c>
    </row>
    <row r="72" spans="1:18" s="13" customFormat="1" ht="15.75" x14ac:dyDescent="0.25">
      <c r="A72" s="10"/>
      <c r="B72" s="27" t="s">
        <v>53</v>
      </c>
      <c r="C72" s="1" t="s">
        <v>17</v>
      </c>
      <c r="D72" s="165"/>
      <c r="E72" s="3" t="s">
        <v>20</v>
      </c>
      <c r="F72" s="73" t="s">
        <v>353</v>
      </c>
      <c r="G72" s="74" t="s">
        <v>112</v>
      </c>
      <c r="H72" s="75">
        <v>6</v>
      </c>
      <c r="I72" s="76">
        <v>2</v>
      </c>
      <c r="J72" s="96">
        <f>2</f>
        <v>2</v>
      </c>
      <c r="K72" s="77"/>
      <c r="L72" s="77"/>
      <c r="M72" s="78">
        <f>K72-L72</f>
        <v>0</v>
      </c>
      <c r="N72" s="100">
        <f>1+2+2+1</f>
        <v>6</v>
      </c>
      <c r="O72" s="81">
        <f>1743.3+3921.71+422.62</f>
        <v>6087.63</v>
      </c>
      <c r="P72" s="81">
        <f>422.62+1743.3</f>
        <v>2165.92</v>
      </c>
      <c r="Q72" s="12">
        <f t="shared" si="2"/>
        <v>3921.71</v>
      </c>
      <c r="R72" s="141"/>
    </row>
    <row r="73" spans="1:18" s="13" customFormat="1" ht="15.75" x14ac:dyDescent="0.25">
      <c r="A73" s="10"/>
      <c r="B73" s="27" t="s">
        <v>149</v>
      </c>
      <c r="C73" s="1" t="s">
        <v>17</v>
      </c>
      <c r="D73" s="165"/>
      <c r="E73" s="3" t="s">
        <v>383</v>
      </c>
      <c r="F73" s="73" t="s">
        <v>354</v>
      </c>
      <c r="G73" s="74" t="s">
        <v>112</v>
      </c>
      <c r="H73" s="75">
        <v>21</v>
      </c>
      <c r="I73" s="76"/>
      <c r="J73" s="96"/>
      <c r="K73" s="77"/>
      <c r="L73" s="77"/>
      <c r="M73" s="38">
        <f t="shared" si="1"/>
        <v>0</v>
      </c>
      <c r="N73" s="100">
        <f>2+2</f>
        <v>4</v>
      </c>
      <c r="O73" s="81">
        <f>3676.8+3431.65</f>
        <v>7108.4500000000007</v>
      </c>
      <c r="P73" s="81"/>
      <c r="Q73" s="79">
        <f t="shared" si="2"/>
        <v>7108.4500000000007</v>
      </c>
      <c r="R73" s="141"/>
    </row>
    <row r="74" spans="1:18" s="13" customFormat="1" ht="15.75" x14ac:dyDescent="0.25">
      <c r="A74" s="10"/>
      <c r="B74" s="25" t="s">
        <v>149</v>
      </c>
      <c r="C74" s="1" t="s">
        <v>17</v>
      </c>
      <c r="D74" s="165"/>
      <c r="E74" s="3" t="s">
        <v>383</v>
      </c>
      <c r="F74" s="73" t="s">
        <v>438</v>
      </c>
      <c r="G74" s="11" t="s">
        <v>118</v>
      </c>
      <c r="H74" s="1">
        <v>3</v>
      </c>
      <c r="I74" s="47"/>
      <c r="J74" s="51"/>
      <c r="K74" s="37"/>
      <c r="L74" s="37"/>
      <c r="M74" s="78">
        <f t="shared" si="1"/>
        <v>0</v>
      </c>
      <c r="N74" s="39">
        <v>3</v>
      </c>
      <c r="O74" s="31">
        <v>4994.6000000000004</v>
      </c>
      <c r="P74" s="31">
        <v>4994.6000000000004</v>
      </c>
      <c r="Q74" s="12">
        <f t="shared" si="2"/>
        <v>0</v>
      </c>
    </row>
    <row r="75" spans="1:18" s="13" customFormat="1" ht="15.75" x14ac:dyDescent="0.25">
      <c r="A75" s="10"/>
      <c r="B75" s="62" t="s">
        <v>107</v>
      </c>
      <c r="C75" s="1" t="s">
        <v>17</v>
      </c>
      <c r="D75" s="165"/>
      <c r="E75" s="17" t="s">
        <v>20</v>
      </c>
      <c r="F75" s="73" t="s">
        <v>355</v>
      </c>
      <c r="G75" s="74" t="s">
        <v>112</v>
      </c>
      <c r="H75" s="75">
        <v>6</v>
      </c>
      <c r="I75" s="76"/>
      <c r="J75" s="96">
        <f>1</f>
        <v>1</v>
      </c>
      <c r="K75" s="77">
        <f>666.63</f>
        <v>666.63</v>
      </c>
      <c r="L75" s="77"/>
      <c r="M75" s="38">
        <f t="shared" si="1"/>
        <v>666.63</v>
      </c>
      <c r="N75" s="100">
        <f>2+6+1</f>
        <v>9</v>
      </c>
      <c r="O75" s="81">
        <f>7612.92+18804.48+9163.33</f>
        <v>35580.730000000003</v>
      </c>
      <c r="P75" s="81">
        <f>7612.92+9952.7</f>
        <v>17565.620000000003</v>
      </c>
      <c r="Q75" s="79">
        <f t="shared" si="2"/>
        <v>18015.11</v>
      </c>
      <c r="R75" s="141"/>
    </row>
    <row r="76" spans="1:18" s="13" customFormat="1" ht="15.75" x14ac:dyDescent="0.25">
      <c r="A76" s="10"/>
      <c r="B76" s="30" t="s">
        <v>54</v>
      </c>
      <c r="C76" s="1" t="s">
        <v>17</v>
      </c>
      <c r="D76" s="165"/>
      <c r="E76" s="17" t="s">
        <v>20</v>
      </c>
      <c r="F76" s="73" t="s">
        <v>356</v>
      </c>
      <c r="G76" s="74" t="s">
        <v>112</v>
      </c>
      <c r="H76" s="75"/>
      <c r="I76" s="76"/>
      <c r="J76" s="96"/>
      <c r="K76" s="77"/>
      <c r="L76" s="77"/>
      <c r="M76" s="38">
        <f t="shared" si="1"/>
        <v>0</v>
      </c>
      <c r="N76" s="100">
        <f>4+1</f>
        <v>5</v>
      </c>
      <c r="O76" s="81">
        <f>17895.28</f>
        <v>17895.28</v>
      </c>
      <c r="P76" s="81"/>
      <c r="Q76" s="79">
        <f t="shared" si="2"/>
        <v>17895.28</v>
      </c>
      <c r="R76" s="141"/>
    </row>
    <row r="77" spans="1:18" s="13" customFormat="1" ht="31.5" x14ac:dyDescent="0.25">
      <c r="A77" s="10"/>
      <c r="B77" s="27" t="s">
        <v>55</v>
      </c>
      <c r="C77" s="1" t="s">
        <v>304</v>
      </c>
      <c r="D77" s="165" t="s">
        <v>387</v>
      </c>
      <c r="E77" s="3" t="s">
        <v>20</v>
      </c>
      <c r="F77" s="73" t="s">
        <v>357</v>
      </c>
      <c r="G77" s="74" t="s">
        <v>112</v>
      </c>
      <c r="H77" s="75">
        <v>12</v>
      </c>
      <c r="I77" s="76">
        <v>8</v>
      </c>
      <c r="J77" s="96">
        <f>3</f>
        <v>3</v>
      </c>
      <c r="K77" s="77">
        <f>1267.86+6667.8</f>
        <v>7935.66</v>
      </c>
      <c r="L77" s="77"/>
      <c r="M77" s="78">
        <f t="shared" si="1"/>
        <v>7935.66</v>
      </c>
      <c r="N77" s="100">
        <f>2+1+2+2</f>
        <v>7</v>
      </c>
      <c r="O77" s="81">
        <f>34854.19+2113.1+6430.67+5463.42</f>
        <v>48861.38</v>
      </c>
      <c r="P77" s="81">
        <f>34854.19</f>
        <v>34854.19</v>
      </c>
      <c r="Q77" s="12">
        <f t="shared" si="2"/>
        <v>14007.189999999995</v>
      </c>
      <c r="R77" s="141"/>
    </row>
    <row r="78" spans="1:18" s="13" customFormat="1" ht="31.5" x14ac:dyDescent="0.25">
      <c r="A78" s="10"/>
      <c r="B78" s="62" t="s">
        <v>56</v>
      </c>
      <c r="C78" s="1" t="s">
        <v>17</v>
      </c>
      <c r="D78" s="165" t="s">
        <v>386</v>
      </c>
      <c r="E78" s="3" t="s">
        <v>18</v>
      </c>
      <c r="F78" s="73" t="s">
        <v>358</v>
      </c>
      <c r="G78" s="74" t="s">
        <v>112</v>
      </c>
      <c r="H78" s="75">
        <v>4</v>
      </c>
      <c r="I78" s="76">
        <v>2</v>
      </c>
      <c r="J78" s="96">
        <f>1+1</f>
        <v>2</v>
      </c>
      <c r="K78" s="77">
        <f>678.11</f>
        <v>678.11</v>
      </c>
      <c r="L78" s="77"/>
      <c r="M78" s="38">
        <f t="shared" si="1"/>
        <v>678.11</v>
      </c>
      <c r="N78" s="100"/>
      <c r="O78" s="81"/>
      <c r="P78" s="81"/>
      <c r="Q78" s="79">
        <f t="shared" si="2"/>
        <v>0</v>
      </c>
      <c r="R78" s="141"/>
    </row>
    <row r="79" spans="1:18" s="13" customFormat="1" ht="31.5" x14ac:dyDescent="0.25">
      <c r="A79" s="10"/>
      <c r="B79" s="22" t="s">
        <v>56</v>
      </c>
      <c r="C79" s="1" t="s">
        <v>304</v>
      </c>
      <c r="D79" s="165" t="s">
        <v>386</v>
      </c>
      <c r="E79" s="3" t="s">
        <v>18</v>
      </c>
      <c r="F79" s="73" t="s">
        <v>476</v>
      </c>
      <c r="G79" s="11" t="s">
        <v>113</v>
      </c>
      <c r="H79" s="1">
        <v>4</v>
      </c>
      <c r="I79" s="49">
        <v>2</v>
      </c>
      <c r="J79" s="46">
        <v>2</v>
      </c>
      <c r="K79" s="40">
        <v>3401</v>
      </c>
      <c r="L79" s="40">
        <v>1268</v>
      </c>
      <c r="M79" s="78">
        <f t="shared" si="1"/>
        <v>2133</v>
      </c>
      <c r="N79" s="41"/>
      <c r="O79" s="31">
        <v>7612</v>
      </c>
      <c r="P79" s="31">
        <v>7612</v>
      </c>
      <c r="Q79" s="12">
        <f t="shared" ref="Q79:Q146" si="3">O79-P79</f>
        <v>0</v>
      </c>
    </row>
    <row r="80" spans="1:18" s="13" customFormat="1" ht="15.75" x14ac:dyDescent="0.25">
      <c r="A80" s="10"/>
      <c r="B80" s="62" t="s">
        <v>156</v>
      </c>
      <c r="C80" s="1" t="s">
        <v>304</v>
      </c>
      <c r="D80" s="165"/>
      <c r="E80" s="3" t="s">
        <v>20</v>
      </c>
      <c r="F80" s="73" t="s">
        <v>359</v>
      </c>
      <c r="G80" s="74" t="s">
        <v>112</v>
      </c>
      <c r="H80" s="75">
        <v>3</v>
      </c>
      <c r="I80" s="76">
        <v>2</v>
      </c>
      <c r="J80" s="96">
        <f>2</f>
        <v>2</v>
      </c>
      <c r="K80" s="77">
        <f>1690.48</f>
        <v>1690.48</v>
      </c>
      <c r="L80" s="77"/>
      <c r="M80" s="38">
        <f t="shared" si="1"/>
        <v>1690.48</v>
      </c>
      <c r="N80" s="100">
        <f>3+1</f>
        <v>4</v>
      </c>
      <c r="O80" s="81">
        <f>5488.54+2398.37+422.62</f>
        <v>8309.5300000000007</v>
      </c>
      <c r="P80" s="81">
        <f>5488.54</f>
        <v>5488.54</v>
      </c>
      <c r="Q80" s="79">
        <f t="shared" si="3"/>
        <v>2820.9900000000007</v>
      </c>
      <c r="R80" s="141"/>
    </row>
    <row r="81" spans="1:18" s="15" customFormat="1" ht="15.75" x14ac:dyDescent="0.25">
      <c r="A81" s="14"/>
      <c r="B81" s="80" t="s">
        <v>57</v>
      </c>
      <c r="C81" s="1" t="s">
        <v>17</v>
      </c>
      <c r="D81" s="165"/>
      <c r="E81" s="3" t="s">
        <v>20</v>
      </c>
      <c r="F81" s="73" t="s">
        <v>360</v>
      </c>
      <c r="G81" s="74" t="s">
        <v>112</v>
      </c>
      <c r="H81" s="75">
        <v>6</v>
      </c>
      <c r="I81" s="76">
        <v>3</v>
      </c>
      <c r="J81" s="96">
        <f>2+1</f>
        <v>3</v>
      </c>
      <c r="K81" s="77">
        <f>806.82</f>
        <v>806.82</v>
      </c>
      <c r="L81" s="77"/>
      <c r="M81" s="78">
        <f t="shared" si="1"/>
        <v>806.82</v>
      </c>
      <c r="N81" s="100">
        <f>2+1</f>
        <v>3</v>
      </c>
      <c r="O81" s="81">
        <f>2745.3</f>
        <v>2745.3</v>
      </c>
      <c r="P81" s="81"/>
      <c r="Q81" s="12">
        <f t="shared" si="3"/>
        <v>2745.3</v>
      </c>
      <c r="R81" s="141"/>
    </row>
    <row r="82" spans="1:18" s="15" customFormat="1" ht="15.75" x14ac:dyDescent="0.25">
      <c r="A82" s="14"/>
      <c r="B82" s="23" t="s">
        <v>57</v>
      </c>
      <c r="C82" s="1" t="s">
        <v>17</v>
      </c>
      <c r="D82" s="165"/>
      <c r="E82" s="3" t="s">
        <v>20</v>
      </c>
      <c r="F82" s="73" t="s">
        <v>458</v>
      </c>
      <c r="G82" s="11" t="s">
        <v>114</v>
      </c>
      <c r="H82" s="1">
        <v>19</v>
      </c>
      <c r="I82" s="49">
        <v>2</v>
      </c>
      <c r="J82" s="51">
        <v>2</v>
      </c>
      <c r="K82" s="40"/>
      <c r="L82" s="40"/>
      <c r="M82" s="38">
        <f t="shared" si="1"/>
        <v>0</v>
      </c>
      <c r="N82" s="42">
        <v>10</v>
      </c>
      <c r="O82" s="31">
        <v>5825.46</v>
      </c>
      <c r="P82" s="31">
        <v>5825.46</v>
      </c>
      <c r="Q82" s="79">
        <f t="shared" si="3"/>
        <v>0</v>
      </c>
    </row>
    <row r="83" spans="1:18" s="13" customFormat="1" ht="15.75" x14ac:dyDescent="0.25">
      <c r="A83" s="10"/>
      <c r="B83" s="62" t="s">
        <v>58</v>
      </c>
      <c r="C83" s="1" t="s">
        <v>17</v>
      </c>
      <c r="D83" s="165"/>
      <c r="E83" s="3" t="s">
        <v>20</v>
      </c>
      <c r="F83" s="73" t="s">
        <v>361</v>
      </c>
      <c r="G83" s="74" t="s">
        <v>112</v>
      </c>
      <c r="H83" s="75">
        <v>4</v>
      </c>
      <c r="I83" s="76"/>
      <c r="J83" s="96"/>
      <c r="K83" s="77"/>
      <c r="L83" s="77"/>
      <c r="M83" s="78">
        <f t="shared" si="1"/>
        <v>0</v>
      </c>
      <c r="N83" s="100">
        <f>1+1+3</f>
        <v>5</v>
      </c>
      <c r="O83" s="81">
        <f>9196.24+2480.78+2954.11+15214.32</f>
        <v>29845.45</v>
      </c>
      <c r="P83" s="81"/>
      <c r="Q83" s="12">
        <f t="shared" si="3"/>
        <v>29845.45</v>
      </c>
      <c r="R83" s="141"/>
    </row>
    <row r="84" spans="1:18" s="13" customFormat="1" ht="15.75" x14ac:dyDescent="0.25">
      <c r="A84" s="10"/>
      <c r="B84" s="22" t="s">
        <v>58</v>
      </c>
      <c r="C84" s="1" t="s">
        <v>17</v>
      </c>
      <c r="D84" s="165"/>
      <c r="E84" s="3" t="s">
        <v>20</v>
      </c>
      <c r="F84" s="73" t="s">
        <v>478</v>
      </c>
      <c r="G84" s="11" t="s">
        <v>114</v>
      </c>
      <c r="H84" s="1">
        <v>4</v>
      </c>
      <c r="I84" s="49"/>
      <c r="J84" s="51"/>
      <c r="K84" s="40"/>
      <c r="L84" s="40"/>
      <c r="M84" s="38">
        <f t="shared" ref="M84:M157" si="4">K84-L84</f>
        <v>0</v>
      </c>
      <c r="N84" s="41">
        <v>21</v>
      </c>
      <c r="O84" s="31">
        <v>23095.57</v>
      </c>
      <c r="P84" s="31">
        <v>16615.25</v>
      </c>
      <c r="Q84" s="79">
        <f t="shared" si="3"/>
        <v>6480.32</v>
      </c>
    </row>
    <row r="85" spans="1:18" s="13" customFormat="1" ht="15.75" x14ac:dyDescent="0.25">
      <c r="A85" s="10"/>
      <c r="B85" s="62" t="s">
        <v>59</v>
      </c>
      <c r="C85" s="1" t="s">
        <v>17</v>
      </c>
      <c r="D85" s="165"/>
      <c r="E85" s="3" t="s">
        <v>20</v>
      </c>
      <c r="F85" s="73" t="s">
        <v>362</v>
      </c>
      <c r="G85" s="74" t="s">
        <v>112</v>
      </c>
      <c r="H85" s="75">
        <v>8</v>
      </c>
      <c r="I85" s="76">
        <v>3</v>
      </c>
      <c r="J85" s="96">
        <f>1+1+1</f>
        <v>3</v>
      </c>
      <c r="K85" s="77">
        <f>403.41</f>
        <v>403.41</v>
      </c>
      <c r="L85" s="77"/>
      <c r="M85" s="78">
        <f t="shared" si="4"/>
        <v>403.41</v>
      </c>
      <c r="N85" s="100">
        <f>1+2+2+1</f>
        <v>6</v>
      </c>
      <c r="O85" s="81">
        <f>6646.05+1267.86+979.71</f>
        <v>8893.619999999999</v>
      </c>
      <c r="P85" s="81">
        <f>2353.23+5561.68</f>
        <v>7914.91</v>
      </c>
      <c r="Q85" s="12">
        <f t="shared" si="3"/>
        <v>978.70999999999913</v>
      </c>
      <c r="R85" s="141"/>
    </row>
    <row r="86" spans="1:18" s="13" customFormat="1" ht="15.75" x14ac:dyDescent="0.25">
      <c r="A86" s="10"/>
      <c r="B86" s="22" t="s">
        <v>59</v>
      </c>
      <c r="C86" s="1" t="s">
        <v>17</v>
      </c>
      <c r="D86" s="165"/>
      <c r="E86" s="3" t="s">
        <v>20</v>
      </c>
      <c r="F86" s="73" t="s">
        <v>128</v>
      </c>
      <c r="G86" s="11" t="s">
        <v>114</v>
      </c>
      <c r="H86" s="1"/>
      <c r="I86" s="49"/>
      <c r="J86" s="51"/>
      <c r="K86" s="40"/>
      <c r="L86" s="40"/>
      <c r="M86" s="38">
        <f t="shared" si="4"/>
        <v>0</v>
      </c>
      <c r="N86" s="41"/>
      <c r="O86" s="31"/>
      <c r="P86" s="31"/>
      <c r="Q86" s="79">
        <f t="shared" si="3"/>
        <v>0</v>
      </c>
    </row>
    <row r="87" spans="1:18" s="13" customFormat="1" ht="15.75" x14ac:dyDescent="0.25">
      <c r="A87" s="10"/>
      <c r="B87" s="27" t="s">
        <v>60</v>
      </c>
      <c r="C87" s="1" t="s">
        <v>17</v>
      </c>
      <c r="D87" s="165"/>
      <c r="E87" s="3" t="s">
        <v>20</v>
      </c>
      <c r="F87" s="73" t="s">
        <v>364</v>
      </c>
      <c r="G87" s="74" t="s">
        <v>112</v>
      </c>
      <c r="H87" s="75">
        <v>7</v>
      </c>
      <c r="I87" s="76">
        <v>1</v>
      </c>
      <c r="J87" s="96">
        <f>1</f>
        <v>1</v>
      </c>
      <c r="K87" s="77">
        <f>634.93</f>
        <v>634.92999999999995</v>
      </c>
      <c r="L87" s="77"/>
      <c r="M87" s="78">
        <f t="shared" si="4"/>
        <v>634.92999999999995</v>
      </c>
      <c r="N87" s="100">
        <f>4+1</f>
        <v>5</v>
      </c>
      <c r="O87" s="81">
        <f>15124.53+2065.75</f>
        <v>17190.28</v>
      </c>
      <c r="P87" s="81">
        <f>15125.53</f>
        <v>15125.53</v>
      </c>
      <c r="Q87" s="12">
        <f t="shared" si="3"/>
        <v>2064.7499999999982</v>
      </c>
      <c r="R87" s="141"/>
    </row>
    <row r="88" spans="1:18" s="13" customFormat="1" ht="15.75" x14ac:dyDescent="0.25">
      <c r="A88" s="10"/>
      <c r="B88" s="25" t="s">
        <v>60</v>
      </c>
      <c r="C88" s="1" t="s">
        <v>17</v>
      </c>
      <c r="D88" s="165"/>
      <c r="E88" s="3" t="s">
        <v>20</v>
      </c>
      <c r="F88" s="73" t="s">
        <v>479</v>
      </c>
      <c r="G88" s="11" t="s">
        <v>114</v>
      </c>
      <c r="H88" s="1">
        <v>4</v>
      </c>
      <c r="I88" s="49"/>
      <c r="J88" s="51"/>
      <c r="K88" s="40"/>
      <c r="L88" s="40"/>
      <c r="M88" s="38">
        <f t="shared" si="4"/>
        <v>0</v>
      </c>
      <c r="N88" s="41">
        <v>7</v>
      </c>
      <c r="O88" s="31">
        <v>6259.4</v>
      </c>
      <c r="P88" s="31">
        <v>6259.4</v>
      </c>
      <c r="Q88" s="79">
        <f t="shared" si="3"/>
        <v>0</v>
      </c>
    </row>
    <row r="89" spans="1:18" s="13" customFormat="1" ht="15.75" x14ac:dyDescent="0.25">
      <c r="A89" s="10"/>
      <c r="B89" s="25" t="s">
        <v>493</v>
      </c>
      <c r="C89" s="1" t="s">
        <v>17</v>
      </c>
      <c r="D89" s="165"/>
      <c r="E89" s="3" t="s">
        <v>20</v>
      </c>
      <c r="F89" s="73" t="s">
        <v>496</v>
      </c>
      <c r="G89" s="11" t="s">
        <v>112</v>
      </c>
      <c r="H89" s="1">
        <v>5</v>
      </c>
      <c r="I89" s="49"/>
      <c r="J89" s="51"/>
      <c r="K89" s="40"/>
      <c r="L89" s="40"/>
      <c r="M89" s="38"/>
      <c r="N89" s="41"/>
      <c r="O89" s="31"/>
      <c r="P89" s="31"/>
      <c r="Q89" s="79"/>
    </row>
    <row r="90" spans="1:18" s="15" customFormat="1" ht="15.75" x14ac:dyDescent="0.25">
      <c r="A90" s="14"/>
      <c r="B90" s="28" t="s">
        <v>61</v>
      </c>
      <c r="C90" s="1" t="s">
        <v>17</v>
      </c>
      <c r="D90" s="165"/>
      <c r="E90" s="3" t="s">
        <v>20</v>
      </c>
      <c r="F90" s="73" t="s">
        <v>363</v>
      </c>
      <c r="G90" s="74" t="s">
        <v>112</v>
      </c>
      <c r="H90" s="75"/>
      <c r="I90" s="76"/>
      <c r="J90" s="96"/>
      <c r="K90" s="77"/>
      <c r="L90" s="77"/>
      <c r="M90" s="78">
        <f t="shared" si="4"/>
        <v>0</v>
      </c>
      <c r="N90" s="100"/>
      <c r="O90" s="81"/>
      <c r="P90" s="81"/>
      <c r="Q90" s="12">
        <f t="shared" si="3"/>
        <v>0</v>
      </c>
      <c r="R90" s="141"/>
    </row>
    <row r="91" spans="1:18" s="15" customFormat="1" ht="15.75" x14ac:dyDescent="0.25">
      <c r="A91" s="14"/>
      <c r="B91" s="26" t="s">
        <v>61</v>
      </c>
      <c r="C91" s="1" t="s">
        <v>17</v>
      </c>
      <c r="D91" s="165"/>
      <c r="E91" s="3" t="s">
        <v>20</v>
      </c>
      <c r="F91" s="73" t="s">
        <v>121</v>
      </c>
      <c r="G91" s="11" t="s">
        <v>114</v>
      </c>
      <c r="H91" s="1"/>
      <c r="I91" s="49"/>
      <c r="J91" s="51"/>
      <c r="K91" s="40"/>
      <c r="L91" s="40"/>
      <c r="M91" s="38">
        <f t="shared" si="4"/>
        <v>0</v>
      </c>
      <c r="N91" s="42"/>
      <c r="O91" s="31"/>
      <c r="P91" s="31"/>
      <c r="Q91" s="79">
        <f t="shared" si="3"/>
        <v>0</v>
      </c>
    </row>
    <row r="92" spans="1:18" s="15" customFormat="1" ht="15.75" x14ac:dyDescent="0.25">
      <c r="A92" s="14"/>
      <c r="B92" s="20" t="s">
        <v>306</v>
      </c>
      <c r="C92" s="1" t="s">
        <v>17</v>
      </c>
      <c r="D92" s="165"/>
      <c r="E92" s="3" t="s">
        <v>35</v>
      </c>
      <c r="F92" s="73" t="s">
        <v>365</v>
      </c>
      <c r="G92" s="11" t="s">
        <v>112</v>
      </c>
      <c r="H92" s="1">
        <v>21</v>
      </c>
      <c r="I92" s="58">
        <v>10</v>
      </c>
      <c r="J92" s="51">
        <f>1+2+1+3+3</f>
        <v>10</v>
      </c>
      <c r="K92" s="40">
        <f>1045.98+2658.7+35696.14+4892.46+1024.04</f>
        <v>45317.32</v>
      </c>
      <c r="L92" s="40">
        <f>1045.98</f>
        <v>1045.98</v>
      </c>
      <c r="M92" s="78">
        <f t="shared" si="4"/>
        <v>44271.34</v>
      </c>
      <c r="N92" s="39">
        <f>7+2+2+2</f>
        <v>13</v>
      </c>
      <c r="O92" s="31">
        <f>2313.84+6162.57+2330.32+1690.48</f>
        <v>12497.21</v>
      </c>
      <c r="P92" s="31">
        <f>2313.84+6162.57</f>
        <v>8476.41</v>
      </c>
      <c r="Q92" s="12">
        <f t="shared" si="3"/>
        <v>4020.7999999999993</v>
      </c>
      <c r="R92" s="141"/>
    </row>
    <row r="93" spans="1:18" s="13" customFormat="1" ht="15.75" x14ac:dyDescent="0.25">
      <c r="A93" s="10"/>
      <c r="B93" s="22" t="s">
        <v>306</v>
      </c>
      <c r="C93" s="1" t="s">
        <v>17</v>
      </c>
      <c r="D93" s="165"/>
      <c r="E93" s="3" t="s">
        <v>27</v>
      </c>
      <c r="F93" s="73" t="s">
        <v>421</v>
      </c>
      <c r="G93" s="11" t="s">
        <v>117</v>
      </c>
      <c r="H93" s="1">
        <v>2</v>
      </c>
      <c r="I93" s="49"/>
      <c r="J93" s="46"/>
      <c r="K93" s="40"/>
      <c r="L93" s="40"/>
      <c r="M93" s="78">
        <f>K93-L93</f>
        <v>0</v>
      </c>
      <c r="N93" s="41"/>
      <c r="O93" s="40"/>
      <c r="P93" s="40"/>
      <c r="Q93" s="79">
        <f>O93-P93</f>
        <v>0</v>
      </c>
    </row>
    <row r="94" spans="1:18" s="13" customFormat="1" ht="15.75" x14ac:dyDescent="0.25">
      <c r="A94" s="10"/>
      <c r="B94" s="27" t="s">
        <v>62</v>
      </c>
      <c r="C94" s="1" t="s">
        <v>17</v>
      </c>
      <c r="D94" s="165"/>
      <c r="E94" s="3" t="s">
        <v>35</v>
      </c>
      <c r="F94" s="73" t="s">
        <v>366</v>
      </c>
      <c r="G94" s="74" t="s">
        <v>112</v>
      </c>
      <c r="H94" s="75">
        <v>9</v>
      </c>
      <c r="I94" s="76">
        <v>8</v>
      </c>
      <c r="J94" s="96">
        <f>1+3+1+1</f>
        <v>6</v>
      </c>
      <c r="K94" s="77">
        <f>3613.4+1872.01</f>
        <v>5485.41</v>
      </c>
      <c r="L94" s="77"/>
      <c r="M94" s="38">
        <f t="shared" si="4"/>
        <v>5485.41</v>
      </c>
      <c r="N94" s="100">
        <f>6+2+1+2+1</f>
        <v>12</v>
      </c>
      <c r="O94" s="81">
        <f>19511.33+1270.93+3979.74+2500.85+8530.18</f>
        <v>35793.03</v>
      </c>
      <c r="P94" s="81">
        <f>19512.33</f>
        <v>19512.330000000002</v>
      </c>
      <c r="Q94" s="79">
        <f t="shared" si="3"/>
        <v>16280.699999999997</v>
      </c>
      <c r="R94" s="141"/>
    </row>
    <row r="95" spans="1:18" s="13" customFormat="1" ht="15.75" x14ac:dyDescent="0.25">
      <c r="A95" s="10"/>
      <c r="B95" s="25" t="s">
        <v>62</v>
      </c>
      <c r="C95" s="1" t="s">
        <v>17</v>
      </c>
      <c r="D95" s="165"/>
      <c r="E95" s="3" t="s">
        <v>35</v>
      </c>
      <c r="F95" s="73" t="s">
        <v>428</v>
      </c>
      <c r="G95" s="11" t="s">
        <v>117</v>
      </c>
      <c r="H95" s="1">
        <v>1</v>
      </c>
      <c r="I95" s="49"/>
      <c r="J95" s="46"/>
      <c r="K95" s="40"/>
      <c r="L95" s="40"/>
      <c r="M95" s="78">
        <f t="shared" si="4"/>
        <v>0</v>
      </c>
      <c r="N95" s="41">
        <v>9</v>
      </c>
      <c r="O95" s="31">
        <v>22788.1</v>
      </c>
      <c r="P95" s="31">
        <v>14143.6</v>
      </c>
      <c r="Q95" s="12">
        <f t="shared" si="3"/>
        <v>8644.4999999999982</v>
      </c>
    </row>
    <row r="96" spans="1:18" s="13" customFormat="1" ht="15.75" x14ac:dyDescent="0.25">
      <c r="A96" s="10"/>
      <c r="B96" s="25" t="s">
        <v>63</v>
      </c>
      <c r="C96" s="1" t="s">
        <v>64</v>
      </c>
      <c r="D96" s="165" t="s">
        <v>65</v>
      </c>
      <c r="E96" s="3" t="s">
        <v>20</v>
      </c>
      <c r="F96" s="73" t="s">
        <v>480</v>
      </c>
      <c r="G96" s="11" t="s">
        <v>114</v>
      </c>
      <c r="H96" s="1"/>
      <c r="I96" s="49"/>
      <c r="J96" s="51"/>
      <c r="K96" s="40"/>
      <c r="L96" s="40"/>
      <c r="M96" s="38">
        <f t="shared" si="4"/>
        <v>0</v>
      </c>
      <c r="N96" s="41"/>
      <c r="O96" s="31"/>
      <c r="P96" s="31"/>
      <c r="Q96" s="79">
        <f t="shared" si="3"/>
        <v>0</v>
      </c>
    </row>
    <row r="97" spans="1:19" s="13" customFormat="1" ht="15.75" x14ac:dyDescent="0.25">
      <c r="A97" s="10"/>
      <c r="B97" s="27" t="s">
        <v>155</v>
      </c>
      <c r="C97" s="1" t="s">
        <v>17</v>
      </c>
      <c r="D97" s="165"/>
      <c r="E97" s="3" t="s">
        <v>20</v>
      </c>
      <c r="F97" s="73" t="s">
        <v>367</v>
      </c>
      <c r="G97" s="74" t="s">
        <v>112</v>
      </c>
      <c r="H97" s="75">
        <v>6</v>
      </c>
      <c r="I97" s="82">
        <v>1</v>
      </c>
      <c r="J97" s="96">
        <f>1</f>
        <v>1</v>
      </c>
      <c r="K97" s="77">
        <f>3117.56</f>
        <v>3117.56</v>
      </c>
      <c r="L97" s="77"/>
      <c r="M97" s="78">
        <f t="shared" si="4"/>
        <v>3117.56</v>
      </c>
      <c r="N97" s="100">
        <f>1+1+1</f>
        <v>3</v>
      </c>
      <c r="O97" s="81">
        <f>1798.06+2123.67</f>
        <v>3921.73</v>
      </c>
      <c r="P97" s="81"/>
      <c r="Q97" s="12">
        <f t="shared" si="3"/>
        <v>3921.73</v>
      </c>
      <c r="R97" s="141"/>
    </row>
    <row r="98" spans="1:19" s="13" customFormat="1" ht="15.75" x14ac:dyDescent="0.25">
      <c r="A98" s="10"/>
      <c r="B98" s="25" t="s">
        <v>155</v>
      </c>
      <c r="C98" s="1" t="s">
        <v>17</v>
      </c>
      <c r="D98" s="165"/>
      <c r="E98" s="3" t="s">
        <v>20</v>
      </c>
      <c r="F98" s="73" t="s">
        <v>459</v>
      </c>
      <c r="G98" s="11" t="s">
        <v>114</v>
      </c>
      <c r="H98" s="1">
        <v>6</v>
      </c>
      <c r="I98" s="49"/>
      <c r="J98" s="51"/>
      <c r="K98" s="40"/>
      <c r="L98" s="40"/>
      <c r="M98" s="38">
        <f t="shared" si="4"/>
        <v>0</v>
      </c>
      <c r="N98" s="41">
        <v>13</v>
      </c>
      <c r="O98" s="31">
        <v>17392.43</v>
      </c>
      <c r="P98" s="31">
        <v>17392.43</v>
      </c>
      <c r="Q98" s="79">
        <f t="shared" si="3"/>
        <v>0</v>
      </c>
    </row>
    <row r="99" spans="1:19" s="13" customFormat="1" ht="15.75" x14ac:dyDescent="0.25">
      <c r="A99" s="10"/>
      <c r="B99" s="30" t="s">
        <v>66</v>
      </c>
      <c r="C99" s="1" t="s">
        <v>17</v>
      </c>
      <c r="D99" s="165"/>
      <c r="E99" s="3" t="s">
        <v>21</v>
      </c>
      <c r="F99" s="73" t="s">
        <v>368</v>
      </c>
      <c r="G99" s="74" t="s">
        <v>112</v>
      </c>
      <c r="H99" s="75">
        <v>14</v>
      </c>
      <c r="I99" s="76">
        <v>8</v>
      </c>
      <c r="J99" s="96">
        <f>1+3+2+3</f>
        <v>9</v>
      </c>
      <c r="K99" s="77">
        <f>1045.98+4309.04+3820.12+1872.01+4253.49</f>
        <v>15300.64</v>
      </c>
      <c r="L99" s="77"/>
      <c r="M99" s="78">
        <f t="shared" si="4"/>
        <v>15300.64</v>
      </c>
      <c r="N99" s="100">
        <f>6+3+8+7+1+1+1+2</f>
        <v>29</v>
      </c>
      <c r="O99" s="81">
        <f>11911.17+23136+18060.17+1977.84+2091.97+19535.65</f>
        <v>76712.799999999988</v>
      </c>
      <c r="P99" s="81">
        <f>1152.6+11911.47</f>
        <v>13064.07</v>
      </c>
      <c r="Q99" s="12">
        <f t="shared" si="3"/>
        <v>63648.729999999989</v>
      </c>
      <c r="R99" s="141"/>
    </row>
    <row r="100" spans="1:19" s="13" customFormat="1" ht="15.75" x14ac:dyDescent="0.25">
      <c r="A100" s="10"/>
      <c r="B100" s="24" t="s">
        <v>66</v>
      </c>
      <c r="C100" s="1" t="s">
        <v>17</v>
      </c>
      <c r="D100" s="165"/>
      <c r="E100" s="3" t="s">
        <v>21</v>
      </c>
      <c r="F100" s="73" t="s">
        <v>439</v>
      </c>
      <c r="G100" s="11" t="s">
        <v>118</v>
      </c>
      <c r="H100" s="1">
        <v>5</v>
      </c>
      <c r="I100" s="49"/>
      <c r="J100" s="46"/>
      <c r="K100" s="40"/>
      <c r="L100" s="40"/>
      <c r="M100" s="38">
        <f t="shared" si="4"/>
        <v>0</v>
      </c>
      <c r="N100" s="41">
        <v>14</v>
      </c>
      <c r="O100" s="31">
        <v>61492.89</v>
      </c>
      <c r="P100" s="31">
        <v>12328.58</v>
      </c>
      <c r="Q100" s="79">
        <f t="shared" si="3"/>
        <v>49164.31</v>
      </c>
    </row>
    <row r="101" spans="1:19" s="13" customFormat="1" ht="15.75" x14ac:dyDescent="0.25">
      <c r="A101" s="10"/>
      <c r="B101" s="62" t="s">
        <v>137</v>
      </c>
      <c r="C101" s="1" t="s">
        <v>17</v>
      </c>
      <c r="D101" s="165"/>
      <c r="E101" s="17" t="s">
        <v>35</v>
      </c>
      <c r="F101" s="73" t="s">
        <v>369</v>
      </c>
      <c r="G101" s="74" t="s">
        <v>112</v>
      </c>
      <c r="H101" s="75">
        <v>15</v>
      </c>
      <c r="I101" s="76">
        <v>7</v>
      </c>
      <c r="J101" s="96">
        <f>3+3</f>
        <v>6</v>
      </c>
      <c r="K101" s="77">
        <f>504.26+845.24+3380.96</f>
        <v>4730.46</v>
      </c>
      <c r="L101" s="77"/>
      <c r="M101" s="78">
        <f t="shared" si="4"/>
        <v>4730.46</v>
      </c>
      <c r="N101" s="100">
        <f>5+1+1+2</f>
        <v>9</v>
      </c>
      <c r="O101" s="81">
        <f>2617.36+422.62+3852.18+3380.96</f>
        <v>10273.119999999999</v>
      </c>
      <c r="P101" s="81">
        <f>2617.36</f>
        <v>2617.36</v>
      </c>
      <c r="Q101" s="12">
        <f t="shared" si="3"/>
        <v>7655.7599999999984</v>
      </c>
      <c r="R101" s="141"/>
    </row>
    <row r="102" spans="1:19" s="13" customFormat="1" ht="15.75" x14ac:dyDescent="0.25">
      <c r="A102" s="10"/>
      <c r="B102" s="22" t="s">
        <v>137</v>
      </c>
      <c r="C102" s="1" t="s">
        <v>17</v>
      </c>
      <c r="D102" s="165"/>
      <c r="E102" s="17" t="s">
        <v>35</v>
      </c>
      <c r="F102" s="73" t="s">
        <v>429</v>
      </c>
      <c r="G102" s="11" t="s">
        <v>117</v>
      </c>
      <c r="H102" s="1">
        <v>1</v>
      </c>
      <c r="I102" s="49"/>
      <c r="J102" s="51"/>
      <c r="K102" s="37"/>
      <c r="L102" s="37"/>
      <c r="M102" s="78">
        <f t="shared" si="4"/>
        <v>0</v>
      </c>
      <c r="N102" s="39">
        <v>1</v>
      </c>
      <c r="O102" s="31">
        <v>7299.8</v>
      </c>
      <c r="P102" s="31"/>
      <c r="Q102" s="79">
        <f t="shared" si="3"/>
        <v>7299.8</v>
      </c>
    </row>
    <row r="103" spans="1:19" s="13" customFormat="1" ht="15.75" x14ac:dyDescent="0.25">
      <c r="A103" s="10"/>
      <c r="B103" s="30" t="s">
        <v>67</v>
      </c>
      <c r="C103" s="1" t="s">
        <v>17</v>
      </c>
      <c r="D103" s="165"/>
      <c r="E103" s="17" t="s">
        <v>21</v>
      </c>
      <c r="F103" s="73" t="s">
        <v>370</v>
      </c>
      <c r="G103" s="74" t="s">
        <v>112</v>
      </c>
      <c r="H103" s="75">
        <v>14</v>
      </c>
      <c r="I103" s="76">
        <v>6</v>
      </c>
      <c r="J103" s="96">
        <f>2+1+1+2+1</f>
        <v>7</v>
      </c>
      <c r="K103" s="77">
        <f>3319.85+1198.9+864.45</f>
        <v>5383.2</v>
      </c>
      <c r="L103" s="77"/>
      <c r="M103" s="38">
        <f t="shared" si="4"/>
        <v>5383.2</v>
      </c>
      <c r="N103" s="100">
        <f>4+9+4+4+1+3+1</f>
        <v>26</v>
      </c>
      <c r="O103" s="81">
        <f>29696.65+38129.03+13567.9+20687.05+2022.79+8145.77</f>
        <v>112249.18999999999</v>
      </c>
      <c r="P103" s="81">
        <f>34696.65</f>
        <v>34696.65</v>
      </c>
      <c r="Q103" s="12">
        <f t="shared" si="3"/>
        <v>77552.539999999979</v>
      </c>
      <c r="R103" s="141"/>
    </row>
    <row r="104" spans="1:19" s="13" customFormat="1" ht="15.75" x14ac:dyDescent="0.25">
      <c r="A104" s="10"/>
      <c r="B104" s="24" t="s">
        <v>67</v>
      </c>
      <c r="C104" s="1" t="s">
        <v>17</v>
      </c>
      <c r="D104" s="165"/>
      <c r="E104" s="17" t="s">
        <v>21</v>
      </c>
      <c r="F104" s="73" t="s">
        <v>440</v>
      </c>
      <c r="G104" s="11" t="s">
        <v>118</v>
      </c>
      <c r="H104" s="1">
        <v>9</v>
      </c>
      <c r="I104" s="49">
        <v>1</v>
      </c>
      <c r="J104" s="46"/>
      <c r="K104" s="40"/>
      <c r="L104" s="40"/>
      <c r="M104" s="78">
        <f t="shared" si="4"/>
        <v>0</v>
      </c>
      <c r="N104" s="41">
        <v>10</v>
      </c>
      <c r="O104" s="31">
        <v>46580.53</v>
      </c>
      <c r="P104" s="31">
        <v>16540.89</v>
      </c>
      <c r="Q104" s="79">
        <f t="shared" si="3"/>
        <v>30039.64</v>
      </c>
    </row>
    <row r="105" spans="1:19" s="13" customFormat="1" ht="15.75" x14ac:dyDescent="0.25">
      <c r="A105" s="10"/>
      <c r="B105" s="30" t="s">
        <v>68</v>
      </c>
      <c r="C105" s="1" t="s">
        <v>17</v>
      </c>
      <c r="D105" s="165"/>
      <c r="E105" s="17" t="s">
        <v>32</v>
      </c>
      <c r="F105" s="73" t="s">
        <v>371</v>
      </c>
      <c r="G105" s="74" t="s">
        <v>112</v>
      </c>
      <c r="H105" s="75">
        <v>12</v>
      </c>
      <c r="I105" s="76">
        <v>5</v>
      </c>
      <c r="J105" s="96">
        <f>2+1+2</f>
        <v>5</v>
      </c>
      <c r="K105" s="77">
        <f>1128.59+422.62+1152.6+4557.81</f>
        <v>7261.6200000000008</v>
      </c>
      <c r="L105" s="77"/>
      <c r="M105" s="38">
        <f t="shared" si="4"/>
        <v>7261.6200000000008</v>
      </c>
      <c r="N105" s="100">
        <f>6+5+1+4</f>
        <v>16</v>
      </c>
      <c r="O105" s="81">
        <f>7813.73+8523.5+1452.28+12582.19</f>
        <v>30371.699999999997</v>
      </c>
      <c r="P105" s="81">
        <f>7813.73</f>
        <v>7813.73</v>
      </c>
      <c r="Q105" s="12">
        <f t="shared" si="3"/>
        <v>22557.969999999998</v>
      </c>
      <c r="R105" s="141"/>
    </row>
    <row r="106" spans="1:19" s="13" customFormat="1" ht="15.75" x14ac:dyDescent="0.25">
      <c r="A106" s="10"/>
      <c r="B106" s="24" t="s">
        <v>68</v>
      </c>
      <c r="C106" s="1" t="s">
        <v>17</v>
      </c>
      <c r="D106" s="165"/>
      <c r="E106" s="17" t="s">
        <v>32</v>
      </c>
      <c r="F106" s="73" t="s">
        <v>430</v>
      </c>
      <c r="G106" s="8" t="s">
        <v>117</v>
      </c>
      <c r="H106" s="1">
        <v>1</v>
      </c>
      <c r="I106" s="49"/>
      <c r="J106" s="46"/>
      <c r="K106" s="40"/>
      <c r="L106" s="40"/>
      <c r="M106" s="78">
        <f t="shared" si="4"/>
        <v>0</v>
      </c>
      <c r="N106" s="41"/>
      <c r="O106" s="40"/>
      <c r="P106" s="40"/>
      <c r="Q106" s="79">
        <f t="shared" si="3"/>
        <v>0</v>
      </c>
    </row>
    <row r="107" spans="1:19" s="15" customFormat="1" ht="15.75" x14ac:dyDescent="0.25">
      <c r="A107" s="14"/>
      <c r="B107" s="28" t="s">
        <v>69</v>
      </c>
      <c r="C107" s="1" t="s">
        <v>17</v>
      </c>
      <c r="D107" s="165"/>
      <c r="E107" s="3" t="s">
        <v>20</v>
      </c>
      <c r="F107" s="73" t="s">
        <v>372</v>
      </c>
      <c r="G107" s="74" t="s">
        <v>112</v>
      </c>
      <c r="H107" s="75">
        <v>4</v>
      </c>
      <c r="I107" s="76">
        <v>2</v>
      </c>
      <c r="J107" s="96">
        <f>1+1</f>
        <v>2</v>
      </c>
      <c r="K107" s="77">
        <f>422.62</f>
        <v>422.62</v>
      </c>
      <c r="L107" s="77"/>
      <c r="M107" s="38">
        <f t="shared" si="4"/>
        <v>422.62</v>
      </c>
      <c r="N107" s="100">
        <f>3+2+1+1</f>
        <v>7</v>
      </c>
      <c r="O107" s="77">
        <f>7210.31+3647.96+1306.28+1267.86</f>
        <v>13432.410000000002</v>
      </c>
      <c r="P107" s="77">
        <f>7201.31+3647.96</f>
        <v>10849.27</v>
      </c>
      <c r="Q107" s="12">
        <f t="shared" si="3"/>
        <v>2583.1400000000012</v>
      </c>
      <c r="R107" s="141"/>
    </row>
    <row r="108" spans="1:19" s="13" customFormat="1" ht="15.75" x14ac:dyDescent="0.25">
      <c r="A108" s="10"/>
      <c r="B108" s="62" t="s">
        <v>70</v>
      </c>
      <c r="C108" s="1" t="s">
        <v>17</v>
      </c>
      <c r="D108" s="165"/>
      <c r="E108" s="3" t="s">
        <v>20</v>
      </c>
      <c r="F108" s="73" t="s">
        <v>373</v>
      </c>
      <c r="G108" s="74" t="s">
        <v>112</v>
      </c>
      <c r="H108" s="75">
        <v>7</v>
      </c>
      <c r="I108" s="76">
        <v>2</v>
      </c>
      <c r="J108" s="96">
        <f>2</f>
        <v>2</v>
      </c>
      <c r="K108" s="77">
        <f>1959.42</f>
        <v>1959.42</v>
      </c>
      <c r="L108" s="77"/>
      <c r="M108" s="78">
        <f t="shared" si="4"/>
        <v>1959.42</v>
      </c>
      <c r="N108" s="100">
        <f>2+3+4</f>
        <v>9</v>
      </c>
      <c r="O108" s="81">
        <v>7606.2</v>
      </c>
      <c r="P108" s="81">
        <f>3534.95</f>
        <v>3534.95</v>
      </c>
      <c r="Q108" s="79">
        <f t="shared" si="3"/>
        <v>4071.25</v>
      </c>
      <c r="R108" s="141"/>
    </row>
    <row r="109" spans="1:19" s="13" customFormat="1" ht="15.75" x14ac:dyDescent="0.25">
      <c r="A109" s="10"/>
      <c r="B109" s="22" t="s">
        <v>70</v>
      </c>
      <c r="C109" s="1" t="s">
        <v>17</v>
      </c>
      <c r="D109" s="165"/>
      <c r="E109" s="3" t="s">
        <v>20</v>
      </c>
      <c r="F109" s="73" t="s">
        <v>460</v>
      </c>
      <c r="G109" s="11" t="s">
        <v>114</v>
      </c>
      <c r="H109" s="1">
        <v>20</v>
      </c>
      <c r="I109" s="49">
        <v>1</v>
      </c>
      <c r="J109" s="51">
        <v>1</v>
      </c>
      <c r="K109" s="40"/>
      <c r="L109" s="40"/>
      <c r="M109" s="38">
        <f t="shared" si="4"/>
        <v>0</v>
      </c>
      <c r="N109" s="41">
        <v>28</v>
      </c>
      <c r="O109" s="31">
        <v>36457.769999999997</v>
      </c>
      <c r="P109" s="31">
        <v>29350.07</v>
      </c>
      <c r="Q109" s="12">
        <f t="shared" si="3"/>
        <v>7107.6999999999971</v>
      </c>
    </row>
    <row r="110" spans="1:19" s="15" customFormat="1" ht="15.75" x14ac:dyDescent="0.25">
      <c r="A110" s="14"/>
      <c r="B110" s="80" t="s">
        <v>71</v>
      </c>
      <c r="C110" s="1" t="s">
        <v>17</v>
      </c>
      <c r="D110" s="165"/>
      <c r="E110" s="3" t="s">
        <v>32</v>
      </c>
      <c r="F110" s="73" t="s">
        <v>374</v>
      </c>
      <c r="G110" s="74" t="s">
        <v>112</v>
      </c>
      <c r="H110" s="75">
        <v>11</v>
      </c>
      <c r="I110" s="76">
        <v>7</v>
      </c>
      <c r="J110" s="96">
        <f>3+1+2+1</f>
        <v>7</v>
      </c>
      <c r="K110" s="77">
        <f>1536.8+461.04+1748.88</f>
        <v>3746.7200000000003</v>
      </c>
      <c r="L110" s="77"/>
      <c r="M110" s="78">
        <f t="shared" si="4"/>
        <v>3746.7200000000003</v>
      </c>
      <c r="N110" s="100">
        <f>3+2+1+1</f>
        <v>7</v>
      </c>
      <c r="O110" s="81">
        <f>9567.93+3616.67+403.41</f>
        <v>13588.01</v>
      </c>
      <c r="P110" s="81">
        <f>9567.93</f>
        <v>9567.93</v>
      </c>
      <c r="Q110" s="79">
        <f t="shared" si="3"/>
        <v>4020.08</v>
      </c>
      <c r="R110" s="141"/>
      <c r="S110" s="36"/>
    </row>
    <row r="111" spans="1:19" s="15" customFormat="1" ht="15.75" x14ac:dyDescent="0.25">
      <c r="A111" s="14"/>
      <c r="B111" s="23" t="s">
        <v>71</v>
      </c>
      <c r="C111" s="1" t="s">
        <v>17</v>
      </c>
      <c r="D111" s="165"/>
      <c r="E111" s="3" t="s">
        <v>32</v>
      </c>
      <c r="F111" s="73" t="s">
        <v>431</v>
      </c>
      <c r="G111" s="11" t="s">
        <v>115</v>
      </c>
      <c r="H111" s="1">
        <v>5</v>
      </c>
      <c r="I111" s="48">
        <v>3</v>
      </c>
      <c r="J111" s="45">
        <v>3</v>
      </c>
      <c r="K111" s="40">
        <v>5570.9</v>
      </c>
      <c r="L111" s="40"/>
      <c r="M111" s="38">
        <f t="shared" si="4"/>
        <v>5570.9</v>
      </c>
      <c r="N111" s="39">
        <f>5</f>
        <v>5</v>
      </c>
      <c r="O111" s="40">
        <v>6595.5</v>
      </c>
      <c r="P111" s="40">
        <v>6595.5</v>
      </c>
      <c r="Q111" s="12">
        <f t="shared" si="3"/>
        <v>0</v>
      </c>
    </row>
    <row r="112" spans="1:19" s="13" customFormat="1" ht="15.75" x14ac:dyDescent="0.25">
      <c r="A112" s="10"/>
      <c r="B112" s="62" t="s">
        <v>319</v>
      </c>
      <c r="C112" s="1" t="s">
        <v>17</v>
      </c>
      <c r="D112" s="165"/>
      <c r="E112" s="3" t="s">
        <v>20</v>
      </c>
      <c r="F112" s="73" t="s">
        <v>375</v>
      </c>
      <c r="G112" s="74" t="s">
        <v>112</v>
      </c>
      <c r="H112" s="75">
        <v>20</v>
      </c>
      <c r="I112" s="76">
        <v>8</v>
      </c>
      <c r="J112" s="96">
        <f>2+1+4+3</f>
        <v>10</v>
      </c>
      <c r="K112" s="77">
        <f>710.77+1523.35+6753.23+7215.52+1437.48</f>
        <v>17640.349999999999</v>
      </c>
      <c r="L112" s="77"/>
      <c r="M112" s="78">
        <f>K112-L112</f>
        <v>17640.349999999999</v>
      </c>
      <c r="N112" s="100">
        <f>3+1+2+1</f>
        <v>7</v>
      </c>
      <c r="O112" s="77">
        <f>13419.94+726.71+2846.77+3770.56</f>
        <v>20763.980000000003</v>
      </c>
      <c r="P112" s="77">
        <f>13419.94+1592.75</f>
        <v>15012.69</v>
      </c>
      <c r="Q112" s="79">
        <f>O112-P112</f>
        <v>5751.2900000000027</v>
      </c>
      <c r="R112" s="141"/>
    </row>
    <row r="113" spans="1:18" s="15" customFormat="1" ht="15.75" x14ac:dyDescent="0.25">
      <c r="A113" s="14"/>
      <c r="B113" s="62" t="s">
        <v>150</v>
      </c>
      <c r="C113" s="1" t="s">
        <v>17</v>
      </c>
      <c r="D113" s="165"/>
      <c r="E113" s="3" t="s">
        <v>35</v>
      </c>
      <c r="F113" s="73" t="s">
        <v>376</v>
      </c>
      <c r="G113" s="74" t="s">
        <v>112</v>
      </c>
      <c r="H113" s="75">
        <v>9</v>
      </c>
      <c r="I113" s="76">
        <v>4</v>
      </c>
      <c r="J113" s="97">
        <f>1+1+2</f>
        <v>4</v>
      </c>
      <c r="K113" s="77">
        <f>1343.65+384.2</f>
        <v>1727.8500000000001</v>
      </c>
      <c r="L113" s="77"/>
      <c r="M113" s="78">
        <f t="shared" si="4"/>
        <v>1727.8500000000001</v>
      </c>
      <c r="N113" s="114">
        <f>8+1+1+2+3</f>
        <v>15</v>
      </c>
      <c r="O113" s="77">
        <f>5997.32+3719.39+3054.34+13138.17</f>
        <v>25909.22</v>
      </c>
      <c r="P113" s="81">
        <f>3885.22+2113.1</f>
        <v>5998.32</v>
      </c>
      <c r="Q113" s="79">
        <f t="shared" si="3"/>
        <v>19910.900000000001</v>
      </c>
      <c r="R113" s="141"/>
    </row>
    <row r="114" spans="1:18" s="15" customFormat="1" ht="15.75" x14ac:dyDescent="0.25">
      <c r="A114" s="14"/>
      <c r="B114" s="50" t="s">
        <v>150</v>
      </c>
      <c r="C114" s="1" t="s">
        <v>17</v>
      </c>
      <c r="D114" s="165"/>
      <c r="E114" s="3" t="s">
        <v>32</v>
      </c>
      <c r="F114" s="73" t="s">
        <v>487</v>
      </c>
      <c r="G114" s="11" t="s">
        <v>117</v>
      </c>
      <c r="H114" s="1"/>
      <c r="I114" s="48"/>
      <c r="J114" s="45"/>
      <c r="K114" s="40"/>
      <c r="L114" s="37"/>
      <c r="M114" s="38">
        <f t="shared" si="4"/>
        <v>0</v>
      </c>
      <c r="N114" s="42">
        <v>1</v>
      </c>
      <c r="O114" s="40">
        <v>4226.2</v>
      </c>
      <c r="P114" s="40"/>
      <c r="Q114" s="12">
        <f t="shared" si="3"/>
        <v>4226.2</v>
      </c>
    </row>
    <row r="115" spans="1:18" s="13" customFormat="1" ht="15.75" x14ac:dyDescent="0.25">
      <c r="A115" s="10"/>
      <c r="B115" s="30" t="s">
        <v>72</v>
      </c>
      <c r="C115" s="1" t="s">
        <v>17</v>
      </c>
      <c r="D115" s="165"/>
      <c r="E115" s="3" t="s">
        <v>21</v>
      </c>
      <c r="F115" s="73" t="s">
        <v>377</v>
      </c>
      <c r="G115" s="74" t="s">
        <v>112</v>
      </c>
      <c r="H115" s="75">
        <v>13</v>
      </c>
      <c r="I115" s="76">
        <v>2</v>
      </c>
      <c r="J115" s="96">
        <f>1+1+1</f>
        <v>3</v>
      </c>
      <c r="K115" s="77">
        <f>633.93+1415.78+1610.18</f>
        <v>3659.8900000000003</v>
      </c>
      <c r="L115" s="77"/>
      <c r="M115" s="78">
        <f t="shared" si="4"/>
        <v>3659.8900000000003</v>
      </c>
      <c r="N115" s="100">
        <f>1+3+1+1+1</f>
        <v>7</v>
      </c>
      <c r="O115" s="81">
        <f>1950.74+10237.13+6595.95+3861.21+1348.53</f>
        <v>23993.559999999998</v>
      </c>
      <c r="P115" s="81">
        <f>1951.74+10237.13</f>
        <v>12188.869999999999</v>
      </c>
      <c r="Q115" s="79">
        <f t="shared" si="3"/>
        <v>11804.689999999999</v>
      </c>
      <c r="R115" s="141"/>
    </row>
    <row r="116" spans="1:18" s="13" customFormat="1" ht="15.75" x14ac:dyDescent="0.25">
      <c r="A116" s="10"/>
      <c r="B116" s="24" t="s">
        <v>72</v>
      </c>
      <c r="C116" s="1" t="s">
        <v>17</v>
      </c>
      <c r="D116" s="165"/>
      <c r="E116" s="3" t="s">
        <v>21</v>
      </c>
      <c r="F116" s="73" t="s">
        <v>441</v>
      </c>
      <c r="G116" s="11" t="s">
        <v>118</v>
      </c>
      <c r="H116" s="1">
        <v>5</v>
      </c>
      <c r="I116" s="49"/>
      <c r="J116" s="46"/>
      <c r="K116" s="40"/>
      <c r="L116" s="40"/>
      <c r="M116" s="38">
        <f t="shared" si="4"/>
        <v>0</v>
      </c>
      <c r="N116" s="41">
        <v>12</v>
      </c>
      <c r="O116" s="31">
        <v>45577.03</v>
      </c>
      <c r="P116" s="31">
        <v>12247.68</v>
      </c>
      <c r="Q116" s="12">
        <f t="shared" si="3"/>
        <v>33329.35</v>
      </c>
    </row>
    <row r="117" spans="1:18" s="15" customFormat="1" ht="15.75" x14ac:dyDescent="0.25">
      <c r="A117" s="14"/>
      <c r="B117" s="84" t="s">
        <v>73</v>
      </c>
      <c r="C117" s="1" t="s">
        <v>17</v>
      </c>
      <c r="D117" s="165"/>
      <c r="E117" s="3" t="s">
        <v>74</v>
      </c>
      <c r="F117" s="73" t="s">
        <v>378</v>
      </c>
      <c r="G117" s="74" t="s">
        <v>112</v>
      </c>
      <c r="H117" s="75">
        <v>16</v>
      </c>
      <c r="I117" s="76">
        <v>14</v>
      </c>
      <c r="J117" s="96">
        <f>9+8</f>
        <v>17</v>
      </c>
      <c r="K117" s="77">
        <f>6305.33</f>
        <v>6305.33</v>
      </c>
      <c r="L117" s="77"/>
      <c r="M117" s="78">
        <f t="shared" si="4"/>
        <v>6305.33</v>
      </c>
      <c r="N117" s="100">
        <f>5+3+3</f>
        <v>11</v>
      </c>
      <c r="O117" s="81">
        <f>5416.39+9506.99</f>
        <v>14923.380000000001</v>
      </c>
      <c r="P117" s="81">
        <f>5417.39</f>
        <v>5417.39</v>
      </c>
      <c r="Q117" s="79">
        <f t="shared" si="3"/>
        <v>9505.9900000000016</v>
      </c>
      <c r="R117" s="141"/>
    </row>
    <row r="118" spans="1:18" s="15" customFormat="1" ht="15.75" x14ac:dyDescent="0.25">
      <c r="A118" s="14"/>
      <c r="B118" s="29" t="s">
        <v>73</v>
      </c>
      <c r="C118" s="1" t="s">
        <v>17</v>
      </c>
      <c r="D118" s="165"/>
      <c r="E118" s="3" t="s">
        <v>74</v>
      </c>
      <c r="F118" s="73" t="s">
        <v>282</v>
      </c>
      <c r="G118" s="11" t="s">
        <v>114</v>
      </c>
      <c r="H118" s="1"/>
      <c r="I118" s="49"/>
      <c r="J118" s="51"/>
      <c r="K118" s="40"/>
      <c r="L118" s="40"/>
      <c r="M118" s="38">
        <f t="shared" si="4"/>
        <v>0</v>
      </c>
      <c r="N118" s="42">
        <v>1</v>
      </c>
      <c r="O118" s="31"/>
      <c r="P118" s="31"/>
      <c r="Q118" s="12">
        <f t="shared" si="3"/>
        <v>0</v>
      </c>
    </row>
    <row r="119" spans="1:18" s="13" customFormat="1" ht="15.75" x14ac:dyDescent="0.25">
      <c r="A119" s="10"/>
      <c r="B119" s="30" t="s">
        <v>135</v>
      </c>
      <c r="C119" s="1" t="s">
        <v>17</v>
      </c>
      <c r="D119" s="165"/>
      <c r="E119" s="17" t="s">
        <v>35</v>
      </c>
      <c r="F119" s="73" t="s">
        <v>379</v>
      </c>
      <c r="G119" s="74" t="s">
        <v>112</v>
      </c>
      <c r="H119" s="75">
        <v>12</v>
      </c>
      <c r="I119" s="76">
        <v>6</v>
      </c>
      <c r="J119" s="96">
        <f>1+6</f>
        <v>7</v>
      </c>
      <c r="K119" s="77">
        <f>697.32+4374.12</f>
        <v>5071.4399999999996</v>
      </c>
      <c r="L119" s="77">
        <f>697.32</f>
        <v>697.32</v>
      </c>
      <c r="M119" s="38">
        <f t="shared" si="4"/>
        <v>4374.12</v>
      </c>
      <c r="N119" s="100">
        <f>2+5+1+2+2</f>
        <v>12</v>
      </c>
      <c r="O119" s="81">
        <f>6432.89+2283.68</f>
        <v>8716.57</v>
      </c>
      <c r="P119" s="81">
        <f>6432.89</f>
        <v>6432.89</v>
      </c>
      <c r="Q119" s="12">
        <f t="shared" si="3"/>
        <v>2283.6799999999994</v>
      </c>
      <c r="R119" s="141"/>
    </row>
    <row r="120" spans="1:18" s="13" customFormat="1" ht="15.75" x14ac:dyDescent="0.25">
      <c r="A120" s="10"/>
      <c r="B120" s="24" t="s">
        <v>135</v>
      </c>
      <c r="C120" s="1" t="s">
        <v>17</v>
      </c>
      <c r="D120" s="165"/>
      <c r="E120" s="17" t="s">
        <v>35</v>
      </c>
      <c r="F120" s="73" t="s">
        <v>432</v>
      </c>
      <c r="G120" s="11" t="s">
        <v>115</v>
      </c>
      <c r="H120" s="1"/>
      <c r="I120" s="49"/>
      <c r="J120" s="46"/>
      <c r="K120" s="40"/>
      <c r="L120" s="40"/>
      <c r="M120" s="78">
        <f t="shared" si="4"/>
        <v>0</v>
      </c>
      <c r="N120" s="41">
        <v>1</v>
      </c>
      <c r="O120" s="31">
        <v>2689.4</v>
      </c>
      <c r="P120" s="31"/>
      <c r="Q120" s="79">
        <f t="shared" si="3"/>
        <v>2689.4</v>
      </c>
    </row>
    <row r="121" spans="1:18" s="13" customFormat="1" ht="15.75" x14ac:dyDescent="0.25">
      <c r="A121" s="10"/>
      <c r="B121" s="30" t="s">
        <v>145</v>
      </c>
      <c r="C121" s="1" t="s">
        <v>17</v>
      </c>
      <c r="D121" s="165"/>
      <c r="E121" s="17" t="s">
        <v>20</v>
      </c>
      <c r="F121" s="73" t="s">
        <v>380</v>
      </c>
      <c r="G121" s="74" t="s">
        <v>112</v>
      </c>
      <c r="H121" s="75">
        <v>4</v>
      </c>
      <c r="I121" s="82">
        <v>3</v>
      </c>
      <c r="J121" s="96">
        <f>2+1+1</f>
        <v>4</v>
      </c>
      <c r="K121" s="77">
        <f>5169.72+1100+538.84</f>
        <v>6808.56</v>
      </c>
      <c r="L121" s="77"/>
      <c r="M121" s="38">
        <f t="shared" si="4"/>
        <v>6808.56</v>
      </c>
      <c r="N121" s="100">
        <f>1+1+2+1</f>
        <v>5</v>
      </c>
      <c r="O121" s="81">
        <f>5120.23+3915.15+1114.12</f>
        <v>10149.5</v>
      </c>
      <c r="P121" s="81">
        <f>5120.23</f>
        <v>5120.2299999999996</v>
      </c>
      <c r="Q121" s="12">
        <f t="shared" si="3"/>
        <v>5029.2700000000004</v>
      </c>
      <c r="R121" s="141"/>
    </row>
    <row r="122" spans="1:18" s="13" customFormat="1" ht="15.75" x14ac:dyDescent="0.25">
      <c r="A122" s="10"/>
      <c r="B122" s="24" t="s">
        <v>145</v>
      </c>
      <c r="C122" s="1" t="s">
        <v>17</v>
      </c>
      <c r="D122" s="165"/>
      <c r="E122" s="17" t="s">
        <v>20</v>
      </c>
      <c r="F122" s="73" t="s">
        <v>461</v>
      </c>
      <c r="G122" s="11" t="s">
        <v>114</v>
      </c>
      <c r="H122" s="1">
        <v>2</v>
      </c>
      <c r="I122" s="49"/>
      <c r="J122" s="51"/>
      <c r="K122" s="40"/>
      <c r="L122" s="40"/>
      <c r="M122" s="78">
        <f t="shared" si="4"/>
        <v>0</v>
      </c>
      <c r="N122" s="41">
        <v>9</v>
      </c>
      <c r="O122" s="31">
        <v>19379.400000000001</v>
      </c>
      <c r="P122" s="31">
        <v>13232.2</v>
      </c>
      <c r="Q122" s="79">
        <f t="shared" si="3"/>
        <v>6147.2000000000007</v>
      </c>
    </row>
    <row r="123" spans="1:18" s="13" customFormat="1" ht="15.75" x14ac:dyDescent="0.25">
      <c r="A123" s="10"/>
      <c r="B123" s="62" t="s">
        <v>76</v>
      </c>
      <c r="C123" s="1" t="s">
        <v>17</v>
      </c>
      <c r="D123" s="165"/>
      <c r="E123" s="3" t="s">
        <v>20</v>
      </c>
      <c r="F123" s="73" t="s">
        <v>381</v>
      </c>
      <c r="G123" s="74" t="s">
        <v>112</v>
      </c>
      <c r="H123" s="75">
        <v>17</v>
      </c>
      <c r="I123" s="76">
        <v>12</v>
      </c>
      <c r="J123" s="96">
        <f>1+6+3+1+3</f>
        <v>14</v>
      </c>
      <c r="K123" s="77">
        <f>6556.06+2806.39+2697.06+1267.86</f>
        <v>13327.37</v>
      </c>
      <c r="L123" s="77">
        <f>384.2</f>
        <v>384.2</v>
      </c>
      <c r="M123" s="38">
        <f t="shared" si="4"/>
        <v>12943.17</v>
      </c>
      <c r="N123" s="100">
        <f>5+6+2+1</f>
        <v>14</v>
      </c>
      <c r="O123" s="81">
        <f>11527.9+19846.52+1011.91+9641+2451.87</f>
        <v>44479.200000000004</v>
      </c>
      <c r="P123" s="81">
        <f>11144.7</f>
        <v>11144.7</v>
      </c>
      <c r="Q123" s="12">
        <f t="shared" si="3"/>
        <v>33334.5</v>
      </c>
      <c r="R123" s="141"/>
    </row>
    <row r="124" spans="1:18" s="13" customFormat="1" ht="15.75" x14ac:dyDescent="0.25">
      <c r="A124" s="10"/>
      <c r="B124" s="22" t="s">
        <v>76</v>
      </c>
      <c r="C124" s="1" t="s">
        <v>17</v>
      </c>
      <c r="D124" s="165"/>
      <c r="E124" s="3" t="s">
        <v>20</v>
      </c>
      <c r="F124" s="73" t="s">
        <v>462</v>
      </c>
      <c r="G124" s="11" t="s">
        <v>114</v>
      </c>
      <c r="H124" s="1">
        <v>6</v>
      </c>
      <c r="I124" s="49">
        <v>1</v>
      </c>
      <c r="J124" s="51">
        <v>1</v>
      </c>
      <c r="K124" s="40"/>
      <c r="L124" s="40"/>
      <c r="M124" s="78">
        <f t="shared" si="4"/>
        <v>0</v>
      </c>
      <c r="N124" s="41">
        <v>9</v>
      </c>
      <c r="O124" s="31">
        <v>17927.759999999998</v>
      </c>
      <c r="P124" s="31">
        <v>8706.9599999999991</v>
      </c>
      <c r="Q124" s="79">
        <f t="shared" si="3"/>
        <v>9220.7999999999993</v>
      </c>
    </row>
    <row r="125" spans="1:18" s="13" customFormat="1" ht="15.75" x14ac:dyDescent="0.25">
      <c r="A125" s="10"/>
      <c r="B125" s="30" t="s">
        <v>77</v>
      </c>
      <c r="C125" s="1" t="s">
        <v>17</v>
      </c>
      <c r="D125" s="165"/>
      <c r="E125" s="3" t="s">
        <v>32</v>
      </c>
      <c r="F125" s="73" t="s">
        <v>388</v>
      </c>
      <c r="G125" s="74" t="s">
        <v>112</v>
      </c>
      <c r="H125" s="75">
        <v>8</v>
      </c>
      <c r="I125" s="76">
        <v>5</v>
      </c>
      <c r="J125" s="96">
        <f>2+2+2</f>
        <v>6</v>
      </c>
      <c r="K125" s="77">
        <f>2440.63+1507.02</f>
        <v>3947.65</v>
      </c>
      <c r="L125" s="77"/>
      <c r="M125" s="38">
        <f t="shared" si="4"/>
        <v>3947.65</v>
      </c>
      <c r="N125" s="100">
        <f>5+2+3+3+1</f>
        <v>14</v>
      </c>
      <c r="O125" s="81">
        <f>11716.73+6848.82+4046.18+11166.34+8845.95</f>
        <v>42624.020000000004</v>
      </c>
      <c r="P125" s="81">
        <f>11716.73</f>
        <v>11716.73</v>
      </c>
      <c r="Q125" s="12">
        <f t="shared" si="3"/>
        <v>30907.290000000005</v>
      </c>
      <c r="R125" s="141"/>
    </row>
    <row r="126" spans="1:18" s="13" customFormat="1" ht="15.75" x14ac:dyDescent="0.25">
      <c r="A126" s="10"/>
      <c r="B126" s="24" t="s">
        <v>77</v>
      </c>
      <c r="C126" s="1" t="s">
        <v>17</v>
      </c>
      <c r="D126" s="165"/>
      <c r="E126" s="3" t="s">
        <v>32</v>
      </c>
      <c r="F126" s="73" t="s">
        <v>433</v>
      </c>
      <c r="G126" s="11" t="s">
        <v>117</v>
      </c>
      <c r="H126" s="1">
        <v>1</v>
      </c>
      <c r="I126" s="49"/>
      <c r="J126" s="46"/>
      <c r="K126" s="40"/>
      <c r="L126" s="40"/>
      <c r="M126" s="78">
        <f t="shared" si="4"/>
        <v>0</v>
      </c>
      <c r="N126" s="41">
        <v>5</v>
      </c>
      <c r="O126" s="31">
        <v>15666.81</v>
      </c>
      <c r="P126" s="31">
        <v>15666.81</v>
      </c>
      <c r="Q126" s="79">
        <f t="shared" si="3"/>
        <v>0</v>
      </c>
    </row>
    <row r="127" spans="1:18" s="13" customFormat="1" ht="15.75" x14ac:dyDescent="0.25">
      <c r="A127" s="10"/>
      <c r="B127" s="24" t="s">
        <v>321</v>
      </c>
      <c r="C127" s="1" t="s">
        <v>17</v>
      </c>
      <c r="D127" s="165"/>
      <c r="E127" s="3" t="s">
        <v>21</v>
      </c>
      <c r="F127" s="73" t="s">
        <v>489</v>
      </c>
      <c r="G127" s="11" t="s">
        <v>112</v>
      </c>
      <c r="H127" s="1">
        <v>3</v>
      </c>
      <c r="I127" s="49"/>
      <c r="J127" s="46"/>
      <c r="K127" s="40"/>
      <c r="L127" s="40"/>
      <c r="M127" s="78"/>
      <c r="N127" s="41"/>
      <c r="O127" s="31"/>
      <c r="P127" s="31"/>
      <c r="Q127" s="79"/>
      <c r="R127" s="141"/>
    </row>
    <row r="128" spans="1:18" s="13" customFormat="1" ht="31.5" x14ac:dyDescent="0.25">
      <c r="A128" s="10"/>
      <c r="B128" s="62" t="s">
        <v>79</v>
      </c>
      <c r="C128" s="1" t="s">
        <v>304</v>
      </c>
      <c r="D128" s="165" t="s">
        <v>385</v>
      </c>
      <c r="E128" s="3" t="s">
        <v>18</v>
      </c>
      <c r="F128" s="73" t="s">
        <v>389</v>
      </c>
      <c r="G128" s="74" t="s">
        <v>112</v>
      </c>
      <c r="H128" s="75">
        <v>10</v>
      </c>
      <c r="I128" s="76">
        <v>6</v>
      </c>
      <c r="J128" s="96">
        <f>2+5</f>
        <v>7</v>
      </c>
      <c r="K128" s="77">
        <f>2091.97+3190.2</f>
        <v>5282.17</v>
      </c>
      <c r="L128" s="77"/>
      <c r="M128" s="38">
        <f t="shared" si="4"/>
        <v>5282.17</v>
      </c>
      <c r="N128" s="100">
        <f>2+2+1+2+1</f>
        <v>8</v>
      </c>
      <c r="O128" s="81">
        <f>1547.4+4166.12+7835.61+1675.01+4717.63</f>
        <v>19941.77</v>
      </c>
      <c r="P128" s="81">
        <f>1548.4</f>
        <v>1548.4</v>
      </c>
      <c r="Q128" s="12">
        <f t="shared" si="3"/>
        <v>18393.37</v>
      </c>
      <c r="R128" s="141"/>
    </row>
    <row r="129" spans="1:18" s="13" customFormat="1" ht="31.5" x14ac:dyDescent="0.25">
      <c r="A129" s="10"/>
      <c r="B129" s="22" t="s">
        <v>79</v>
      </c>
      <c r="C129" s="1" t="s">
        <v>304</v>
      </c>
      <c r="D129" s="165" t="s">
        <v>475</v>
      </c>
      <c r="E129" s="3" t="s">
        <v>18</v>
      </c>
      <c r="F129" s="73" t="s">
        <v>329</v>
      </c>
      <c r="G129" s="11" t="s">
        <v>113</v>
      </c>
      <c r="H129" s="1">
        <v>21</v>
      </c>
      <c r="I129" s="53">
        <v>8</v>
      </c>
      <c r="J129" s="127">
        <v>8</v>
      </c>
      <c r="K129" s="31">
        <v>11975</v>
      </c>
      <c r="L129" s="31"/>
      <c r="M129" s="78">
        <f t="shared" si="4"/>
        <v>11975</v>
      </c>
      <c r="N129" s="41">
        <v>9</v>
      </c>
      <c r="O129" s="31">
        <v>35959</v>
      </c>
      <c r="P129" s="31">
        <v>26815</v>
      </c>
      <c r="Q129" s="79">
        <f t="shared" si="3"/>
        <v>9144</v>
      </c>
    </row>
    <row r="130" spans="1:18" s="13" customFormat="1" ht="15.75" x14ac:dyDescent="0.25">
      <c r="A130" s="10"/>
      <c r="B130" s="62" t="s">
        <v>151</v>
      </c>
      <c r="C130" s="1" t="s">
        <v>17</v>
      </c>
      <c r="D130" s="165"/>
      <c r="E130" s="3" t="s">
        <v>32</v>
      </c>
      <c r="F130" s="73" t="s">
        <v>390</v>
      </c>
      <c r="G130" s="74" t="s">
        <v>112</v>
      </c>
      <c r="H130" s="75">
        <v>24</v>
      </c>
      <c r="I130" s="82">
        <v>15</v>
      </c>
      <c r="J130" s="96">
        <f>1+3+3+5+3</f>
        <v>15</v>
      </c>
      <c r="K130" s="81">
        <f>2317+4640.19+5864.19</f>
        <v>12821.38</v>
      </c>
      <c r="L130" s="81"/>
      <c r="M130" s="38">
        <f t="shared" si="4"/>
        <v>12821.38</v>
      </c>
      <c r="N130" s="100">
        <f>9+3+5+1+4</f>
        <v>22</v>
      </c>
      <c r="O130" s="81">
        <f>10726.94+18822.65+5703.53+12846.53+1320.36</f>
        <v>49420.01</v>
      </c>
      <c r="P130" s="81">
        <f>10726.94</f>
        <v>10726.94</v>
      </c>
      <c r="Q130" s="12">
        <f t="shared" si="3"/>
        <v>38693.07</v>
      </c>
      <c r="R130" s="141"/>
    </row>
    <row r="131" spans="1:18" s="13" customFormat="1" ht="15.75" x14ac:dyDescent="0.25">
      <c r="A131" s="10"/>
      <c r="B131" s="22" t="s">
        <v>151</v>
      </c>
      <c r="C131" s="1" t="s">
        <v>17</v>
      </c>
      <c r="D131" s="165"/>
      <c r="E131" s="3" t="s">
        <v>32</v>
      </c>
      <c r="F131" s="73" t="s">
        <v>434</v>
      </c>
      <c r="G131" s="11" t="s">
        <v>117</v>
      </c>
      <c r="H131" s="1">
        <v>5</v>
      </c>
      <c r="I131" s="49"/>
      <c r="J131" s="46"/>
      <c r="K131" s="40"/>
      <c r="L131" s="40"/>
      <c r="M131" s="78">
        <f t="shared" si="4"/>
        <v>0</v>
      </c>
      <c r="N131" s="41">
        <v>12</v>
      </c>
      <c r="O131" s="31">
        <v>22129.3</v>
      </c>
      <c r="P131" s="31">
        <v>14253.2</v>
      </c>
      <c r="Q131" s="79">
        <f t="shared" si="3"/>
        <v>7876.0999999999985</v>
      </c>
    </row>
    <row r="132" spans="1:18" s="13" customFormat="1" ht="15.75" x14ac:dyDescent="0.25">
      <c r="A132" s="10"/>
      <c r="B132" s="62" t="s">
        <v>80</v>
      </c>
      <c r="C132" s="1" t="s">
        <v>17</v>
      </c>
      <c r="D132" s="165"/>
      <c r="E132" s="3" t="s">
        <v>81</v>
      </c>
      <c r="F132" s="73" t="s">
        <v>417</v>
      </c>
      <c r="G132" s="74" t="s">
        <v>112</v>
      </c>
      <c r="H132" s="75"/>
      <c r="I132" s="76"/>
      <c r="J132" s="96"/>
      <c r="K132" s="77"/>
      <c r="L132" s="77"/>
      <c r="M132" s="38">
        <f t="shared" si="4"/>
        <v>0</v>
      </c>
      <c r="N132" s="100">
        <f>2</f>
        <v>2</v>
      </c>
      <c r="O132" s="81">
        <f>3040.94</f>
        <v>3040.94</v>
      </c>
      <c r="P132" s="81"/>
      <c r="Q132" s="12">
        <f t="shared" si="3"/>
        <v>3040.94</v>
      </c>
      <c r="R132" s="141"/>
    </row>
    <row r="133" spans="1:18" s="13" customFormat="1" ht="15.75" x14ac:dyDescent="0.25">
      <c r="A133" s="10"/>
      <c r="B133" s="22" t="s">
        <v>80</v>
      </c>
      <c r="C133" s="1" t="s">
        <v>17</v>
      </c>
      <c r="D133" s="165"/>
      <c r="E133" s="3" t="s">
        <v>81</v>
      </c>
      <c r="F133" s="73" t="s">
        <v>285</v>
      </c>
      <c r="G133" s="11" t="s">
        <v>114</v>
      </c>
      <c r="H133" s="1"/>
      <c r="I133" s="49"/>
      <c r="J133" s="51"/>
      <c r="K133" s="40"/>
      <c r="L133" s="40"/>
      <c r="M133" s="78">
        <f t="shared" si="4"/>
        <v>0</v>
      </c>
      <c r="N133" s="41">
        <v>17</v>
      </c>
      <c r="O133" s="31">
        <f>21200.04</f>
        <v>21200.04</v>
      </c>
      <c r="P133" s="31">
        <v>16128.6</v>
      </c>
      <c r="Q133" s="79">
        <f t="shared" si="3"/>
        <v>5071.4400000000005</v>
      </c>
    </row>
    <row r="134" spans="1:18" s="13" customFormat="1" ht="15.75" x14ac:dyDescent="0.25">
      <c r="A134" s="10"/>
      <c r="B134" s="30" t="s">
        <v>82</v>
      </c>
      <c r="C134" s="1" t="s">
        <v>17</v>
      </c>
      <c r="D134" s="165"/>
      <c r="E134" s="3" t="s">
        <v>20</v>
      </c>
      <c r="F134" s="73" t="s">
        <v>394</v>
      </c>
      <c r="G134" s="74" t="s">
        <v>112</v>
      </c>
      <c r="H134" s="75">
        <v>6</v>
      </c>
      <c r="I134" s="76">
        <v>4</v>
      </c>
      <c r="J134" s="96">
        <f>4</f>
        <v>4</v>
      </c>
      <c r="K134" s="77"/>
      <c r="L134" s="77"/>
      <c r="M134" s="38">
        <f t="shared" si="4"/>
        <v>0</v>
      </c>
      <c r="N134" s="100">
        <f>3+5+1</f>
        <v>9</v>
      </c>
      <c r="O134" s="81">
        <f>5975.84+23579.15</f>
        <v>29554.99</v>
      </c>
      <c r="P134" s="81">
        <f>15975.84-2007.3+300</f>
        <v>14268.54</v>
      </c>
      <c r="Q134" s="12">
        <f t="shared" si="3"/>
        <v>15286.45</v>
      </c>
      <c r="R134" s="141"/>
    </row>
    <row r="135" spans="1:18" s="13" customFormat="1" ht="15.75" x14ac:dyDescent="0.25">
      <c r="A135" s="10"/>
      <c r="B135" s="24" t="s">
        <v>82</v>
      </c>
      <c r="C135" s="1" t="s">
        <v>17</v>
      </c>
      <c r="D135" s="165"/>
      <c r="E135" s="3" t="s">
        <v>20</v>
      </c>
      <c r="F135" s="73" t="s">
        <v>463</v>
      </c>
      <c r="G135" s="11" t="s">
        <v>114</v>
      </c>
      <c r="H135" s="1">
        <v>12</v>
      </c>
      <c r="I135" s="49"/>
      <c r="J135" s="51"/>
      <c r="K135" s="40"/>
      <c r="L135" s="40"/>
      <c r="M135" s="78">
        <f t="shared" si="4"/>
        <v>0</v>
      </c>
      <c r="N135" s="41">
        <v>7</v>
      </c>
      <c r="O135" s="31">
        <v>10757.8</v>
      </c>
      <c r="P135" s="31">
        <f>4314.3</f>
        <v>4314.3</v>
      </c>
      <c r="Q135" s="79">
        <f t="shared" si="3"/>
        <v>6443.4999999999991</v>
      </c>
    </row>
    <row r="136" spans="1:18" s="13" customFormat="1" ht="15.75" x14ac:dyDescent="0.25">
      <c r="A136" s="10"/>
      <c r="B136" s="24" t="s">
        <v>309</v>
      </c>
      <c r="C136" s="1"/>
      <c r="D136" s="165"/>
      <c r="E136" s="3" t="s">
        <v>20</v>
      </c>
      <c r="F136" s="73" t="s">
        <v>391</v>
      </c>
      <c r="G136" s="11" t="s">
        <v>112</v>
      </c>
      <c r="H136" s="1">
        <v>10</v>
      </c>
      <c r="I136" s="58">
        <v>1</v>
      </c>
      <c r="J136" s="51">
        <f>1</f>
        <v>1</v>
      </c>
      <c r="K136" s="40">
        <f>3606.1</f>
        <v>3606.1</v>
      </c>
      <c r="L136" s="40"/>
      <c r="M136" s="38">
        <f t="shared" si="4"/>
        <v>3606.1</v>
      </c>
      <c r="N136" s="41">
        <f>1+5+1</f>
        <v>7</v>
      </c>
      <c r="O136" s="31">
        <f>3088.97+13147.65+1267.86</f>
        <v>17504.48</v>
      </c>
      <c r="P136" s="31" t="s">
        <v>305</v>
      </c>
      <c r="Q136" s="79"/>
      <c r="R136" s="141"/>
    </row>
    <row r="137" spans="1:18" s="13" customFormat="1" ht="15.75" x14ac:dyDescent="0.25">
      <c r="A137" s="10"/>
      <c r="B137" s="30" t="s">
        <v>152</v>
      </c>
      <c r="C137" s="1" t="s">
        <v>17</v>
      </c>
      <c r="D137" s="165"/>
      <c r="E137" s="3" t="s">
        <v>35</v>
      </c>
      <c r="F137" s="73" t="s">
        <v>392</v>
      </c>
      <c r="G137" s="74" t="s">
        <v>112</v>
      </c>
      <c r="H137" s="75">
        <v>7</v>
      </c>
      <c r="I137" s="76">
        <v>5</v>
      </c>
      <c r="J137" s="96">
        <f>1+1+2+1</f>
        <v>5</v>
      </c>
      <c r="K137" s="77">
        <f>403.41+845.24</f>
        <v>1248.6500000000001</v>
      </c>
      <c r="L137" s="77"/>
      <c r="M137" s="38">
        <f t="shared" si="4"/>
        <v>1248.6500000000001</v>
      </c>
      <c r="N137" s="100">
        <f>2+2+2+1+1</f>
        <v>8</v>
      </c>
      <c r="O137" s="81">
        <f>1690.48+3050.26+3661.61+4648.82+1267.86+1690.48+9282.42</f>
        <v>25291.93</v>
      </c>
      <c r="P137" s="81">
        <f>1690.4</f>
        <v>1690.4</v>
      </c>
      <c r="Q137" s="12">
        <f t="shared" si="3"/>
        <v>23601.53</v>
      </c>
      <c r="R137" s="141"/>
    </row>
    <row r="138" spans="1:18" s="13" customFormat="1" ht="15.75" x14ac:dyDescent="0.25">
      <c r="A138" s="10"/>
      <c r="B138" s="24" t="s">
        <v>152</v>
      </c>
      <c r="C138" s="1" t="s">
        <v>17</v>
      </c>
      <c r="D138" s="165"/>
      <c r="E138" s="3" t="s">
        <v>32</v>
      </c>
      <c r="F138" s="73"/>
      <c r="G138" s="11" t="s">
        <v>117</v>
      </c>
      <c r="H138" s="1"/>
      <c r="I138" s="49"/>
      <c r="J138" s="46"/>
      <c r="K138" s="40"/>
      <c r="L138" s="40"/>
      <c r="M138" s="78">
        <f t="shared" si="4"/>
        <v>0</v>
      </c>
      <c r="N138" s="41"/>
      <c r="O138" s="31"/>
      <c r="P138" s="31"/>
      <c r="Q138" s="79">
        <f t="shared" si="3"/>
        <v>0</v>
      </c>
    </row>
    <row r="139" spans="1:18" s="13" customFormat="1" ht="15.75" x14ac:dyDescent="0.25">
      <c r="A139" s="10"/>
      <c r="B139" s="30" t="s">
        <v>83</v>
      </c>
      <c r="C139" s="1" t="s">
        <v>17</v>
      </c>
      <c r="D139" s="165"/>
      <c r="E139" s="3" t="s">
        <v>20</v>
      </c>
      <c r="F139" s="73" t="s">
        <v>393</v>
      </c>
      <c r="G139" s="74" t="s">
        <v>112</v>
      </c>
      <c r="H139" s="75">
        <v>9</v>
      </c>
      <c r="I139" s="76">
        <v>5</v>
      </c>
      <c r="J139" s="96">
        <f>1+1+2+1</f>
        <v>5</v>
      </c>
      <c r="K139" s="77">
        <f>768.4+2535.72</f>
        <v>3304.12</v>
      </c>
      <c r="L139" s="77"/>
      <c r="M139" s="38">
        <f t="shared" si="4"/>
        <v>3304.12</v>
      </c>
      <c r="N139" s="100">
        <f>1+2+1+1</f>
        <v>5</v>
      </c>
      <c r="O139" s="81">
        <f>5837.09+1922.92</f>
        <v>7760.01</v>
      </c>
      <c r="P139" s="81"/>
      <c r="Q139" s="12">
        <f t="shared" si="3"/>
        <v>7760.01</v>
      </c>
      <c r="R139" s="141"/>
    </row>
    <row r="140" spans="1:18" s="13" customFormat="1" ht="15.75" x14ac:dyDescent="0.25">
      <c r="A140" s="10"/>
      <c r="B140" s="24" t="s">
        <v>83</v>
      </c>
      <c r="C140" s="1" t="s">
        <v>17</v>
      </c>
      <c r="D140" s="165"/>
      <c r="E140" s="3" t="s">
        <v>20</v>
      </c>
      <c r="F140" s="73" t="s">
        <v>464</v>
      </c>
      <c r="G140" s="11" t="s">
        <v>114</v>
      </c>
      <c r="H140" s="1">
        <v>10</v>
      </c>
      <c r="I140" s="49">
        <v>3</v>
      </c>
      <c r="J140" s="51">
        <v>3</v>
      </c>
      <c r="K140" s="40"/>
      <c r="L140" s="40"/>
      <c r="M140" s="78">
        <f t="shared" si="4"/>
        <v>0</v>
      </c>
      <c r="N140" s="41">
        <v>25</v>
      </c>
      <c r="O140" s="31">
        <v>43871.3</v>
      </c>
      <c r="P140" s="31">
        <v>34650.5</v>
      </c>
      <c r="Q140" s="79">
        <f t="shared" si="3"/>
        <v>9220.8000000000029</v>
      </c>
    </row>
    <row r="141" spans="1:18" s="13" customFormat="1" ht="15.75" x14ac:dyDescent="0.25">
      <c r="A141" s="10"/>
      <c r="B141" s="24" t="s">
        <v>310</v>
      </c>
      <c r="C141" s="1"/>
      <c r="D141" s="165"/>
      <c r="E141" s="3" t="s">
        <v>20</v>
      </c>
      <c r="F141" s="73"/>
      <c r="G141" s="11" t="s">
        <v>114</v>
      </c>
      <c r="H141" s="1"/>
      <c r="I141" s="49"/>
      <c r="J141" s="51"/>
      <c r="K141" s="40"/>
      <c r="L141" s="40"/>
      <c r="M141" s="78"/>
      <c r="N141" s="41"/>
      <c r="O141" s="31"/>
      <c r="P141" s="31"/>
      <c r="Q141" s="79"/>
    </row>
    <row r="142" spans="1:18" s="13" customFormat="1" ht="15.75" x14ac:dyDescent="0.25">
      <c r="A142" s="10"/>
      <c r="B142" s="30" t="s">
        <v>84</v>
      </c>
      <c r="C142" s="1"/>
      <c r="D142" s="165"/>
      <c r="E142" s="3" t="s">
        <v>20</v>
      </c>
      <c r="F142" s="73" t="s">
        <v>287</v>
      </c>
      <c r="G142" s="11" t="s">
        <v>114</v>
      </c>
      <c r="H142" s="1"/>
      <c r="I142" s="49"/>
      <c r="J142" s="51"/>
      <c r="K142" s="40"/>
      <c r="L142" s="40"/>
      <c r="M142" s="38">
        <f t="shared" si="4"/>
        <v>0</v>
      </c>
      <c r="N142" s="41"/>
      <c r="O142" s="31"/>
      <c r="P142" s="31"/>
      <c r="Q142" s="12">
        <f t="shared" si="3"/>
        <v>0</v>
      </c>
    </row>
    <row r="143" spans="1:18" s="13" customFormat="1" ht="47.25" x14ac:dyDescent="0.25">
      <c r="A143" s="10"/>
      <c r="B143" s="30" t="s">
        <v>85</v>
      </c>
      <c r="C143" s="1" t="s">
        <v>304</v>
      </c>
      <c r="D143" s="165" t="s">
        <v>415</v>
      </c>
      <c r="E143" s="3" t="s">
        <v>20</v>
      </c>
      <c r="F143" s="73" t="s">
        <v>395</v>
      </c>
      <c r="G143" s="74" t="s">
        <v>112</v>
      </c>
      <c r="H143" s="75">
        <v>6</v>
      </c>
      <c r="I143" s="76">
        <v>4</v>
      </c>
      <c r="J143" s="96"/>
      <c r="K143" s="77"/>
      <c r="L143" s="77"/>
      <c r="M143" s="38">
        <f t="shared" si="4"/>
        <v>0</v>
      </c>
      <c r="N143" s="100"/>
      <c r="O143" s="81">
        <f>3917.73</f>
        <v>3917.73</v>
      </c>
      <c r="P143" s="81"/>
      <c r="Q143" s="79">
        <f t="shared" si="3"/>
        <v>3917.73</v>
      </c>
      <c r="R143" s="141"/>
    </row>
    <row r="144" spans="1:18" s="13" customFormat="1" ht="15.75" x14ac:dyDescent="0.25">
      <c r="A144" s="10"/>
      <c r="B144" s="27" t="s">
        <v>86</v>
      </c>
      <c r="C144" s="1" t="s">
        <v>17</v>
      </c>
      <c r="D144" s="165"/>
      <c r="E144" s="17" t="s">
        <v>20</v>
      </c>
      <c r="F144" s="73" t="s">
        <v>396</v>
      </c>
      <c r="G144" s="74" t="s">
        <v>112</v>
      </c>
      <c r="H144" s="75">
        <v>7</v>
      </c>
      <c r="I144" s="76">
        <v>3</v>
      </c>
      <c r="J144" s="96">
        <f>1+3+1</f>
        <v>5</v>
      </c>
      <c r="K144" s="77">
        <f>950.9+5134.06+2091.97</f>
        <v>8176.93</v>
      </c>
      <c r="L144" s="77"/>
      <c r="M144" s="38">
        <f t="shared" si="4"/>
        <v>8176.93</v>
      </c>
      <c r="N144" s="100">
        <f>15+4+2</f>
        <v>21</v>
      </c>
      <c r="O144" s="81">
        <f>30236.61+18366.75+8887.09</f>
        <v>57490.45</v>
      </c>
      <c r="P144" s="81">
        <f>30236.61</f>
        <v>30236.61</v>
      </c>
      <c r="Q144" s="12">
        <f t="shared" si="3"/>
        <v>27253.839999999997</v>
      </c>
      <c r="R144" s="141"/>
    </row>
    <row r="145" spans="1:18" s="13" customFormat="1" ht="15.75" x14ac:dyDescent="0.25">
      <c r="A145" s="10"/>
      <c r="B145" s="25" t="s">
        <v>86</v>
      </c>
      <c r="C145" s="1" t="s">
        <v>17</v>
      </c>
      <c r="D145" s="165"/>
      <c r="E145" s="17" t="s">
        <v>20</v>
      </c>
      <c r="F145" s="73" t="s">
        <v>465</v>
      </c>
      <c r="G145" s="11" t="s">
        <v>114</v>
      </c>
      <c r="H145" s="1">
        <v>2</v>
      </c>
      <c r="I145" s="49"/>
      <c r="J145" s="51"/>
      <c r="K145" s="40"/>
      <c r="L145" s="40"/>
      <c r="M145" s="78">
        <f t="shared" si="4"/>
        <v>0</v>
      </c>
      <c r="N145" s="41">
        <v>6</v>
      </c>
      <c r="O145" s="31">
        <v>3107.23</v>
      </c>
      <c r="P145" s="31">
        <v>3107.23</v>
      </c>
      <c r="Q145" s="79">
        <f t="shared" si="3"/>
        <v>0</v>
      </c>
    </row>
    <row r="146" spans="1:18" s="13" customFormat="1" ht="15.75" x14ac:dyDescent="0.25">
      <c r="A146" s="10"/>
      <c r="B146" s="62" t="s">
        <v>87</v>
      </c>
      <c r="C146" s="1" t="s">
        <v>17</v>
      </c>
      <c r="D146" s="165"/>
      <c r="E146" s="17" t="s">
        <v>78</v>
      </c>
      <c r="F146" s="73" t="s">
        <v>142</v>
      </c>
      <c r="G146" s="74" t="s">
        <v>112</v>
      </c>
      <c r="H146" s="75"/>
      <c r="I146" s="76"/>
      <c r="J146" s="96"/>
      <c r="K146" s="77"/>
      <c r="L146" s="77"/>
      <c r="M146" s="38">
        <f t="shared" si="4"/>
        <v>0</v>
      </c>
      <c r="N146" s="100"/>
      <c r="O146" s="81"/>
      <c r="P146" s="81"/>
      <c r="Q146" s="12">
        <f t="shared" si="3"/>
        <v>0</v>
      </c>
      <c r="R146" s="141"/>
    </row>
    <row r="147" spans="1:18" s="13" customFormat="1" ht="15.75" x14ac:dyDescent="0.25">
      <c r="A147" s="10"/>
      <c r="B147" s="62" t="s">
        <v>312</v>
      </c>
      <c r="C147" s="1" t="s">
        <v>17</v>
      </c>
      <c r="D147" s="165"/>
      <c r="E147" s="17" t="s">
        <v>20</v>
      </c>
      <c r="F147" s="73" t="s">
        <v>320</v>
      </c>
      <c r="G147" s="74" t="s">
        <v>112</v>
      </c>
      <c r="H147" s="75">
        <v>10</v>
      </c>
      <c r="I147" s="76">
        <v>2</v>
      </c>
      <c r="J147" s="96">
        <f>1+1</f>
        <v>2</v>
      </c>
      <c r="K147" s="77">
        <f>3319.49+845.24</f>
        <v>4164.7299999999996</v>
      </c>
      <c r="L147" s="77"/>
      <c r="M147" s="38"/>
      <c r="N147" s="100">
        <f>5+6</f>
        <v>11</v>
      </c>
      <c r="O147" s="81">
        <f>4226.2+6627.45</f>
        <v>10853.65</v>
      </c>
      <c r="P147" s="81">
        <f>4226.2</f>
        <v>4226.2</v>
      </c>
      <c r="Q147" s="12"/>
      <c r="R147" s="141"/>
    </row>
    <row r="148" spans="1:18" s="13" customFormat="1" ht="15.75" x14ac:dyDescent="0.25">
      <c r="A148" s="10"/>
      <c r="B148" s="62" t="s">
        <v>494</v>
      </c>
      <c r="C148" s="1" t="s">
        <v>17</v>
      </c>
      <c r="D148" s="165"/>
      <c r="E148" s="17" t="s">
        <v>20</v>
      </c>
      <c r="F148" s="73" t="s">
        <v>497</v>
      </c>
      <c r="G148" s="74" t="s">
        <v>112</v>
      </c>
      <c r="H148" s="75">
        <v>5</v>
      </c>
      <c r="I148" s="76">
        <v>1</v>
      </c>
      <c r="J148" s="96">
        <f>1</f>
        <v>1</v>
      </c>
      <c r="K148" s="77"/>
      <c r="L148" s="77"/>
      <c r="M148" s="38"/>
      <c r="N148" s="100"/>
      <c r="O148" s="81"/>
      <c r="P148" s="81"/>
      <c r="Q148" s="12"/>
      <c r="R148" s="141"/>
    </row>
    <row r="149" spans="1:18" s="13" customFormat="1" ht="15.75" x14ac:dyDescent="0.25">
      <c r="A149" s="10"/>
      <c r="B149" s="62" t="s">
        <v>494</v>
      </c>
      <c r="C149" s="1"/>
      <c r="D149" s="165"/>
      <c r="E149" s="17"/>
      <c r="F149" s="73"/>
      <c r="G149" s="74" t="s">
        <v>114</v>
      </c>
      <c r="H149" s="75">
        <v>13</v>
      </c>
      <c r="I149" s="76"/>
      <c r="J149" s="96"/>
      <c r="K149" s="77"/>
      <c r="L149" s="77"/>
      <c r="M149" s="38"/>
      <c r="N149" s="100"/>
      <c r="O149" s="81"/>
      <c r="P149" s="81"/>
      <c r="Q149" s="12"/>
      <c r="R149" s="141"/>
    </row>
    <row r="150" spans="1:18" s="13" customFormat="1" ht="15.75" x14ac:dyDescent="0.25">
      <c r="A150" s="10"/>
      <c r="B150" s="30" t="s">
        <v>88</v>
      </c>
      <c r="C150" s="1" t="s">
        <v>17</v>
      </c>
      <c r="D150" s="165"/>
      <c r="E150" s="3" t="s">
        <v>89</v>
      </c>
      <c r="F150" s="73" t="s">
        <v>397</v>
      </c>
      <c r="G150" s="74" t="s">
        <v>112</v>
      </c>
      <c r="H150" s="75">
        <v>5</v>
      </c>
      <c r="I150" s="76">
        <v>4</v>
      </c>
      <c r="J150" s="96">
        <f>1+3</f>
        <v>4</v>
      </c>
      <c r="K150" s="77">
        <f>4226.2+2394.91+6485.1</f>
        <v>13106.21</v>
      </c>
      <c r="L150" s="77"/>
      <c r="M150" s="38">
        <f t="shared" si="4"/>
        <v>13106.21</v>
      </c>
      <c r="N150" s="100">
        <f>4+1+3+1+2+2+1+1</f>
        <v>15</v>
      </c>
      <c r="O150" s="81">
        <f>11967.83+2831.55+10544.37+9418.99+3799.13+1798.04+2548.4</f>
        <v>42908.31</v>
      </c>
      <c r="P150" s="81">
        <f>11967.83+2831.55</f>
        <v>14799.380000000001</v>
      </c>
      <c r="Q150" s="79">
        <f t="shared" ref="Q150:Q193" si="5">O150-P150</f>
        <v>28108.929999999997</v>
      </c>
      <c r="R150" s="141"/>
    </row>
    <row r="151" spans="1:18" s="13" customFormat="1" ht="15.75" x14ac:dyDescent="0.25">
      <c r="A151" s="10"/>
      <c r="B151" s="24" t="s">
        <v>88</v>
      </c>
      <c r="C151" s="1" t="s">
        <v>17</v>
      </c>
      <c r="D151" s="165"/>
      <c r="E151" s="3" t="s">
        <v>89</v>
      </c>
      <c r="F151" s="73" t="s">
        <v>442</v>
      </c>
      <c r="G151" s="11" t="s">
        <v>118</v>
      </c>
      <c r="H151" s="1">
        <v>1</v>
      </c>
      <c r="I151" s="49"/>
      <c r="J151" s="46"/>
      <c r="K151" s="40"/>
      <c r="L151" s="40"/>
      <c r="M151" s="38">
        <f t="shared" si="4"/>
        <v>0</v>
      </c>
      <c r="N151" s="41">
        <v>3</v>
      </c>
      <c r="O151" s="31">
        <v>11020.82</v>
      </c>
      <c r="P151" s="31">
        <v>6026.87</v>
      </c>
      <c r="Q151" s="12">
        <f t="shared" si="5"/>
        <v>4993.95</v>
      </c>
    </row>
    <row r="152" spans="1:18" s="13" customFormat="1" ht="15.75" x14ac:dyDescent="0.25">
      <c r="A152" s="10"/>
      <c r="B152" s="24" t="s">
        <v>88</v>
      </c>
      <c r="C152" s="1"/>
      <c r="D152" s="165"/>
      <c r="E152" s="3"/>
      <c r="F152" s="73"/>
      <c r="G152" s="11" t="s">
        <v>114</v>
      </c>
      <c r="H152" s="1">
        <v>3</v>
      </c>
      <c r="I152" s="49"/>
      <c r="J152" s="46"/>
      <c r="K152" s="40"/>
      <c r="L152" s="40"/>
      <c r="M152" s="38"/>
      <c r="N152" s="41"/>
      <c r="O152" s="31"/>
      <c r="P152" s="31"/>
      <c r="Q152" s="12"/>
    </row>
    <row r="153" spans="1:18" s="13" customFormat="1" ht="15.75" x14ac:dyDescent="0.25">
      <c r="A153" s="10"/>
      <c r="B153" s="30" t="s">
        <v>90</v>
      </c>
      <c r="C153" s="1" t="s">
        <v>17</v>
      </c>
      <c r="D153" s="165"/>
      <c r="E153" s="17" t="s">
        <v>20</v>
      </c>
      <c r="F153" s="73" t="s">
        <v>398</v>
      </c>
      <c r="G153" s="74" t="s">
        <v>112</v>
      </c>
      <c r="H153" s="75">
        <v>4</v>
      </c>
      <c r="I153" s="76">
        <v>2</v>
      </c>
      <c r="J153" s="96">
        <f>1+1</f>
        <v>2</v>
      </c>
      <c r="K153" s="77">
        <f>422.62</f>
        <v>422.62</v>
      </c>
      <c r="L153" s="77"/>
      <c r="M153" s="38">
        <f t="shared" si="4"/>
        <v>422.62</v>
      </c>
      <c r="N153" s="100">
        <f>1+1+1</f>
        <v>3</v>
      </c>
      <c r="O153" s="81">
        <f>2122.67+787.61</f>
        <v>2910.28</v>
      </c>
      <c r="P153" s="81"/>
      <c r="Q153" s="79">
        <f t="shared" si="5"/>
        <v>2910.28</v>
      </c>
      <c r="R153" s="141"/>
    </row>
    <row r="154" spans="1:18" s="13" customFormat="1" ht="15.75" x14ac:dyDescent="0.25">
      <c r="A154" s="10"/>
      <c r="B154" s="24" t="s">
        <v>90</v>
      </c>
      <c r="C154" s="1" t="s">
        <v>17</v>
      </c>
      <c r="D154" s="165"/>
      <c r="E154" s="17" t="s">
        <v>20</v>
      </c>
      <c r="F154" s="73" t="s">
        <v>466</v>
      </c>
      <c r="G154" s="11" t="s">
        <v>114</v>
      </c>
      <c r="H154" s="1">
        <v>8</v>
      </c>
      <c r="I154" s="49">
        <v>1</v>
      </c>
      <c r="J154" s="51">
        <v>1</v>
      </c>
      <c r="K154" s="40"/>
      <c r="L154" s="40"/>
      <c r="M154" s="78">
        <f t="shared" si="4"/>
        <v>0</v>
      </c>
      <c r="N154" s="41">
        <v>19</v>
      </c>
      <c r="O154" s="31">
        <f>31793</f>
        <v>31793</v>
      </c>
      <c r="P154" s="31">
        <v>20378.8</v>
      </c>
      <c r="Q154" s="12">
        <f t="shared" si="5"/>
        <v>11414.2</v>
      </c>
    </row>
    <row r="155" spans="1:18" s="13" customFormat="1" ht="15.75" x14ac:dyDescent="0.25">
      <c r="A155" s="10"/>
      <c r="B155" s="30" t="s">
        <v>91</v>
      </c>
      <c r="C155" s="1" t="s">
        <v>17</v>
      </c>
      <c r="D155" s="165"/>
      <c r="E155" s="17" t="s">
        <v>20</v>
      </c>
      <c r="F155" s="73" t="s">
        <v>399</v>
      </c>
      <c r="G155" s="74" t="s">
        <v>112</v>
      </c>
      <c r="H155" s="75"/>
      <c r="I155" s="76"/>
      <c r="J155" s="96"/>
      <c r="K155" s="77"/>
      <c r="L155" s="77"/>
      <c r="M155" s="38">
        <f t="shared" si="4"/>
        <v>0</v>
      </c>
      <c r="N155" s="100"/>
      <c r="O155" s="81"/>
      <c r="P155" s="81"/>
      <c r="Q155" s="79">
        <f t="shared" si="5"/>
        <v>0</v>
      </c>
      <c r="R155" s="141"/>
    </row>
    <row r="156" spans="1:18" s="13" customFormat="1" ht="15.75" x14ac:dyDescent="0.25">
      <c r="A156" s="10"/>
      <c r="B156" s="22" t="s">
        <v>138</v>
      </c>
      <c r="C156" s="1" t="s">
        <v>17</v>
      </c>
      <c r="D156" s="165"/>
      <c r="E156" s="17" t="s">
        <v>20</v>
      </c>
      <c r="F156" s="73" t="s">
        <v>467</v>
      </c>
      <c r="G156" s="11" t="s">
        <v>114</v>
      </c>
      <c r="H156" s="1">
        <v>4</v>
      </c>
      <c r="I156" s="49"/>
      <c r="J156" s="51"/>
      <c r="K156" s="37"/>
      <c r="L156" s="37"/>
      <c r="M156" s="78">
        <f t="shared" si="4"/>
        <v>0</v>
      </c>
      <c r="N156" s="39">
        <v>4</v>
      </c>
      <c r="O156" s="31">
        <v>1841</v>
      </c>
      <c r="P156" s="31"/>
      <c r="Q156" s="12">
        <f t="shared" si="5"/>
        <v>1841</v>
      </c>
    </row>
    <row r="157" spans="1:18" s="13" customFormat="1" ht="15.75" x14ac:dyDescent="0.25">
      <c r="A157" s="10"/>
      <c r="B157" s="62" t="s">
        <v>138</v>
      </c>
      <c r="C157" s="1" t="s">
        <v>17</v>
      </c>
      <c r="D157" s="165"/>
      <c r="E157" s="17" t="s">
        <v>20</v>
      </c>
      <c r="F157" s="73" t="s">
        <v>400</v>
      </c>
      <c r="G157" s="74" t="s">
        <v>112</v>
      </c>
      <c r="H157" s="75">
        <v>6</v>
      </c>
      <c r="I157" s="82">
        <v>3</v>
      </c>
      <c r="J157" s="96">
        <f>3</f>
        <v>3</v>
      </c>
      <c r="K157" s="77"/>
      <c r="L157" s="77"/>
      <c r="M157" s="38">
        <f t="shared" si="4"/>
        <v>0</v>
      </c>
      <c r="N157" s="100">
        <f>5+4</f>
        <v>9</v>
      </c>
      <c r="O157" s="81">
        <v>8995.8700000000008</v>
      </c>
      <c r="P157" s="81">
        <f>8995.87</f>
        <v>8995.8700000000008</v>
      </c>
      <c r="Q157" s="79">
        <f t="shared" si="5"/>
        <v>0</v>
      </c>
      <c r="R157" s="141"/>
    </row>
    <row r="158" spans="1:18" s="13" customFormat="1" ht="15.75" x14ac:dyDescent="0.25">
      <c r="A158" s="10"/>
      <c r="B158" s="62" t="s">
        <v>157</v>
      </c>
      <c r="C158" s="1" t="s">
        <v>17</v>
      </c>
      <c r="D158" s="165"/>
      <c r="E158" s="17" t="s">
        <v>20</v>
      </c>
      <c r="F158" s="73" t="s">
        <v>401</v>
      </c>
      <c r="G158" s="74" t="s">
        <v>112</v>
      </c>
      <c r="H158" s="75">
        <v>7</v>
      </c>
      <c r="I158" s="82"/>
      <c r="J158" s="96"/>
      <c r="K158" s="77"/>
      <c r="L158" s="77"/>
      <c r="M158" s="38">
        <f t="shared" ref="M158:M192" si="6">K158-L158</f>
        <v>0</v>
      </c>
      <c r="N158" s="100"/>
      <c r="O158" s="81"/>
      <c r="P158" s="81"/>
      <c r="Q158" s="12">
        <f t="shared" si="5"/>
        <v>0</v>
      </c>
      <c r="R158" s="141"/>
    </row>
    <row r="159" spans="1:18" s="13" customFormat="1" ht="15.75" x14ac:dyDescent="0.25">
      <c r="A159" s="10"/>
      <c r="B159" s="22" t="s">
        <v>157</v>
      </c>
      <c r="C159" s="1" t="s">
        <v>17</v>
      </c>
      <c r="D159" s="165"/>
      <c r="E159" s="17" t="s">
        <v>20</v>
      </c>
      <c r="F159" s="73"/>
      <c r="G159" s="11" t="s">
        <v>114</v>
      </c>
      <c r="H159" s="1"/>
      <c r="I159" s="49"/>
      <c r="J159" s="51"/>
      <c r="K159" s="37"/>
      <c r="L159" s="37"/>
      <c r="M159" s="38">
        <f t="shared" si="6"/>
        <v>0</v>
      </c>
      <c r="N159" s="39"/>
      <c r="O159" s="31"/>
      <c r="P159" s="31"/>
      <c r="Q159" s="79">
        <f t="shared" si="5"/>
        <v>0</v>
      </c>
    </row>
    <row r="160" spans="1:18" s="15" customFormat="1" ht="15.75" x14ac:dyDescent="0.25">
      <c r="A160" s="14"/>
      <c r="B160" s="80" t="s">
        <v>92</v>
      </c>
      <c r="C160" s="1" t="s">
        <v>17</v>
      </c>
      <c r="D160" s="165"/>
      <c r="E160" s="17" t="s">
        <v>20</v>
      </c>
      <c r="F160" s="73" t="s">
        <v>402</v>
      </c>
      <c r="G160" s="74" t="s">
        <v>112</v>
      </c>
      <c r="H160" s="75">
        <v>5</v>
      </c>
      <c r="I160" s="76">
        <v>1</v>
      </c>
      <c r="J160" s="96">
        <f>1</f>
        <v>1</v>
      </c>
      <c r="K160" s="77">
        <f>1951.74</f>
        <v>1951.74</v>
      </c>
      <c r="L160" s="77"/>
      <c r="M160" s="38">
        <f t="shared" si="6"/>
        <v>1951.74</v>
      </c>
      <c r="N160" s="100">
        <f>4+1+1</f>
        <v>6</v>
      </c>
      <c r="O160" s="81">
        <f>12624.74+2697.06</f>
        <v>15321.8</v>
      </c>
      <c r="P160" s="81">
        <f>12624.74</f>
        <v>12624.74</v>
      </c>
      <c r="Q160" s="12">
        <f t="shared" si="5"/>
        <v>2697.0599999999995</v>
      </c>
      <c r="R160" s="141"/>
    </row>
    <row r="161" spans="1:18" s="15" customFormat="1" ht="15.75" x14ac:dyDescent="0.25">
      <c r="A161" s="14"/>
      <c r="B161" s="23" t="s">
        <v>92</v>
      </c>
      <c r="C161" s="1" t="s">
        <v>17</v>
      </c>
      <c r="D161" s="165"/>
      <c r="E161" s="17" t="s">
        <v>20</v>
      </c>
      <c r="F161" s="73" t="s">
        <v>129</v>
      </c>
      <c r="G161" s="11" t="s">
        <v>114</v>
      </c>
      <c r="H161" s="1"/>
      <c r="I161" s="49"/>
      <c r="J161" s="51"/>
      <c r="K161" s="40"/>
      <c r="L161" s="40"/>
      <c r="M161" s="38">
        <f t="shared" si="6"/>
        <v>0</v>
      </c>
      <c r="N161" s="39"/>
      <c r="O161" s="31"/>
      <c r="P161" s="31"/>
      <c r="Q161" s="79">
        <f t="shared" si="5"/>
        <v>0</v>
      </c>
    </row>
    <row r="162" spans="1:18" s="13" customFormat="1" ht="15.75" x14ac:dyDescent="0.25">
      <c r="A162" s="10"/>
      <c r="B162" s="30" t="s">
        <v>93</v>
      </c>
      <c r="C162" s="1" t="s">
        <v>17</v>
      </c>
      <c r="D162" s="165"/>
      <c r="E162" s="3" t="s">
        <v>94</v>
      </c>
      <c r="F162" s="73" t="s">
        <v>403</v>
      </c>
      <c r="G162" s="74" t="s">
        <v>112</v>
      </c>
      <c r="H162" s="75">
        <v>7</v>
      </c>
      <c r="I162" s="76">
        <v>2</v>
      </c>
      <c r="J162" s="96">
        <f>2</f>
        <v>2</v>
      </c>
      <c r="K162" s="77">
        <f>2362.84</f>
        <v>2362.84</v>
      </c>
      <c r="L162" s="77">
        <f>2362.84</f>
        <v>2362.84</v>
      </c>
      <c r="M162" s="38">
        <f t="shared" si="6"/>
        <v>0</v>
      </c>
      <c r="N162" s="100">
        <f>3+8</f>
        <v>11</v>
      </c>
      <c r="O162" s="81">
        <f>20117.75</f>
        <v>20117.75</v>
      </c>
      <c r="P162" s="81">
        <f>20117.75</f>
        <v>20117.75</v>
      </c>
      <c r="Q162" s="12">
        <f t="shared" si="5"/>
        <v>0</v>
      </c>
      <c r="R162" s="141"/>
    </row>
    <row r="163" spans="1:18" s="13" customFormat="1" ht="15.75" x14ac:dyDescent="0.25">
      <c r="A163" s="10"/>
      <c r="B163" s="24" t="s">
        <v>93</v>
      </c>
      <c r="C163" s="1" t="s">
        <v>17</v>
      </c>
      <c r="D163" s="165"/>
      <c r="E163" s="3" t="s">
        <v>94</v>
      </c>
      <c r="F163" s="73" t="s">
        <v>130</v>
      </c>
      <c r="G163" s="11" t="s">
        <v>114</v>
      </c>
      <c r="H163" s="1"/>
      <c r="I163" s="49"/>
      <c r="J163" s="51"/>
      <c r="K163" s="40"/>
      <c r="L163" s="77"/>
      <c r="M163" s="38">
        <f t="shared" si="6"/>
        <v>0</v>
      </c>
      <c r="N163" s="41"/>
      <c r="O163" s="31"/>
      <c r="P163" s="31"/>
      <c r="Q163" s="79">
        <f t="shared" si="5"/>
        <v>0</v>
      </c>
    </row>
    <row r="164" spans="1:18" s="13" customFormat="1" ht="15.75" x14ac:dyDescent="0.25">
      <c r="A164" s="10"/>
      <c r="B164" s="24" t="s">
        <v>93</v>
      </c>
      <c r="C164" s="1" t="s">
        <v>17</v>
      </c>
      <c r="D164" s="165"/>
      <c r="E164" s="3" t="s">
        <v>94</v>
      </c>
      <c r="F164" s="73" t="s">
        <v>240</v>
      </c>
      <c r="G164" s="11" t="s">
        <v>118</v>
      </c>
      <c r="H164" s="1"/>
      <c r="I164" s="49"/>
      <c r="J164" s="46"/>
      <c r="K164" s="40"/>
      <c r="L164" s="40"/>
      <c r="M164" s="78">
        <f t="shared" si="6"/>
        <v>0</v>
      </c>
      <c r="N164" s="41"/>
      <c r="O164" s="31"/>
      <c r="P164" s="31"/>
      <c r="Q164" s="12">
        <f t="shared" si="5"/>
        <v>0</v>
      </c>
    </row>
    <row r="165" spans="1:18" s="13" customFormat="1" ht="15.75" x14ac:dyDescent="0.25">
      <c r="A165" s="10"/>
      <c r="B165" s="30" t="s">
        <v>95</v>
      </c>
      <c r="C165" s="1" t="s">
        <v>17</v>
      </c>
      <c r="D165" s="165"/>
      <c r="E165" s="17" t="s">
        <v>20</v>
      </c>
      <c r="F165" s="73" t="s">
        <v>404</v>
      </c>
      <c r="G165" s="74" t="s">
        <v>112</v>
      </c>
      <c r="H165" s="75">
        <v>9</v>
      </c>
      <c r="I165" s="76">
        <v>1</v>
      </c>
      <c r="J165" s="96">
        <f>1</f>
        <v>1</v>
      </c>
      <c r="K165" s="77">
        <f>1061.35</f>
        <v>1061.3499999999999</v>
      </c>
      <c r="L165" s="77"/>
      <c r="M165" s="38">
        <f t="shared" si="6"/>
        <v>1061.3499999999999</v>
      </c>
      <c r="N165" s="100">
        <f>1+6</f>
        <v>7</v>
      </c>
      <c r="O165" s="81">
        <f>11603.82+7559.28</f>
        <v>19163.099999999999</v>
      </c>
      <c r="P165" s="81"/>
      <c r="Q165" s="79">
        <f t="shared" si="5"/>
        <v>19163.099999999999</v>
      </c>
      <c r="R165" s="141"/>
    </row>
    <row r="166" spans="1:18" s="13" customFormat="1" ht="15.75" x14ac:dyDescent="0.25">
      <c r="A166" s="10"/>
      <c r="B166" s="24" t="s">
        <v>95</v>
      </c>
      <c r="C166" s="1" t="s">
        <v>17</v>
      </c>
      <c r="D166" s="165"/>
      <c r="E166" s="17" t="s">
        <v>20</v>
      </c>
      <c r="F166" s="73" t="s">
        <v>291</v>
      </c>
      <c r="G166" s="11" t="s">
        <v>114</v>
      </c>
      <c r="H166" s="1">
        <v>3</v>
      </c>
      <c r="I166" s="49"/>
      <c r="J166" s="51"/>
      <c r="K166" s="40"/>
      <c r="L166" s="40"/>
      <c r="M166" s="78">
        <f t="shared" si="6"/>
        <v>0</v>
      </c>
      <c r="N166" s="41">
        <v>9</v>
      </c>
      <c r="O166" s="31"/>
      <c r="P166" s="31"/>
      <c r="Q166" s="12">
        <f t="shared" si="5"/>
        <v>0</v>
      </c>
    </row>
    <row r="167" spans="1:18" s="13" customFormat="1" ht="15.75" x14ac:dyDescent="0.25">
      <c r="A167" s="10"/>
      <c r="B167" s="30" t="s">
        <v>96</v>
      </c>
      <c r="C167" s="1" t="s">
        <v>17</v>
      </c>
      <c r="D167" s="165"/>
      <c r="E167" s="17" t="s">
        <v>97</v>
      </c>
      <c r="F167" s="73" t="s">
        <v>405</v>
      </c>
      <c r="G167" s="74" t="s">
        <v>112</v>
      </c>
      <c r="H167" s="75">
        <v>1</v>
      </c>
      <c r="I167" s="76"/>
      <c r="J167" s="96"/>
      <c r="K167" s="77"/>
      <c r="L167" s="77"/>
      <c r="M167" s="38">
        <f t="shared" si="6"/>
        <v>0</v>
      </c>
      <c r="N167" s="103">
        <f>1+2</f>
        <v>3</v>
      </c>
      <c r="O167" s="77">
        <f>1742.31</f>
        <v>1742.31</v>
      </c>
      <c r="P167" s="77"/>
      <c r="Q167" s="79">
        <f t="shared" si="5"/>
        <v>1742.31</v>
      </c>
      <c r="R167" s="141"/>
    </row>
    <row r="168" spans="1:18" s="13" customFormat="1" ht="15.75" x14ac:dyDescent="0.25">
      <c r="A168" s="10"/>
      <c r="B168" s="24" t="s">
        <v>96</v>
      </c>
      <c r="C168" s="1" t="s">
        <v>17</v>
      </c>
      <c r="D168" s="165"/>
      <c r="E168" s="17" t="s">
        <v>97</v>
      </c>
      <c r="F168" s="73" t="s">
        <v>468</v>
      </c>
      <c r="G168" s="11" t="s">
        <v>114</v>
      </c>
      <c r="H168" s="1">
        <v>1</v>
      </c>
      <c r="I168" s="49"/>
      <c r="J168" s="51"/>
      <c r="K168" s="40"/>
      <c r="L168" s="40"/>
      <c r="M168" s="78">
        <f t="shared" si="6"/>
        <v>0</v>
      </c>
      <c r="N168" s="41">
        <v>2</v>
      </c>
      <c r="O168" s="31"/>
      <c r="P168" s="31"/>
      <c r="Q168" s="12">
        <f t="shared" si="5"/>
        <v>0</v>
      </c>
    </row>
    <row r="169" spans="1:18" s="13" customFormat="1" ht="15.75" x14ac:dyDescent="0.25">
      <c r="A169" s="10"/>
      <c r="B169" s="30" t="s">
        <v>98</v>
      </c>
      <c r="C169" s="1" t="s">
        <v>17</v>
      </c>
      <c r="D169" s="165"/>
      <c r="E169" s="17" t="s">
        <v>35</v>
      </c>
      <c r="F169" s="73" t="s">
        <v>406</v>
      </c>
      <c r="G169" s="74" t="s">
        <v>112</v>
      </c>
      <c r="H169" s="75">
        <v>19</v>
      </c>
      <c r="I169" s="76">
        <v>5</v>
      </c>
      <c r="J169" s="96">
        <f>1+2+1+1</f>
        <v>5</v>
      </c>
      <c r="K169" s="77">
        <f>845.24+1764.25+8353.03</f>
        <v>10962.52</v>
      </c>
      <c r="L169" s="77"/>
      <c r="M169" s="38">
        <f t="shared" si="6"/>
        <v>10962.52</v>
      </c>
      <c r="N169" s="100">
        <f>9+1+1+4+2+1+2</f>
        <v>20</v>
      </c>
      <c r="O169" s="81">
        <f>17007.01+2697.06+1267.86+31709.38+5331.44-10826.79</f>
        <v>47185.96</v>
      </c>
      <c r="P169" s="81">
        <f>17007.01+10149.24</f>
        <v>27156.25</v>
      </c>
      <c r="Q169" s="79">
        <f t="shared" si="5"/>
        <v>20029.71</v>
      </c>
      <c r="R169" s="141"/>
    </row>
    <row r="170" spans="1:18" s="13" customFormat="1" ht="15.75" x14ac:dyDescent="0.25">
      <c r="A170" s="10"/>
      <c r="B170" s="24" t="s">
        <v>98</v>
      </c>
      <c r="C170" s="1" t="s">
        <v>17</v>
      </c>
      <c r="D170" s="165"/>
      <c r="E170" s="17" t="s">
        <v>35</v>
      </c>
      <c r="F170" s="73" t="s">
        <v>435</v>
      </c>
      <c r="G170" s="8" t="s">
        <v>117</v>
      </c>
      <c r="H170" s="1">
        <v>2</v>
      </c>
      <c r="I170" s="49">
        <v>1</v>
      </c>
      <c r="J170" s="46">
        <v>1</v>
      </c>
      <c r="K170" s="40">
        <v>1162.21</v>
      </c>
      <c r="L170" s="40"/>
      <c r="M170" s="78">
        <f t="shared" si="6"/>
        <v>1162.21</v>
      </c>
      <c r="N170" s="41">
        <f>4</f>
        <v>4</v>
      </c>
      <c r="O170" s="40">
        <v>10721.75</v>
      </c>
      <c r="P170" s="40">
        <v>9286.24</v>
      </c>
      <c r="Q170" s="12">
        <f t="shared" si="5"/>
        <v>1435.5100000000002</v>
      </c>
    </row>
    <row r="171" spans="1:18" s="13" customFormat="1" ht="15.75" x14ac:dyDescent="0.25">
      <c r="A171" s="10"/>
      <c r="B171" s="24" t="s">
        <v>488</v>
      </c>
      <c r="C171" s="1" t="s">
        <v>17</v>
      </c>
      <c r="D171" s="165"/>
      <c r="E171" s="17" t="s">
        <v>97</v>
      </c>
      <c r="F171" s="73" t="s">
        <v>498</v>
      </c>
      <c r="G171" s="8" t="s">
        <v>112</v>
      </c>
      <c r="H171" s="1">
        <v>5</v>
      </c>
      <c r="I171" s="49">
        <v>4</v>
      </c>
      <c r="J171" s="46">
        <f>4</f>
        <v>4</v>
      </c>
      <c r="K171" s="40"/>
      <c r="L171" s="40"/>
      <c r="M171" s="78"/>
      <c r="N171" s="41"/>
      <c r="O171" s="40"/>
      <c r="P171" s="40"/>
      <c r="Q171" s="12"/>
    </row>
    <row r="172" spans="1:18" s="15" customFormat="1" ht="15.75" x14ac:dyDescent="0.25">
      <c r="A172" s="14"/>
      <c r="B172" s="84" t="s">
        <v>99</v>
      </c>
      <c r="C172" s="1" t="s">
        <v>17</v>
      </c>
      <c r="D172" s="165"/>
      <c r="E172" s="3" t="s">
        <v>32</v>
      </c>
      <c r="F172" s="73" t="s">
        <v>418</v>
      </c>
      <c r="G172" s="74" t="s">
        <v>112</v>
      </c>
      <c r="H172" s="75"/>
      <c r="I172" s="76"/>
      <c r="J172" s="96"/>
      <c r="K172" s="77"/>
      <c r="L172" s="77"/>
      <c r="M172" s="38">
        <f t="shared" si="6"/>
        <v>0</v>
      </c>
      <c r="N172" s="100"/>
      <c r="O172" s="81"/>
      <c r="P172" s="81"/>
      <c r="Q172" s="79">
        <f t="shared" si="5"/>
        <v>0</v>
      </c>
      <c r="R172" s="141"/>
    </row>
    <row r="173" spans="1:18" s="15" customFormat="1" ht="15.75" x14ac:dyDescent="0.25">
      <c r="A173" s="14"/>
      <c r="B173" s="29" t="s">
        <v>99</v>
      </c>
      <c r="C173" s="1" t="s">
        <v>17</v>
      </c>
      <c r="D173" s="165"/>
      <c r="E173" s="3" t="s">
        <v>32</v>
      </c>
      <c r="F173" s="73" t="s">
        <v>423</v>
      </c>
      <c r="G173" s="8" t="s">
        <v>117</v>
      </c>
      <c r="H173" s="1"/>
      <c r="I173" s="49"/>
      <c r="J173" s="51"/>
      <c r="K173" s="40"/>
      <c r="L173" s="40"/>
      <c r="M173" s="78">
        <f t="shared" si="6"/>
        <v>0</v>
      </c>
      <c r="N173" s="39"/>
      <c r="O173" s="40"/>
      <c r="P173" s="40"/>
      <c r="Q173" s="12">
        <f t="shared" si="5"/>
        <v>0</v>
      </c>
    </row>
    <row r="174" spans="1:18" s="15" customFormat="1" ht="31.5" x14ac:dyDescent="0.25">
      <c r="A174" s="14"/>
      <c r="B174" s="30" t="s">
        <v>144</v>
      </c>
      <c r="C174" s="1" t="s">
        <v>304</v>
      </c>
      <c r="D174" s="165" t="s">
        <v>313</v>
      </c>
      <c r="E174" s="17" t="s">
        <v>97</v>
      </c>
      <c r="F174" s="73" t="s">
        <v>407</v>
      </c>
      <c r="G174" s="66" t="s">
        <v>112</v>
      </c>
      <c r="H174" s="75">
        <v>7</v>
      </c>
      <c r="I174" s="76">
        <v>6</v>
      </c>
      <c r="J174" s="98">
        <f>2+2+1+3</f>
        <v>8</v>
      </c>
      <c r="K174" s="77">
        <f>950.9+1449.39+2272.32</f>
        <v>4672.6100000000006</v>
      </c>
      <c r="L174" s="77">
        <f>1373.52</f>
        <v>1373.52</v>
      </c>
      <c r="M174" s="38">
        <f t="shared" si="6"/>
        <v>3299.0900000000006</v>
      </c>
      <c r="N174" s="100">
        <f>3+2+1+1</f>
        <v>7</v>
      </c>
      <c r="O174" s="77">
        <f>5020.57+5566.06+2694.94</f>
        <v>13281.570000000002</v>
      </c>
      <c r="P174" s="77">
        <f>5071.44</f>
        <v>5071.4399999999996</v>
      </c>
      <c r="Q174" s="79">
        <f t="shared" si="5"/>
        <v>8210.130000000001</v>
      </c>
      <c r="R174" s="141"/>
    </row>
    <row r="175" spans="1:18" s="15" customFormat="1" ht="15.75" x14ac:dyDescent="0.25">
      <c r="A175" s="14"/>
      <c r="B175" s="30" t="s">
        <v>488</v>
      </c>
      <c r="C175" s="1"/>
      <c r="D175" s="165"/>
      <c r="E175" s="17"/>
      <c r="F175" s="73"/>
      <c r="G175" s="66" t="s">
        <v>114</v>
      </c>
      <c r="H175" s="75">
        <v>13</v>
      </c>
      <c r="I175" s="76"/>
      <c r="J175" s="98"/>
      <c r="K175" s="77"/>
      <c r="L175" s="77"/>
      <c r="M175" s="38"/>
      <c r="N175" s="100"/>
      <c r="O175" s="77"/>
      <c r="P175" s="77"/>
      <c r="Q175" s="79"/>
    </row>
    <row r="176" spans="1:18" s="15" customFormat="1" ht="15.75" x14ac:dyDescent="0.25">
      <c r="A176" s="14"/>
      <c r="B176" s="30" t="s">
        <v>488</v>
      </c>
      <c r="C176" s="1"/>
      <c r="D176" s="165"/>
      <c r="E176" s="17"/>
      <c r="F176" s="73"/>
      <c r="G176" s="66" t="s">
        <v>113</v>
      </c>
      <c r="H176" s="75">
        <v>2</v>
      </c>
      <c r="I176" s="76"/>
      <c r="J176" s="98"/>
      <c r="K176" s="77"/>
      <c r="L176" s="77"/>
      <c r="M176" s="38"/>
      <c r="N176" s="100"/>
      <c r="O176" s="77"/>
      <c r="P176" s="77"/>
      <c r="Q176" s="79"/>
    </row>
    <row r="177" spans="1:18" s="15" customFormat="1" ht="31.5" x14ac:dyDescent="0.25">
      <c r="A177" s="14"/>
      <c r="B177" s="34" t="s">
        <v>144</v>
      </c>
      <c r="C177" s="1" t="s">
        <v>446</v>
      </c>
      <c r="D177" s="165" t="s">
        <v>313</v>
      </c>
      <c r="E177" s="3" t="s">
        <v>20</v>
      </c>
      <c r="F177" s="73" t="s">
        <v>485</v>
      </c>
      <c r="G177" s="8" t="s">
        <v>114</v>
      </c>
      <c r="H177" s="1">
        <v>14</v>
      </c>
      <c r="I177" s="53">
        <v>1</v>
      </c>
      <c r="J177" s="52">
        <v>1</v>
      </c>
      <c r="K177" s="40"/>
      <c r="L177" s="40"/>
      <c r="M177" s="78">
        <f t="shared" si="6"/>
        <v>0</v>
      </c>
      <c r="N177" s="42">
        <v>18</v>
      </c>
      <c r="O177" s="31">
        <f>10845.7</f>
        <v>10845.7</v>
      </c>
      <c r="P177" s="31">
        <v>10845.7</v>
      </c>
      <c r="Q177" s="12">
        <f t="shared" si="5"/>
        <v>0</v>
      </c>
    </row>
    <row r="178" spans="1:18" s="21" customFormat="1" ht="47.25" x14ac:dyDescent="0.25">
      <c r="A178" s="1"/>
      <c r="B178" s="30" t="s">
        <v>100</v>
      </c>
      <c r="C178" s="1" t="s">
        <v>304</v>
      </c>
      <c r="D178" s="165" t="s">
        <v>416</v>
      </c>
      <c r="E178" s="17" t="s">
        <v>20</v>
      </c>
      <c r="F178" s="73" t="s">
        <v>408</v>
      </c>
      <c r="G178" s="27" t="s">
        <v>112</v>
      </c>
      <c r="H178" s="75">
        <v>10</v>
      </c>
      <c r="I178" s="76">
        <v>6</v>
      </c>
      <c r="J178" s="98">
        <f>5+1</f>
        <v>6</v>
      </c>
      <c r="K178" s="86">
        <f>6524.55</f>
        <v>6524.55</v>
      </c>
      <c r="L178" s="86"/>
      <c r="M178" s="38">
        <f t="shared" si="6"/>
        <v>6524.55</v>
      </c>
      <c r="N178" s="100">
        <f>1+3</f>
        <v>4</v>
      </c>
      <c r="O178" s="87">
        <f>10770.58+2113.01</f>
        <v>12883.59</v>
      </c>
      <c r="P178" s="87"/>
      <c r="Q178" s="79">
        <f t="shared" si="5"/>
        <v>12883.59</v>
      </c>
      <c r="R178" s="141"/>
    </row>
    <row r="179" spans="1:18" s="21" customFormat="1" ht="47.25" x14ac:dyDescent="0.25">
      <c r="A179" s="1"/>
      <c r="B179" s="24" t="s">
        <v>100</v>
      </c>
      <c r="C179" s="18" t="s">
        <v>125</v>
      </c>
      <c r="D179" s="165" t="s">
        <v>126</v>
      </c>
      <c r="E179" s="17" t="s">
        <v>20</v>
      </c>
      <c r="F179" s="73" t="s">
        <v>486</v>
      </c>
      <c r="G179" s="20" t="s">
        <v>114</v>
      </c>
      <c r="H179" s="1">
        <v>8</v>
      </c>
      <c r="I179" s="53"/>
      <c r="J179" s="52"/>
      <c r="K179" s="55"/>
      <c r="L179" s="55"/>
      <c r="M179" s="78">
        <f t="shared" si="6"/>
        <v>0</v>
      </c>
      <c r="N179" s="41"/>
      <c r="O179" s="54"/>
      <c r="P179" s="54"/>
      <c r="Q179" s="12">
        <f t="shared" si="5"/>
        <v>0</v>
      </c>
    </row>
    <row r="180" spans="1:18" s="13" customFormat="1" ht="15.75" x14ac:dyDescent="0.25">
      <c r="A180" s="10"/>
      <c r="B180" s="62" t="s">
        <v>101</v>
      </c>
      <c r="C180" s="1" t="s">
        <v>17</v>
      </c>
      <c r="D180" s="165"/>
      <c r="E180" s="17" t="s">
        <v>20</v>
      </c>
      <c r="F180" s="73" t="s">
        <v>409</v>
      </c>
      <c r="G180" s="74" t="s">
        <v>112</v>
      </c>
      <c r="H180" s="75">
        <v>8</v>
      </c>
      <c r="I180" s="76">
        <v>5</v>
      </c>
      <c r="J180" s="96">
        <f>1+5</f>
        <v>6</v>
      </c>
      <c r="K180" s="77">
        <f>1045.98</f>
        <v>1045.98</v>
      </c>
      <c r="L180" s="77"/>
      <c r="M180" s="38">
        <f t="shared" si="6"/>
        <v>1045.98</v>
      </c>
      <c r="N180" s="100">
        <f>5+2+1</f>
        <v>8</v>
      </c>
      <c r="O180" s="81">
        <f>6288.07+3061.62</f>
        <v>9349.6899999999987</v>
      </c>
      <c r="P180" s="81"/>
      <c r="Q180" s="79">
        <f t="shared" si="5"/>
        <v>9349.6899999999987</v>
      </c>
      <c r="R180" s="141"/>
    </row>
    <row r="181" spans="1:18" s="13" customFormat="1" ht="15.75" x14ac:dyDescent="0.25">
      <c r="A181" s="10"/>
      <c r="B181" s="62" t="s">
        <v>146</v>
      </c>
      <c r="C181" s="1" t="s">
        <v>17</v>
      </c>
      <c r="D181" s="165"/>
      <c r="E181" s="17" t="s">
        <v>20</v>
      </c>
      <c r="F181" s="73" t="s">
        <v>410</v>
      </c>
      <c r="G181" s="74" t="s">
        <v>112</v>
      </c>
      <c r="H181" s="75">
        <v>6</v>
      </c>
      <c r="I181" s="76">
        <v>5</v>
      </c>
      <c r="J181" s="96">
        <f>4+1</f>
        <v>5</v>
      </c>
      <c r="K181" s="77">
        <f>4610.77+1568.98</f>
        <v>6179.75</v>
      </c>
      <c r="L181" s="77"/>
      <c r="M181" s="38">
        <f t="shared" si="6"/>
        <v>6179.75</v>
      </c>
      <c r="N181" s="100">
        <f>5+1+1</f>
        <v>7</v>
      </c>
      <c r="O181" s="81">
        <f>13579.06+1287.07+2636.18</f>
        <v>17502.309999999998</v>
      </c>
      <c r="P181" s="81">
        <f>13579.06</f>
        <v>13579.06</v>
      </c>
      <c r="Q181" s="12">
        <f t="shared" si="5"/>
        <v>3923.2499999999982</v>
      </c>
      <c r="R181" s="141"/>
    </row>
    <row r="182" spans="1:18" s="13" customFormat="1" ht="15.75" x14ac:dyDescent="0.25">
      <c r="A182" s="10"/>
      <c r="B182" s="22" t="s">
        <v>146</v>
      </c>
      <c r="C182" s="1" t="s">
        <v>17</v>
      </c>
      <c r="D182" s="165"/>
      <c r="E182" s="3" t="s">
        <v>21</v>
      </c>
      <c r="F182" s="73" t="s">
        <v>443</v>
      </c>
      <c r="G182" s="11" t="s">
        <v>118</v>
      </c>
      <c r="H182" s="1">
        <v>4</v>
      </c>
      <c r="I182" s="47"/>
      <c r="J182" s="51"/>
      <c r="K182" s="37"/>
      <c r="L182" s="37"/>
      <c r="M182" s="38">
        <f t="shared" si="6"/>
        <v>0</v>
      </c>
      <c r="N182" s="39">
        <v>3</v>
      </c>
      <c r="O182" s="31">
        <v>3035.18</v>
      </c>
      <c r="P182" s="31">
        <v>3035.18</v>
      </c>
      <c r="Q182" s="79">
        <f t="shared" si="5"/>
        <v>0</v>
      </c>
    </row>
    <row r="183" spans="1:18" s="13" customFormat="1" ht="15.75" x14ac:dyDescent="0.25">
      <c r="A183" s="10"/>
      <c r="B183" s="27" t="s">
        <v>102</v>
      </c>
      <c r="C183" s="1" t="s">
        <v>17</v>
      </c>
      <c r="D183" s="165"/>
      <c r="E183" s="17" t="s">
        <v>20</v>
      </c>
      <c r="F183" s="73" t="s">
        <v>411</v>
      </c>
      <c r="G183" s="74" t="s">
        <v>112</v>
      </c>
      <c r="H183" s="75">
        <v>8</v>
      </c>
      <c r="I183" s="76">
        <v>2</v>
      </c>
      <c r="J183" s="96">
        <f>1+1</f>
        <v>2</v>
      </c>
      <c r="K183" s="77">
        <f>845.24+845.24</f>
        <v>1690.48</v>
      </c>
      <c r="L183" s="77">
        <f>845.24</f>
        <v>845.24</v>
      </c>
      <c r="M183" s="38">
        <f t="shared" si="6"/>
        <v>845.24</v>
      </c>
      <c r="N183" s="100">
        <f>3</f>
        <v>3</v>
      </c>
      <c r="O183" s="81">
        <f>7808.21+30833.77</f>
        <v>38641.980000000003</v>
      </c>
      <c r="P183" s="81">
        <f>7808.21</f>
        <v>7808.21</v>
      </c>
      <c r="Q183" s="12">
        <f t="shared" si="5"/>
        <v>30833.770000000004</v>
      </c>
      <c r="R183" s="141"/>
    </row>
    <row r="184" spans="1:18" s="13" customFormat="1" ht="15.75" x14ac:dyDescent="0.25">
      <c r="A184" s="10"/>
      <c r="B184" s="25" t="s">
        <v>102</v>
      </c>
      <c r="C184" s="1" t="s">
        <v>17</v>
      </c>
      <c r="D184" s="165"/>
      <c r="E184" s="17" t="s">
        <v>20</v>
      </c>
      <c r="F184" s="73" t="s">
        <v>469</v>
      </c>
      <c r="G184" s="11" t="s">
        <v>114</v>
      </c>
      <c r="H184" s="1">
        <v>5</v>
      </c>
      <c r="I184" s="58">
        <v>2</v>
      </c>
      <c r="J184" s="51">
        <v>2</v>
      </c>
      <c r="K184" s="40"/>
      <c r="L184" s="40"/>
      <c r="M184" s="38">
        <f t="shared" si="6"/>
        <v>0</v>
      </c>
      <c r="N184" s="41">
        <v>8</v>
      </c>
      <c r="O184" s="31">
        <f>7604.1</f>
        <v>7604.1</v>
      </c>
      <c r="P184" s="31">
        <v>7604.1</v>
      </c>
      <c r="Q184" s="79">
        <f t="shared" si="5"/>
        <v>0</v>
      </c>
    </row>
    <row r="185" spans="1:18" s="13" customFormat="1" ht="15.75" x14ac:dyDescent="0.25">
      <c r="A185" s="10"/>
      <c r="B185" s="27" t="s">
        <v>103</v>
      </c>
      <c r="C185" s="1" t="s">
        <v>17</v>
      </c>
      <c r="D185" s="165"/>
      <c r="E185" s="3" t="s">
        <v>20</v>
      </c>
      <c r="F185" s="73" t="s">
        <v>412</v>
      </c>
      <c r="G185" s="74" t="s">
        <v>112</v>
      </c>
      <c r="H185" s="75">
        <v>7</v>
      </c>
      <c r="I185" s="76">
        <v>3</v>
      </c>
      <c r="J185" s="96">
        <f>4</f>
        <v>4</v>
      </c>
      <c r="K185" s="77"/>
      <c r="L185" s="77"/>
      <c r="M185" s="38">
        <f t="shared" si="6"/>
        <v>0</v>
      </c>
      <c r="N185" s="100">
        <f>7+2</f>
        <v>9</v>
      </c>
      <c r="O185" s="77">
        <f>20193.14</f>
        <v>20193.14</v>
      </c>
      <c r="P185" s="81">
        <f>20193.14</f>
        <v>20193.14</v>
      </c>
      <c r="Q185" s="12">
        <f t="shared" si="5"/>
        <v>0</v>
      </c>
      <c r="R185" s="141"/>
    </row>
    <row r="186" spans="1:18" s="13" customFormat="1" ht="15.75" x14ac:dyDescent="0.25">
      <c r="A186" s="10"/>
      <c r="B186" s="25" t="s">
        <v>103</v>
      </c>
      <c r="C186" s="1" t="s">
        <v>17</v>
      </c>
      <c r="D186" s="165"/>
      <c r="E186" s="3" t="s">
        <v>20</v>
      </c>
      <c r="F186" s="73" t="s">
        <v>470</v>
      </c>
      <c r="G186" s="11" t="s">
        <v>114</v>
      </c>
      <c r="H186" s="1">
        <v>6</v>
      </c>
      <c r="I186" s="49"/>
      <c r="J186" s="51"/>
      <c r="K186" s="40"/>
      <c r="L186" s="40"/>
      <c r="M186" s="38">
        <f t="shared" si="6"/>
        <v>0</v>
      </c>
      <c r="N186" s="41">
        <v>4</v>
      </c>
      <c r="O186" s="31">
        <f>8510.89</f>
        <v>8510.89</v>
      </c>
      <c r="P186" s="31">
        <v>8510.89</v>
      </c>
      <c r="Q186" s="79">
        <f t="shared" si="5"/>
        <v>0</v>
      </c>
    </row>
    <row r="187" spans="1:18" s="15" customFormat="1" ht="15.75" x14ac:dyDescent="0.25">
      <c r="A187" s="14"/>
      <c r="B187" s="28" t="s">
        <v>104</v>
      </c>
      <c r="C187" s="1" t="s">
        <v>17</v>
      </c>
      <c r="D187" s="165"/>
      <c r="E187" s="3" t="s">
        <v>20</v>
      </c>
      <c r="F187" s="73" t="s">
        <v>413</v>
      </c>
      <c r="G187" s="74" t="s">
        <v>112</v>
      </c>
      <c r="H187" s="75">
        <v>7</v>
      </c>
      <c r="I187" s="76">
        <v>4</v>
      </c>
      <c r="J187" s="96">
        <f>3+1</f>
        <v>4</v>
      </c>
      <c r="K187" s="77">
        <f>5112.82+422.64</f>
        <v>5535.46</v>
      </c>
      <c r="L187" s="77"/>
      <c r="M187" s="38">
        <f t="shared" si="6"/>
        <v>5535.46</v>
      </c>
      <c r="N187" s="100">
        <f>4+1+1</f>
        <v>6</v>
      </c>
      <c r="O187" s="81">
        <f>7087.22</f>
        <v>7087.22</v>
      </c>
      <c r="P187" s="81">
        <f>7086.22</f>
        <v>7086.22</v>
      </c>
      <c r="Q187" s="12">
        <f t="shared" si="5"/>
        <v>1</v>
      </c>
      <c r="R187" s="141"/>
    </row>
    <row r="188" spans="1:18" s="15" customFormat="1" ht="15.75" x14ac:dyDescent="0.25">
      <c r="A188" s="14"/>
      <c r="B188" s="26" t="s">
        <v>104</v>
      </c>
      <c r="C188" s="1" t="s">
        <v>17</v>
      </c>
      <c r="D188" s="165"/>
      <c r="E188" s="3" t="s">
        <v>20</v>
      </c>
      <c r="F188" s="73" t="s">
        <v>471</v>
      </c>
      <c r="G188" s="11" t="s">
        <v>114</v>
      </c>
      <c r="H188" s="1">
        <v>23</v>
      </c>
      <c r="I188" s="49">
        <v>1</v>
      </c>
      <c r="J188" s="51">
        <v>1</v>
      </c>
      <c r="K188" s="40"/>
      <c r="L188" s="40"/>
      <c r="M188" s="38">
        <f t="shared" si="6"/>
        <v>0</v>
      </c>
      <c r="N188" s="39">
        <v>14</v>
      </c>
      <c r="O188" s="31">
        <f>8717.37</f>
        <v>8717.3700000000008</v>
      </c>
      <c r="P188" s="31">
        <v>8717.3700000000008</v>
      </c>
      <c r="Q188" s="79">
        <f t="shared" si="5"/>
        <v>0</v>
      </c>
    </row>
    <row r="189" spans="1:18" s="13" customFormat="1" ht="15.75" x14ac:dyDescent="0.25">
      <c r="A189" s="10"/>
      <c r="B189" s="30" t="s">
        <v>105</v>
      </c>
      <c r="C189" s="1" t="s">
        <v>17</v>
      </c>
      <c r="D189" s="165"/>
      <c r="E189" s="17" t="s">
        <v>35</v>
      </c>
      <c r="F189" s="73" t="s">
        <v>419</v>
      </c>
      <c r="G189" s="74" t="s">
        <v>112</v>
      </c>
      <c r="H189" s="75"/>
      <c r="I189" s="76"/>
      <c r="J189" s="96"/>
      <c r="K189" s="77"/>
      <c r="L189" s="77"/>
      <c r="M189" s="38">
        <f t="shared" si="6"/>
        <v>0</v>
      </c>
      <c r="N189" s="100"/>
      <c r="O189" s="81"/>
      <c r="P189" s="81"/>
      <c r="Q189" s="12">
        <f t="shared" si="5"/>
        <v>0</v>
      </c>
      <c r="R189" s="141"/>
    </row>
    <row r="190" spans="1:18" s="13" customFormat="1" ht="15.75" x14ac:dyDescent="0.25">
      <c r="A190" s="10"/>
      <c r="B190" s="30" t="s">
        <v>26</v>
      </c>
      <c r="C190" s="1" t="s">
        <v>17</v>
      </c>
      <c r="D190" s="165"/>
      <c r="E190" s="3" t="s">
        <v>32</v>
      </c>
      <c r="F190" s="73" t="s">
        <v>246</v>
      </c>
      <c r="G190" s="74" t="s">
        <v>117</v>
      </c>
      <c r="H190" s="75"/>
      <c r="I190" s="76"/>
      <c r="J190" s="96"/>
      <c r="K190" s="77"/>
      <c r="L190" s="77"/>
      <c r="M190" s="78">
        <f t="shared" si="6"/>
        <v>0</v>
      </c>
      <c r="N190" s="100">
        <v>3</v>
      </c>
      <c r="O190" s="81">
        <v>3774.05</v>
      </c>
      <c r="P190" s="81">
        <v>3774.05</v>
      </c>
      <c r="Q190" s="12">
        <f t="shared" si="5"/>
        <v>0</v>
      </c>
    </row>
    <row r="191" spans="1:18" s="13" customFormat="1" ht="15.75" x14ac:dyDescent="0.25">
      <c r="A191" s="10"/>
      <c r="B191" s="24" t="s">
        <v>105</v>
      </c>
      <c r="C191" s="1" t="s">
        <v>17</v>
      </c>
      <c r="D191" s="165"/>
      <c r="E191" s="17" t="s">
        <v>35</v>
      </c>
      <c r="F191" s="73" t="s">
        <v>436</v>
      </c>
      <c r="G191" s="11" t="s">
        <v>117</v>
      </c>
      <c r="H191" s="1"/>
      <c r="I191" s="47"/>
      <c r="J191" s="46"/>
      <c r="K191" s="40"/>
      <c r="L191" s="40"/>
      <c r="M191" s="38">
        <f t="shared" si="6"/>
        <v>0</v>
      </c>
      <c r="N191" s="41"/>
      <c r="O191" s="31"/>
      <c r="P191" s="31"/>
      <c r="Q191" s="79">
        <f t="shared" si="5"/>
        <v>0</v>
      </c>
    </row>
    <row r="192" spans="1:18" s="13" customFormat="1" ht="15.75" x14ac:dyDescent="0.25">
      <c r="A192" s="10"/>
      <c r="B192" s="62" t="s">
        <v>106</v>
      </c>
      <c r="C192" s="1" t="s">
        <v>17</v>
      </c>
      <c r="D192" s="2"/>
      <c r="E192" s="17" t="s">
        <v>20</v>
      </c>
      <c r="F192" s="73" t="s">
        <v>414</v>
      </c>
      <c r="G192" s="74" t="s">
        <v>112</v>
      </c>
      <c r="H192" s="75">
        <v>7</v>
      </c>
      <c r="I192" s="76"/>
      <c r="J192" s="96"/>
      <c r="K192" s="77"/>
      <c r="L192" s="77"/>
      <c r="M192" s="38">
        <f t="shared" si="6"/>
        <v>0</v>
      </c>
      <c r="N192" s="100">
        <f>3</f>
        <v>3</v>
      </c>
      <c r="O192" s="81">
        <f>15956.85</f>
        <v>15956.85</v>
      </c>
      <c r="P192" s="81">
        <f>15956.85</f>
        <v>15956.85</v>
      </c>
      <c r="Q192" s="12">
        <f t="shared" si="5"/>
        <v>0</v>
      </c>
      <c r="R192" s="141"/>
    </row>
    <row r="193" spans="1:18" ht="15.75" x14ac:dyDescent="0.25">
      <c r="A193" s="7"/>
      <c r="B193" s="32"/>
      <c r="C193" s="107"/>
      <c r="D193" s="33"/>
      <c r="E193" s="33"/>
      <c r="F193" s="73"/>
      <c r="G193" s="8" t="s">
        <v>131</v>
      </c>
      <c r="H193" s="106">
        <f t="shared" ref="H193:P193" si="7">SUM(H10:H192)</f>
        <v>1211</v>
      </c>
      <c r="I193" s="59">
        <f t="shared" si="7"/>
        <v>432</v>
      </c>
      <c r="J193" s="43">
        <f t="shared" si="7"/>
        <v>488</v>
      </c>
      <c r="K193" s="56">
        <f t="shared" si="7"/>
        <v>491818.88499999995</v>
      </c>
      <c r="L193" s="56">
        <f t="shared" si="7"/>
        <v>39963.839999999997</v>
      </c>
      <c r="M193" s="44">
        <f>K193-L193</f>
        <v>451855.04499999993</v>
      </c>
      <c r="N193" s="43">
        <f t="shared" si="7"/>
        <v>1308</v>
      </c>
      <c r="O193" s="57">
        <f t="shared" si="7"/>
        <v>3093954.2999999989</v>
      </c>
      <c r="P193" s="57">
        <f t="shared" si="7"/>
        <v>1480402.3399999999</v>
      </c>
      <c r="Q193" s="79">
        <f t="shared" si="5"/>
        <v>1613551.959999999</v>
      </c>
      <c r="R193" s="129"/>
    </row>
    <row r="194" spans="1:18" x14ac:dyDescent="0.25">
      <c r="K194" s="91" t="s">
        <v>305</v>
      </c>
    </row>
    <row r="195" spans="1:18" ht="45" x14ac:dyDescent="0.25">
      <c r="B195" s="89" t="s">
        <v>316</v>
      </c>
      <c r="F195" s="104" t="s">
        <v>317</v>
      </c>
      <c r="M195" s="142"/>
      <c r="Q195" s="133"/>
    </row>
  </sheetData>
  <autoFilter ref="A8:Q195"/>
  <mergeCells count="7">
    <mergeCell ref="O1:Q1"/>
    <mergeCell ref="A3:Q3"/>
    <mergeCell ref="A4:Q4"/>
    <mergeCell ref="A5:Q5"/>
    <mergeCell ref="B7:G7"/>
    <mergeCell ref="H7:M7"/>
    <mergeCell ref="N7:Q7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196"/>
  <sheetViews>
    <sheetView workbookViewId="0">
      <selection sqref="A1:XFD1048576"/>
    </sheetView>
  </sheetViews>
  <sheetFormatPr defaultRowHeight="15" x14ac:dyDescent="0.25"/>
  <cols>
    <col min="1" max="1" width="1.85546875" style="6" customWidth="1"/>
    <col min="2" max="2" width="38.28515625" style="88" customWidth="1"/>
    <col min="3" max="3" width="6.5703125" style="19" customWidth="1"/>
    <col min="4" max="4" width="17.42578125" style="19" customWidth="1"/>
    <col min="5" max="5" width="19" style="19" customWidth="1"/>
    <col min="6" max="6" width="18.42578125" style="89" customWidth="1"/>
    <col min="7" max="7" width="23.42578125" style="89" customWidth="1"/>
    <col min="8" max="9" width="18.42578125" style="90" customWidth="1"/>
    <col min="10" max="10" width="18.42578125" style="99" customWidth="1"/>
    <col min="11" max="13" width="18.42578125" style="91" customWidth="1"/>
    <col min="14" max="14" width="18.42578125" style="99" customWidth="1"/>
    <col min="15" max="15" width="18.42578125" style="92" customWidth="1"/>
    <col min="16" max="16" width="16" style="92" customWidth="1"/>
    <col min="17" max="17" width="14.42578125" style="92" customWidth="1"/>
    <col min="18" max="18" width="11.7109375" style="6" customWidth="1"/>
    <col min="19" max="19" width="9.42578125" style="6" customWidth="1"/>
    <col min="20" max="21" width="9.140625" style="6" customWidth="1"/>
    <col min="22" max="16384" width="9.140625" style="6"/>
  </cols>
  <sheetData>
    <row r="1" spans="1:18" s="105" customFormat="1" x14ac:dyDescent="0.25">
      <c r="B1" s="60"/>
      <c r="C1" s="4"/>
      <c r="D1" s="4"/>
      <c r="E1" s="4"/>
      <c r="F1" s="63"/>
      <c r="G1" s="63"/>
      <c r="H1" s="64"/>
      <c r="I1" s="64"/>
      <c r="J1" s="93"/>
      <c r="K1" s="65"/>
      <c r="L1" s="65"/>
      <c r="M1" s="65"/>
      <c r="N1" s="93"/>
      <c r="O1" s="362" t="s">
        <v>15</v>
      </c>
      <c r="P1" s="362"/>
      <c r="Q1" s="362"/>
    </row>
    <row r="2" spans="1:18" s="105" customFormat="1" x14ac:dyDescent="0.25">
      <c r="A2" s="7"/>
      <c r="B2" s="166"/>
      <c r="C2" s="107"/>
      <c r="D2" s="107"/>
      <c r="E2" s="107"/>
      <c r="F2" s="66"/>
      <c r="G2" s="66"/>
      <c r="H2" s="168"/>
      <c r="I2" s="168"/>
      <c r="J2" s="94"/>
      <c r="K2" s="67"/>
      <c r="L2" s="67"/>
      <c r="M2" s="67"/>
      <c r="N2" s="94"/>
      <c r="O2" s="68"/>
      <c r="P2" s="68"/>
      <c r="Q2" s="68"/>
    </row>
    <row r="3" spans="1:18" s="105" customFormat="1" x14ac:dyDescent="0.25">
      <c r="A3" s="363" t="s">
        <v>318</v>
      </c>
      <c r="B3" s="364"/>
      <c r="C3" s="363"/>
      <c r="D3" s="363"/>
      <c r="E3" s="363"/>
      <c r="F3" s="364"/>
      <c r="G3" s="364"/>
      <c r="H3" s="365"/>
      <c r="I3" s="366"/>
      <c r="J3" s="367"/>
      <c r="K3" s="364"/>
      <c r="L3" s="364"/>
      <c r="M3" s="364"/>
      <c r="N3" s="364"/>
      <c r="O3" s="364"/>
      <c r="P3" s="364"/>
      <c r="Q3" s="364"/>
    </row>
    <row r="4" spans="1:18" s="105" customFormat="1" x14ac:dyDescent="0.25">
      <c r="A4" s="368">
        <v>43605</v>
      </c>
      <c r="B4" s="369"/>
      <c r="C4" s="370"/>
      <c r="D4" s="370"/>
      <c r="E4" s="370"/>
      <c r="F4" s="369"/>
      <c r="G4" s="369"/>
      <c r="H4" s="371"/>
      <c r="I4" s="372"/>
      <c r="J4" s="373"/>
      <c r="K4" s="369"/>
      <c r="L4" s="369"/>
      <c r="M4" s="369"/>
      <c r="N4" s="369"/>
      <c r="O4" s="369"/>
      <c r="P4" s="369"/>
      <c r="Q4" s="369"/>
    </row>
    <row r="5" spans="1:18" s="105" customFormat="1" x14ac:dyDescent="0.25">
      <c r="A5" s="374" t="s">
        <v>14</v>
      </c>
      <c r="B5" s="367"/>
      <c r="C5" s="374"/>
      <c r="D5" s="374"/>
      <c r="E5" s="374"/>
      <c r="F5" s="367"/>
      <c r="G5" s="367"/>
      <c r="H5" s="366"/>
      <c r="I5" s="366"/>
      <c r="J5" s="367"/>
      <c r="K5" s="367"/>
      <c r="L5" s="367"/>
      <c r="M5" s="367"/>
      <c r="N5" s="367"/>
      <c r="O5" s="367"/>
      <c r="P5" s="367"/>
      <c r="Q5" s="367"/>
    </row>
    <row r="6" spans="1:18" s="105" customFormat="1" x14ac:dyDescent="0.25">
      <c r="A6" s="7"/>
      <c r="B6" s="166"/>
      <c r="C6" s="107"/>
      <c r="D6" s="107"/>
      <c r="E6" s="107"/>
      <c r="F6" s="66"/>
      <c r="G6" s="66"/>
      <c r="H6" s="168"/>
      <c r="I6" s="168"/>
      <c r="J6" s="94"/>
      <c r="K6" s="67"/>
      <c r="L6" s="67"/>
      <c r="M6" s="67"/>
      <c r="N6" s="94"/>
      <c r="O6" s="68"/>
      <c r="P6" s="68"/>
      <c r="Q6" s="68"/>
    </row>
    <row r="7" spans="1:18" x14ac:dyDescent="0.25">
      <c r="A7" s="5" t="s">
        <v>0</v>
      </c>
      <c r="B7" s="364" t="s">
        <v>10</v>
      </c>
      <c r="C7" s="375"/>
      <c r="D7" s="375"/>
      <c r="E7" s="375"/>
      <c r="F7" s="364"/>
      <c r="G7" s="364"/>
      <c r="H7" s="365" t="s">
        <v>472</v>
      </c>
      <c r="I7" s="366"/>
      <c r="J7" s="367"/>
      <c r="K7" s="364"/>
      <c r="L7" s="364"/>
      <c r="M7" s="364"/>
      <c r="N7" s="364" t="s">
        <v>132</v>
      </c>
      <c r="O7" s="364"/>
      <c r="P7" s="364"/>
      <c r="Q7" s="364"/>
    </row>
    <row r="8" spans="1:18" ht="153" x14ac:dyDescent="0.25">
      <c r="A8" s="5"/>
      <c r="B8" s="166" t="s">
        <v>4</v>
      </c>
      <c r="C8" s="107" t="s">
        <v>1</v>
      </c>
      <c r="D8" s="107" t="s">
        <v>3</v>
      </c>
      <c r="E8" s="107" t="s">
        <v>2</v>
      </c>
      <c r="F8" s="122" t="s">
        <v>6</v>
      </c>
      <c r="G8" s="66" t="s">
        <v>5</v>
      </c>
      <c r="H8" s="169" t="s">
        <v>7</v>
      </c>
      <c r="I8" s="169" t="s">
        <v>8</v>
      </c>
      <c r="J8" s="94" t="s">
        <v>9</v>
      </c>
      <c r="K8" s="67" t="s">
        <v>11</v>
      </c>
      <c r="L8" s="67" t="s">
        <v>12</v>
      </c>
      <c r="M8" s="67" t="s">
        <v>13</v>
      </c>
      <c r="N8" s="94" t="s">
        <v>9</v>
      </c>
      <c r="O8" s="68" t="s">
        <v>11</v>
      </c>
      <c r="P8" s="68" t="s">
        <v>12</v>
      </c>
      <c r="Q8" s="68" t="s">
        <v>13</v>
      </c>
    </row>
    <row r="9" spans="1:18" x14ac:dyDescent="0.25">
      <c r="A9" s="9">
        <v>1</v>
      </c>
      <c r="B9" s="61">
        <f>A9+1</f>
        <v>2</v>
      </c>
      <c r="C9" s="9">
        <f t="shared" ref="C9:Q9" si="0">B9+1</f>
        <v>3</v>
      </c>
      <c r="D9" s="9">
        <f t="shared" si="0"/>
        <v>4</v>
      </c>
      <c r="E9" s="9">
        <f t="shared" si="0"/>
        <v>5</v>
      </c>
      <c r="F9" s="69">
        <f t="shared" si="0"/>
        <v>6</v>
      </c>
      <c r="G9" s="69">
        <f t="shared" si="0"/>
        <v>7</v>
      </c>
      <c r="H9" s="70">
        <f t="shared" si="0"/>
        <v>8</v>
      </c>
      <c r="I9" s="70">
        <f t="shared" si="0"/>
        <v>9</v>
      </c>
      <c r="J9" s="95">
        <f t="shared" si="0"/>
        <v>10</v>
      </c>
      <c r="K9" s="71">
        <f t="shared" si="0"/>
        <v>11</v>
      </c>
      <c r="L9" s="71">
        <f t="shared" si="0"/>
        <v>12</v>
      </c>
      <c r="M9" s="71">
        <f t="shared" si="0"/>
        <v>13</v>
      </c>
      <c r="N9" s="95">
        <f t="shared" si="0"/>
        <v>14</v>
      </c>
      <c r="O9" s="72">
        <f t="shared" si="0"/>
        <v>15</v>
      </c>
      <c r="P9" s="72">
        <f t="shared" si="0"/>
        <v>16</v>
      </c>
      <c r="Q9" s="72">
        <f t="shared" si="0"/>
        <v>17</v>
      </c>
    </row>
    <row r="10" spans="1:18" s="13" customFormat="1" ht="31.5" x14ac:dyDescent="0.25">
      <c r="A10" s="10"/>
      <c r="B10" s="62" t="s">
        <v>16</v>
      </c>
      <c r="C10" s="1" t="s">
        <v>304</v>
      </c>
      <c r="D10" s="165" t="s">
        <v>315</v>
      </c>
      <c r="E10" s="3" t="s">
        <v>18</v>
      </c>
      <c r="F10" s="73" t="s">
        <v>322</v>
      </c>
      <c r="G10" s="74" t="s">
        <v>112</v>
      </c>
      <c r="H10" s="75">
        <v>8</v>
      </c>
      <c r="I10" s="76">
        <v>3</v>
      </c>
      <c r="J10" s="98">
        <f>2+1</f>
        <v>3</v>
      </c>
      <c r="K10" s="77">
        <f>4792.51+1138.19+504.26+11366.06</f>
        <v>17801.02</v>
      </c>
      <c r="L10" s="77">
        <f>4765.04</f>
        <v>4765.04</v>
      </c>
      <c r="M10" s="78">
        <f>K10-L10</f>
        <v>13035.98</v>
      </c>
      <c r="N10" s="100">
        <f>2+5+1+2</f>
        <v>10</v>
      </c>
      <c r="O10" s="77">
        <f>9108.77+6924.32+11366.06</f>
        <v>27399.15</v>
      </c>
      <c r="P10" s="77">
        <f>9108.77</f>
        <v>9108.77</v>
      </c>
      <c r="Q10" s="79">
        <f>O10-P10</f>
        <v>18290.38</v>
      </c>
      <c r="R10" s="141"/>
    </row>
    <row r="11" spans="1:18" s="13" customFormat="1" ht="31.5" x14ac:dyDescent="0.25">
      <c r="A11" s="10"/>
      <c r="B11" s="22" t="s">
        <v>16</v>
      </c>
      <c r="C11" s="1" t="s">
        <v>304</v>
      </c>
      <c r="D11" s="165" t="s">
        <v>315</v>
      </c>
      <c r="E11" s="3" t="s">
        <v>18</v>
      </c>
      <c r="F11" s="73" t="s">
        <v>322</v>
      </c>
      <c r="G11" s="11" t="s">
        <v>116</v>
      </c>
      <c r="H11" s="1">
        <v>4</v>
      </c>
      <c r="I11" s="49"/>
      <c r="J11" s="46"/>
      <c r="K11" s="31"/>
      <c r="L11" s="31"/>
      <c r="M11" s="38">
        <f t="shared" ref="M11:M84" si="1">K11-L11</f>
        <v>0</v>
      </c>
      <c r="N11" s="41"/>
      <c r="O11" s="31">
        <v>2945</v>
      </c>
      <c r="P11" s="31">
        <v>2945</v>
      </c>
      <c r="Q11" s="12">
        <f t="shared" ref="Q11:Q79" si="2">O11-P11</f>
        <v>0</v>
      </c>
    </row>
    <row r="12" spans="1:18" s="13" customFormat="1" ht="15.75" x14ac:dyDescent="0.25">
      <c r="A12" s="10"/>
      <c r="B12" s="22" t="s">
        <v>490</v>
      </c>
      <c r="C12" s="1"/>
      <c r="D12" s="165"/>
      <c r="E12" s="3"/>
      <c r="F12" s="167" t="s">
        <v>501</v>
      </c>
      <c r="G12" s="11" t="s">
        <v>112</v>
      </c>
      <c r="H12" s="1">
        <v>6</v>
      </c>
      <c r="I12" s="49">
        <v>3</v>
      </c>
      <c r="J12" s="46">
        <f>5</f>
        <v>5</v>
      </c>
      <c r="K12" s="31"/>
      <c r="L12" s="31"/>
      <c r="M12" s="38"/>
      <c r="N12" s="41"/>
      <c r="O12" s="31"/>
      <c r="P12" s="31"/>
      <c r="Q12" s="12"/>
    </row>
    <row r="13" spans="1:18" s="15" customFormat="1" ht="15.75" x14ac:dyDescent="0.25">
      <c r="A13" s="14"/>
      <c r="B13" s="80" t="s">
        <v>19</v>
      </c>
      <c r="C13" s="1" t="s">
        <v>17</v>
      </c>
      <c r="D13" s="165"/>
      <c r="E13" s="3" t="s">
        <v>20</v>
      </c>
      <c r="F13" s="73" t="s">
        <v>323</v>
      </c>
      <c r="G13" s="74" t="s">
        <v>112</v>
      </c>
      <c r="H13" s="75">
        <v>8</v>
      </c>
      <c r="I13" s="76">
        <v>7</v>
      </c>
      <c r="J13" s="96">
        <f>1+2+5+2</f>
        <v>10</v>
      </c>
      <c r="K13" s="77">
        <f>422.62+4792.51</f>
        <v>5215.13</v>
      </c>
      <c r="L13" s="77">
        <f>422.62+4792.51</f>
        <v>5215.13</v>
      </c>
      <c r="M13" s="78">
        <f t="shared" si="1"/>
        <v>0</v>
      </c>
      <c r="N13" s="100">
        <f>8+3</f>
        <v>11</v>
      </c>
      <c r="O13" s="81">
        <v>6459.36</v>
      </c>
      <c r="P13" s="81">
        <f>5614.12+545.24</f>
        <v>6159.36</v>
      </c>
      <c r="Q13" s="79">
        <f t="shared" si="2"/>
        <v>300</v>
      </c>
      <c r="R13" s="141"/>
    </row>
    <row r="14" spans="1:18" s="15" customFormat="1" ht="15.75" x14ac:dyDescent="0.25">
      <c r="A14" s="14"/>
      <c r="B14" s="23" t="s">
        <v>19</v>
      </c>
      <c r="C14" s="1" t="s">
        <v>17</v>
      </c>
      <c r="D14" s="165"/>
      <c r="E14" s="3" t="s">
        <v>20</v>
      </c>
      <c r="F14" s="73" t="s">
        <v>451</v>
      </c>
      <c r="G14" s="11" t="s">
        <v>114</v>
      </c>
      <c r="H14" s="1">
        <v>4</v>
      </c>
      <c r="I14" s="49">
        <v>1</v>
      </c>
      <c r="J14" s="51">
        <v>1</v>
      </c>
      <c r="K14" s="40">
        <v>1267.68</v>
      </c>
      <c r="L14" s="40">
        <v>1267.68</v>
      </c>
      <c r="M14" s="38">
        <f t="shared" si="1"/>
        <v>0</v>
      </c>
      <c r="N14" s="42">
        <v>8</v>
      </c>
      <c r="O14" s="31">
        <v>12846.7</v>
      </c>
      <c r="P14" s="31">
        <v>12846.7</v>
      </c>
      <c r="Q14" s="12">
        <f t="shared" si="2"/>
        <v>0</v>
      </c>
    </row>
    <row r="15" spans="1:18" s="15" customFormat="1" ht="15.75" x14ac:dyDescent="0.25">
      <c r="A15" s="14"/>
      <c r="B15" s="62" t="s">
        <v>153</v>
      </c>
      <c r="C15" s="1" t="s">
        <v>17</v>
      </c>
      <c r="D15" s="165"/>
      <c r="E15" s="3" t="s">
        <v>20</v>
      </c>
      <c r="F15" s="73" t="s">
        <v>324</v>
      </c>
      <c r="G15" s="74" t="s">
        <v>112</v>
      </c>
      <c r="H15" s="75">
        <v>5</v>
      </c>
      <c r="I15" s="82">
        <v>3</v>
      </c>
      <c r="J15" s="96">
        <f>1+1+2+1</f>
        <v>5</v>
      </c>
      <c r="K15" s="77">
        <f>950.9+2451.87+3074.57</f>
        <v>6477.34</v>
      </c>
      <c r="L15" s="77">
        <v>950.9</v>
      </c>
      <c r="M15" s="78">
        <f t="shared" si="1"/>
        <v>5526.4400000000005</v>
      </c>
      <c r="N15" s="114">
        <f>1+2+1+2+1</f>
        <v>7</v>
      </c>
      <c r="O15" s="81">
        <f>422.62+945.61+2484.69+7964.81</f>
        <v>11817.73</v>
      </c>
      <c r="P15" s="81">
        <f>422.62</f>
        <v>422.62</v>
      </c>
      <c r="Q15" s="79">
        <f t="shared" si="2"/>
        <v>11395.109999999999</v>
      </c>
      <c r="R15" s="141"/>
    </row>
    <row r="16" spans="1:18" s="15" customFormat="1" ht="15.75" x14ac:dyDescent="0.25">
      <c r="A16" s="14"/>
      <c r="B16" s="50" t="s">
        <v>153</v>
      </c>
      <c r="C16" s="1" t="s">
        <v>17</v>
      </c>
      <c r="D16" s="165"/>
      <c r="E16" s="3" t="s">
        <v>20</v>
      </c>
      <c r="F16" s="73" t="s">
        <v>452</v>
      </c>
      <c r="G16" s="11" t="s">
        <v>114</v>
      </c>
      <c r="H16" s="1">
        <v>8</v>
      </c>
      <c r="I16" s="49">
        <v>1</v>
      </c>
      <c r="J16" s="51">
        <v>1</v>
      </c>
      <c r="K16" s="40">
        <v>1267.8599999999999</v>
      </c>
      <c r="L16" s="40">
        <v>1267.8599999999999</v>
      </c>
      <c r="M16" s="38">
        <f t="shared" si="1"/>
        <v>0</v>
      </c>
      <c r="N16" s="42">
        <v>7</v>
      </c>
      <c r="O16" s="31">
        <v>15816.3</v>
      </c>
      <c r="P16" s="31">
        <v>15816.3</v>
      </c>
      <c r="Q16" s="12">
        <f t="shared" si="2"/>
        <v>0</v>
      </c>
    </row>
    <row r="17" spans="1:18" s="13" customFormat="1" ht="15.75" x14ac:dyDescent="0.25">
      <c r="A17" s="10"/>
      <c r="B17" s="30" t="s">
        <v>22</v>
      </c>
      <c r="C17" s="1" t="s">
        <v>17</v>
      </c>
      <c r="D17" s="165"/>
      <c r="E17" s="3" t="s">
        <v>23</v>
      </c>
      <c r="F17" s="73" t="s">
        <v>325</v>
      </c>
      <c r="G17" s="74" t="s">
        <v>112</v>
      </c>
      <c r="H17" s="75">
        <v>12</v>
      </c>
      <c r="I17" s="76">
        <v>3</v>
      </c>
      <c r="J17" s="96">
        <f>1+2</f>
        <v>3</v>
      </c>
      <c r="K17" s="77">
        <f>2698.64+1402.33</f>
        <v>4100.9699999999993</v>
      </c>
      <c r="L17" s="77">
        <f>2698.64</f>
        <v>2698.64</v>
      </c>
      <c r="M17" s="78">
        <f t="shared" si="1"/>
        <v>1402.3299999999995</v>
      </c>
      <c r="N17" s="100">
        <f>14+3+7</f>
        <v>24</v>
      </c>
      <c r="O17" s="81">
        <f>22716.4+4171.06+18768.39</f>
        <v>45655.850000000006</v>
      </c>
      <c r="P17" s="81">
        <f>22717.4+4171.06</f>
        <v>26888.460000000003</v>
      </c>
      <c r="Q17" s="79">
        <f t="shared" si="2"/>
        <v>18767.390000000003</v>
      </c>
      <c r="R17" s="141"/>
    </row>
    <row r="18" spans="1:18" s="13" customFormat="1" ht="15.75" x14ac:dyDescent="0.25">
      <c r="A18" s="10"/>
      <c r="B18" s="24" t="s">
        <v>154</v>
      </c>
      <c r="C18" s="1" t="s">
        <v>17</v>
      </c>
      <c r="D18" s="165"/>
      <c r="E18" s="3" t="s">
        <v>20</v>
      </c>
      <c r="F18" s="73" t="s">
        <v>453</v>
      </c>
      <c r="G18" s="11" t="s">
        <v>114</v>
      </c>
      <c r="H18" s="1">
        <v>13</v>
      </c>
      <c r="I18" s="47"/>
      <c r="J18" s="51"/>
      <c r="K18" s="37"/>
      <c r="L18" s="37"/>
      <c r="M18" s="38">
        <f t="shared" si="1"/>
        <v>0</v>
      </c>
      <c r="N18" s="39">
        <v>6</v>
      </c>
      <c r="O18" s="31">
        <v>8292.4</v>
      </c>
      <c r="P18" s="31">
        <v>8292.4</v>
      </c>
      <c r="Q18" s="12">
        <f t="shared" si="2"/>
        <v>0</v>
      </c>
    </row>
    <row r="19" spans="1:18" s="13" customFormat="1" ht="15.75" x14ac:dyDescent="0.25">
      <c r="A19" s="10"/>
      <c r="B19" s="30" t="s">
        <v>154</v>
      </c>
      <c r="C19" s="1" t="s">
        <v>17</v>
      </c>
      <c r="D19" s="165"/>
      <c r="E19" s="3" t="s">
        <v>20</v>
      </c>
      <c r="F19" s="73" t="s">
        <v>326</v>
      </c>
      <c r="G19" s="74" t="s">
        <v>112</v>
      </c>
      <c r="H19" s="75">
        <v>13</v>
      </c>
      <c r="I19" s="76">
        <v>5</v>
      </c>
      <c r="J19" s="96">
        <f>1+1+2+2</f>
        <v>6</v>
      </c>
      <c r="K19" s="77">
        <f>950.9+864.46+845.24</f>
        <v>2660.6000000000004</v>
      </c>
      <c r="L19" s="77">
        <f>950.9+272.68+1523.55-86.53</f>
        <v>2660.6</v>
      </c>
      <c r="M19" s="78">
        <f t="shared" si="1"/>
        <v>0</v>
      </c>
      <c r="N19" s="100">
        <f>6+3+1+1</f>
        <v>11</v>
      </c>
      <c r="O19" s="128">
        <f>6681.33+7017+1523.5</f>
        <v>15221.83</v>
      </c>
      <c r="P19" s="81">
        <f>8477.51+6744.32</f>
        <v>15221.83</v>
      </c>
      <c r="Q19" s="79">
        <f t="shared" si="2"/>
        <v>0</v>
      </c>
      <c r="R19" s="141"/>
    </row>
    <row r="20" spans="1:18" s="13" customFormat="1" ht="15.75" x14ac:dyDescent="0.25">
      <c r="A20" s="10"/>
      <c r="B20" s="62" t="s">
        <v>24</v>
      </c>
      <c r="C20" s="1" t="s">
        <v>17</v>
      </c>
      <c r="D20" s="165"/>
      <c r="E20" s="3" t="s">
        <v>20</v>
      </c>
      <c r="F20" s="73" t="s">
        <v>327</v>
      </c>
      <c r="G20" s="74" t="s">
        <v>112</v>
      </c>
      <c r="H20" s="75">
        <v>4</v>
      </c>
      <c r="I20" s="76"/>
      <c r="J20" s="96"/>
      <c r="K20" s="77"/>
      <c r="L20" s="77"/>
      <c r="M20" s="38">
        <f t="shared" si="1"/>
        <v>0</v>
      </c>
      <c r="N20" s="100">
        <f>1</f>
        <v>1</v>
      </c>
      <c r="O20" s="81">
        <f>576.3</f>
        <v>576.29999999999995</v>
      </c>
      <c r="P20" s="81">
        <f>576.3</f>
        <v>576.29999999999995</v>
      </c>
      <c r="Q20" s="12">
        <f t="shared" si="2"/>
        <v>0</v>
      </c>
      <c r="R20" s="141"/>
    </row>
    <row r="21" spans="1:18" s="13" customFormat="1" ht="15.75" x14ac:dyDescent="0.25">
      <c r="A21" s="10"/>
      <c r="B21" s="22" t="s">
        <v>24</v>
      </c>
      <c r="C21" s="1" t="s">
        <v>17</v>
      </c>
      <c r="D21" s="165"/>
      <c r="E21" s="3" t="s">
        <v>20</v>
      </c>
      <c r="F21" s="73" t="s">
        <v>454</v>
      </c>
      <c r="G21" s="11" t="s">
        <v>114</v>
      </c>
      <c r="H21" s="1">
        <v>8</v>
      </c>
      <c r="I21" s="49"/>
      <c r="J21" s="51"/>
      <c r="K21" s="40"/>
      <c r="L21" s="40"/>
      <c r="M21" s="78">
        <f t="shared" si="1"/>
        <v>0</v>
      </c>
      <c r="N21" s="41">
        <v>7</v>
      </c>
      <c r="O21" s="31">
        <v>14635.6</v>
      </c>
      <c r="P21" s="31">
        <v>14635.6</v>
      </c>
      <c r="Q21" s="79">
        <f t="shared" si="2"/>
        <v>0</v>
      </c>
    </row>
    <row r="22" spans="1:18" s="13" customFormat="1" ht="15.75" x14ac:dyDescent="0.25">
      <c r="A22" s="10"/>
      <c r="B22" s="62" t="s">
        <v>25</v>
      </c>
      <c r="C22" s="1" t="s">
        <v>17</v>
      </c>
      <c r="D22" s="165"/>
      <c r="E22" s="3" t="s">
        <v>20</v>
      </c>
      <c r="F22" s="73" t="s">
        <v>328</v>
      </c>
      <c r="G22" s="74" t="s">
        <v>112</v>
      </c>
      <c r="H22" s="75">
        <v>5</v>
      </c>
      <c r="I22" s="76">
        <v>1</v>
      </c>
      <c r="J22" s="96">
        <f>1+1</f>
        <v>2</v>
      </c>
      <c r="K22" s="77">
        <v>1743.31</v>
      </c>
      <c r="L22" s="77">
        <f>1743.31</f>
        <v>1743.31</v>
      </c>
      <c r="M22" s="38">
        <f t="shared" si="1"/>
        <v>0</v>
      </c>
      <c r="N22" s="100">
        <f>6+1</f>
        <v>7</v>
      </c>
      <c r="O22" s="81">
        <v>14526.7</v>
      </c>
      <c r="P22" s="81">
        <f>14526.7</f>
        <v>14526.7</v>
      </c>
      <c r="Q22" s="12">
        <f t="shared" si="2"/>
        <v>0</v>
      </c>
      <c r="R22" s="141"/>
    </row>
    <row r="23" spans="1:18" s="13" customFormat="1" ht="15.75" x14ac:dyDescent="0.25">
      <c r="A23" s="10"/>
      <c r="B23" s="22" t="s">
        <v>25</v>
      </c>
      <c r="C23" s="1" t="s">
        <v>17</v>
      </c>
      <c r="D23" s="165"/>
      <c r="E23" s="3" t="s">
        <v>20</v>
      </c>
      <c r="F23" s="73" t="s">
        <v>455</v>
      </c>
      <c r="G23" s="11" t="s">
        <v>114</v>
      </c>
      <c r="H23" s="1">
        <v>1</v>
      </c>
      <c r="I23" s="49"/>
      <c r="J23" s="51"/>
      <c r="K23" s="40"/>
      <c r="L23" s="40"/>
      <c r="M23" s="78">
        <f t="shared" si="1"/>
        <v>0</v>
      </c>
      <c r="N23" s="41">
        <v>2</v>
      </c>
      <c r="O23" s="31">
        <v>4146.2</v>
      </c>
      <c r="P23" s="31">
        <f>4146.2</f>
        <v>4146.2</v>
      </c>
      <c r="Q23" s="79">
        <f t="shared" si="2"/>
        <v>0</v>
      </c>
    </row>
    <row r="24" spans="1:18" s="13" customFormat="1" ht="15.75" x14ac:dyDescent="0.25">
      <c r="A24" s="10"/>
      <c r="B24" s="62" t="s">
        <v>26</v>
      </c>
      <c r="C24" s="1" t="s">
        <v>17</v>
      </c>
      <c r="D24" s="165"/>
      <c r="E24" s="3" t="s">
        <v>27</v>
      </c>
      <c r="F24" s="73" t="s">
        <v>329</v>
      </c>
      <c r="G24" s="74" t="s">
        <v>112</v>
      </c>
      <c r="H24" s="75">
        <v>12</v>
      </c>
      <c r="I24" s="76">
        <v>4</v>
      </c>
      <c r="J24" s="96">
        <f>2+2</f>
        <v>4</v>
      </c>
      <c r="K24" s="77">
        <f>845.24</f>
        <v>845.24</v>
      </c>
      <c r="L24" s="77">
        <f>845.24</f>
        <v>845.24</v>
      </c>
      <c r="M24" s="38">
        <f t="shared" si="1"/>
        <v>0</v>
      </c>
      <c r="N24" s="100">
        <f>6+1+1</f>
        <v>8</v>
      </c>
      <c r="O24" s="81">
        <f>17838.53+2535.75+7238.9</f>
        <v>27613.18</v>
      </c>
      <c r="P24" s="81">
        <f>14149.86+3380.96+3380.96</f>
        <v>20911.78</v>
      </c>
      <c r="Q24" s="12">
        <f t="shared" si="2"/>
        <v>6701.4000000000015</v>
      </c>
      <c r="R24" s="141"/>
    </row>
    <row r="25" spans="1:18" s="15" customFormat="1" ht="15.75" x14ac:dyDescent="0.25">
      <c r="A25" s="14"/>
      <c r="B25" s="80" t="s">
        <v>28</v>
      </c>
      <c r="C25" s="1" t="s">
        <v>17</v>
      </c>
      <c r="D25" s="165"/>
      <c r="E25" s="17" t="s">
        <v>29</v>
      </c>
      <c r="F25" s="73" t="s">
        <v>330</v>
      </c>
      <c r="G25" s="74" t="s">
        <v>112</v>
      </c>
      <c r="H25" s="75">
        <v>4</v>
      </c>
      <c r="I25" s="76">
        <v>3</v>
      </c>
      <c r="J25" s="96">
        <f>2+1</f>
        <v>3</v>
      </c>
      <c r="K25" s="77">
        <f>6135.14</f>
        <v>6135.14</v>
      </c>
      <c r="L25" s="77"/>
      <c r="M25" s="38">
        <f t="shared" si="1"/>
        <v>6135.14</v>
      </c>
      <c r="N25" s="100">
        <f>3+2+4+3</f>
        <v>12</v>
      </c>
      <c r="O25" s="81">
        <f>5310.83+4630.52+14679.01+36087.29</f>
        <v>60707.65</v>
      </c>
      <c r="P25" s="81">
        <f>5311.83+19308.53</f>
        <v>24620.36</v>
      </c>
      <c r="Q25" s="12">
        <f t="shared" si="2"/>
        <v>36087.29</v>
      </c>
      <c r="R25" s="141"/>
    </row>
    <row r="26" spans="1:18" s="15" customFormat="1" ht="15.75" x14ac:dyDescent="0.25">
      <c r="A26" s="14"/>
      <c r="B26" s="23" t="s">
        <v>28</v>
      </c>
      <c r="C26" s="1" t="s">
        <v>17</v>
      </c>
      <c r="D26" s="165"/>
      <c r="E26" s="17" t="s">
        <v>29</v>
      </c>
      <c r="F26" s="73" t="s">
        <v>420</v>
      </c>
      <c r="G26" s="8" t="s">
        <v>117</v>
      </c>
      <c r="H26" s="1">
        <v>1</v>
      </c>
      <c r="I26" s="48"/>
      <c r="J26" s="45"/>
      <c r="K26" s="40"/>
      <c r="L26" s="40"/>
      <c r="M26" s="78">
        <f t="shared" si="1"/>
        <v>0</v>
      </c>
      <c r="N26" s="42">
        <v>2</v>
      </c>
      <c r="O26" s="31"/>
      <c r="P26" s="31"/>
      <c r="Q26" s="79">
        <f t="shared" si="2"/>
        <v>0</v>
      </c>
    </row>
    <row r="27" spans="1:18" s="15" customFormat="1" ht="15.75" x14ac:dyDescent="0.25">
      <c r="A27" s="14"/>
      <c r="B27" s="50" t="s">
        <v>500</v>
      </c>
      <c r="C27" s="1"/>
      <c r="D27" s="165"/>
      <c r="E27" s="17"/>
      <c r="F27" s="73"/>
      <c r="G27" s="8" t="s">
        <v>112</v>
      </c>
      <c r="H27" s="1">
        <v>1</v>
      </c>
      <c r="I27" s="48"/>
      <c r="J27" s="45"/>
      <c r="K27" s="40"/>
      <c r="L27" s="40"/>
      <c r="M27" s="78"/>
      <c r="N27" s="42"/>
      <c r="O27" s="31"/>
      <c r="P27" s="31"/>
      <c r="Q27" s="79"/>
    </row>
    <row r="28" spans="1:18" s="13" customFormat="1" ht="15.75" x14ac:dyDescent="0.25">
      <c r="A28" s="10"/>
      <c r="B28" s="27" t="s">
        <v>30</v>
      </c>
      <c r="C28" s="1" t="s">
        <v>17</v>
      </c>
      <c r="D28" s="165"/>
      <c r="E28" s="17" t="s">
        <v>21</v>
      </c>
      <c r="F28" s="73" t="s">
        <v>333</v>
      </c>
      <c r="G28" s="74" t="s">
        <v>112</v>
      </c>
      <c r="H28" s="75">
        <v>12</v>
      </c>
      <c r="I28" s="76">
        <v>5</v>
      </c>
      <c r="J28" s="96">
        <f>3+1+3</f>
        <v>7</v>
      </c>
      <c r="K28" s="77">
        <f>2399.78+806.82+6240.86</f>
        <v>9447.4599999999991</v>
      </c>
      <c r="L28" s="77">
        <f>2399.78</f>
        <v>2399.7800000000002</v>
      </c>
      <c r="M28" s="38">
        <f t="shared" si="1"/>
        <v>7047.6799999999985</v>
      </c>
      <c r="N28" s="100">
        <f>9+1+3+1+1</f>
        <v>15</v>
      </c>
      <c r="O28" s="81">
        <f>39871.99+5530.04+5890.35+1728.9</f>
        <v>53021.279999999999</v>
      </c>
      <c r="P28" s="81">
        <f>24771.16+15100.83</f>
        <v>39871.99</v>
      </c>
      <c r="Q28" s="12">
        <f t="shared" si="2"/>
        <v>13149.29</v>
      </c>
      <c r="R28" s="141"/>
    </row>
    <row r="29" spans="1:18" s="13" customFormat="1" ht="15.75" x14ac:dyDescent="0.25">
      <c r="A29" s="10"/>
      <c r="B29" s="27" t="s">
        <v>491</v>
      </c>
      <c r="C29" s="1" t="s">
        <v>17</v>
      </c>
      <c r="D29" s="165"/>
      <c r="E29" s="3" t="s">
        <v>20</v>
      </c>
      <c r="F29" s="73" t="s">
        <v>495</v>
      </c>
      <c r="G29" s="74" t="s">
        <v>112</v>
      </c>
      <c r="H29" s="75">
        <v>7</v>
      </c>
      <c r="I29" s="76">
        <v>2</v>
      </c>
      <c r="J29" s="96">
        <f>2</f>
        <v>2</v>
      </c>
      <c r="K29" s="77"/>
      <c r="L29" s="77"/>
      <c r="M29" s="38"/>
      <c r="N29" s="100"/>
      <c r="O29" s="81"/>
      <c r="P29" s="81"/>
      <c r="Q29" s="12"/>
      <c r="R29" s="141"/>
    </row>
    <row r="30" spans="1:18" s="13" customFormat="1" ht="15.75" x14ac:dyDescent="0.25">
      <c r="A30" s="10"/>
      <c r="B30" s="27" t="s">
        <v>491</v>
      </c>
      <c r="C30" s="1"/>
      <c r="D30" s="165"/>
      <c r="E30" s="3"/>
      <c r="F30" s="73"/>
      <c r="G30" s="74" t="s">
        <v>114</v>
      </c>
      <c r="H30" s="75">
        <v>4</v>
      </c>
      <c r="I30" s="76"/>
      <c r="J30" s="96"/>
      <c r="K30" s="77"/>
      <c r="L30" s="77"/>
      <c r="M30" s="38"/>
      <c r="N30" s="100"/>
      <c r="O30" s="81"/>
      <c r="P30" s="81"/>
      <c r="Q30" s="12"/>
      <c r="R30" s="141"/>
    </row>
    <row r="31" spans="1:18" s="13" customFormat="1" ht="15.75" x14ac:dyDescent="0.25">
      <c r="A31" s="10"/>
      <c r="B31" s="30" t="s">
        <v>31</v>
      </c>
      <c r="C31" s="1" t="s">
        <v>17</v>
      </c>
      <c r="D31" s="165"/>
      <c r="E31" s="3" t="s">
        <v>32</v>
      </c>
      <c r="F31" s="73" t="s">
        <v>331</v>
      </c>
      <c r="G31" s="74" t="s">
        <v>112</v>
      </c>
      <c r="H31" s="75">
        <v>9</v>
      </c>
      <c r="I31" s="76">
        <v>5</v>
      </c>
      <c r="J31" s="96">
        <f>1+2+3+1</f>
        <v>7</v>
      </c>
      <c r="K31" s="77">
        <f>633.93+1045.98+5377.62</f>
        <v>7057.53</v>
      </c>
      <c r="L31" s="77"/>
      <c r="M31" s="78">
        <f t="shared" si="1"/>
        <v>7057.53</v>
      </c>
      <c r="N31" s="100">
        <f>1+3+3+1+1</f>
        <v>9</v>
      </c>
      <c r="O31" s="81">
        <f>2299.8+15239.58+6152.75+2720.49+1483.38</f>
        <v>27896.000000000004</v>
      </c>
      <c r="P31" s="81">
        <f>2299.8+15239.58</f>
        <v>17539.38</v>
      </c>
      <c r="Q31" s="79">
        <f t="shared" si="2"/>
        <v>10356.620000000003</v>
      </c>
      <c r="R31" s="141"/>
    </row>
    <row r="32" spans="1:18" s="13" customFormat="1" ht="15.75" x14ac:dyDescent="0.25">
      <c r="A32" s="10"/>
      <c r="B32" s="24" t="s">
        <v>31</v>
      </c>
      <c r="C32" s="1" t="s">
        <v>17</v>
      </c>
      <c r="D32" s="165"/>
      <c r="E32" s="3" t="s">
        <v>32</v>
      </c>
      <c r="F32" s="73" t="s">
        <v>422</v>
      </c>
      <c r="G32" s="8" t="s">
        <v>117</v>
      </c>
      <c r="H32" s="1">
        <v>9</v>
      </c>
      <c r="I32" s="49">
        <v>1</v>
      </c>
      <c r="J32" s="46">
        <v>1</v>
      </c>
      <c r="K32" s="40">
        <v>2344.3000000000002</v>
      </c>
      <c r="L32" s="40"/>
      <c r="M32" s="38">
        <f t="shared" si="1"/>
        <v>2344.3000000000002</v>
      </c>
      <c r="N32" s="41">
        <v>6</v>
      </c>
      <c r="O32" s="40">
        <v>12150.4</v>
      </c>
      <c r="P32" s="40">
        <v>10229.4</v>
      </c>
      <c r="Q32" s="12">
        <f t="shared" si="2"/>
        <v>1921</v>
      </c>
    </row>
    <row r="33" spans="1:18" s="15" customFormat="1" ht="15.75" x14ac:dyDescent="0.25">
      <c r="A33" s="14"/>
      <c r="B33" s="80" t="s">
        <v>33</v>
      </c>
      <c r="C33" s="1" t="s">
        <v>17</v>
      </c>
      <c r="D33" s="165"/>
      <c r="E33" s="145" t="s">
        <v>20</v>
      </c>
      <c r="F33" s="73" t="s">
        <v>332</v>
      </c>
      <c r="G33" s="74" t="s">
        <v>112</v>
      </c>
      <c r="H33" s="75">
        <v>6</v>
      </c>
      <c r="I33" s="76">
        <v>3</v>
      </c>
      <c r="J33" s="96">
        <f>1+1+1</f>
        <v>3</v>
      </c>
      <c r="K33" s="77">
        <f>845.245+5363.43</f>
        <v>6208.6750000000002</v>
      </c>
      <c r="L33" s="77"/>
      <c r="M33" s="78">
        <f t="shared" si="1"/>
        <v>6208.6750000000002</v>
      </c>
      <c r="N33" s="100">
        <f>2+1+1+1+1</f>
        <v>6</v>
      </c>
      <c r="O33" s="81">
        <f>845.24+1613.64+3380.96</f>
        <v>5839.84</v>
      </c>
      <c r="P33" s="81">
        <f>1613.64</f>
        <v>1613.64</v>
      </c>
      <c r="Q33" s="79">
        <f t="shared" si="2"/>
        <v>4226.2</v>
      </c>
      <c r="R33" s="141"/>
    </row>
    <row r="34" spans="1:18" s="15" customFormat="1" ht="15.75" x14ac:dyDescent="0.25">
      <c r="A34" s="14"/>
      <c r="B34" s="23" t="s">
        <v>33</v>
      </c>
      <c r="C34" s="1" t="s">
        <v>17</v>
      </c>
      <c r="D34" s="165"/>
      <c r="E34" s="3" t="s">
        <v>20</v>
      </c>
      <c r="F34" s="73" t="s">
        <v>481</v>
      </c>
      <c r="G34" s="11" t="s">
        <v>114</v>
      </c>
      <c r="H34" s="1">
        <v>3</v>
      </c>
      <c r="I34" s="49"/>
      <c r="J34" s="51"/>
      <c r="K34" s="40"/>
      <c r="L34" s="40"/>
      <c r="M34" s="38">
        <f t="shared" si="1"/>
        <v>0</v>
      </c>
      <c r="N34" s="42">
        <v>13</v>
      </c>
      <c r="O34" s="31">
        <v>13071.87</v>
      </c>
      <c r="P34" s="31">
        <v>13071.87</v>
      </c>
      <c r="Q34" s="12">
        <f t="shared" si="2"/>
        <v>0</v>
      </c>
    </row>
    <row r="35" spans="1:18" s="15" customFormat="1" ht="15.75" x14ac:dyDescent="0.25">
      <c r="A35" s="14"/>
      <c r="B35" s="62" t="s">
        <v>147</v>
      </c>
      <c r="C35" s="1" t="s">
        <v>17</v>
      </c>
      <c r="D35" s="165"/>
      <c r="E35" s="3" t="s">
        <v>29</v>
      </c>
      <c r="F35" s="73" t="s">
        <v>334</v>
      </c>
      <c r="G35" s="74" t="s">
        <v>112</v>
      </c>
      <c r="H35" s="75">
        <v>2</v>
      </c>
      <c r="I35" s="102">
        <v>1</v>
      </c>
      <c r="J35" s="97">
        <f>1+1</f>
        <v>2</v>
      </c>
      <c r="K35" s="77">
        <f>1854.88</f>
        <v>1854.88</v>
      </c>
      <c r="L35" s="77"/>
      <c r="M35" s="78">
        <f t="shared" si="1"/>
        <v>1854.88</v>
      </c>
      <c r="N35" s="114">
        <f>1+1+1</f>
        <v>3</v>
      </c>
      <c r="O35" s="81">
        <f>1394.65+2473.17</f>
        <v>3867.82</v>
      </c>
      <c r="P35" s="81">
        <f>1394.65</f>
        <v>1394.65</v>
      </c>
      <c r="Q35" s="79">
        <f t="shared" si="2"/>
        <v>2473.17</v>
      </c>
      <c r="R35" s="141"/>
    </row>
    <row r="36" spans="1:18" s="15" customFormat="1" ht="15.75" x14ac:dyDescent="0.25">
      <c r="A36" s="14"/>
      <c r="B36" s="50" t="s">
        <v>147</v>
      </c>
      <c r="C36" s="1" t="s">
        <v>17</v>
      </c>
      <c r="D36" s="165"/>
      <c r="E36" s="3" t="s">
        <v>29</v>
      </c>
      <c r="F36" s="73" t="s">
        <v>423</v>
      </c>
      <c r="G36" s="11" t="s">
        <v>117</v>
      </c>
      <c r="H36" s="1">
        <v>3</v>
      </c>
      <c r="I36" s="48">
        <v>3</v>
      </c>
      <c r="J36" s="45">
        <v>3</v>
      </c>
      <c r="K36" s="40">
        <v>1728.9</v>
      </c>
      <c r="L36" s="40"/>
      <c r="M36" s="38">
        <f t="shared" si="1"/>
        <v>1728.9</v>
      </c>
      <c r="N36" s="42">
        <v>3</v>
      </c>
      <c r="O36" s="31">
        <v>6874.35</v>
      </c>
      <c r="P36" s="31">
        <v>3361.75</v>
      </c>
      <c r="Q36" s="12">
        <f t="shared" si="2"/>
        <v>3512.6000000000004</v>
      </c>
    </row>
    <row r="37" spans="1:18" s="13" customFormat="1" ht="15.75" x14ac:dyDescent="0.25">
      <c r="A37" s="10"/>
      <c r="B37" s="62" t="s">
        <v>34</v>
      </c>
      <c r="C37" s="1" t="s">
        <v>17</v>
      </c>
      <c r="D37" s="165"/>
      <c r="E37" s="17" t="s">
        <v>35</v>
      </c>
      <c r="F37" s="73" t="s">
        <v>335</v>
      </c>
      <c r="G37" s="74" t="s">
        <v>112</v>
      </c>
      <c r="H37" s="75">
        <v>16</v>
      </c>
      <c r="I37" s="76">
        <v>7</v>
      </c>
      <c r="J37" s="96">
        <f>4+2+2</f>
        <v>8</v>
      </c>
      <c r="K37" s="77">
        <f>8288.4+1267.86+845.24+13964.6</f>
        <v>24366.1</v>
      </c>
      <c r="L37" s="77"/>
      <c r="M37" s="78">
        <f t="shared" si="1"/>
        <v>24366.1</v>
      </c>
      <c r="N37" s="100">
        <f>4+4+6+1+3+1+3</f>
        <v>22</v>
      </c>
      <c r="O37" s="81">
        <f>23915.04+21171.88+6399.1+11460.81</f>
        <v>62946.829999999994</v>
      </c>
      <c r="P37" s="81">
        <f>28915.04+21171.88</f>
        <v>50086.92</v>
      </c>
      <c r="Q37" s="79">
        <f t="shared" si="2"/>
        <v>12859.909999999996</v>
      </c>
      <c r="R37" s="141"/>
    </row>
    <row r="38" spans="1:18" s="13" customFormat="1" ht="15.75" x14ac:dyDescent="0.25">
      <c r="A38" s="10"/>
      <c r="B38" s="22" t="s">
        <v>34</v>
      </c>
      <c r="C38" s="1" t="s">
        <v>17</v>
      </c>
      <c r="D38" s="165"/>
      <c r="E38" s="17" t="s">
        <v>35</v>
      </c>
      <c r="F38" s="73" t="s">
        <v>424</v>
      </c>
      <c r="G38" s="8" t="s">
        <v>117</v>
      </c>
      <c r="H38" s="1">
        <v>2</v>
      </c>
      <c r="I38" s="49">
        <v>1</v>
      </c>
      <c r="J38" s="46">
        <v>1</v>
      </c>
      <c r="K38" s="40"/>
      <c r="L38" s="40"/>
      <c r="M38" s="38">
        <f t="shared" si="1"/>
        <v>0</v>
      </c>
      <c r="N38" s="41">
        <v>3</v>
      </c>
      <c r="O38" s="31">
        <v>5570.9</v>
      </c>
      <c r="P38" s="31">
        <v>5570.9</v>
      </c>
      <c r="Q38" s="12">
        <f t="shared" si="2"/>
        <v>0</v>
      </c>
    </row>
    <row r="39" spans="1:18" s="13" customFormat="1" ht="15.75" x14ac:dyDescent="0.25">
      <c r="A39" s="10"/>
      <c r="B39" s="27" t="s">
        <v>36</v>
      </c>
      <c r="C39" s="1" t="s">
        <v>17</v>
      </c>
      <c r="D39" s="165"/>
      <c r="E39" s="17" t="s">
        <v>32</v>
      </c>
      <c r="F39" s="73" t="s">
        <v>336</v>
      </c>
      <c r="G39" s="74" t="s">
        <v>112</v>
      </c>
      <c r="H39" s="75">
        <v>13</v>
      </c>
      <c r="I39" s="76">
        <v>7</v>
      </c>
      <c r="J39" s="96">
        <f>1+3+4</f>
        <v>8</v>
      </c>
      <c r="K39" s="77">
        <f>2091.97+4201.22</f>
        <v>6293.1900000000005</v>
      </c>
      <c r="L39" s="77"/>
      <c r="M39" s="78">
        <f t="shared" si="1"/>
        <v>6293.1900000000005</v>
      </c>
      <c r="N39" s="100">
        <f>4+2+5+1+1</f>
        <v>13</v>
      </c>
      <c r="O39" s="81">
        <f>26828.22+3116.2+14162+4691</f>
        <v>48797.42</v>
      </c>
      <c r="P39" s="81">
        <f>8144.95+6017.05</f>
        <v>14162</v>
      </c>
      <c r="Q39" s="79">
        <f t="shared" si="2"/>
        <v>34635.42</v>
      </c>
      <c r="R39" s="141"/>
    </row>
    <row r="40" spans="1:18" s="13" customFormat="1" ht="15.75" x14ac:dyDescent="0.25">
      <c r="A40" s="10"/>
      <c r="B40" s="27" t="s">
        <v>38</v>
      </c>
      <c r="C40" s="1" t="s">
        <v>17</v>
      </c>
      <c r="D40" s="165"/>
      <c r="E40" s="3" t="s">
        <v>20</v>
      </c>
      <c r="F40" s="73" t="s">
        <v>338</v>
      </c>
      <c r="G40" s="74" t="s">
        <v>112</v>
      </c>
      <c r="H40" s="75">
        <v>25</v>
      </c>
      <c r="I40" s="76">
        <v>15</v>
      </c>
      <c r="J40" s="96">
        <f>5+9+3+4</f>
        <v>21</v>
      </c>
      <c r="K40" s="77">
        <f>4427.07+14262.52+23391.74</f>
        <v>42081.33</v>
      </c>
      <c r="L40" s="77">
        <f>4427.07</f>
        <v>4427.07</v>
      </c>
      <c r="M40" s="78">
        <f t="shared" si="1"/>
        <v>37654.26</v>
      </c>
      <c r="N40" s="100">
        <f>1+14+2+2</f>
        <v>19</v>
      </c>
      <c r="O40" s="81">
        <f>34449.99+27363.78+23604.86+16739.26</f>
        <v>102157.89</v>
      </c>
      <c r="P40" s="81">
        <f>34449.99+27363.78</f>
        <v>61813.77</v>
      </c>
      <c r="Q40" s="79">
        <f t="shared" si="2"/>
        <v>40344.120000000003</v>
      </c>
      <c r="R40" s="141"/>
    </row>
    <row r="41" spans="1:18" s="13" customFormat="1" ht="15.75" x14ac:dyDescent="0.25">
      <c r="A41" s="10"/>
      <c r="B41" s="25" t="s">
        <v>38</v>
      </c>
      <c r="C41" s="1" t="s">
        <v>17</v>
      </c>
      <c r="D41" s="165"/>
      <c r="E41" s="3" t="s">
        <v>20</v>
      </c>
      <c r="F41" s="73" t="s">
        <v>268</v>
      </c>
      <c r="G41" s="11" t="s">
        <v>114</v>
      </c>
      <c r="H41" s="1"/>
      <c r="I41" s="49"/>
      <c r="J41" s="51"/>
      <c r="K41" s="40"/>
      <c r="L41" s="40"/>
      <c r="M41" s="38">
        <f t="shared" si="1"/>
        <v>0</v>
      </c>
      <c r="N41" s="41"/>
      <c r="O41" s="31"/>
      <c r="P41" s="31"/>
      <c r="Q41" s="12">
        <f t="shared" si="2"/>
        <v>0</v>
      </c>
    </row>
    <row r="42" spans="1:18" s="13" customFormat="1" ht="15.75" x14ac:dyDescent="0.25">
      <c r="A42" s="10"/>
      <c r="B42" s="25" t="s">
        <v>38</v>
      </c>
      <c r="C42" s="1" t="s">
        <v>17</v>
      </c>
      <c r="D42" s="165"/>
      <c r="E42" s="3" t="s">
        <v>18</v>
      </c>
      <c r="F42" s="73" t="s">
        <v>324</v>
      </c>
      <c r="G42" s="11" t="s">
        <v>116</v>
      </c>
      <c r="H42" s="1">
        <v>3</v>
      </c>
      <c r="I42" s="49"/>
      <c r="J42" s="51"/>
      <c r="K42" s="40"/>
      <c r="L42" s="40"/>
      <c r="M42" s="38">
        <f t="shared" si="1"/>
        <v>0</v>
      </c>
      <c r="N42" s="41"/>
      <c r="O42" s="31"/>
      <c r="P42" s="31"/>
      <c r="Q42" s="12">
        <f t="shared" si="2"/>
        <v>0</v>
      </c>
    </row>
    <row r="43" spans="1:18" s="13" customFormat="1" ht="15.75" x14ac:dyDescent="0.25">
      <c r="A43" s="10"/>
      <c r="B43" s="22" t="s">
        <v>39</v>
      </c>
      <c r="C43" s="1" t="s">
        <v>17</v>
      </c>
      <c r="D43" s="165"/>
      <c r="E43" s="3" t="s">
        <v>20</v>
      </c>
      <c r="F43" s="73" t="s">
        <v>269</v>
      </c>
      <c r="G43" s="11" t="s">
        <v>114</v>
      </c>
      <c r="H43" s="1"/>
      <c r="I43" s="49"/>
      <c r="J43" s="51"/>
      <c r="K43" s="40"/>
      <c r="L43" s="40"/>
      <c r="M43" s="38">
        <f t="shared" si="1"/>
        <v>0</v>
      </c>
      <c r="N43" s="41"/>
      <c r="O43" s="31"/>
      <c r="P43" s="31"/>
      <c r="Q43" s="12">
        <f t="shared" si="2"/>
        <v>0</v>
      </c>
    </row>
    <row r="44" spans="1:18" s="13" customFormat="1" ht="15.75" x14ac:dyDescent="0.25">
      <c r="A44" s="10"/>
      <c r="B44" s="27" t="s">
        <v>40</v>
      </c>
      <c r="C44" s="1" t="s">
        <v>17</v>
      </c>
      <c r="D44" s="165"/>
      <c r="E44" s="17" t="s">
        <v>41</v>
      </c>
      <c r="F44" s="73" t="s">
        <v>339</v>
      </c>
      <c r="G44" s="74" t="s">
        <v>112</v>
      </c>
      <c r="H44" s="75">
        <v>15</v>
      </c>
      <c r="I44" s="76">
        <v>10</v>
      </c>
      <c r="J44" s="96">
        <f>1+1+3+9</f>
        <v>14</v>
      </c>
      <c r="K44" s="77">
        <f>1045.98+3271.86+15658.52</f>
        <v>19976.36</v>
      </c>
      <c r="L44" s="77">
        <f>1764.25</f>
        <v>1764.25</v>
      </c>
      <c r="M44" s="78">
        <f t="shared" si="1"/>
        <v>18212.11</v>
      </c>
      <c r="N44" s="100">
        <f>3+13+6+5</f>
        <v>27</v>
      </c>
      <c r="O44" s="81">
        <f>17269.31+39990.78+16582.12+23492.44</f>
        <v>97334.65</v>
      </c>
      <c r="P44" s="81">
        <f>17269.31+38226.53</f>
        <v>55495.839999999997</v>
      </c>
      <c r="Q44" s="79">
        <f t="shared" si="2"/>
        <v>41838.81</v>
      </c>
      <c r="R44" s="141"/>
    </row>
    <row r="45" spans="1:18" s="13" customFormat="1" ht="15.75" x14ac:dyDescent="0.25">
      <c r="A45" s="10"/>
      <c r="B45" s="25" t="s">
        <v>40</v>
      </c>
      <c r="C45" s="1" t="s">
        <v>17</v>
      </c>
      <c r="D45" s="165"/>
      <c r="E45" s="17" t="s">
        <v>41</v>
      </c>
      <c r="F45" s="73" t="s">
        <v>482</v>
      </c>
      <c r="G45" s="11" t="s">
        <v>114</v>
      </c>
      <c r="H45" s="1"/>
      <c r="I45" s="49"/>
      <c r="J45" s="51"/>
      <c r="K45" s="40"/>
      <c r="L45" s="40"/>
      <c r="M45" s="38">
        <f t="shared" si="1"/>
        <v>0</v>
      </c>
      <c r="N45" s="41">
        <v>1</v>
      </c>
      <c r="O45" s="31">
        <v>3073.6</v>
      </c>
      <c r="P45" s="31">
        <f>3073.6</f>
        <v>3073.6</v>
      </c>
      <c r="Q45" s="12">
        <f t="shared" si="2"/>
        <v>0</v>
      </c>
    </row>
    <row r="46" spans="1:18" s="13" customFormat="1" ht="15.75" x14ac:dyDescent="0.25">
      <c r="A46" s="10"/>
      <c r="B46" s="27" t="s">
        <v>148</v>
      </c>
      <c r="C46" s="1" t="s">
        <v>17</v>
      </c>
      <c r="D46" s="165"/>
      <c r="E46" s="3" t="s">
        <v>20</v>
      </c>
      <c r="F46" s="73" t="s">
        <v>340</v>
      </c>
      <c r="G46" s="74" t="s">
        <v>112</v>
      </c>
      <c r="H46" s="75">
        <v>12</v>
      </c>
      <c r="I46" s="82">
        <v>4</v>
      </c>
      <c r="J46" s="96">
        <f>1+2+1</f>
        <v>4</v>
      </c>
      <c r="K46" s="77">
        <f>537.88+2110.03</f>
        <v>2647.9100000000003</v>
      </c>
      <c r="L46" s="77">
        <f>537.88+537.88</f>
        <v>1075.76</v>
      </c>
      <c r="M46" s="78">
        <f t="shared" si="1"/>
        <v>1572.1500000000003</v>
      </c>
      <c r="N46" s="100">
        <f>6+5+3+1+1</f>
        <v>16</v>
      </c>
      <c r="O46" s="81">
        <f>9370.6+9456.38+8868.69+5367.27+11572.62</f>
        <v>44635.560000000005</v>
      </c>
      <c r="P46" s="81">
        <f>9370.6+9456.38</f>
        <v>18826.98</v>
      </c>
      <c r="Q46" s="79">
        <f t="shared" si="2"/>
        <v>25808.580000000005</v>
      </c>
      <c r="R46" s="141"/>
    </row>
    <row r="47" spans="1:18" s="13" customFormat="1" ht="15.75" x14ac:dyDescent="0.25">
      <c r="A47" s="10"/>
      <c r="B47" s="25" t="s">
        <v>148</v>
      </c>
      <c r="C47" s="1" t="s">
        <v>17</v>
      </c>
      <c r="D47" s="165"/>
      <c r="E47" s="17" t="s">
        <v>32</v>
      </c>
      <c r="F47" s="73" t="s">
        <v>425</v>
      </c>
      <c r="G47" s="11" t="s">
        <v>117</v>
      </c>
      <c r="H47" s="1">
        <v>5</v>
      </c>
      <c r="I47" s="49">
        <v>1</v>
      </c>
      <c r="J47" s="46">
        <v>1</v>
      </c>
      <c r="K47" s="40">
        <v>3649.9</v>
      </c>
      <c r="L47" s="40"/>
      <c r="M47" s="38">
        <f t="shared" si="1"/>
        <v>3649.9</v>
      </c>
      <c r="N47" s="41">
        <v>4</v>
      </c>
      <c r="O47" s="31">
        <v>7472.69</v>
      </c>
      <c r="P47" s="31">
        <v>6576.94</v>
      </c>
      <c r="Q47" s="12">
        <f t="shared" si="2"/>
        <v>895.75</v>
      </c>
    </row>
    <row r="48" spans="1:18" s="13" customFormat="1" ht="15.75" x14ac:dyDescent="0.25">
      <c r="A48" s="10"/>
      <c r="B48" s="30" t="s">
        <v>42</v>
      </c>
      <c r="C48" s="1" t="s">
        <v>17</v>
      </c>
      <c r="D48" s="165"/>
      <c r="E48" s="3" t="s">
        <v>23</v>
      </c>
      <c r="F48" s="73" t="s">
        <v>341</v>
      </c>
      <c r="G48" s="74" t="s">
        <v>112</v>
      </c>
      <c r="H48" s="75">
        <v>24</v>
      </c>
      <c r="I48" s="76">
        <v>11</v>
      </c>
      <c r="J48" s="96">
        <f>5+3+5</f>
        <v>13</v>
      </c>
      <c r="K48" s="77">
        <f>7156.22+3849.11+8154.25</f>
        <v>19159.580000000002</v>
      </c>
      <c r="L48" s="77"/>
      <c r="M48" s="78">
        <f t="shared" si="1"/>
        <v>19159.580000000002</v>
      </c>
      <c r="N48" s="100">
        <f>4+6+9+2+4+2+2</f>
        <v>29</v>
      </c>
      <c r="O48" s="81">
        <f>5364.2+26170.88+2849.25+18965.6+9565.56</f>
        <v>62915.49</v>
      </c>
      <c r="P48" s="81">
        <f>5364.2+20436.7+5734.18</f>
        <v>31535.08</v>
      </c>
      <c r="Q48" s="79">
        <f t="shared" si="2"/>
        <v>31380.409999999996</v>
      </c>
      <c r="R48" s="141"/>
    </row>
    <row r="49" spans="1:18" s="13" customFormat="1" ht="15.75" x14ac:dyDescent="0.25">
      <c r="A49" s="10"/>
      <c r="B49" s="24" t="s">
        <v>42</v>
      </c>
      <c r="C49" s="1" t="s">
        <v>17</v>
      </c>
      <c r="D49" s="165"/>
      <c r="E49" s="3" t="s">
        <v>23</v>
      </c>
      <c r="F49" s="73" t="s">
        <v>437</v>
      </c>
      <c r="G49" s="11" t="s">
        <v>118</v>
      </c>
      <c r="H49" s="1">
        <v>2</v>
      </c>
      <c r="I49" s="49"/>
      <c r="J49" s="46"/>
      <c r="K49" s="40"/>
      <c r="L49" s="40"/>
      <c r="M49" s="38">
        <f t="shared" si="1"/>
        <v>0</v>
      </c>
      <c r="N49" s="41">
        <v>1</v>
      </c>
      <c r="O49" s="31">
        <v>7766.4</v>
      </c>
      <c r="P49" s="31">
        <v>4226.2</v>
      </c>
      <c r="Q49" s="12">
        <f t="shared" si="2"/>
        <v>3540.2</v>
      </c>
    </row>
    <row r="50" spans="1:18" s="13" customFormat="1" ht="15.75" x14ac:dyDescent="0.25">
      <c r="A50" s="10"/>
      <c r="B50" s="30" t="s">
        <v>173</v>
      </c>
      <c r="C50" s="1" t="s">
        <v>17</v>
      </c>
      <c r="D50" s="165"/>
      <c r="E50" s="11" t="s">
        <v>118</v>
      </c>
      <c r="F50" s="73" t="s">
        <v>342</v>
      </c>
      <c r="G50" s="74" t="s">
        <v>112</v>
      </c>
      <c r="H50" s="75">
        <v>4</v>
      </c>
      <c r="I50" s="76">
        <v>4</v>
      </c>
      <c r="J50" s="96">
        <f>1+2+1</f>
        <v>4</v>
      </c>
      <c r="K50" s="77">
        <f>6833.76+696.36</f>
        <v>7530.12</v>
      </c>
      <c r="L50" s="77">
        <f>6833.76</f>
        <v>6833.76</v>
      </c>
      <c r="M50" s="78">
        <f t="shared" si="1"/>
        <v>696.35999999999967</v>
      </c>
      <c r="N50" s="100">
        <f>4+2</f>
        <v>6</v>
      </c>
      <c r="O50" s="81">
        <f>5931.9+4183.92+3158.95</f>
        <v>13274.77</v>
      </c>
      <c r="P50" s="81">
        <f>5931.9+4183.92+3158.95</f>
        <v>13274.77</v>
      </c>
      <c r="Q50" s="79">
        <f t="shared" si="2"/>
        <v>0</v>
      </c>
      <c r="R50" s="141"/>
    </row>
    <row r="51" spans="1:18" s="13" customFormat="1" ht="15.75" x14ac:dyDescent="0.25">
      <c r="A51" s="10"/>
      <c r="B51" s="22" t="s">
        <v>143</v>
      </c>
      <c r="C51" s="1" t="s">
        <v>64</v>
      </c>
      <c r="D51" s="165" t="s">
        <v>444</v>
      </c>
      <c r="E51" s="3" t="s">
        <v>20</v>
      </c>
      <c r="F51" s="73" t="s">
        <v>445</v>
      </c>
      <c r="G51" s="11" t="s">
        <v>114</v>
      </c>
      <c r="H51" s="1">
        <v>10</v>
      </c>
      <c r="I51" s="47"/>
      <c r="J51" s="51"/>
      <c r="K51" s="37"/>
      <c r="L51" s="37"/>
      <c r="M51" s="78">
        <f t="shared" si="1"/>
        <v>0</v>
      </c>
      <c r="N51" s="39">
        <v>15</v>
      </c>
      <c r="O51" s="31">
        <v>13367.1</v>
      </c>
      <c r="P51" s="31">
        <v>13367.1</v>
      </c>
      <c r="Q51" s="79">
        <f t="shared" si="2"/>
        <v>0</v>
      </c>
    </row>
    <row r="52" spans="1:18" s="13" customFormat="1" ht="15.75" x14ac:dyDescent="0.25">
      <c r="A52" s="10"/>
      <c r="B52" s="24" t="s">
        <v>158</v>
      </c>
      <c r="C52" s="1" t="s">
        <v>17</v>
      </c>
      <c r="D52" s="165"/>
      <c r="E52" s="17" t="s">
        <v>32</v>
      </c>
      <c r="F52" s="73" t="s">
        <v>426</v>
      </c>
      <c r="G52" s="11" t="s">
        <v>117</v>
      </c>
      <c r="H52" s="1">
        <v>6</v>
      </c>
      <c r="I52" s="47">
        <v>2</v>
      </c>
      <c r="J52" s="51">
        <v>2</v>
      </c>
      <c r="K52" s="37"/>
      <c r="L52" s="37"/>
      <c r="M52" s="38">
        <f t="shared" si="1"/>
        <v>0</v>
      </c>
      <c r="N52" s="39">
        <v>4</v>
      </c>
      <c r="O52" s="31">
        <v>9789.2000000000007</v>
      </c>
      <c r="P52" s="31">
        <v>6907.7</v>
      </c>
      <c r="Q52" s="12">
        <f t="shared" si="2"/>
        <v>2881.5000000000009</v>
      </c>
    </row>
    <row r="53" spans="1:18" s="15" customFormat="1" ht="15.75" x14ac:dyDescent="0.25">
      <c r="A53" s="14"/>
      <c r="B53" s="80" t="s">
        <v>43</v>
      </c>
      <c r="C53" s="1" t="s">
        <v>17</v>
      </c>
      <c r="D53" s="165"/>
      <c r="E53" s="3" t="s">
        <v>18</v>
      </c>
      <c r="F53" s="73" t="s">
        <v>344</v>
      </c>
      <c r="G53" s="74" t="s">
        <v>112</v>
      </c>
      <c r="H53" s="75">
        <v>16</v>
      </c>
      <c r="I53" s="76">
        <v>12</v>
      </c>
      <c r="J53" s="96">
        <f>1+2+2+5+2</f>
        <v>12</v>
      </c>
      <c r="K53" s="77">
        <f>1776.93+926.88</f>
        <v>2703.81</v>
      </c>
      <c r="L53" s="77">
        <f>403.41</f>
        <v>403.41</v>
      </c>
      <c r="M53" s="78">
        <f t="shared" si="1"/>
        <v>2300.4</v>
      </c>
      <c r="N53" s="100">
        <f>1+5+4+1+1</f>
        <v>12</v>
      </c>
      <c r="O53" s="81">
        <f>1223.8+3810.29+4959.02+10043.87+2769.48</f>
        <v>22806.460000000003</v>
      </c>
      <c r="P53" s="81">
        <f>1223.8+3810.29+4555.61</f>
        <v>9589.7000000000007</v>
      </c>
      <c r="Q53" s="79">
        <f t="shared" si="2"/>
        <v>13216.760000000002</v>
      </c>
      <c r="R53" s="141"/>
    </row>
    <row r="54" spans="1:18" s="15" customFormat="1" ht="31.5" x14ac:dyDescent="0.25">
      <c r="A54" s="14"/>
      <c r="B54" s="22" t="s">
        <v>43</v>
      </c>
      <c r="C54" s="1" t="s">
        <v>304</v>
      </c>
      <c r="D54" s="165" t="s">
        <v>473</v>
      </c>
      <c r="E54" s="3" t="s">
        <v>18</v>
      </c>
      <c r="F54" s="73" t="s">
        <v>323</v>
      </c>
      <c r="G54" s="11" t="s">
        <v>113</v>
      </c>
      <c r="H54" s="1">
        <v>11</v>
      </c>
      <c r="I54" s="126">
        <v>5</v>
      </c>
      <c r="J54" s="125">
        <v>5</v>
      </c>
      <c r="K54" s="40">
        <v>6339</v>
      </c>
      <c r="L54" s="40">
        <v>3804</v>
      </c>
      <c r="M54" s="38">
        <f t="shared" si="1"/>
        <v>2535</v>
      </c>
      <c r="N54" s="39">
        <v>11</v>
      </c>
      <c r="O54" s="31">
        <v>25343</v>
      </c>
      <c r="P54" s="31">
        <v>8360</v>
      </c>
      <c r="Q54" s="12">
        <f t="shared" si="2"/>
        <v>16983</v>
      </c>
    </row>
    <row r="55" spans="1:18" s="13" customFormat="1" ht="15.75" x14ac:dyDescent="0.25">
      <c r="A55" s="10"/>
      <c r="B55" s="30" t="s">
        <v>44</v>
      </c>
      <c r="C55" s="1" t="s">
        <v>17</v>
      </c>
      <c r="D55" s="165"/>
      <c r="E55" s="3" t="s">
        <v>20</v>
      </c>
      <c r="F55" s="73" t="s">
        <v>345</v>
      </c>
      <c r="G55" s="74" t="s">
        <v>112</v>
      </c>
      <c r="H55" s="75">
        <v>6</v>
      </c>
      <c r="I55" s="76">
        <v>6</v>
      </c>
      <c r="J55" s="96">
        <f>1+1+1+4</f>
        <v>7</v>
      </c>
      <c r="K55" s="77">
        <f>2422.38+1267.86+15410.58</f>
        <v>19100.82</v>
      </c>
      <c r="L55" s="77">
        <f>422.62+3690.24+845.24</f>
        <v>4958.0999999999995</v>
      </c>
      <c r="M55" s="78">
        <f t="shared" si="1"/>
        <v>14142.720000000001</v>
      </c>
      <c r="N55" s="100">
        <f>1+11</f>
        <v>12</v>
      </c>
      <c r="O55" s="81">
        <f>421.62+4603.39+10559.77+72902.04</f>
        <v>88486.819999999992</v>
      </c>
      <c r="P55" s="81">
        <f>10559.77+4603.39</f>
        <v>15163.16</v>
      </c>
      <c r="Q55" s="79">
        <f t="shared" si="2"/>
        <v>73323.659999999989</v>
      </c>
      <c r="R55" s="141"/>
    </row>
    <row r="56" spans="1:18" s="13" customFormat="1" ht="15.75" x14ac:dyDescent="0.25">
      <c r="A56" s="10"/>
      <c r="B56" s="24" t="s">
        <v>44</v>
      </c>
      <c r="C56" s="1" t="s">
        <v>17</v>
      </c>
      <c r="D56" s="165"/>
      <c r="E56" s="3" t="s">
        <v>20</v>
      </c>
      <c r="F56" s="73" t="s">
        <v>483</v>
      </c>
      <c r="G56" s="11" t="s">
        <v>114</v>
      </c>
      <c r="H56" s="1"/>
      <c r="I56" s="49"/>
      <c r="J56" s="51"/>
      <c r="K56" s="40"/>
      <c r="L56" s="40"/>
      <c r="M56" s="78">
        <f t="shared" si="1"/>
        <v>0</v>
      </c>
      <c r="N56" s="41">
        <v>2</v>
      </c>
      <c r="O56" s="31"/>
      <c r="P56" s="31"/>
      <c r="Q56" s="12">
        <f t="shared" si="2"/>
        <v>0</v>
      </c>
    </row>
    <row r="57" spans="1:18" s="13" customFormat="1" ht="15.75" x14ac:dyDescent="0.25">
      <c r="A57" s="10"/>
      <c r="B57" s="24" t="s">
        <v>492</v>
      </c>
      <c r="C57" s="1" t="s">
        <v>17</v>
      </c>
      <c r="D57" s="165"/>
      <c r="E57" s="3" t="s">
        <v>20</v>
      </c>
      <c r="F57" s="73" t="s">
        <v>499</v>
      </c>
      <c r="G57" s="11" t="s">
        <v>112</v>
      </c>
      <c r="H57" s="1">
        <v>6</v>
      </c>
      <c r="I57" s="49"/>
      <c r="J57" s="51"/>
      <c r="K57" s="40"/>
      <c r="L57" s="40"/>
      <c r="M57" s="78"/>
      <c r="N57" s="41"/>
      <c r="O57" s="31"/>
      <c r="P57" s="31"/>
      <c r="Q57" s="12"/>
    </row>
    <row r="58" spans="1:18" s="13" customFormat="1" ht="15.75" x14ac:dyDescent="0.25">
      <c r="A58" s="10"/>
      <c r="B58" s="27" t="s">
        <v>45</v>
      </c>
      <c r="C58" s="1" t="s">
        <v>17</v>
      </c>
      <c r="D58" s="165"/>
      <c r="E58" s="3" t="s">
        <v>20</v>
      </c>
      <c r="F58" s="73" t="s">
        <v>346</v>
      </c>
      <c r="G58" s="74" t="s">
        <v>112</v>
      </c>
      <c r="H58" s="75"/>
      <c r="I58" s="76"/>
      <c r="J58" s="96"/>
      <c r="K58" s="77"/>
      <c r="L58" s="77"/>
      <c r="M58" s="38">
        <f t="shared" si="1"/>
        <v>0</v>
      </c>
      <c r="N58" s="100">
        <f>1</f>
        <v>1</v>
      </c>
      <c r="O58" s="81">
        <f>17995.91+2729.8</f>
        <v>20725.71</v>
      </c>
      <c r="P58" s="81"/>
      <c r="Q58" s="79">
        <f t="shared" si="2"/>
        <v>20725.71</v>
      </c>
      <c r="R58" s="141"/>
    </row>
    <row r="59" spans="1:18" s="13" customFormat="1" ht="15.75" x14ac:dyDescent="0.25">
      <c r="A59" s="10"/>
      <c r="B59" s="25" t="s">
        <v>45</v>
      </c>
      <c r="C59" s="1" t="s">
        <v>17</v>
      </c>
      <c r="D59" s="165"/>
      <c r="E59" s="3" t="s">
        <v>20</v>
      </c>
      <c r="F59" s="73" t="s">
        <v>484</v>
      </c>
      <c r="G59" s="11" t="s">
        <v>114</v>
      </c>
      <c r="H59" s="1"/>
      <c r="I59" s="49"/>
      <c r="J59" s="51"/>
      <c r="K59" s="40"/>
      <c r="L59" s="40"/>
      <c r="M59" s="78">
        <f t="shared" si="1"/>
        <v>0</v>
      </c>
      <c r="N59" s="41"/>
      <c r="O59" s="31"/>
      <c r="P59" s="31"/>
      <c r="Q59" s="12">
        <f t="shared" si="2"/>
        <v>0</v>
      </c>
    </row>
    <row r="60" spans="1:18" s="15" customFormat="1" ht="15.75" x14ac:dyDescent="0.25">
      <c r="A60" s="14"/>
      <c r="B60" s="28" t="s">
        <v>46</v>
      </c>
      <c r="C60" s="1" t="s">
        <v>17</v>
      </c>
      <c r="D60" s="165"/>
      <c r="E60" s="3" t="s">
        <v>20</v>
      </c>
      <c r="F60" s="73" t="s">
        <v>347</v>
      </c>
      <c r="G60" s="74" t="s">
        <v>112</v>
      </c>
      <c r="H60" s="75">
        <v>8</v>
      </c>
      <c r="I60" s="76">
        <v>5</v>
      </c>
      <c r="J60" s="96">
        <f>1+2+3+2</f>
        <v>8</v>
      </c>
      <c r="K60" s="77">
        <f>1045.98+1068.08+8157.32</f>
        <v>10271.379999999999</v>
      </c>
      <c r="L60" s="77">
        <v>1045.98</v>
      </c>
      <c r="M60" s="38">
        <f t="shared" si="1"/>
        <v>9225.4</v>
      </c>
      <c r="N60" s="100">
        <f>4+4+1</f>
        <v>9</v>
      </c>
      <c r="O60" s="81">
        <f>10759.2+10685.34</f>
        <v>21444.54</v>
      </c>
      <c r="P60" s="81">
        <v>10759.2</v>
      </c>
      <c r="Q60" s="79">
        <f t="shared" si="2"/>
        <v>10685.34</v>
      </c>
      <c r="R60" s="141"/>
    </row>
    <row r="61" spans="1:18" s="15" customFormat="1" ht="15.75" x14ac:dyDescent="0.25">
      <c r="A61" s="14"/>
      <c r="B61" s="26" t="s">
        <v>46</v>
      </c>
      <c r="C61" s="1" t="s">
        <v>17</v>
      </c>
      <c r="D61" s="165"/>
      <c r="E61" s="3" t="s">
        <v>20</v>
      </c>
      <c r="F61" s="73" t="s">
        <v>273</v>
      </c>
      <c r="G61" s="11" t="s">
        <v>114</v>
      </c>
      <c r="H61" s="1">
        <v>2</v>
      </c>
      <c r="I61" s="49"/>
      <c r="J61" s="51"/>
      <c r="K61" s="40"/>
      <c r="L61" s="40"/>
      <c r="M61" s="78">
        <f t="shared" si="1"/>
        <v>0</v>
      </c>
      <c r="N61" s="42">
        <v>2</v>
      </c>
      <c r="O61" s="31">
        <v>8068.2</v>
      </c>
      <c r="P61" s="31">
        <v>8068.2</v>
      </c>
      <c r="Q61" s="12">
        <f t="shared" si="2"/>
        <v>0</v>
      </c>
    </row>
    <row r="62" spans="1:18" s="13" customFormat="1" ht="47.25" x14ac:dyDescent="0.25">
      <c r="A62" s="10"/>
      <c r="B62" s="30" t="s">
        <v>47</v>
      </c>
      <c r="C62" s="1" t="s">
        <v>304</v>
      </c>
      <c r="D62" s="165" t="s">
        <v>474</v>
      </c>
      <c r="E62" s="3" t="s">
        <v>18</v>
      </c>
      <c r="F62" s="73" t="s">
        <v>348</v>
      </c>
      <c r="G62" s="74" t="s">
        <v>112</v>
      </c>
      <c r="H62" s="75">
        <v>24</v>
      </c>
      <c r="I62" s="76">
        <v>12</v>
      </c>
      <c r="J62" s="98">
        <f>1+1+3+21+7+2</f>
        <v>35</v>
      </c>
      <c r="K62" s="154">
        <f>1129.78+866.14+4090.7+2466.18+13383.67</f>
        <v>21936.47</v>
      </c>
      <c r="L62" s="77"/>
      <c r="M62" s="38">
        <f t="shared" si="1"/>
        <v>21936.47</v>
      </c>
      <c r="N62" s="100">
        <f>7+3+4+10+6+1+2+1</f>
        <v>34</v>
      </c>
      <c r="O62" s="81">
        <f>8477.51+15159.83+14079.46+15414.2+17995.91+2065.56+1859.53+9543.86+1728.53</f>
        <v>86324.39</v>
      </c>
      <c r="P62" s="81">
        <f>8477.51+15159.83</f>
        <v>23637.34</v>
      </c>
      <c r="Q62" s="79">
        <f t="shared" si="2"/>
        <v>62687.05</v>
      </c>
      <c r="R62" s="141"/>
    </row>
    <row r="63" spans="1:18" s="13" customFormat="1" ht="47.25" x14ac:dyDescent="0.25">
      <c r="A63" s="10"/>
      <c r="B63" s="22" t="s">
        <v>120</v>
      </c>
      <c r="C63" s="1" t="s">
        <v>304</v>
      </c>
      <c r="D63" s="165" t="s">
        <v>474</v>
      </c>
      <c r="E63" s="3" t="s">
        <v>18</v>
      </c>
      <c r="F63" s="73" t="s">
        <v>334</v>
      </c>
      <c r="G63" s="11" t="s">
        <v>116</v>
      </c>
      <c r="H63" s="1">
        <v>17</v>
      </c>
      <c r="I63" s="53">
        <v>4</v>
      </c>
      <c r="J63" s="127">
        <v>4</v>
      </c>
      <c r="K63" s="40">
        <v>5591</v>
      </c>
      <c r="L63" s="40">
        <v>1268</v>
      </c>
      <c r="M63" s="78">
        <f t="shared" si="1"/>
        <v>4323</v>
      </c>
      <c r="N63" s="41">
        <v>7</v>
      </c>
      <c r="O63" s="31">
        <v>34506</v>
      </c>
      <c r="P63" s="31">
        <v>26928</v>
      </c>
      <c r="Q63" s="12">
        <f t="shared" si="2"/>
        <v>7578</v>
      </c>
    </row>
    <row r="64" spans="1:18" s="13" customFormat="1" ht="15.75" x14ac:dyDescent="0.25">
      <c r="A64" s="10"/>
      <c r="B64" s="30" t="s">
        <v>134</v>
      </c>
      <c r="C64" s="1" t="s">
        <v>17</v>
      </c>
      <c r="D64" s="165"/>
      <c r="E64" s="3" t="s">
        <v>20</v>
      </c>
      <c r="F64" s="73" t="s">
        <v>349</v>
      </c>
      <c r="G64" s="74" t="s">
        <v>112</v>
      </c>
      <c r="H64" s="75">
        <v>9</v>
      </c>
      <c r="I64" s="76">
        <v>7</v>
      </c>
      <c r="J64" s="96">
        <f>1+4+1</f>
        <v>6</v>
      </c>
      <c r="K64" s="77">
        <f>7301.48+1473.89+1911.09+1690.48</f>
        <v>12376.939999999999</v>
      </c>
      <c r="L64" s="77">
        <f>7301.48</f>
        <v>7301.48</v>
      </c>
      <c r="M64" s="38">
        <f t="shared" si="1"/>
        <v>5075.4599999999991</v>
      </c>
      <c r="N64" s="100">
        <f>4+1</f>
        <v>5</v>
      </c>
      <c r="O64" s="81">
        <f>5020.05+3215.31+12312.39+4648.82+32425.98</f>
        <v>57622.55</v>
      </c>
      <c r="P64" s="81">
        <f>5020.05</f>
        <v>5020.05</v>
      </c>
      <c r="Q64" s="79">
        <f t="shared" si="2"/>
        <v>52602.5</v>
      </c>
      <c r="R64" s="141"/>
    </row>
    <row r="65" spans="1:18" s="13" customFormat="1" ht="15.75" x14ac:dyDescent="0.25">
      <c r="A65" s="10"/>
      <c r="B65" s="24" t="s">
        <v>134</v>
      </c>
      <c r="C65" s="1" t="s">
        <v>17</v>
      </c>
      <c r="D65" s="165"/>
      <c r="E65" s="3" t="s">
        <v>20</v>
      </c>
      <c r="F65" s="73" t="s">
        <v>456</v>
      </c>
      <c r="G65" s="11" t="s">
        <v>114</v>
      </c>
      <c r="H65" s="1">
        <v>13</v>
      </c>
      <c r="I65" s="49">
        <v>2</v>
      </c>
      <c r="J65" s="51">
        <v>2</v>
      </c>
      <c r="K65" s="40"/>
      <c r="L65" s="40"/>
      <c r="M65" s="78">
        <f t="shared" si="1"/>
        <v>0</v>
      </c>
      <c r="N65" s="41">
        <v>22</v>
      </c>
      <c r="O65" s="31">
        <v>34751.910000000003</v>
      </c>
      <c r="P65" s="31">
        <v>34751.910000000003</v>
      </c>
      <c r="Q65" s="12">
        <f t="shared" si="2"/>
        <v>0</v>
      </c>
    </row>
    <row r="66" spans="1:18" s="13" customFormat="1" ht="15.75" x14ac:dyDescent="0.25">
      <c r="A66" s="10"/>
      <c r="B66" s="62" t="s">
        <v>48</v>
      </c>
      <c r="C66" s="1" t="s">
        <v>17</v>
      </c>
      <c r="D66" s="165"/>
      <c r="E66" s="3" t="s">
        <v>20</v>
      </c>
      <c r="F66" s="73" t="s">
        <v>350</v>
      </c>
      <c r="G66" s="74" t="s">
        <v>112</v>
      </c>
      <c r="H66" s="75">
        <v>10</v>
      </c>
      <c r="I66" s="76">
        <v>5</v>
      </c>
      <c r="J66" s="96">
        <f>1+1</f>
        <v>2</v>
      </c>
      <c r="K66" s="77">
        <f>4805.96+2585.78+3065.92</f>
        <v>10457.66</v>
      </c>
      <c r="L66" s="77"/>
      <c r="M66" s="38">
        <f t="shared" si="1"/>
        <v>10457.66</v>
      </c>
      <c r="N66" s="100">
        <f>2+1+2</f>
        <v>5</v>
      </c>
      <c r="O66" s="81">
        <f>23174.33+2535.72+11633.02+6993.42+20756.4</f>
        <v>65092.890000000007</v>
      </c>
      <c r="P66" s="81">
        <f>22598.03+2535.72</f>
        <v>25133.75</v>
      </c>
      <c r="Q66" s="79">
        <f t="shared" si="2"/>
        <v>39959.140000000007</v>
      </c>
      <c r="R66" s="141"/>
    </row>
    <row r="67" spans="1:18" s="13" customFormat="1" ht="15.75" x14ac:dyDescent="0.25">
      <c r="A67" s="10"/>
      <c r="B67" s="62" t="s">
        <v>49</v>
      </c>
      <c r="C67" s="1" t="s">
        <v>17</v>
      </c>
      <c r="D67" s="165"/>
      <c r="E67" s="3" t="s">
        <v>50</v>
      </c>
      <c r="F67" s="73" t="s">
        <v>351</v>
      </c>
      <c r="G67" s="74" t="s">
        <v>112</v>
      </c>
      <c r="H67" s="75">
        <v>14</v>
      </c>
      <c r="I67" s="76">
        <v>5</v>
      </c>
      <c r="J67" s="96">
        <f>1+4</f>
        <v>5</v>
      </c>
      <c r="K67" s="77">
        <f>525.65+1267.86</f>
        <v>1793.5099999999998</v>
      </c>
      <c r="L67" s="77"/>
      <c r="M67" s="78">
        <f t="shared" si="1"/>
        <v>1793.5099999999998</v>
      </c>
      <c r="N67" s="100">
        <f>5+1+3</f>
        <v>9</v>
      </c>
      <c r="O67" s="81">
        <f>7374+1806.93+7275.53+4666.9+2684.03</f>
        <v>23807.39</v>
      </c>
      <c r="P67" s="81">
        <f>7374+9082.46</f>
        <v>16456.46</v>
      </c>
      <c r="Q67" s="12">
        <f t="shared" si="2"/>
        <v>7350.93</v>
      </c>
      <c r="R67" s="141"/>
    </row>
    <row r="68" spans="1:18" s="13" customFormat="1" ht="15.75" x14ac:dyDescent="0.25">
      <c r="A68" s="10"/>
      <c r="B68" s="22" t="s">
        <v>49</v>
      </c>
      <c r="C68" s="1" t="s">
        <v>17</v>
      </c>
      <c r="D68" s="165"/>
      <c r="E68" s="3" t="s">
        <v>50</v>
      </c>
      <c r="F68" s="73" t="s">
        <v>427</v>
      </c>
      <c r="G68" s="11" t="s">
        <v>115</v>
      </c>
      <c r="H68" s="1">
        <v>8</v>
      </c>
      <c r="I68" s="49">
        <v>1</v>
      </c>
      <c r="J68" s="46">
        <v>1</v>
      </c>
      <c r="K68" s="40">
        <v>2408.23</v>
      </c>
      <c r="L68" s="40"/>
      <c r="M68" s="38">
        <f t="shared" si="1"/>
        <v>2408.23</v>
      </c>
      <c r="N68" s="41">
        <v>8</v>
      </c>
      <c r="O68" s="31">
        <v>11237.9</v>
      </c>
      <c r="P68" s="31">
        <v>4898.6000000000004</v>
      </c>
      <c r="Q68" s="79">
        <f t="shared" si="2"/>
        <v>6339.2999999999993</v>
      </c>
    </row>
    <row r="69" spans="1:18" s="13" customFormat="1" ht="15.75" x14ac:dyDescent="0.25">
      <c r="A69" s="10"/>
      <c r="B69" s="27" t="s">
        <v>51</v>
      </c>
      <c r="C69" s="1" t="s">
        <v>17</v>
      </c>
      <c r="D69" s="165"/>
      <c r="E69" s="3" t="s">
        <v>20</v>
      </c>
      <c r="F69" s="73" t="s">
        <v>186</v>
      </c>
      <c r="G69" s="74" t="s">
        <v>112</v>
      </c>
      <c r="H69" s="75"/>
      <c r="I69" s="76"/>
      <c r="J69" s="96"/>
      <c r="K69" s="77"/>
      <c r="L69" s="77"/>
      <c r="M69" s="78">
        <f t="shared" si="1"/>
        <v>0</v>
      </c>
      <c r="N69" s="100">
        <f>1</f>
        <v>1</v>
      </c>
      <c r="O69" s="81">
        <v>2451.87</v>
      </c>
      <c r="P69" s="81">
        <f>2451.87</f>
        <v>2451.87</v>
      </c>
      <c r="Q69" s="12">
        <f t="shared" si="2"/>
        <v>0</v>
      </c>
      <c r="R69" s="141"/>
    </row>
    <row r="70" spans="1:18" s="13" customFormat="1" ht="15.75" x14ac:dyDescent="0.25">
      <c r="A70" s="10"/>
      <c r="B70" s="27" t="s">
        <v>51</v>
      </c>
      <c r="C70" s="1" t="s">
        <v>17</v>
      </c>
      <c r="D70" s="165"/>
      <c r="E70" s="3" t="s">
        <v>20</v>
      </c>
      <c r="F70" s="73" t="s">
        <v>276</v>
      </c>
      <c r="G70" s="11" t="s">
        <v>114</v>
      </c>
      <c r="H70" s="1"/>
      <c r="I70" s="49"/>
      <c r="J70" s="51"/>
      <c r="K70" s="40"/>
      <c r="L70" s="40"/>
      <c r="M70" s="38">
        <f t="shared" si="1"/>
        <v>0</v>
      </c>
      <c r="N70" s="41">
        <v>3</v>
      </c>
      <c r="O70" s="31">
        <v>6763.6</v>
      </c>
      <c r="P70" s="31">
        <v>6763.6</v>
      </c>
      <c r="Q70" s="79">
        <f t="shared" si="2"/>
        <v>0</v>
      </c>
    </row>
    <row r="71" spans="1:18" s="13" customFormat="1" ht="15.75" x14ac:dyDescent="0.25">
      <c r="A71" s="10"/>
      <c r="B71" s="62" t="s">
        <v>52</v>
      </c>
      <c r="C71" s="1" t="s">
        <v>17</v>
      </c>
      <c r="D71" s="165"/>
      <c r="E71" s="3" t="s">
        <v>20</v>
      </c>
      <c r="F71" s="73" t="s">
        <v>352</v>
      </c>
      <c r="G71" s="74" t="s">
        <v>112</v>
      </c>
      <c r="H71" s="75">
        <v>6</v>
      </c>
      <c r="I71" s="76"/>
      <c r="J71" s="96"/>
      <c r="K71" s="77"/>
      <c r="L71" s="77"/>
      <c r="M71" s="78">
        <f t="shared" si="1"/>
        <v>0</v>
      </c>
      <c r="N71" s="100">
        <f>4+3+1+1+2</f>
        <v>11</v>
      </c>
      <c r="O71" s="81">
        <f>5977.15+48296.91+7596.86+1061.83</f>
        <v>62932.750000000007</v>
      </c>
      <c r="P71" s="81">
        <f>48296.91+13574.01</f>
        <v>61870.920000000006</v>
      </c>
      <c r="Q71" s="12">
        <f t="shared" si="2"/>
        <v>1061.8300000000017</v>
      </c>
      <c r="R71" s="141"/>
    </row>
    <row r="72" spans="1:18" s="13" customFormat="1" ht="15.75" x14ac:dyDescent="0.25">
      <c r="A72" s="10"/>
      <c r="B72" s="22" t="s">
        <v>52</v>
      </c>
      <c r="C72" s="1" t="s">
        <v>17</v>
      </c>
      <c r="D72" s="165"/>
      <c r="E72" s="3" t="s">
        <v>20</v>
      </c>
      <c r="F72" s="73" t="s">
        <v>457</v>
      </c>
      <c r="G72" s="11" t="s">
        <v>114</v>
      </c>
      <c r="H72" s="1">
        <v>7</v>
      </c>
      <c r="I72" s="49">
        <v>1</v>
      </c>
      <c r="J72" s="51">
        <v>1</v>
      </c>
      <c r="K72" s="40"/>
      <c r="L72" s="40"/>
      <c r="M72" s="38">
        <f t="shared" si="1"/>
        <v>0</v>
      </c>
      <c r="N72" s="41">
        <v>12</v>
      </c>
      <c r="O72" s="31">
        <v>27349.86</v>
      </c>
      <c r="P72" s="31">
        <v>27349.86</v>
      </c>
      <c r="Q72" s="79">
        <f t="shared" si="2"/>
        <v>0</v>
      </c>
    </row>
    <row r="73" spans="1:18" s="13" customFormat="1" ht="15.75" x14ac:dyDescent="0.25">
      <c r="A73" s="10"/>
      <c r="B73" s="27" t="s">
        <v>53</v>
      </c>
      <c r="C73" s="1" t="s">
        <v>17</v>
      </c>
      <c r="D73" s="165"/>
      <c r="E73" s="3" t="s">
        <v>20</v>
      </c>
      <c r="F73" s="73" t="s">
        <v>353</v>
      </c>
      <c r="G73" s="74" t="s">
        <v>112</v>
      </c>
      <c r="H73" s="75">
        <v>6</v>
      </c>
      <c r="I73" s="76">
        <v>2</v>
      </c>
      <c r="J73" s="96">
        <f>2</f>
        <v>2</v>
      </c>
      <c r="K73" s="77"/>
      <c r="L73" s="77"/>
      <c r="M73" s="78">
        <f>K73-L73</f>
        <v>0</v>
      </c>
      <c r="N73" s="100">
        <f>1+2+2+1</f>
        <v>6</v>
      </c>
      <c r="O73" s="81">
        <f>1743.3+3921.71+422.62</f>
        <v>6087.63</v>
      </c>
      <c r="P73" s="81">
        <f>422.62+1743.3+3921.71</f>
        <v>6087.63</v>
      </c>
      <c r="Q73" s="12">
        <f t="shared" si="2"/>
        <v>0</v>
      </c>
      <c r="R73" s="141"/>
    </row>
    <row r="74" spans="1:18" s="13" customFormat="1" ht="15.75" x14ac:dyDescent="0.25">
      <c r="A74" s="10"/>
      <c r="B74" s="27" t="s">
        <v>149</v>
      </c>
      <c r="C74" s="1" t="s">
        <v>17</v>
      </c>
      <c r="D74" s="165"/>
      <c r="E74" s="3" t="s">
        <v>383</v>
      </c>
      <c r="F74" s="73" t="s">
        <v>354</v>
      </c>
      <c r="G74" s="74" t="s">
        <v>112</v>
      </c>
      <c r="H74" s="75">
        <v>21</v>
      </c>
      <c r="I74" s="76"/>
      <c r="J74" s="96"/>
      <c r="K74" s="77"/>
      <c r="L74" s="77"/>
      <c r="M74" s="38">
        <f t="shared" si="1"/>
        <v>0</v>
      </c>
      <c r="N74" s="100">
        <f>2+2</f>
        <v>4</v>
      </c>
      <c r="O74" s="81">
        <f>3676.8+3431.65</f>
        <v>7108.4500000000007</v>
      </c>
      <c r="P74" s="81">
        <f>1903.98+3431.65</f>
        <v>5335.63</v>
      </c>
      <c r="Q74" s="79">
        <f t="shared" si="2"/>
        <v>1772.8200000000006</v>
      </c>
      <c r="R74" s="141"/>
    </row>
    <row r="75" spans="1:18" s="13" customFormat="1" ht="15.75" x14ac:dyDescent="0.25">
      <c r="A75" s="10"/>
      <c r="B75" s="25" t="s">
        <v>149</v>
      </c>
      <c r="C75" s="1" t="s">
        <v>17</v>
      </c>
      <c r="D75" s="165"/>
      <c r="E75" s="3" t="s">
        <v>383</v>
      </c>
      <c r="F75" s="73" t="s">
        <v>438</v>
      </c>
      <c r="G75" s="11" t="s">
        <v>118</v>
      </c>
      <c r="H75" s="1">
        <v>3</v>
      </c>
      <c r="I75" s="47"/>
      <c r="J75" s="51"/>
      <c r="K75" s="37"/>
      <c r="L75" s="37"/>
      <c r="M75" s="78">
        <f t="shared" si="1"/>
        <v>0</v>
      </c>
      <c r="N75" s="39">
        <v>3</v>
      </c>
      <c r="O75" s="31">
        <v>4994.6000000000004</v>
      </c>
      <c r="P75" s="31">
        <v>4994.6000000000004</v>
      </c>
      <c r="Q75" s="12">
        <f t="shared" si="2"/>
        <v>0</v>
      </c>
    </row>
    <row r="76" spans="1:18" s="13" customFormat="1" ht="15.75" x14ac:dyDescent="0.25">
      <c r="A76" s="10"/>
      <c r="B76" s="62" t="s">
        <v>107</v>
      </c>
      <c r="C76" s="1" t="s">
        <v>17</v>
      </c>
      <c r="D76" s="165"/>
      <c r="E76" s="17" t="s">
        <v>20</v>
      </c>
      <c r="F76" s="73" t="s">
        <v>355</v>
      </c>
      <c r="G76" s="74" t="s">
        <v>112</v>
      </c>
      <c r="H76" s="75">
        <v>7</v>
      </c>
      <c r="I76" s="76"/>
      <c r="J76" s="96">
        <f>1</f>
        <v>1</v>
      </c>
      <c r="K76" s="77">
        <f>666.63</f>
        <v>666.63</v>
      </c>
      <c r="L76" s="77">
        <f>666.63</f>
        <v>666.63</v>
      </c>
      <c r="M76" s="38">
        <f t="shared" si="1"/>
        <v>0</v>
      </c>
      <c r="N76" s="100">
        <f>2+6+1</f>
        <v>9</v>
      </c>
      <c r="O76" s="81">
        <f>7612.92+18804.48+9163.33</f>
        <v>35580.730000000003</v>
      </c>
      <c r="P76" s="81">
        <f>7612.92+9952.7+8851.78</f>
        <v>26417.4</v>
      </c>
      <c r="Q76" s="79">
        <f t="shared" si="2"/>
        <v>9163.3300000000017</v>
      </c>
      <c r="R76" s="141"/>
    </row>
    <row r="77" spans="1:18" s="13" customFormat="1" ht="15.75" x14ac:dyDescent="0.25">
      <c r="A77" s="10"/>
      <c r="B77" s="30" t="s">
        <v>54</v>
      </c>
      <c r="C77" s="1" t="s">
        <v>17</v>
      </c>
      <c r="D77" s="165"/>
      <c r="E77" s="17" t="s">
        <v>20</v>
      </c>
      <c r="F77" s="73" t="s">
        <v>356</v>
      </c>
      <c r="G77" s="74" t="s">
        <v>112</v>
      </c>
      <c r="H77" s="75"/>
      <c r="I77" s="76"/>
      <c r="J77" s="96"/>
      <c r="K77" s="77"/>
      <c r="L77" s="77"/>
      <c r="M77" s="38">
        <f t="shared" si="1"/>
        <v>0</v>
      </c>
      <c r="N77" s="100">
        <f>4+1</f>
        <v>5</v>
      </c>
      <c r="O77" s="81">
        <f>17895.28</f>
        <v>17895.28</v>
      </c>
      <c r="P77" s="81">
        <v>17895.28</v>
      </c>
      <c r="Q77" s="79">
        <f t="shared" si="2"/>
        <v>0</v>
      </c>
      <c r="R77" s="141"/>
    </row>
    <row r="78" spans="1:18" s="13" customFormat="1" ht="31.5" x14ac:dyDescent="0.25">
      <c r="A78" s="10"/>
      <c r="B78" s="27" t="s">
        <v>55</v>
      </c>
      <c r="C78" s="1" t="s">
        <v>304</v>
      </c>
      <c r="D78" s="165" t="s">
        <v>387</v>
      </c>
      <c r="E78" s="3" t="s">
        <v>20</v>
      </c>
      <c r="F78" s="73" t="s">
        <v>357</v>
      </c>
      <c r="G78" s="74" t="s">
        <v>112</v>
      </c>
      <c r="H78" s="75">
        <v>12</v>
      </c>
      <c r="I78" s="76">
        <v>8</v>
      </c>
      <c r="J78" s="96">
        <f>3</f>
        <v>3</v>
      </c>
      <c r="K78" s="77">
        <f>1267.86+6667.8+5756.15</f>
        <v>13691.81</v>
      </c>
      <c r="L78" s="77"/>
      <c r="M78" s="78">
        <f t="shared" si="1"/>
        <v>13691.81</v>
      </c>
      <c r="N78" s="100">
        <f>2+1+2+2</f>
        <v>7</v>
      </c>
      <c r="O78" s="81">
        <f>34854.19+2113.1+6430.67+5463.42+39145.22</f>
        <v>88006.6</v>
      </c>
      <c r="P78" s="81">
        <f>34854.19+2113.1</f>
        <v>36967.29</v>
      </c>
      <c r="Q78" s="12">
        <f t="shared" si="2"/>
        <v>51039.310000000005</v>
      </c>
      <c r="R78" s="141"/>
    </row>
    <row r="79" spans="1:18" s="13" customFormat="1" ht="31.5" x14ac:dyDescent="0.25">
      <c r="A79" s="10"/>
      <c r="B79" s="62" t="s">
        <v>56</v>
      </c>
      <c r="C79" s="1" t="s">
        <v>17</v>
      </c>
      <c r="D79" s="165" t="s">
        <v>386</v>
      </c>
      <c r="E79" s="3" t="s">
        <v>18</v>
      </c>
      <c r="F79" s="73" t="s">
        <v>358</v>
      </c>
      <c r="G79" s="74" t="s">
        <v>112</v>
      </c>
      <c r="H79" s="75">
        <v>4</v>
      </c>
      <c r="I79" s="76">
        <v>2</v>
      </c>
      <c r="J79" s="96">
        <f>1+1</f>
        <v>2</v>
      </c>
      <c r="K79" s="77">
        <f>678.11</f>
        <v>678.11</v>
      </c>
      <c r="L79" s="77">
        <f>678.11</f>
        <v>678.11</v>
      </c>
      <c r="M79" s="38">
        <f t="shared" si="1"/>
        <v>0</v>
      </c>
      <c r="N79" s="100"/>
      <c r="O79" s="81"/>
      <c r="P79" s="81"/>
      <c r="Q79" s="79">
        <f t="shared" si="2"/>
        <v>0</v>
      </c>
      <c r="R79" s="141"/>
    </row>
    <row r="80" spans="1:18" s="13" customFormat="1" ht="31.5" x14ac:dyDescent="0.25">
      <c r="A80" s="10"/>
      <c r="B80" s="22" t="s">
        <v>56</v>
      </c>
      <c r="C80" s="1" t="s">
        <v>304</v>
      </c>
      <c r="D80" s="165" t="s">
        <v>386</v>
      </c>
      <c r="E80" s="3" t="s">
        <v>18</v>
      </c>
      <c r="F80" s="73" t="s">
        <v>476</v>
      </c>
      <c r="G80" s="11" t="s">
        <v>113</v>
      </c>
      <c r="H80" s="1">
        <v>4</v>
      </c>
      <c r="I80" s="49">
        <v>2</v>
      </c>
      <c r="J80" s="46">
        <v>2</v>
      </c>
      <c r="K80" s="40">
        <v>3401</v>
      </c>
      <c r="L80" s="40">
        <v>1268</v>
      </c>
      <c r="M80" s="78">
        <f t="shared" si="1"/>
        <v>2133</v>
      </c>
      <c r="N80" s="41"/>
      <c r="O80" s="31">
        <v>7612</v>
      </c>
      <c r="P80" s="31">
        <v>7612</v>
      </c>
      <c r="Q80" s="12">
        <f t="shared" ref="Q80:Q147" si="3">O80-P80</f>
        <v>0</v>
      </c>
    </row>
    <row r="81" spans="1:18" s="13" customFormat="1" ht="15.75" x14ac:dyDescent="0.25">
      <c r="A81" s="10"/>
      <c r="B81" s="62" t="s">
        <v>156</v>
      </c>
      <c r="C81" s="1" t="s">
        <v>304</v>
      </c>
      <c r="D81" s="165"/>
      <c r="E81" s="3" t="s">
        <v>20</v>
      </c>
      <c r="F81" s="73" t="s">
        <v>359</v>
      </c>
      <c r="G81" s="74" t="s">
        <v>112</v>
      </c>
      <c r="H81" s="75">
        <v>3</v>
      </c>
      <c r="I81" s="76">
        <v>2</v>
      </c>
      <c r="J81" s="96">
        <f>2</f>
        <v>2</v>
      </c>
      <c r="K81" s="77">
        <f>1690.48</f>
        <v>1690.48</v>
      </c>
      <c r="L81" s="77"/>
      <c r="M81" s="38">
        <f t="shared" si="1"/>
        <v>1690.48</v>
      </c>
      <c r="N81" s="100">
        <f>3+1</f>
        <v>4</v>
      </c>
      <c r="O81" s="81">
        <f>5488.54+2398.37+422.62</f>
        <v>8309.5300000000007</v>
      </c>
      <c r="P81" s="81">
        <f>5488.54+2398.37</f>
        <v>7886.91</v>
      </c>
      <c r="Q81" s="79">
        <f t="shared" si="3"/>
        <v>422.6200000000008</v>
      </c>
      <c r="R81" s="141"/>
    </row>
    <row r="82" spans="1:18" s="15" customFormat="1" ht="15.75" x14ac:dyDescent="0.25">
      <c r="A82" s="14"/>
      <c r="B82" s="80" t="s">
        <v>57</v>
      </c>
      <c r="C82" s="1" t="s">
        <v>17</v>
      </c>
      <c r="D82" s="165"/>
      <c r="E82" s="3" t="s">
        <v>20</v>
      </c>
      <c r="F82" s="73" t="s">
        <v>360</v>
      </c>
      <c r="G82" s="74" t="s">
        <v>112</v>
      </c>
      <c r="H82" s="75">
        <v>6</v>
      </c>
      <c r="I82" s="76">
        <v>3</v>
      </c>
      <c r="J82" s="96">
        <f>2+1</f>
        <v>3</v>
      </c>
      <c r="K82" s="77">
        <f>806.82</f>
        <v>806.82</v>
      </c>
      <c r="L82" s="77"/>
      <c r="M82" s="78">
        <f t="shared" si="1"/>
        <v>806.82</v>
      </c>
      <c r="N82" s="100">
        <f>2+1</f>
        <v>3</v>
      </c>
      <c r="O82" s="81">
        <f>2745.3</f>
        <v>2745.3</v>
      </c>
      <c r="P82" s="81">
        <v>2745.3</v>
      </c>
      <c r="Q82" s="12">
        <f t="shared" si="3"/>
        <v>0</v>
      </c>
      <c r="R82" s="141"/>
    </row>
    <row r="83" spans="1:18" s="15" customFormat="1" ht="15.75" x14ac:dyDescent="0.25">
      <c r="A83" s="14"/>
      <c r="B83" s="23" t="s">
        <v>57</v>
      </c>
      <c r="C83" s="1" t="s">
        <v>17</v>
      </c>
      <c r="D83" s="165"/>
      <c r="E83" s="3" t="s">
        <v>20</v>
      </c>
      <c r="F83" s="73" t="s">
        <v>458</v>
      </c>
      <c r="G83" s="11" t="s">
        <v>114</v>
      </c>
      <c r="H83" s="1">
        <v>19</v>
      </c>
      <c r="I83" s="49">
        <v>2</v>
      </c>
      <c r="J83" s="51">
        <v>2</v>
      </c>
      <c r="K83" s="40">
        <v>1267.8599999999999</v>
      </c>
      <c r="L83" s="40">
        <v>1267.8599999999999</v>
      </c>
      <c r="M83" s="38">
        <f t="shared" si="1"/>
        <v>0</v>
      </c>
      <c r="N83" s="42">
        <v>10</v>
      </c>
      <c r="O83" s="31">
        <v>20647.63</v>
      </c>
      <c r="P83" s="31">
        <v>20647.63</v>
      </c>
      <c r="Q83" s="79">
        <f t="shared" si="3"/>
        <v>0</v>
      </c>
    </row>
    <row r="84" spans="1:18" s="13" customFormat="1" ht="15.75" x14ac:dyDescent="0.25">
      <c r="A84" s="10"/>
      <c r="B84" s="62" t="s">
        <v>58</v>
      </c>
      <c r="C84" s="1" t="s">
        <v>17</v>
      </c>
      <c r="D84" s="165"/>
      <c r="E84" s="3" t="s">
        <v>20</v>
      </c>
      <c r="F84" s="73" t="s">
        <v>361</v>
      </c>
      <c r="G84" s="74" t="s">
        <v>112</v>
      </c>
      <c r="H84" s="75">
        <v>4</v>
      </c>
      <c r="I84" s="76"/>
      <c r="J84" s="96"/>
      <c r="K84" s="77"/>
      <c r="L84" s="77"/>
      <c r="M84" s="78">
        <f t="shared" si="1"/>
        <v>0</v>
      </c>
      <c r="N84" s="100">
        <f>1+1+3</f>
        <v>5</v>
      </c>
      <c r="O84" s="81">
        <f>9196.24+2480.78+2954.11+15214.32</f>
        <v>29845.45</v>
      </c>
      <c r="P84" s="81"/>
      <c r="Q84" s="12">
        <f t="shared" si="3"/>
        <v>29845.45</v>
      </c>
      <c r="R84" s="141"/>
    </row>
    <row r="85" spans="1:18" s="13" customFormat="1" ht="15.75" x14ac:dyDescent="0.25">
      <c r="A85" s="10"/>
      <c r="B85" s="22" t="s">
        <v>58</v>
      </c>
      <c r="C85" s="1" t="s">
        <v>17</v>
      </c>
      <c r="D85" s="165"/>
      <c r="E85" s="3" t="s">
        <v>20</v>
      </c>
      <c r="F85" s="73" t="s">
        <v>478</v>
      </c>
      <c r="G85" s="11" t="s">
        <v>114</v>
      </c>
      <c r="H85" s="1">
        <v>4</v>
      </c>
      <c r="I85" s="49"/>
      <c r="J85" s="51"/>
      <c r="K85" s="40"/>
      <c r="L85" s="40"/>
      <c r="M85" s="38">
        <f t="shared" ref="M85:M158" si="4">K85-L85</f>
        <v>0</v>
      </c>
      <c r="N85" s="41">
        <v>21</v>
      </c>
      <c r="O85" s="31">
        <v>36273.629999999997</v>
      </c>
      <c r="P85" s="31">
        <v>36273.629999999997</v>
      </c>
      <c r="Q85" s="79">
        <f t="shared" si="3"/>
        <v>0</v>
      </c>
    </row>
    <row r="86" spans="1:18" s="13" customFormat="1" ht="15.75" x14ac:dyDescent="0.25">
      <c r="A86" s="10"/>
      <c r="B86" s="62" t="s">
        <v>59</v>
      </c>
      <c r="C86" s="1" t="s">
        <v>17</v>
      </c>
      <c r="D86" s="165"/>
      <c r="E86" s="3" t="s">
        <v>20</v>
      </c>
      <c r="F86" s="73" t="s">
        <v>362</v>
      </c>
      <c r="G86" s="74" t="s">
        <v>112</v>
      </c>
      <c r="H86" s="75">
        <v>8</v>
      </c>
      <c r="I86" s="76">
        <v>6</v>
      </c>
      <c r="J86" s="96">
        <f>1+1+1+3</f>
        <v>6</v>
      </c>
      <c r="K86" s="77">
        <f>403.41</f>
        <v>403.41</v>
      </c>
      <c r="L86" s="77">
        <f>403.41</f>
        <v>403.41</v>
      </c>
      <c r="M86" s="78">
        <f t="shared" si="4"/>
        <v>0</v>
      </c>
      <c r="N86" s="100">
        <f>1+2+2+1</f>
        <v>6</v>
      </c>
      <c r="O86" s="81">
        <f>6646.05+1267.86+979.71</f>
        <v>8893.619999999999</v>
      </c>
      <c r="P86" s="81">
        <f>2353.23+5561.68+978.71</f>
        <v>8893.619999999999</v>
      </c>
      <c r="Q86" s="12">
        <f t="shared" si="3"/>
        <v>0</v>
      </c>
      <c r="R86" s="141"/>
    </row>
    <row r="87" spans="1:18" s="13" customFormat="1" ht="15.75" x14ac:dyDescent="0.25">
      <c r="A87" s="10"/>
      <c r="B87" s="22" t="s">
        <v>59</v>
      </c>
      <c r="C87" s="1" t="s">
        <v>17</v>
      </c>
      <c r="D87" s="165"/>
      <c r="E87" s="3" t="s">
        <v>20</v>
      </c>
      <c r="F87" s="73" t="s">
        <v>128</v>
      </c>
      <c r="G87" s="11" t="s">
        <v>114</v>
      </c>
      <c r="H87" s="1"/>
      <c r="I87" s="49"/>
      <c r="J87" s="51"/>
      <c r="K87" s="40"/>
      <c r="L87" s="40"/>
      <c r="M87" s="38">
        <f t="shared" si="4"/>
        <v>0</v>
      </c>
      <c r="N87" s="41"/>
      <c r="O87" s="31"/>
      <c r="P87" s="31"/>
      <c r="Q87" s="79">
        <f t="shared" si="3"/>
        <v>0</v>
      </c>
    </row>
    <row r="88" spans="1:18" s="13" customFormat="1" ht="15.75" x14ac:dyDescent="0.25">
      <c r="A88" s="10"/>
      <c r="B88" s="27" t="s">
        <v>60</v>
      </c>
      <c r="C88" s="1" t="s">
        <v>17</v>
      </c>
      <c r="D88" s="165"/>
      <c r="E88" s="3" t="s">
        <v>20</v>
      </c>
      <c r="F88" s="73" t="s">
        <v>364</v>
      </c>
      <c r="G88" s="74" t="s">
        <v>112</v>
      </c>
      <c r="H88" s="75">
        <v>9</v>
      </c>
      <c r="I88" s="76">
        <v>1</v>
      </c>
      <c r="J88" s="96">
        <f>1</f>
        <v>1</v>
      </c>
      <c r="K88" s="77">
        <f>634.93</f>
        <v>634.92999999999995</v>
      </c>
      <c r="L88" s="77">
        <f>633.93</f>
        <v>633.92999999999995</v>
      </c>
      <c r="M88" s="78">
        <f t="shared" si="4"/>
        <v>1</v>
      </c>
      <c r="N88" s="100">
        <f>4+1</f>
        <v>5</v>
      </c>
      <c r="O88" s="81">
        <f>15124.53+2065.75</f>
        <v>17190.28</v>
      </c>
      <c r="P88" s="81">
        <f>15125.53+2064.75</f>
        <v>17190.28</v>
      </c>
      <c r="Q88" s="12">
        <f t="shared" si="3"/>
        <v>0</v>
      </c>
      <c r="R88" s="141"/>
    </row>
    <row r="89" spans="1:18" s="13" customFormat="1" ht="15.75" x14ac:dyDescent="0.25">
      <c r="A89" s="10"/>
      <c r="B89" s="25" t="s">
        <v>60</v>
      </c>
      <c r="C89" s="1" t="s">
        <v>17</v>
      </c>
      <c r="D89" s="165"/>
      <c r="E89" s="3" t="s">
        <v>20</v>
      </c>
      <c r="F89" s="73" t="s">
        <v>479</v>
      </c>
      <c r="G89" s="11" t="s">
        <v>114</v>
      </c>
      <c r="H89" s="1">
        <v>4</v>
      </c>
      <c r="I89" s="49"/>
      <c r="J89" s="51"/>
      <c r="K89" s="40"/>
      <c r="L89" s="40"/>
      <c r="M89" s="38">
        <f t="shared" si="4"/>
        <v>0</v>
      </c>
      <c r="N89" s="41">
        <v>7</v>
      </c>
      <c r="O89" s="31">
        <v>6259.4</v>
      </c>
      <c r="P89" s="31">
        <v>6259.4</v>
      </c>
      <c r="Q89" s="79">
        <f t="shared" si="3"/>
        <v>0</v>
      </c>
    </row>
    <row r="90" spans="1:18" s="13" customFormat="1" ht="15.75" x14ac:dyDescent="0.25">
      <c r="A90" s="10"/>
      <c r="B90" s="25" t="s">
        <v>493</v>
      </c>
      <c r="C90" s="1" t="s">
        <v>17</v>
      </c>
      <c r="D90" s="165"/>
      <c r="E90" s="3" t="s">
        <v>20</v>
      </c>
      <c r="F90" s="73" t="s">
        <v>496</v>
      </c>
      <c r="G90" s="11" t="s">
        <v>112</v>
      </c>
      <c r="H90" s="1">
        <v>5</v>
      </c>
      <c r="I90" s="49">
        <v>3</v>
      </c>
      <c r="J90" s="51">
        <f>3</f>
        <v>3</v>
      </c>
      <c r="K90" s="40"/>
      <c r="L90" s="40"/>
      <c r="M90" s="38"/>
      <c r="N90" s="41"/>
      <c r="O90" s="31"/>
      <c r="P90" s="31"/>
      <c r="Q90" s="79"/>
    </row>
    <row r="91" spans="1:18" s="15" customFormat="1" ht="15.75" x14ac:dyDescent="0.25">
      <c r="A91" s="14"/>
      <c r="B91" s="28" t="s">
        <v>61</v>
      </c>
      <c r="C91" s="1" t="s">
        <v>17</v>
      </c>
      <c r="D91" s="165"/>
      <c r="E91" s="3" t="s">
        <v>20</v>
      </c>
      <c r="F91" s="73" t="s">
        <v>363</v>
      </c>
      <c r="G91" s="74" t="s">
        <v>112</v>
      </c>
      <c r="H91" s="75"/>
      <c r="I91" s="76"/>
      <c r="J91" s="96"/>
      <c r="K91" s="77"/>
      <c r="L91" s="77"/>
      <c r="M91" s="78">
        <f t="shared" si="4"/>
        <v>0</v>
      </c>
      <c r="N91" s="100"/>
      <c r="O91" s="81"/>
      <c r="P91" s="81"/>
      <c r="Q91" s="12">
        <f t="shared" si="3"/>
        <v>0</v>
      </c>
      <c r="R91" s="141"/>
    </row>
    <row r="92" spans="1:18" s="15" customFormat="1" ht="15.75" x14ac:dyDescent="0.25">
      <c r="A92" s="14"/>
      <c r="B92" s="26" t="s">
        <v>61</v>
      </c>
      <c r="C92" s="1" t="s">
        <v>17</v>
      </c>
      <c r="D92" s="165"/>
      <c r="E92" s="3" t="s">
        <v>20</v>
      </c>
      <c r="F92" s="73" t="s">
        <v>121</v>
      </c>
      <c r="G92" s="11" t="s">
        <v>114</v>
      </c>
      <c r="H92" s="1"/>
      <c r="I92" s="49"/>
      <c r="J92" s="51"/>
      <c r="K92" s="40"/>
      <c r="L92" s="40"/>
      <c r="M92" s="38">
        <f t="shared" si="4"/>
        <v>0</v>
      </c>
      <c r="N92" s="42"/>
      <c r="O92" s="31"/>
      <c r="P92" s="31"/>
      <c r="Q92" s="79">
        <f t="shared" si="3"/>
        <v>0</v>
      </c>
    </row>
    <row r="93" spans="1:18" s="15" customFormat="1" ht="15.75" x14ac:dyDescent="0.25">
      <c r="A93" s="14"/>
      <c r="B93" s="20" t="s">
        <v>306</v>
      </c>
      <c r="C93" s="1" t="s">
        <v>17</v>
      </c>
      <c r="D93" s="165"/>
      <c r="E93" s="3" t="s">
        <v>35</v>
      </c>
      <c r="F93" s="73" t="s">
        <v>365</v>
      </c>
      <c r="G93" s="11" t="s">
        <v>112</v>
      </c>
      <c r="H93" s="1">
        <v>21</v>
      </c>
      <c r="I93" s="58">
        <v>10</v>
      </c>
      <c r="J93" s="51">
        <f>1+2+1+3+3</f>
        <v>10</v>
      </c>
      <c r="K93" s="40">
        <f>1045.98+2658.7+35696.14+4892.46+1024.04</f>
        <v>45317.32</v>
      </c>
      <c r="L93" s="40">
        <f>1045.98+2658.7</f>
        <v>3704.68</v>
      </c>
      <c r="M93" s="78">
        <f t="shared" si="4"/>
        <v>41612.639999999999</v>
      </c>
      <c r="N93" s="39">
        <f>7+2+2+2</f>
        <v>13</v>
      </c>
      <c r="O93" s="31">
        <f>2313.84+6162.57+2330.32+1690.48</f>
        <v>12497.21</v>
      </c>
      <c r="P93" s="31">
        <f>2313.84+6162.57+2330.32</f>
        <v>10806.73</v>
      </c>
      <c r="Q93" s="12">
        <f t="shared" si="3"/>
        <v>1690.4799999999996</v>
      </c>
      <c r="R93" s="141"/>
    </row>
    <row r="94" spans="1:18" s="13" customFormat="1" ht="15.75" x14ac:dyDescent="0.25">
      <c r="A94" s="10"/>
      <c r="B94" s="22" t="s">
        <v>306</v>
      </c>
      <c r="C94" s="1" t="s">
        <v>17</v>
      </c>
      <c r="D94" s="165"/>
      <c r="E94" s="3" t="s">
        <v>27</v>
      </c>
      <c r="F94" s="73" t="s">
        <v>421</v>
      </c>
      <c r="G94" s="11" t="s">
        <v>117</v>
      </c>
      <c r="H94" s="1">
        <v>2</v>
      </c>
      <c r="I94" s="49"/>
      <c r="J94" s="46"/>
      <c r="K94" s="40"/>
      <c r="L94" s="40"/>
      <c r="M94" s="78">
        <f>K94-L94</f>
        <v>0</v>
      </c>
      <c r="N94" s="41"/>
      <c r="O94" s="40"/>
      <c r="P94" s="40"/>
      <c r="Q94" s="79">
        <f>O94-P94</f>
        <v>0</v>
      </c>
    </row>
    <row r="95" spans="1:18" s="13" customFormat="1" ht="15.75" x14ac:dyDescent="0.25">
      <c r="A95" s="10"/>
      <c r="B95" s="27" t="s">
        <v>62</v>
      </c>
      <c r="C95" s="1" t="s">
        <v>17</v>
      </c>
      <c r="D95" s="165"/>
      <c r="E95" s="3" t="s">
        <v>35</v>
      </c>
      <c r="F95" s="73" t="s">
        <v>366</v>
      </c>
      <c r="G95" s="74" t="s">
        <v>112</v>
      </c>
      <c r="H95" s="75">
        <v>9</v>
      </c>
      <c r="I95" s="76">
        <v>8</v>
      </c>
      <c r="J95" s="96">
        <f>1+3+1+1</f>
        <v>6</v>
      </c>
      <c r="K95" s="77">
        <f>3613.4+1872.01</f>
        <v>5485.41</v>
      </c>
      <c r="L95" s="77">
        <v>848.31</v>
      </c>
      <c r="M95" s="38">
        <f t="shared" si="4"/>
        <v>4637.1000000000004</v>
      </c>
      <c r="N95" s="100">
        <f>6+2+1+2+1</f>
        <v>12</v>
      </c>
      <c r="O95" s="81">
        <f>19511.33+1270.93+3979.74+2500.85+8530.18</f>
        <v>35793.03</v>
      </c>
      <c r="P95" s="81">
        <f>19512.33+11872.94</f>
        <v>31385.270000000004</v>
      </c>
      <c r="Q95" s="79">
        <f t="shared" si="3"/>
        <v>4407.7599999999948</v>
      </c>
      <c r="R95" s="141"/>
    </row>
    <row r="96" spans="1:18" s="13" customFormat="1" ht="15.75" x14ac:dyDescent="0.25">
      <c r="A96" s="10"/>
      <c r="B96" s="25" t="s">
        <v>62</v>
      </c>
      <c r="C96" s="1" t="s">
        <v>17</v>
      </c>
      <c r="D96" s="165"/>
      <c r="E96" s="3" t="s">
        <v>35</v>
      </c>
      <c r="F96" s="73" t="s">
        <v>428</v>
      </c>
      <c r="G96" s="11" t="s">
        <v>117</v>
      </c>
      <c r="H96" s="1">
        <v>1</v>
      </c>
      <c r="I96" s="49"/>
      <c r="J96" s="46"/>
      <c r="K96" s="40"/>
      <c r="L96" s="40"/>
      <c r="M96" s="78">
        <f t="shared" si="4"/>
        <v>0</v>
      </c>
      <c r="N96" s="41">
        <v>9</v>
      </c>
      <c r="O96" s="31">
        <v>22788.1</v>
      </c>
      <c r="P96" s="31">
        <v>14143.6</v>
      </c>
      <c r="Q96" s="12">
        <f t="shared" si="3"/>
        <v>8644.4999999999982</v>
      </c>
    </row>
    <row r="97" spans="1:19" s="13" customFormat="1" ht="15.75" x14ac:dyDescent="0.25">
      <c r="A97" s="10"/>
      <c r="B97" s="25" t="s">
        <v>63</v>
      </c>
      <c r="C97" s="1" t="s">
        <v>64</v>
      </c>
      <c r="D97" s="165" t="s">
        <v>65</v>
      </c>
      <c r="E97" s="3" t="s">
        <v>20</v>
      </c>
      <c r="F97" s="73" t="s">
        <v>480</v>
      </c>
      <c r="G97" s="11" t="s">
        <v>114</v>
      </c>
      <c r="H97" s="1"/>
      <c r="I97" s="49"/>
      <c r="J97" s="51"/>
      <c r="K97" s="40"/>
      <c r="L97" s="40"/>
      <c r="M97" s="38">
        <f t="shared" si="4"/>
        <v>0</v>
      </c>
      <c r="N97" s="41"/>
      <c r="O97" s="31"/>
      <c r="P97" s="31"/>
      <c r="Q97" s="79">
        <f t="shared" si="3"/>
        <v>0</v>
      </c>
    </row>
    <row r="98" spans="1:19" s="13" customFormat="1" ht="15.75" x14ac:dyDescent="0.25">
      <c r="A98" s="10"/>
      <c r="B98" s="27" t="s">
        <v>155</v>
      </c>
      <c r="C98" s="1" t="s">
        <v>17</v>
      </c>
      <c r="D98" s="165"/>
      <c r="E98" s="3" t="s">
        <v>20</v>
      </c>
      <c r="F98" s="73" t="s">
        <v>367</v>
      </c>
      <c r="G98" s="74" t="s">
        <v>112</v>
      </c>
      <c r="H98" s="75">
        <v>6</v>
      </c>
      <c r="I98" s="82">
        <v>1</v>
      </c>
      <c r="J98" s="96">
        <f>1</f>
        <v>1</v>
      </c>
      <c r="K98" s="77">
        <f>3117.56</f>
        <v>3117.56</v>
      </c>
      <c r="L98" s="77">
        <f>845.24</f>
        <v>845.24</v>
      </c>
      <c r="M98" s="78">
        <f t="shared" si="4"/>
        <v>2272.3199999999997</v>
      </c>
      <c r="N98" s="100">
        <f>1+1+1</f>
        <v>3</v>
      </c>
      <c r="O98" s="81">
        <f>1798.06+2123.67</f>
        <v>3921.73</v>
      </c>
      <c r="P98" s="81">
        <f>2272.32</f>
        <v>2272.3200000000002</v>
      </c>
      <c r="Q98" s="12">
        <f t="shared" si="3"/>
        <v>1649.4099999999999</v>
      </c>
      <c r="R98" s="141"/>
    </row>
    <row r="99" spans="1:19" s="13" customFormat="1" ht="15.75" x14ac:dyDescent="0.25">
      <c r="A99" s="10"/>
      <c r="B99" s="25" t="s">
        <v>155</v>
      </c>
      <c r="C99" s="1" t="s">
        <v>17</v>
      </c>
      <c r="D99" s="165"/>
      <c r="E99" s="3" t="s">
        <v>20</v>
      </c>
      <c r="F99" s="73" t="s">
        <v>459</v>
      </c>
      <c r="G99" s="11" t="s">
        <v>114</v>
      </c>
      <c r="H99" s="1">
        <v>7</v>
      </c>
      <c r="I99" s="49"/>
      <c r="J99" s="51"/>
      <c r="K99" s="40"/>
      <c r="L99" s="40"/>
      <c r="M99" s="38">
        <f t="shared" si="4"/>
        <v>0</v>
      </c>
      <c r="N99" s="41">
        <v>13</v>
      </c>
      <c r="O99" s="31">
        <v>27266.37</v>
      </c>
      <c r="P99" s="31">
        <v>27266.37</v>
      </c>
      <c r="Q99" s="79">
        <f t="shared" si="3"/>
        <v>0</v>
      </c>
    </row>
    <row r="100" spans="1:19" s="13" customFormat="1" ht="15.75" x14ac:dyDescent="0.25">
      <c r="A100" s="10"/>
      <c r="B100" s="30" t="s">
        <v>66</v>
      </c>
      <c r="C100" s="1" t="s">
        <v>17</v>
      </c>
      <c r="D100" s="165"/>
      <c r="E100" s="3" t="s">
        <v>21</v>
      </c>
      <c r="F100" s="73" t="s">
        <v>368</v>
      </c>
      <c r="G100" s="74" t="s">
        <v>112</v>
      </c>
      <c r="H100" s="75">
        <v>14</v>
      </c>
      <c r="I100" s="76">
        <v>8</v>
      </c>
      <c r="J100" s="96">
        <f>1+3+2+3</f>
        <v>9</v>
      </c>
      <c r="K100" s="77">
        <f>1045.98+4309.04+3820.12+1872.01+4253.49</f>
        <v>15300.64</v>
      </c>
      <c r="L100" s="77"/>
      <c r="M100" s="78">
        <f t="shared" si="4"/>
        <v>15300.64</v>
      </c>
      <c r="N100" s="100">
        <f>6+3+8+7+1+1+1+2</f>
        <v>29</v>
      </c>
      <c r="O100" s="81">
        <f>11911.17+23136+18060.17+1977.84+2091.97+19535.65</f>
        <v>76712.799999999988</v>
      </c>
      <c r="P100" s="81">
        <f>1152.6+11911.47+23136</f>
        <v>36200.07</v>
      </c>
      <c r="Q100" s="12">
        <f t="shared" si="3"/>
        <v>40512.729999999989</v>
      </c>
      <c r="R100" s="141"/>
    </row>
    <row r="101" spans="1:19" s="13" customFormat="1" ht="15.75" x14ac:dyDescent="0.25">
      <c r="A101" s="10"/>
      <c r="B101" s="24" t="s">
        <v>66</v>
      </c>
      <c r="C101" s="1" t="s">
        <v>17</v>
      </c>
      <c r="D101" s="165"/>
      <c r="E101" s="3" t="s">
        <v>21</v>
      </c>
      <c r="F101" s="73" t="s">
        <v>439</v>
      </c>
      <c r="G101" s="11" t="s">
        <v>118</v>
      </c>
      <c r="H101" s="1">
        <v>6</v>
      </c>
      <c r="I101" s="49"/>
      <c r="J101" s="46"/>
      <c r="K101" s="40"/>
      <c r="L101" s="40"/>
      <c r="M101" s="38">
        <f t="shared" si="4"/>
        <v>0</v>
      </c>
      <c r="N101" s="41">
        <v>14</v>
      </c>
      <c r="O101" s="31">
        <v>61492.89</v>
      </c>
      <c r="P101" s="31">
        <v>12328.58</v>
      </c>
      <c r="Q101" s="79">
        <f t="shared" si="3"/>
        <v>49164.31</v>
      </c>
    </row>
    <row r="102" spans="1:19" s="13" customFormat="1" ht="15.75" x14ac:dyDescent="0.25">
      <c r="A102" s="10"/>
      <c r="B102" s="62" t="s">
        <v>137</v>
      </c>
      <c r="C102" s="1" t="s">
        <v>17</v>
      </c>
      <c r="D102" s="165"/>
      <c r="E102" s="17" t="s">
        <v>35</v>
      </c>
      <c r="F102" s="73" t="s">
        <v>369</v>
      </c>
      <c r="G102" s="74" t="s">
        <v>112</v>
      </c>
      <c r="H102" s="75">
        <v>17</v>
      </c>
      <c r="I102" s="76">
        <v>7</v>
      </c>
      <c r="J102" s="96">
        <f>3+3</f>
        <v>6</v>
      </c>
      <c r="K102" s="77">
        <f>504.26+845.24+3380.96</f>
        <v>4730.46</v>
      </c>
      <c r="L102" s="77">
        <f>504.26</f>
        <v>504.26</v>
      </c>
      <c r="M102" s="78">
        <f t="shared" si="4"/>
        <v>4226.2</v>
      </c>
      <c r="N102" s="100">
        <f>5+1+1+2</f>
        <v>9</v>
      </c>
      <c r="O102" s="81">
        <f>2617.36+422.62+3852.18+3380.96</f>
        <v>10273.119999999999</v>
      </c>
      <c r="P102" s="81">
        <f>2617.36+422.62</f>
        <v>3039.98</v>
      </c>
      <c r="Q102" s="12">
        <f t="shared" si="3"/>
        <v>7233.1399999999994</v>
      </c>
      <c r="R102" s="141"/>
    </row>
    <row r="103" spans="1:19" s="13" customFormat="1" ht="15.75" x14ac:dyDescent="0.25">
      <c r="A103" s="10"/>
      <c r="B103" s="22" t="s">
        <v>137</v>
      </c>
      <c r="C103" s="1" t="s">
        <v>17</v>
      </c>
      <c r="D103" s="165"/>
      <c r="E103" s="17" t="s">
        <v>35</v>
      </c>
      <c r="F103" s="73" t="s">
        <v>429</v>
      </c>
      <c r="G103" s="11" t="s">
        <v>117</v>
      </c>
      <c r="H103" s="1">
        <v>1</v>
      </c>
      <c r="I103" s="49"/>
      <c r="J103" s="51"/>
      <c r="K103" s="37"/>
      <c r="L103" s="37"/>
      <c r="M103" s="78">
        <f t="shared" si="4"/>
        <v>0</v>
      </c>
      <c r="N103" s="39">
        <v>1</v>
      </c>
      <c r="O103" s="31">
        <v>7299.8</v>
      </c>
      <c r="P103" s="31">
        <v>7299.8</v>
      </c>
      <c r="Q103" s="79">
        <f t="shared" si="3"/>
        <v>0</v>
      </c>
    </row>
    <row r="104" spans="1:19" s="13" customFormat="1" ht="15.75" x14ac:dyDescent="0.25">
      <c r="A104" s="10"/>
      <c r="B104" s="30" t="s">
        <v>67</v>
      </c>
      <c r="C104" s="1" t="s">
        <v>17</v>
      </c>
      <c r="D104" s="165"/>
      <c r="E104" s="17" t="s">
        <v>21</v>
      </c>
      <c r="F104" s="73" t="s">
        <v>370</v>
      </c>
      <c r="G104" s="74" t="s">
        <v>112</v>
      </c>
      <c r="H104" s="75">
        <v>14</v>
      </c>
      <c r="I104" s="76">
        <v>6</v>
      </c>
      <c r="J104" s="96">
        <f>2+1+1+2+1</f>
        <v>7</v>
      </c>
      <c r="K104" s="77">
        <f>3319.85+1198.9+864.45</f>
        <v>5383.2</v>
      </c>
      <c r="L104" s="77"/>
      <c r="M104" s="38">
        <f t="shared" si="4"/>
        <v>5383.2</v>
      </c>
      <c r="N104" s="100">
        <f>4+9+4+4+1+3+1</f>
        <v>26</v>
      </c>
      <c r="O104" s="81">
        <f>29696.65+38129.03+13567.9+20687.05+2022.79+8145.77</f>
        <v>112249.18999999999</v>
      </c>
      <c r="P104" s="81">
        <f>34696.65+38129.03</f>
        <v>72825.679999999993</v>
      </c>
      <c r="Q104" s="12">
        <f t="shared" si="3"/>
        <v>39423.509999999995</v>
      </c>
      <c r="R104" s="141"/>
    </row>
    <row r="105" spans="1:19" s="13" customFormat="1" ht="15.75" x14ac:dyDescent="0.25">
      <c r="A105" s="10"/>
      <c r="B105" s="24" t="s">
        <v>67</v>
      </c>
      <c r="C105" s="1" t="s">
        <v>17</v>
      </c>
      <c r="D105" s="165"/>
      <c r="E105" s="17" t="s">
        <v>21</v>
      </c>
      <c r="F105" s="73" t="s">
        <v>440</v>
      </c>
      <c r="G105" s="11" t="s">
        <v>118</v>
      </c>
      <c r="H105" s="1">
        <v>9</v>
      </c>
      <c r="I105" s="49">
        <v>1</v>
      </c>
      <c r="J105" s="46"/>
      <c r="K105" s="40"/>
      <c r="L105" s="40"/>
      <c r="M105" s="78">
        <f t="shared" si="4"/>
        <v>0</v>
      </c>
      <c r="N105" s="41">
        <v>11</v>
      </c>
      <c r="O105" s="31">
        <v>46580.53</v>
      </c>
      <c r="P105" s="31">
        <v>16540.89</v>
      </c>
      <c r="Q105" s="79">
        <f t="shared" si="3"/>
        <v>30039.64</v>
      </c>
    </row>
    <row r="106" spans="1:19" s="13" customFormat="1" ht="15.75" x14ac:dyDescent="0.25">
      <c r="A106" s="10"/>
      <c r="B106" s="30" t="s">
        <v>68</v>
      </c>
      <c r="C106" s="1" t="s">
        <v>17</v>
      </c>
      <c r="D106" s="165"/>
      <c r="E106" s="17" t="s">
        <v>32</v>
      </c>
      <c r="F106" s="73" t="s">
        <v>371</v>
      </c>
      <c r="G106" s="74" t="s">
        <v>112</v>
      </c>
      <c r="H106" s="75">
        <v>12</v>
      </c>
      <c r="I106" s="76">
        <v>5</v>
      </c>
      <c r="J106" s="96">
        <f>2+1+2</f>
        <v>5</v>
      </c>
      <c r="K106" s="77">
        <f>1128.59+422.62+1152.6+4557.81</f>
        <v>7261.6200000000008</v>
      </c>
      <c r="L106" s="77">
        <f>422.62</f>
        <v>422.62</v>
      </c>
      <c r="M106" s="38">
        <f t="shared" si="4"/>
        <v>6839.0000000000009</v>
      </c>
      <c r="N106" s="100">
        <f>6+5+1+4</f>
        <v>16</v>
      </c>
      <c r="O106" s="81">
        <f>7813.73+8523.5+1452.28+12582.19</f>
        <v>30371.699999999997</v>
      </c>
      <c r="P106" s="81">
        <f>7813.73+8523.53</f>
        <v>16337.26</v>
      </c>
      <c r="Q106" s="12">
        <f t="shared" si="3"/>
        <v>14034.439999999997</v>
      </c>
      <c r="R106" s="141"/>
    </row>
    <row r="107" spans="1:19" s="13" customFormat="1" ht="15.75" x14ac:dyDescent="0.25">
      <c r="A107" s="10"/>
      <c r="B107" s="24" t="s">
        <v>68</v>
      </c>
      <c r="C107" s="1" t="s">
        <v>17</v>
      </c>
      <c r="D107" s="165"/>
      <c r="E107" s="17" t="s">
        <v>32</v>
      </c>
      <c r="F107" s="73" t="s">
        <v>430</v>
      </c>
      <c r="G107" s="8" t="s">
        <v>117</v>
      </c>
      <c r="H107" s="1">
        <v>1</v>
      </c>
      <c r="I107" s="49"/>
      <c r="J107" s="46"/>
      <c r="K107" s="40"/>
      <c r="L107" s="40"/>
      <c r="M107" s="78">
        <f t="shared" si="4"/>
        <v>0</v>
      </c>
      <c r="N107" s="41"/>
      <c r="O107" s="40"/>
      <c r="P107" s="40"/>
      <c r="Q107" s="79">
        <f t="shared" si="3"/>
        <v>0</v>
      </c>
    </row>
    <row r="108" spans="1:19" s="15" customFormat="1" ht="15.75" x14ac:dyDescent="0.25">
      <c r="A108" s="14"/>
      <c r="B108" s="28" t="s">
        <v>69</v>
      </c>
      <c r="C108" s="1" t="s">
        <v>17</v>
      </c>
      <c r="D108" s="165"/>
      <c r="E108" s="3" t="s">
        <v>20</v>
      </c>
      <c r="F108" s="73" t="s">
        <v>372</v>
      </c>
      <c r="G108" s="74" t="s">
        <v>112</v>
      </c>
      <c r="H108" s="75">
        <v>4</v>
      </c>
      <c r="I108" s="76">
        <v>2</v>
      </c>
      <c r="J108" s="96">
        <f>1+1</f>
        <v>2</v>
      </c>
      <c r="K108" s="77">
        <f>422.62+17390.69</f>
        <v>17813.309999999998</v>
      </c>
      <c r="L108" s="77"/>
      <c r="M108" s="38">
        <f t="shared" si="4"/>
        <v>17813.309999999998</v>
      </c>
      <c r="N108" s="100">
        <f>3+2+1+1</f>
        <v>7</v>
      </c>
      <c r="O108" s="77">
        <f>7210.31+3647.96+1306.28+1267.86</f>
        <v>13432.410000000002</v>
      </c>
      <c r="P108" s="77">
        <f>7201.31+3647.96+1306.28</f>
        <v>12155.550000000001</v>
      </c>
      <c r="Q108" s="12">
        <f t="shared" si="3"/>
        <v>1276.8600000000006</v>
      </c>
      <c r="R108" s="141"/>
    </row>
    <row r="109" spans="1:19" s="13" customFormat="1" ht="15.75" x14ac:dyDescent="0.25">
      <c r="A109" s="10"/>
      <c r="B109" s="62" t="s">
        <v>70</v>
      </c>
      <c r="C109" s="1" t="s">
        <v>17</v>
      </c>
      <c r="D109" s="165"/>
      <c r="E109" s="3" t="s">
        <v>20</v>
      </c>
      <c r="F109" s="73" t="s">
        <v>373</v>
      </c>
      <c r="G109" s="74" t="s">
        <v>112</v>
      </c>
      <c r="H109" s="75">
        <v>7</v>
      </c>
      <c r="I109" s="76">
        <v>2</v>
      </c>
      <c r="J109" s="96">
        <f>2</f>
        <v>2</v>
      </c>
      <c r="K109" s="77">
        <f>1959.42</f>
        <v>1959.42</v>
      </c>
      <c r="L109" s="77"/>
      <c r="M109" s="78">
        <f t="shared" si="4"/>
        <v>1959.42</v>
      </c>
      <c r="N109" s="100">
        <f>2+3+4</f>
        <v>9</v>
      </c>
      <c r="O109" s="81">
        <v>7606.2</v>
      </c>
      <c r="P109" s="81">
        <f>3534.95</f>
        <v>3534.95</v>
      </c>
      <c r="Q109" s="79">
        <f t="shared" si="3"/>
        <v>4071.25</v>
      </c>
      <c r="R109" s="141"/>
    </row>
    <row r="110" spans="1:19" s="13" customFormat="1" ht="15.75" x14ac:dyDescent="0.25">
      <c r="A110" s="10"/>
      <c r="B110" s="22" t="s">
        <v>70</v>
      </c>
      <c r="C110" s="1" t="s">
        <v>17</v>
      </c>
      <c r="D110" s="165"/>
      <c r="E110" s="3" t="s">
        <v>20</v>
      </c>
      <c r="F110" s="73" t="s">
        <v>460</v>
      </c>
      <c r="G110" s="11" t="s">
        <v>114</v>
      </c>
      <c r="H110" s="1">
        <v>21</v>
      </c>
      <c r="I110" s="49">
        <v>1</v>
      </c>
      <c r="J110" s="51">
        <v>1</v>
      </c>
      <c r="K110" s="40"/>
      <c r="L110" s="40"/>
      <c r="M110" s="38">
        <f t="shared" si="4"/>
        <v>0</v>
      </c>
      <c r="N110" s="41">
        <v>28</v>
      </c>
      <c r="O110" s="31">
        <v>42931.54</v>
      </c>
      <c r="P110" s="31">
        <v>42931.54</v>
      </c>
      <c r="Q110" s="12">
        <f t="shared" si="3"/>
        <v>0</v>
      </c>
    </row>
    <row r="111" spans="1:19" s="15" customFormat="1" ht="15.75" x14ac:dyDescent="0.25">
      <c r="A111" s="14"/>
      <c r="B111" s="80" t="s">
        <v>71</v>
      </c>
      <c r="C111" s="1" t="s">
        <v>17</v>
      </c>
      <c r="D111" s="165"/>
      <c r="E111" s="3" t="s">
        <v>32</v>
      </c>
      <c r="F111" s="73" t="s">
        <v>374</v>
      </c>
      <c r="G111" s="74" t="s">
        <v>112</v>
      </c>
      <c r="H111" s="75">
        <v>11</v>
      </c>
      <c r="I111" s="76">
        <v>7</v>
      </c>
      <c r="J111" s="96">
        <f>3+1+2+1</f>
        <v>7</v>
      </c>
      <c r="K111" s="77">
        <f>1536.8+461.04+1748.88</f>
        <v>3746.7200000000003</v>
      </c>
      <c r="L111" s="77"/>
      <c r="M111" s="78">
        <f t="shared" si="4"/>
        <v>3746.7200000000003</v>
      </c>
      <c r="N111" s="100">
        <f>3+2+1+1</f>
        <v>7</v>
      </c>
      <c r="O111" s="81">
        <f>9567.93+3616.67+403.41</f>
        <v>13588.01</v>
      </c>
      <c r="P111" s="81">
        <f>9567.93</f>
        <v>9567.93</v>
      </c>
      <c r="Q111" s="79">
        <f t="shared" si="3"/>
        <v>4020.08</v>
      </c>
      <c r="R111" s="141"/>
      <c r="S111" s="36"/>
    </row>
    <row r="112" spans="1:19" s="15" customFormat="1" ht="15.75" x14ac:dyDescent="0.25">
      <c r="A112" s="14"/>
      <c r="B112" s="23" t="s">
        <v>71</v>
      </c>
      <c r="C112" s="1" t="s">
        <v>17</v>
      </c>
      <c r="D112" s="165"/>
      <c r="E112" s="3" t="s">
        <v>32</v>
      </c>
      <c r="F112" s="73" t="s">
        <v>431</v>
      </c>
      <c r="G112" s="11" t="s">
        <v>115</v>
      </c>
      <c r="H112" s="1">
        <v>5</v>
      </c>
      <c r="I112" s="48">
        <v>3</v>
      </c>
      <c r="J112" s="45">
        <v>3</v>
      </c>
      <c r="K112" s="40">
        <v>5570.9</v>
      </c>
      <c r="L112" s="40"/>
      <c r="M112" s="38">
        <f t="shared" si="4"/>
        <v>5570.9</v>
      </c>
      <c r="N112" s="39">
        <f>5</f>
        <v>5</v>
      </c>
      <c r="O112" s="40">
        <v>6595.5</v>
      </c>
      <c r="P112" s="40">
        <v>6595.5</v>
      </c>
      <c r="Q112" s="12">
        <f t="shared" si="3"/>
        <v>0</v>
      </c>
    </row>
    <row r="113" spans="1:18" s="13" customFormat="1" ht="15.75" x14ac:dyDescent="0.25">
      <c r="A113" s="10"/>
      <c r="B113" s="62" t="s">
        <v>319</v>
      </c>
      <c r="C113" s="1" t="s">
        <v>17</v>
      </c>
      <c r="D113" s="165"/>
      <c r="E113" s="3" t="s">
        <v>20</v>
      </c>
      <c r="F113" s="73" t="s">
        <v>375</v>
      </c>
      <c r="G113" s="74" t="s">
        <v>112</v>
      </c>
      <c r="H113" s="75">
        <v>20</v>
      </c>
      <c r="I113" s="76">
        <v>8</v>
      </c>
      <c r="J113" s="96">
        <f>2+1+4+3</f>
        <v>10</v>
      </c>
      <c r="K113" s="77">
        <f>710.77+1523.35+6753.23+7215.52+1437.48</f>
        <v>17640.349999999999</v>
      </c>
      <c r="L113" s="77"/>
      <c r="M113" s="78">
        <f>K113-L113</f>
        <v>17640.349999999999</v>
      </c>
      <c r="N113" s="100">
        <f>3+1+2+1</f>
        <v>7</v>
      </c>
      <c r="O113" s="77">
        <f>13419.94+726.71+2846.77+3770.56</f>
        <v>20763.980000000003</v>
      </c>
      <c r="P113" s="77">
        <f>13419.94+1592.75</f>
        <v>15012.69</v>
      </c>
      <c r="Q113" s="79">
        <f>O113-P113</f>
        <v>5751.2900000000027</v>
      </c>
      <c r="R113" s="141"/>
    </row>
    <row r="114" spans="1:18" s="15" customFormat="1" ht="15.75" x14ac:dyDescent="0.25">
      <c r="A114" s="14"/>
      <c r="B114" s="62" t="s">
        <v>150</v>
      </c>
      <c r="C114" s="1" t="s">
        <v>17</v>
      </c>
      <c r="D114" s="165"/>
      <c r="E114" s="3" t="s">
        <v>35</v>
      </c>
      <c r="F114" s="73" t="s">
        <v>376</v>
      </c>
      <c r="G114" s="74" t="s">
        <v>112</v>
      </c>
      <c r="H114" s="75">
        <v>9</v>
      </c>
      <c r="I114" s="76">
        <v>4</v>
      </c>
      <c r="J114" s="97">
        <f>1+1+2</f>
        <v>4</v>
      </c>
      <c r="K114" s="77">
        <f>1343.65+384.2</f>
        <v>1727.8500000000001</v>
      </c>
      <c r="L114" s="77">
        <f>403.41</f>
        <v>403.41</v>
      </c>
      <c r="M114" s="78">
        <f t="shared" si="4"/>
        <v>1324.44</v>
      </c>
      <c r="N114" s="114">
        <f>8+1+1+2+3</f>
        <v>15</v>
      </c>
      <c r="O114" s="77">
        <f>5997.32+3719.39+3054.34+13138.17</f>
        <v>25909.22</v>
      </c>
      <c r="P114" s="81">
        <f>3885.22+2113.1+4659.63</f>
        <v>10657.95</v>
      </c>
      <c r="Q114" s="79">
        <f t="shared" si="3"/>
        <v>15251.27</v>
      </c>
      <c r="R114" s="141"/>
    </row>
    <row r="115" spans="1:18" s="15" customFormat="1" ht="15.75" x14ac:dyDescent="0.25">
      <c r="A115" s="14"/>
      <c r="B115" s="50" t="s">
        <v>150</v>
      </c>
      <c r="C115" s="1" t="s">
        <v>17</v>
      </c>
      <c r="D115" s="165"/>
      <c r="E115" s="3" t="s">
        <v>32</v>
      </c>
      <c r="F115" s="73" t="s">
        <v>487</v>
      </c>
      <c r="G115" s="11" t="s">
        <v>117</v>
      </c>
      <c r="H115" s="1"/>
      <c r="I115" s="48"/>
      <c r="J115" s="45"/>
      <c r="K115" s="40"/>
      <c r="L115" s="37"/>
      <c r="M115" s="38">
        <f t="shared" si="4"/>
        <v>0</v>
      </c>
      <c r="N115" s="42">
        <v>1</v>
      </c>
      <c r="O115" s="40">
        <v>4226.2</v>
      </c>
      <c r="P115" s="40"/>
      <c r="Q115" s="12">
        <f t="shared" si="3"/>
        <v>4226.2</v>
      </c>
    </row>
    <row r="116" spans="1:18" s="13" customFormat="1" ht="15.75" x14ac:dyDescent="0.25">
      <c r="A116" s="10"/>
      <c r="B116" s="30" t="s">
        <v>72</v>
      </c>
      <c r="C116" s="1" t="s">
        <v>17</v>
      </c>
      <c r="D116" s="165"/>
      <c r="E116" s="3" t="s">
        <v>21</v>
      </c>
      <c r="F116" s="73" t="s">
        <v>377</v>
      </c>
      <c r="G116" s="74" t="s">
        <v>112</v>
      </c>
      <c r="H116" s="75">
        <v>14</v>
      </c>
      <c r="I116" s="76">
        <v>2</v>
      </c>
      <c r="J116" s="96">
        <f>1+1+1</f>
        <v>3</v>
      </c>
      <c r="K116" s="77">
        <f>633.93+1415.78+1610.18</f>
        <v>3659.8900000000003</v>
      </c>
      <c r="L116" s="77"/>
      <c r="M116" s="78">
        <f t="shared" si="4"/>
        <v>3659.8900000000003</v>
      </c>
      <c r="N116" s="100">
        <f>1+3+1+1+1</f>
        <v>7</v>
      </c>
      <c r="O116" s="81">
        <f>1950.74+10237.13+6595.95+3861.21+1348.53</f>
        <v>23993.559999999998</v>
      </c>
      <c r="P116" s="81">
        <f>1951.74+10237.13</f>
        <v>12188.869999999999</v>
      </c>
      <c r="Q116" s="79">
        <f t="shared" si="3"/>
        <v>11804.689999999999</v>
      </c>
      <c r="R116" s="141"/>
    </row>
    <row r="117" spans="1:18" s="13" customFormat="1" ht="15.75" x14ac:dyDescent="0.25">
      <c r="A117" s="10"/>
      <c r="B117" s="24" t="s">
        <v>72</v>
      </c>
      <c r="C117" s="1" t="s">
        <v>17</v>
      </c>
      <c r="D117" s="165"/>
      <c r="E117" s="3" t="s">
        <v>21</v>
      </c>
      <c r="F117" s="73" t="s">
        <v>441</v>
      </c>
      <c r="G117" s="11" t="s">
        <v>118</v>
      </c>
      <c r="H117" s="1">
        <v>5</v>
      </c>
      <c r="I117" s="49"/>
      <c r="J117" s="46"/>
      <c r="K117" s="40"/>
      <c r="L117" s="40"/>
      <c r="M117" s="38">
        <f t="shared" si="4"/>
        <v>0</v>
      </c>
      <c r="N117" s="41">
        <v>12</v>
      </c>
      <c r="O117" s="31">
        <v>45577.03</v>
      </c>
      <c r="P117" s="31">
        <v>12247.68</v>
      </c>
      <c r="Q117" s="12">
        <f t="shared" si="3"/>
        <v>33329.35</v>
      </c>
    </row>
    <row r="118" spans="1:18" s="15" customFormat="1" ht="15.75" x14ac:dyDescent="0.25">
      <c r="A118" s="14"/>
      <c r="B118" s="84" t="s">
        <v>73</v>
      </c>
      <c r="C118" s="1" t="s">
        <v>17</v>
      </c>
      <c r="D118" s="165"/>
      <c r="E118" s="3" t="s">
        <v>74</v>
      </c>
      <c r="F118" s="73" t="s">
        <v>378</v>
      </c>
      <c r="G118" s="74" t="s">
        <v>112</v>
      </c>
      <c r="H118" s="75">
        <v>16</v>
      </c>
      <c r="I118" s="76">
        <v>15</v>
      </c>
      <c r="J118" s="96">
        <f>9+8+2</f>
        <v>19</v>
      </c>
      <c r="K118" s="77">
        <f>6305.33</f>
        <v>6305.33</v>
      </c>
      <c r="L118" s="77"/>
      <c r="M118" s="78">
        <f t="shared" si="4"/>
        <v>6305.33</v>
      </c>
      <c r="N118" s="100">
        <f>5+3+3+1</f>
        <v>12</v>
      </c>
      <c r="O118" s="81">
        <f>5416.39+9506.99</f>
        <v>14923.380000000001</v>
      </c>
      <c r="P118" s="81">
        <f>5417.39</f>
        <v>5417.39</v>
      </c>
      <c r="Q118" s="79">
        <f t="shared" si="3"/>
        <v>9505.9900000000016</v>
      </c>
      <c r="R118" s="141"/>
    </row>
    <row r="119" spans="1:18" s="15" customFormat="1" ht="15.75" x14ac:dyDescent="0.25">
      <c r="A119" s="14"/>
      <c r="B119" s="29" t="s">
        <v>73</v>
      </c>
      <c r="C119" s="1" t="s">
        <v>17</v>
      </c>
      <c r="D119" s="165"/>
      <c r="E119" s="3" t="s">
        <v>74</v>
      </c>
      <c r="F119" s="73" t="s">
        <v>282</v>
      </c>
      <c r="G119" s="11" t="s">
        <v>114</v>
      </c>
      <c r="H119" s="1"/>
      <c r="I119" s="49"/>
      <c r="J119" s="51"/>
      <c r="K119" s="40"/>
      <c r="L119" s="40"/>
      <c r="M119" s="38">
        <f t="shared" si="4"/>
        <v>0</v>
      </c>
      <c r="N119" s="42">
        <v>1</v>
      </c>
      <c r="O119" s="31">
        <v>19379.400000000001</v>
      </c>
      <c r="P119" s="31">
        <v>19379.400000000001</v>
      </c>
      <c r="Q119" s="12">
        <f t="shared" si="3"/>
        <v>0</v>
      </c>
    </row>
    <row r="120" spans="1:18" s="13" customFormat="1" ht="15.75" x14ac:dyDescent="0.25">
      <c r="A120" s="10"/>
      <c r="B120" s="30" t="s">
        <v>135</v>
      </c>
      <c r="C120" s="1" t="s">
        <v>17</v>
      </c>
      <c r="D120" s="165"/>
      <c r="E120" s="17" t="s">
        <v>35</v>
      </c>
      <c r="F120" s="73" t="s">
        <v>379</v>
      </c>
      <c r="G120" s="74" t="s">
        <v>112</v>
      </c>
      <c r="H120" s="75">
        <v>14</v>
      </c>
      <c r="I120" s="76">
        <v>6</v>
      </c>
      <c r="J120" s="96">
        <f>1+6</f>
        <v>7</v>
      </c>
      <c r="K120" s="77">
        <f>697.32+4374.12</f>
        <v>5071.4399999999996</v>
      </c>
      <c r="L120" s="77">
        <f>697.32</f>
        <v>697.32</v>
      </c>
      <c r="M120" s="38">
        <f t="shared" si="4"/>
        <v>4374.12</v>
      </c>
      <c r="N120" s="100">
        <f>2+5+1+2+2</f>
        <v>12</v>
      </c>
      <c r="O120" s="81">
        <f>6432.89+2283.68</f>
        <v>8716.57</v>
      </c>
      <c r="P120" s="81">
        <f>6432.89</f>
        <v>6432.89</v>
      </c>
      <c r="Q120" s="12">
        <f t="shared" si="3"/>
        <v>2283.6799999999994</v>
      </c>
      <c r="R120" s="141"/>
    </row>
    <row r="121" spans="1:18" s="13" customFormat="1" ht="15.75" x14ac:dyDescent="0.25">
      <c r="A121" s="10"/>
      <c r="B121" s="24" t="s">
        <v>135</v>
      </c>
      <c r="C121" s="1" t="s">
        <v>17</v>
      </c>
      <c r="D121" s="165"/>
      <c r="E121" s="17" t="s">
        <v>35</v>
      </c>
      <c r="F121" s="73" t="s">
        <v>432</v>
      </c>
      <c r="G121" s="11" t="s">
        <v>115</v>
      </c>
      <c r="H121" s="1"/>
      <c r="I121" s="49"/>
      <c r="J121" s="46"/>
      <c r="K121" s="40"/>
      <c r="L121" s="40"/>
      <c r="M121" s="78">
        <f t="shared" si="4"/>
        <v>0</v>
      </c>
      <c r="N121" s="41">
        <v>1</v>
      </c>
      <c r="O121" s="31">
        <v>2689.4</v>
      </c>
      <c r="P121" s="31"/>
      <c r="Q121" s="79">
        <f t="shared" si="3"/>
        <v>2689.4</v>
      </c>
    </row>
    <row r="122" spans="1:18" s="13" customFormat="1" ht="15.75" x14ac:dyDescent="0.25">
      <c r="A122" s="10"/>
      <c r="B122" s="30" t="s">
        <v>145</v>
      </c>
      <c r="C122" s="1" t="s">
        <v>17</v>
      </c>
      <c r="D122" s="165"/>
      <c r="E122" s="17" t="s">
        <v>20</v>
      </c>
      <c r="F122" s="73" t="s">
        <v>380</v>
      </c>
      <c r="G122" s="74" t="s">
        <v>112</v>
      </c>
      <c r="H122" s="75">
        <v>4</v>
      </c>
      <c r="I122" s="82">
        <v>3</v>
      </c>
      <c r="J122" s="96">
        <f>2+1+1</f>
        <v>4</v>
      </c>
      <c r="K122" s="77">
        <f>5169.72+1100+538.84</f>
        <v>6808.56</v>
      </c>
      <c r="L122" s="77">
        <f>949.36</f>
        <v>949.36</v>
      </c>
      <c r="M122" s="38">
        <f t="shared" si="4"/>
        <v>5859.2000000000007</v>
      </c>
      <c r="N122" s="100">
        <f>1+1+2+1</f>
        <v>5</v>
      </c>
      <c r="O122" s="81">
        <f>5120.23+3915.15+1114.12</f>
        <v>10149.5</v>
      </c>
      <c r="P122" s="81">
        <f>5120.23+3915.15</f>
        <v>9035.3799999999992</v>
      </c>
      <c r="Q122" s="12">
        <f t="shared" si="3"/>
        <v>1114.1200000000008</v>
      </c>
      <c r="R122" s="141"/>
    </row>
    <row r="123" spans="1:18" s="13" customFormat="1" ht="15.75" x14ac:dyDescent="0.25">
      <c r="A123" s="10"/>
      <c r="B123" s="24" t="s">
        <v>145</v>
      </c>
      <c r="C123" s="1" t="s">
        <v>17</v>
      </c>
      <c r="D123" s="165"/>
      <c r="E123" s="17" t="s">
        <v>20</v>
      </c>
      <c r="F123" s="73" t="s">
        <v>461</v>
      </c>
      <c r="G123" s="11" t="s">
        <v>114</v>
      </c>
      <c r="H123" s="1">
        <v>2</v>
      </c>
      <c r="I123" s="49"/>
      <c r="J123" s="51"/>
      <c r="K123" s="40"/>
      <c r="L123" s="40"/>
      <c r="M123" s="78">
        <f t="shared" si="4"/>
        <v>0</v>
      </c>
      <c r="N123" s="41">
        <v>9</v>
      </c>
      <c r="O123" s="31"/>
      <c r="P123" s="31"/>
      <c r="Q123" s="79">
        <f t="shared" si="3"/>
        <v>0</v>
      </c>
    </row>
    <row r="124" spans="1:18" s="13" customFormat="1" ht="15.75" x14ac:dyDescent="0.25">
      <c r="A124" s="10"/>
      <c r="B124" s="62" t="s">
        <v>76</v>
      </c>
      <c r="C124" s="1" t="s">
        <v>17</v>
      </c>
      <c r="D124" s="165"/>
      <c r="E124" s="3" t="s">
        <v>20</v>
      </c>
      <c r="F124" s="73" t="s">
        <v>381</v>
      </c>
      <c r="G124" s="74" t="s">
        <v>112</v>
      </c>
      <c r="H124" s="75">
        <v>17</v>
      </c>
      <c r="I124" s="76">
        <v>12</v>
      </c>
      <c r="J124" s="96">
        <f>1+6+3+1+3</f>
        <v>14</v>
      </c>
      <c r="K124" s="77">
        <f>6556.06+2806.39+2697.06+1267.86</f>
        <v>13327.37</v>
      </c>
      <c r="L124" s="77">
        <f>384.2+6556.06</f>
        <v>6940.26</v>
      </c>
      <c r="M124" s="38">
        <f t="shared" si="4"/>
        <v>6387.1100000000006</v>
      </c>
      <c r="N124" s="100">
        <f>5+6+2+1</f>
        <v>14</v>
      </c>
      <c r="O124" s="81">
        <f>11527.9+19846.52+1011.91+9641+2451.87</f>
        <v>44479.200000000004</v>
      </c>
      <c r="P124" s="81">
        <f>11144.7+8114.23</f>
        <v>19258.93</v>
      </c>
      <c r="Q124" s="12">
        <f t="shared" si="3"/>
        <v>25220.270000000004</v>
      </c>
      <c r="R124" s="141"/>
    </row>
    <row r="125" spans="1:18" s="13" customFormat="1" ht="15.75" x14ac:dyDescent="0.25">
      <c r="A125" s="10"/>
      <c r="B125" s="22" t="s">
        <v>76</v>
      </c>
      <c r="C125" s="1" t="s">
        <v>17</v>
      </c>
      <c r="D125" s="165"/>
      <c r="E125" s="3" t="s">
        <v>20</v>
      </c>
      <c r="F125" s="73" t="s">
        <v>462</v>
      </c>
      <c r="G125" s="11" t="s">
        <v>114</v>
      </c>
      <c r="H125" s="1">
        <v>6</v>
      </c>
      <c r="I125" s="49">
        <v>1</v>
      </c>
      <c r="J125" s="51">
        <v>1</v>
      </c>
      <c r="K125" s="40"/>
      <c r="L125" s="40"/>
      <c r="M125" s="78">
        <f t="shared" si="4"/>
        <v>0</v>
      </c>
      <c r="N125" s="41">
        <v>9</v>
      </c>
      <c r="O125" s="31">
        <v>23172.09</v>
      </c>
      <c r="P125" s="31">
        <v>23172.09</v>
      </c>
      <c r="Q125" s="79">
        <f t="shared" si="3"/>
        <v>0</v>
      </c>
    </row>
    <row r="126" spans="1:18" s="13" customFormat="1" ht="15.75" x14ac:dyDescent="0.25">
      <c r="A126" s="10"/>
      <c r="B126" s="30" t="s">
        <v>77</v>
      </c>
      <c r="C126" s="1" t="s">
        <v>17</v>
      </c>
      <c r="D126" s="165"/>
      <c r="E126" s="3" t="s">
        <v>32</v>
      </c>
      <c r="F126" s="73" t="s">
        <v>388</v>
      </c>
      <c r="G126" s="74" t="s">
        <v>112</v>
      </c>
      <c r="H126" s="75">
        <v>10</v>
      </c>
      <c r="I126" s="76">
        <v>5</v>
      </c>
      <c r="J126" s="96">
        <f>2+2+2</f>
        <v>6</v>
      </c>
      <c r="K126" s="77">
        <f>2440.63+1507.02</f>
        <v>3947.65</v>
      </c>
      <c r="L126" s="77"/>
      <c r="M126" s="38">
        <f t="shared" si="4"/>
        <v>3947.65</v>
      </c>
      <c r="N126" s="100">
        <f>5+2+3+3+1</f>
        <v>14</v>
      </c>
      <c r="O126" s="81">
        <f>11716.73+6848.82+4046.18+11166.34+8845.95</f>
        <v>42624.020000000004</v>
      </c>
      <c r="P126" s="81">
        <f>11716.73+6848.82</f>
        <v>18565.55</v>
      </c>
      <c r="Q126" s="12">
        <f t="shared" si="3"/>
        <v>24058.470000000005</v>
      </c>
      <c r="R126" s="141"/>
    </row>
    <row r="127" spans="1:18" s="13" customFormat="1" ht="15.75" x14ac:dyDescent="0.25">
      <c r="A127" s="10"/>
      <c r="B127" s="24" t="s">
        <v>77</v>
      </c>
      <c r="C127" s="1" t="s">
        <v>17</v>
      </c>
      <c r="D127" s="165"/>
      <c r="E127" s="3" t="s">
        <v>32</v>
      </c>
      <c r="F127" s="73" t="s">
        <v>433</v>
      </c>
      <c r="G127" s="11" t="s">
        <v>117</v>
      </c>
      <c r="H127" s="1">
        <v>1</v>
      </c>
      <c r="I127" s="49"/>
      <c r="J127" s="46"/>
      <c r="K127" s="40"/>
      <c r="L127" s="40"/>
      <c r="M127" s="78">
        <f t="shared" si="4"/>
        <v>0</v>
      </c>
      <c r="N127" s="41">
        <v>6</v>
      </c>
      <c r="O127" s="31">
        <v>15666.81</v>
      </c>
      <c r="P127" s="31">
        <v>15666.81</v>
      </c>
      <c r="Q127" s="79">
        <f t="shared" si="3"/>
        <v>0</v>
      </c>
    </row>
    <row r="128" spans="1:18" s="13" customFormat="1" ht="15.75" x14ac:dyDescent="0.25">
      <c r="A128" s="10"/>
      <c r="B128" s="24" t="s">
        <v>321</v>
      </c>
      <c r="C128" s="1" t="s">
        <v>17</v>
      </c>
      <c r="D128" s="165"/>
      <c r="E128" s="3" t="s">
        <v>21</v>
      </c>
      <c r="F128" s="73" t="s">
        <v>489</v>
      </c>
      <c r="G128" s="11" t="s">
        <v>112</v>
      </c>
      <c r="H128" s="1">
        <v>3</v>
      </c>
      <c r="I128" s="49"/>
      <c r="J128" s="46"/>
      <c r="K128" s="40"/>
      <c r="L128" s="40"/>
      <c r="M128" s="78"/>
      <c r="N128" s="41"/>
      <c r="O128" s="31"/>
      <c r="P128" s="31"/>
      <c r="Q128" s="79"/>
      <c r="R128" s="141"/>
    </row>
    <row r="129" spans="1:18" s="13" customFormat="1" ht="31.5" x14ac:dyDescent="0.25">
      <c r="A129" s="10"/>
      <c r="B129" s="62" t="s">
        <v>79</v>
      </c>
      <c r="C129" s="1" t="s">
        <v>304</v>
      </c>
      <c r="D129" s="165" t="s">
        <v>385</v>
      </c>
      <c r="E129" s="3" t="s">
        <v>18</v>
      </c>
      <c r="F129" s="73" t="s">
        <v>389</v>
      </c>
      <c r="G129" s="74" t="s">
        <v>112</v>
      </c>
      <c r="H129" s="75">
        <v>10</v>
      </c>
      <c r="I129" s="76">
        <v>6</v>
      </c>
      <c r="J129" s="96">
        <f>2+5</f>
        <v>7</v>
      </c>
      <c r="K129" s="77">
        <f>2091.97+3190.2</f>
        <v>5282.17</v>
      </c>
      <c r="L129" s="77"/>
      <c r="M129" s="38">
        <f t="shared" si="4"/>
        <v>5282.17</v>
      </c>
      <c r="N129" s="100">
        <f>2+2+1+2+1</f>
        <v>8</v>
      </c>
      <c r="O129" s="81">
        <f>1547.4+4166.12+7835.61+1675.01+4717.63</f>
        <v>19941.77</v>
      </c>
      <c r="P129" s="81">
        <f>1548.4+2451.87+1714.25</f>
        <v>5714.52</v>
      </c>
      <c r="Q129" s="12">
        <f t="shared" si="3"/>
        <v>14227.25</v>
      </c>
      <c r="R129" s="141"/>
    </row>
    <row r="130" spans="1:18" s="13" customFormat="1" ht="31.5" x14ac:dyDescent="0.25">
      <c r="A130" s="10"/>
      <c r="B130" s="22" t="s">
        <v>79</v>
      </c>
      <c r="C130" s="1" t="s">
        <v>304</v>
      </c>
      <c r="D130" s="165" t="s">
        <v>475</v>
      </c>
      <c r="E130" s="3" t="s">
        <v>18</v>
      </c>
      <c r="F130" s="73" t="s">
        <v>329</v>
      </c>
      <c r="G130" s="11" t="s">
        <v>113</v>
      </c>
      <c r="H130" s="1">
        <v>23</v>
      </c>
      <c r="I130" s="53">
        <v>8</v>
      </c>
      <c r="J130" s="127">
        <v>8</v>
      </c>
      <c r="K130" s="31">
        <v>11975</v>
      </c>
      <c r="L130" s="31"/>
      <c r="M130" s="78">
        <f t="shared" si="4"/>
        <v>11975</v>
      </c>
      <c r="N130" s="41">
        <v>9</v>
      </c>
      <c r="O130" s="31">
        <v>35959</v>
      </c>
      <c r="P130" s="31">
        <v>26815</v>
      </c>
      <c r="Q130" s="79">
        <f t="shared" si="3"/>
        <v>9144</v>
      </c>
    </row>
    <row r="131" spans="1:18" s="13" customFormat="1" ht="15.75" x14ac:dyDescent="0.25">
      <c r="A131" s="10"/>
      <c r="B131" s="62" t="s">
        <v>151</v>
      </c>
      <c r="C131" s="1" t="s">
        <v>17</v>
      </c>
      <c r="D131" s="165"/>
      <c r="E131" s="3" t="s">
        <v>32</v>
      </c>
      <c r="F131" s="73" t="s">
        <v>390</v>
      </c>
      <c r="G131" s="74" t="s">
        <v>112</v>
      </c>
      <c r="H131" s="75">
        <v>28</v>
      </c>
      <c r="I131" s="82">
        <v>15</v>
      </c>
      <c r="J131" s="96">
        <f>1+3+3+5+3</f>
        <v>15</v>
      </c>
      <c r="K131" s="81">
        <f>2317+4640.19+5864.19</f>
        <v>12821.38</v>
      </c>
      <c r="L131" s="81"/>
      <c r="M131" s="38">
        <f t="shared" si="4"/>
        <v>12821.38</v>
      </c>
      <c r="N131" s="100">
        <f>9+3+5+1+4</f>
        <v>22</v>
      </c>
      <c r="O131" s="81">
        <f>10726.94+18822.65+5703.53+12846.53+1320.36</f>
        <v>49420.01</v>
      </c>
      <c r="P131" s="81">
        <f>10726.94</f>
        <v>10726.94</v>
      </c>
      <c r="Q131" s="12">
        <f t="shared" si="3"/>
        <v>38693.07</v>
      </c>
      <c r="R131" s="141"/>
    </row>
    <row r="132" spans="1:18" s="13" customFormat="1" ht="15.75" x14ac:dyDescent="0.25">
      <c r="A132" s="10"/>
      <c r="B132" s="22" t="s">
        <v>151</v>
      </c>
      <c r="C132" s="1" t="s">
        <v>17</v>
      </c>
      <c r="D132" s="165"/>
      <c r="E132" s="3" t="s">
        <v>32</v>
      </c>
      <c r="F132" s="73" t="s">
        <v>434</v>
      </c>
      <c r="G132" s="11" t="s">
        <v>117</v>
      </c>
      <c r="H132" s="1">
        <v>5</v>
      </c>
      <c r="I132" s="49"/>
      <c r="J132" s="46"/>
      <c r="K132" s="40"/>
      <c r="L132" s="40"/>
      <c r="M132" s="78">
        <f t="shared" si="4"/>
        <v>0</v>
      </c>
      <c r="N132" s="41">
        <v>12</v>
      </c>
      <c r="O132" s="31">
        <v>22129.3</v>
      </c>
      <c r="P132" s="31">
        <v>14253.2</v>
      </c>
      <c r="Q132" s="79">
        <f t="shared" si="3"/>
        <v>7876.0999999999985</v>
      </c>
    </row>
    <row r="133" spans="1:18" s="13" customFormat="1" ht="15.75" x14ac:dyDescent="0.25">
      <c r="A133" s="10"/>
      <c r="B133" s="62" t="s">
        <v>80</v>
      </c>
      <c r="C133" s="1" t="s">
        <v>17</v>
      </c>
      <c r="D133" s="165"/>
      <c r="E133" s="3" t="s">
        <v>81</v>
      </c>
      <c r="F133" s="73" t="s">
        <v>417</v>
      </c>
      <c r="G133" s="74" t="s">
        <v>112</v>
      </c>
      <c r="H133" s="75"/>
      <c r="I133" s="76"/>
      <c r="J133" s="96"/>
      <c r="K133" s="77"/>
      <c r="L133" s="77"/>
      <c r="M133" s="38">
        <f t="shared" si="4"/>
        <v>0</v>
      </c>
      <c r="N133" s="100">
        <f>2</f>
        <v>2</v>
      </c>
      <c r="O133" s="81">
        <f>3040.94</f>
        <v>3040.94</v>
      </c>
      <c r="P133" s="81">
        <f>3040.94</f>
        <v>3040.94</v>
      </c>
      <c r="Q133" s="12">
        <f t="shared" si="3"/>
        <v>0</v>
      </c>
      <c r="R133" s="141"/>
    </row>
    <row r="134" spans="1:18" s="13" customFormat="1" ht="15.75" x14ac:dyDescent="0.25">
      <c r="A134" s="10"/>
      <c r="B134" s="22" t="s">
        <v>80</v>
      </c>
      <c r="C134" s="1" t="s">
        <v>17</v>
      </c>
      <c r="D134" s="165"/>
      <c r="E134" s="3" t="s">
        <v>81</v>
      </c>
      <c r="F134" s="73" t="s">
        <v>285</v>
      </c>
      <c r="G134" s="11" t="s">
        <v>114</v>
      </c>
      <c r="H134" s="1"/>
      <c r="I134" s="49"/>
      <c r="J134" s="51"/>
      <c r="K134" s="40"/>
      <c r="L134" s="40"/>
      <c r="M134" s="78">
        <f t="shared" si="4"/>
        <v>0</v>
      </c>
      <c r="N134" s="41">
        <v>17</v>
      </c>
      <c r="O134" s="31">
        <f>21200.04</f>
        <v>21200.04</v>
      </c>
      <c r="P134" s="31">
        <v>21200</v>
      </c>
      <c r="Q134" s="79">
        <f t="shared" si="3"/>
        <v>4.0000000000873115E-2</v>
      </c>
    </row>
    <row r="135" spans="1:18" s="13" customFormat="1" ht="15.75" x14ac:dyDescent="0.25">
      <c r="A135" s="10"/>
      <c r="B135" s="30" t="s">
        <v>82</v>
      </c>
      <c r="C135" s="1" t="s">
        <v>17</v>
      </c>
      <c r="D135" s="165"/>
      <c r="E135" s="3" t="s">
        <v>20</v>
      </c>
      <c r="F135" s="73" t="s">
        <v>394</v>
      </c>
      <c r="G135" s="74" t="s">
        <v>112</v>
      </c>
      <c r="H135" s="75">
        <v>6</v>
      </c>
      <c r="I135" s="76">
        <v>4</v>
      </c>
      <c r="J135" s="96">
        <f>4</f>
        <v>4</v>
      </c>
      <c r="K135" s="77"/>
      <c r="L135" s="77"/>
      <c r="M135" s="38">
        <f t="shared" si="4"/>
        <v>0</v>
      </c>
      <c r="N135" s="100">
        <f>3+5+1</f>
        <v>9</v>
      </c>
      <c r="O135" s="81">
        <f>5975.84+23579.15</f>
        <v>29554.99</v>
      </c>
      <c r="P135" s="81">
        <f>15975.84-2007.3+300</f>
        <v>14268.54</v>
      </c>
      <c r="Q135" s="12">
        <f t="shared" si="3"/>
        <v>15286.45</v>
      </c>
      <c r="R135" s="141"/>
    </row>
    <row r="136" spans="1:18" s="13" customFormat="1" ht="15.75" x14ac:dyDescent="0.25">
      <c r="A136" s="10"/>
      <c r="B136" s="24" t="s">
        <v>82</v>
      </c>
      <c r="C136" s="1" t="s">
        <v>17</v>
      </c>
      <c r="D136" s="165"/>
      <c r="E136" s="3" t="s">
        <v>20</v>
      </c>
      <c r="F136" s="73" t="s">
        <v>463</v>
      </c>
      <c r="G136" s="11" t="s">
        <v>114</v>
      </c>
      <c r="H136" s="1">
        <v>12</v>
      </c>
      <c r="I136" s="49"/>
      <c r="J136" s="51"/>
      <c r="K136" s="40"/>
      <c r="L136" s="40"/>
      <c r="M136" s="78">
        <f t="shared" si="4"/>
        <v>0</v>
      </c>
      <c r="N136" s="41">
        <v>7</v>
      </c>
      <c r="O136" s="31">
        <v>10757.8</v>
      </c>
      <c r="P136" s="31">
        <v>10757.8</v>
      </c>
      <c r="Q136" s="79">
        <f t="shared" si="3"/>
        <v>0</v>
      </c>
    </row>
    <row r="137" spans="1:18" s="13" customFormat="1" ht="15.75" x14ac:dyDescent="0.25">
      <c r="A137" s="10"/>
      <c r="B137" s="24" t="s">
        <v>309</v>
      </c>
      <c r="C137" s="1"/>
      <c r="D137" s="165"/>
      <c r="E137" s="3" t="s">
        <v>20</v>
      </c>
      <c r="F137" s="73" t="s">
        <v>391</v>
      </c>
      <c r="G137" s="11" t="s">
        <v>112</v>
      </c>
      <c r="H137" s="1">
        <v>10</v>
      </c>
      <c r="I137" s="58">
        <v>1</v>
      </c>
      <c r="J137" s="51">
        <f>1</f>
        <v>1</v>
      </c>
      <c r="K137" s="40">
        <f>3606.1</f>
        <v>3606.1</v>
      </c>
      <c r="L137" s="40">
        <f>3606.1</f>
        <v>3606.1</v>
      </c>
      <c r="M137" s="38">
        <f t="shared" si="4"/>
        <v>0</v>
      </c>
      <c r="N137" s="41">
        <f>1+5+1</f>
        <v>7</v>
      </c>
      <c r="O137" s="31">
        <f>3088.97+13147.65+1267.86</f>
        <v>17504.48</v>
      </c>
      <c r="P137" s="31">
        <f>13147.65</f>
        <v>13147.65</v>
      </c>
      <c r="Q137" s="12">
        <f t="shared" si="3"/>
        <v>4356.83</v>
      </c>
      <c r="R137" s="141"/>
    </row>
    <row r="138" spans="1:18" s="13" customFormat="1" ht="15.75" x14ac:dyDescent="0.25">
      <c r="A138" s="10"/>
      <c r="B138" s="30" t="s">
        <v>152</v>
      </c>
      <c r="C138" s="1" t="s">
        <v>17</v>
      </c>
      <c r="D138" s="165"/>
      <c r="E138" s="3" t="s">
        <v>35</v>
      </c>
      <c r="F138" s="73" t="s">
        <v>392</v>
      </c>
      <c r="G138" s="74" t="s">
        <v>112</v>
      </c>
      <c r="H138" s="75">
        <v>7</v>
      </c>
      <c r="I138" s="76">
        <v>5</v>
      </c>
      <c r="J138" s="96">
        <f>1+1+2+1</f>
        <v>5</v>
      </c>
      <c r="K138" s="77">
        <f>403.41+845.24</f>
        <v>1248.6500000000001</v>
      </c>
      <c r="L138" s="77">
        <f>403.41</f>
        <v>403.41</v>
      </c>
      <c r="M138" s="38">
        <f t="shared" si="4"/>
        <v>845.24</v>
      </c>
      <c r="N138" s="100">
        <f>2+2+2+1+1</f>
        <v>8</v>
      </c>
      <c r="O138" s="81">
        <f>1690.48+3050.26+3661.61+4648.82+1267.86+1690.48+9282.42</f>
        <v>25291.93</v>
      </c>
      <c r="P138" s="81">
        <f>3050.26+1690.4</f>
        <v>4740.66</v>
      </c>
      <c r="Q138" s="12">
        <f t="shared" si="3"/>
        <v>20551.27</v>
      </c>
      <c r="R138" s="141"/>
    </row>
    <row r="139" spans="1:18" s="13" customFormat="1" ht="15.75" x14ac:dyDescent="0.25">
      <c r="A139" s="10"/>
      <c r="B139" s="24" t="s">
        <v>152</v>
      </c>
      <c r="C139" s="1" t="s">
        <v>17</v>
      </c>
      <c r="D139" s="165"/>
      <c r="E139" s="3" t="s">
        <v>32</v>
      </c>
      <c r="F139" s="73"/>
      <c r="G139" s="11" t="s">
        <v>117</v>
      </c>
      <c r="H139" s="1"/>
      <c r="I139" s="49"/>
      <c r="J139" s="46"/>
      <c r="K139" s="40"/>
      <c r="L139" s="40"/>
      <c r="M139" s="78">
        <f t="shared" si="4"/>
        <v>0</v>
      </c>
      <c r="N139" s="41"/>
      <c r="O139" s="31"/>
      <c r="P139" s="31"/>
      <c r="Q139" s="79">
        <f t="shared" si="3"/>
        <v>0</v>
      </c>
    </row>
    <row r="140" spans="1:18" s="13" customFormat="1" ht="15.75" x14ac:dyDescent="0.25">
      <c r="A140" s="10"/>
      <c r="B140" s="30" t="s">
        <v>83</v>
      </c>
      <c r="C140" s="1" t="s">
        <v>17</v>
      </c>
      <c r="D140" s="165"/>
      <c r="E140" s="3" t="s">
        <v>20</v>
      </c>
      <c r="F140" s="73" t="s">
        <v>393</v>
      </c>
      <c r="G140" s="74" t="s">
        <v>112</v>
      </c>
      <c r="H140" s="75">
        <v>9</v>
      </c>
      <c r="I140" s="76">
        <v>5</v>
      </c>
      <c r="J140" s="96">
        <f>1+1+2+1</f>
        <v>5</v>
      </c>
      <c r="K140" s="77">
        <f>768.4+2535.72</f>
        <v>3304.12</v>
      </c>
      <c r="L140" s="77">
        <f>848.31</f>
        <v>848.31</v>
      </c>
      <c r="M140" s="38">
        <f t="shared" si="4"/>
        <v>2455.81</v>
      </c>
      <c r="N140" s="100">
        <f>1+2+1+1</f>
        <v>5</v>
      </c>
      <c r="O140" s="81">
        <f>5837.09+1922.92</f>
        <v>7760.01</v>
      </c>
      <c r="P140" s="81">
        <v>4989.78</v>
      </c>
      <c r="Q140" s="12">
        <f t="shared" si="3"/>
        <v>2770.2300000000005</v>
      </c>
      <c r="R140" s="141"/>
    </row>
    <row r="141" spans="1:18" s="13" customFormat="1" ht="15.75" x14ac:dyDescent="0.25">
      <c r="A141" s="10"/>
      <c r="B141" s="24" t="s">
        <v>83</v>
      </c>
      <c r="C141" s="1" t="s">
        <v>17</v>
      </c>
      <c r="D141" s="165"/>
      <c r="E141" s="3" t="s">
        <v>20</v>
      </c>
      <c r="F141" s="73" t="s">
        <v>464</v>
      </c>
      <c r="G141" s="11" t="s">
        <v>114</v>
      </c>
      <c r="H141" s="1">
        <v>11</v>
      </c>
      <c r="I141" s="49">
        <v>3</v>
      </c>
      <c r="J141" s="51">
        <v>3</v>
      </c>
      <c r="K141" s="40"/>
      <c r="L141" s="40"/>
      <c r="M141" s="78">
        <f t="shared" si="4"/>
        <v>0</v>
      </c>
      <c r="N141" s="41">
        <v>25</v>
      </c>
      <c r="O141" s="31">
        <v>62120.800000000003</v>
      </c>
      <c r="P141" s="31">
        <v>62120.800000000003</v>
      </c>
      <c r="Q141" s="79">
        <f t="shared" si="3"/>
        <v>0</v>
      </c>
    </row>
    <row r="142" spans="1:18" s="13" customFormat="1" ht="15.75" x14ac:dyDescent="0.25">
      <c r="A142" s="10"/>
      <c r="B142" s="24" t="s">
        <v>310</v>
      </c>
      <c r="C142" s="1"/>
      <c r="D142" s="165"/>
      <c r="E142" s="3" t="s">
        <v>20</v>
      </c>
      <c r="F142" s="73"/>
      <c r="G142" s="11" t="s">
        <v>114</v>
      </c>
      <c r="H142" s="1"/>
      <c r="I142" s="49"/>
      <c r="J142" s="51"/>
      <c r="K142" s="40"/>
      <c r="L142" s="40"/>
      <c r="M142" s="78"/>
      <c r="N142" s="41"/>
      <c r="O142" s="31"/>
      <c r="P142" s="31"/>
      <c r="Q142" s="79"/>
    </row>
    <row r="143" spans="1:18" s="13" customFormat="1" ht="15.75" x14ac:dyDescent="0.25">
      <c r="A143" s="10"/>
      <c r="B143" s="30" t="s">
        <v>84</v>
      </c>
      <c r="C143" s="1"/>
      <c r="D143" s="165"/>
      <c r="E143" s="3" t="s">
        <v>20</v>
      </c>
      <c r="F143" s="73" t="s">
        <v>287</v>
      </c>
      <c r="G143" s="11" t="s">
        <v>114</v>
      </c>
      <c r="H143" s="1"/>
      <c r="I143" s="49"/>
      <c r="J143" s="51"/>
      <c r="K143" s="40"/>
      <c r="L143" s="40"/>
      <c r="M143" s="38">
        <f t="shared" si="4"/>
        <v>0</v>
      </c>
      <c r="N143" s="41"/>
      <c r="O143" s="31"/>
      <c r="P143" s="31"/>
      <c r="Q143" s="12">
        <f t="shared" si="3"/>
        <v>0</v>
      </c>
    </row>
    <row r="144" spans="1:18" s="13" customFormat="1" ht="47.25" x14ac:dyDescent="0.25">
      <c r="A144" s="10"/>
      <c r="B144" s="30" t="s">
        <v>85</v>
      </c>
      <c r="C144" s="1" t="s">
        <v>304</v>
      </c>
      <c r="D144" s="165" t="s">
        <v>415</v>
      </c>
      <c r="E144" s="3" t="s">
        <v>20</v>
      </c>
      <c r="F144" s="73" t="s">
        <v>395</v>
      </c>
      <c r="G144" s="74" t="s">
        <v>112</v>
      </c>
      <c r="H144" s="75">
        <v>6</v>
      </c>
      <c r="I144" s="76">
        <v>4</v>
      </c>
      <c r="J144" s="96"/>
      <c r="K144" s="77"/>
      <c r="L144" s="77"/>
      <c r="M144" s="38">
        <f t="shared" si="4"/>
        <v>0</v>
      </c>
      <c r="N144" s="100"/>
      <c r="O144" s="81">
        <f>3917.73</f>
        <v>3917.73</v>
      </c>
      <c r="P144" s="81"/>
      <c r="Q144" s="79">
        <f t="shared" si="3"/>
        <v>3917.73</v>
      </c>
      <c r="R144" s="141"/>
    </row>
    <row r="145" spans="1:18" s="13" customFormat="1" ht="15.75" x14ac:dyDescent="0.25">
      <c r="A145" s="10"/>
      <c r="B145" s="27" t="s">
        <v>86</v>
      </c>
      <c r="C145" s="1" t="s">
        <v>17</v>
      </c>
      <c r="D145" s="165"/>
      <c r="E145" s="17" t="s">
        <v>20</v>
      </c>
      <c r="F145" s="73" t="s">
        <v>396</v>
      </c>
      <c r="G145" s="74" t="s">
        <v>112</v>
      </c>
      <c r="H145" s="75">
        <v>9</v>
      </c>
      <c r="I145" s="76">
        <v>3</v>
      </c>
      <c r="J145" s="96">
        <f>1+3+1</f>
        <v>5</v>
      </c>
      <c r="K145" s="77">
        <f>950.9+5134.06+2091.97</f>
        <v>8176.93</v>
      </c>
      <c r="L145" s="77">
        <f>950.9</f>
        <v>950.9</v>
      </c>
      <c r="M145" s="38">
        <f t="shared" si="4"/>
        <v>7226.0300000000007</v>
      </c>
      <c r="N145" s="100">
        <f>15+4+2</f>
        <v>21</v>
      </c>
      <c r="O145" s="81">
        <f>30236.61+18366.75+8887.09</f>
        <v>57490.45</v>
      </c>
      <c r="P145" s="81">
        <f>30236.61+18366.75</f>
        <v>48603.360000000001</v>
      </c>
      <c r="Q145" s="12">
        <f t="shared" si="3"/>
        <v>8887.0899999999965</v>
      </c>
      <c r="R145" s="141"/>
    </row>
    <row r="146" spans="1:18" s="13" customFormat="1" ht="15.75" x14ac:dyDescent="0.25">
      <c r="A146" s="10"/>
      <c r="B146" s="25" t="s">
        <v>86</v>
      </c>
      <c r="C146" s="1" t="s">
        <v>17</v>
      </c>
      <c r="D146" s="165"/>
      <c r="E146" s="17" t="s">
        <v>20</v>
      </c>
      <c r="F146" s="73" t="s">
        <v>465</v>
      </c>
      <c r="G146" s="11" t="s">
        <v>114</v>
      </c>
      <c r="H146" s="1">
        <v>2</v>
      </c>
      <c r="I146" s="49"/>
      <c r="J146" s="51"/>
      <c r="K146" s="40"/>
      <c r="L146" s="40"/>
      <c r="M146" s="78">
        <f t="shared" si="4"/>
        <v>0</v>
      </c>
      <c r="N146" s="41">
        <v>6</v>
      </c>
      <c r="O146" s="31">
        <v>8870.23</v>
      </c>
      <c r="P146" s="31">
        <v>8870.23</v>
      </c>
      <c r="Q146" s="79">
        <f t="shared" si="3"/>
        <v>0</v>
      </c>
    </row>
    <row r="147" spans="1:18" s="13" customFormat="1" ht="15.75" x14ac:dyDescent="0.25">
      <c r="A147" s="10"/>
      <c r="B147" s="62" t="s">
        <v>87</v>
      </c>
      <c r="C147" s="1" t="s">
        <v>17</v>
      </c>
      <c r="D147" s="165"/>
      <c r="E147" s="17" t="s">
        <v>78</v>
      </c>
      <c r="F147" s="73" t="s">
        <v>142</v>
      </c>
      <c r="G147" s="74" t="s">
        <v>112</v>
      </c>
      <c r="H147" s="75"/>
      <c r="I147" s="76"/>
      <c r="J147" s="96"/>
      <c r="K147" s="77"/>
      <c r="L147" s="77"/>
      <c r="M147" s="38">
        <f t="shared" si="4"/>
        <v>0</v>
      </c>
      <c r="N147" s="100"/>
      <c r="O147" s="81"/>
      <c r="P147" s="81"/>
      <c r="Q147" s="12">
        <f t="shared" si="3"/>
        <v>0</v>
      </c>
      <c r="R147" s="141"/>
    </row>
    <row r="148" spans="1:18" s="13" customFormat="1" ht="15.75" x14ac:dyDescent="0.25">
      <c r="A148" s="10"/>
      <c r="B148" s="62" t="s">
        <v>312</v>
      </c>
      <c r="C148" s="1" t="s">
        <v>17</v>
      </c>
      <c r="D148" s="165"/>
      <c r="E148" s="17" t="s">
        <v>20</v>
      </c>
      <c r="F148" s="73" t="s">
        <v>320</v>
      </c>
      <c r="G148" s="74" t="s">
        <v>112</v>
      </c>
      <c r="H148" s="75">
        <v>10</v>
      </c>
      <c r="I148" s="76">
        <v>2</v>
      </c>
      <c r="J148" s="96">
        <f>1+1</f>
        <v>2</v>
      </c>
      <c r="K148" s="77">
        <f>3319.49+845.24</f>
        <v>4164.7299999999996</v>
      </c>
      <c r="L148" s="77"/>
      <c r="M148" s="38"/>
      <c r="N148" s="100">
        <f>5+6</f>
        <v>11</v>
      </c>
      <c r="O148" s="81">
        <f>4226.2+6627.45</f>
        <v>10853.65</v>
      </c>
      <c r="P148" s="81">
        <f>4226.2</f>
        <v>4226.2</v>
      </c>
      <c r="Q148" s="12"/>
      <c r="R148" s="141"/>
    </row>
    <row r="149" spans="1:18" s="13" customFormat="1" ht="15.75" x14ac:dyDescent="0.25">
      <c r="A149" s="10"/>
      <c r="B149" s="62" t="s">
        <v>494</v>
      </c>
      <c r="C149" s="1" t="s">
        <v>17</v>
      </c>
      <c r="D149" s="165"/>
      <c r="E149" s="17" t="s">
        <v>20</v>
      </c>
      <c r="F149" s="73" t="s">
        <v>497</v>
      </c>
      <c r="G149" s="74" t="s">
        <v>112</v>
      </c>
      <c r="H149" s="75">
        <v>5</v>
      </c>
      <c r="I149" s="76">
        <v>1</v>
      </c>
      <c r="J149" s="96">
        <f>1</f>
        <v>1</v>
      </c>
      <c r="K149" s="77">
        <v>3379</v>
      </c>
      <c r="L149" s="77"/>
      <c r="M149" s="38"/>
      <c r="N149" s="100"/>
      <c r="O149" s="81"/>
      <c r="P149" s="81"/>
      <c r="Q149" s="12"/>
      <c r="R149" s="141"/>
    </row>
    <row r="150" spans="1:18" s="13" customFormat="1" ht="15.75" x14ac:dyDescent="0.25">
      <c r="A150" s="10"/>
      <c r="B150" s="62" t="s">
        <v>494</v>
      </c>
      <c r="C150" s="1"/>
      <c r="D150" s="165"/>
      <c r="E150" s="17"/>
      <c r="F150" s="73"/>
      <c r="G150" s="74" t="s">
        <v>114</v>
      </c>
      <c r="H150" s="75">
        <v>14</v>
      </c>
      <c r="I150" s="76"/>
      <c r="J150" s="96"/>
      <c r="K150" s="77"/>
      <c r="L150" s="77"/>
      <c r="M150" s="38"/>
      <c r="N150" s="100"/>
      <c r="O150" s="81"/>
      <c r="P150" s="81"/>
      <c r="Q150" s="12"/>
      <c r="R150" s="141"/>
    </row>
    <row r="151" spans="1:18" s="13" customFormat="1" ht="15.75" x14ac:dyDescent="0.25">
      <c r="A151" s="10"/>
      <c r="B151" s="30" t="s">
        <v>88</v>
      </c>
      <c r="C151" s="1" t="s">
        <v>17</v>
      </c>
      <c r="D151" s="165"/>
      <c r="E151" s="3" t="s">
        <v>89</v>
      </c>
      <c r="F151" s="73" t="s">
        <v>397</v>
      </c>
      <c r="G151" s="74" t="s">
        <v>112</v>
      </c>
      <c r="H151" s="75">
        <v>5</v>
      </c>
      <c r="I151" s="76">
        <v>5</v>
      </c>
      <c r="J151" s="96">
        <f>1+3+1</f>
        <v>5</v>
      </c>
      <c r="K151" s="77">
        <f>4226.2+2394.91+6485.1</f>
        <v>13106.21</v>
      </c>
      <c r="L151" s="77"/>
      <c r="M151" s="38">
        <f t="shared" si="4"/>
        <v>13106.21</v>
      </c>
      <c r="N151" s="100">
        <f>4+1+3+1+2+2+1+1</f>
        <v>15</v>
      </c>
      <c r="O151" s="81">
        <f>11967.83+2831.55+10544.37+9418.99+3799.13+1798.04+2548.4</f>
        <v>42908.31</v>
      </c>
      <c r="P151" s="81">
        <f>11967.83+2831.55+10544.37</f>
        <v>25343.75</v>
      </c>
      <c r="Q151" s="79">
        <f t="shared" ref="Q151:Q194" si="5">O151-P151</f>
        <v>17564.559999999998</v>
      </c>
      <c r="R151" s="141"/>
    </row>
    <row r="152" spans="1:18" s="13" customFormat="1" ht="15.75" x14ac:dyDescent="0.25">
      <c r="A152" s="10"/>
      <c r="B152" s="24" t="s">
        <v>88</v>
      </c>
      <c r="C152" s="1" t="s">
        <v>17</v>
      </c>
      <c r="D152" s="165"/>
      <c r="E152" s="3" t="s">
        <v>89</v>
      </c>
      <c r="F152" s="73" t="s">
        <v>442</v>
      </c>
      <c r="G152" s="11" t="s">
        <v>118</v>
      </c>
      <c r="H152" s="1">
        <v>1</v>
      </c>
      <c r="I152" s="49"/>
      <c r="J152" s="46"/>
      <c r="K152" s="40"/>
      <c r="L152" s="40"/>
      <c r="M152" s="38">
        <f t="shared" si="4"/>
        <v>0</v>
      </c>
      <c r="N152" s="41">
        <v>3</v>
      </c>
      <c r="O152" s="31">
        <v>11020.82</v>
      </c>
      <c r="P152" s="31">
        <v>6026.87</v>
      </c>
      <c r="Q152" s="12">
        <f t="shared" si="5"/>
        <v>4993.95</v>
      </c>
    </row>
    <row r="153" spans="1:18" s="13" customFormat="1" ht="15.75" x14ac:dyDescent="0.25">
      <c r="A153" s="10"/>
      <c r="B153" s="24" t="s">
        <v>88</v>
      </c>
      <c r="C153" s="1"/>
      <c r="D153" s="165"/>
      <c r="E153" s="3"/>
      <c r="F153" s="73"/>
      <c r="G153" s="11" t="s">
        <v>114</v>
      </c>
      <c r="H153" s="1">
        <v>4</v>
      </c>
      <c r="I153" s="49"/>
      <c r="J153" s="46"/>
      <c r="K153" s="40"/>
      <c r="L153" s="40"/>
      <c r="M153" s="38"/>
      <c r="N153" s="41"/>
      <c r="O153" s="31"/>
      <c r="P153" s="31"/>
      <c r="Q153" s="12"/>
    </row>
    <row r="154" spans="1:18" s="13" customFormat="1" ht="15.75" x14ac:dyDescent="0.25">
      <c r="A154" s="10"/>
      <c r="B154" s="30" t="s">
        <v>90</v>
      </c>
      <c r="C154" s="1" t="s">
        <v>17</v>
      </c>
      <c r="D154" s="165"/>
      <c r="E154" s="17" t="s">
        <v>20</v>
      </c>
      <c r="F154" s="73" t="s">
        <v>398</v>
      </c>
      <c r="G154" s="74" t="s">
        <v>112</v>
      </c>
      <c r="H154" s="75">
        <v>4</v>
      </c>
      <c r="I154" s="76">
        <v>3</v>
      </c>
      <c r="J154" s="96">
        <f>1+1+1</f>
        <v>3</v>
      </c>
      <c r="K154" s="77">
        <f>422.62</f>
        <v>422.62</v>
      </c>
      <c r="L154" s="77"/>
      <c r="M154" s="38">
        <f t="shared" si="4"/>
        <v>422.62</v>
      </c>
      <c r="N154" s="100">
        <f>1+1+1+1</f>
        <v>4</v>
      </c>
      <c r="O154" s="81">
        <f>2122.67+787.61</f>
        <v>2910.28</v>
      </c>
      <c r="P154" s="81">
        <f>2123.67</f>
        <v>2123.67</v>
      </c>
      <c r="Q154" s="79">
        <f t="shared" si="5"/>
        <v>786.61000000000013</v>
      </c>
      <c r="R154" s="141"/>
    </row>
    <row r="155" spans="1:18" s="13" customFormat="1" ht="15.75" x14ac:dyDescent="0.25">
      <c r="A155" s="10"/>
      <c r="B155" s="24" t="s">
        <v>90</v>
      </c>
      <c r="C155" s="1" t="s">
        <v>17</v>
      </c>
      <c r="D155" s="165"/>
      <c r="E155" s="17" t="s">
        <v>20</v>
      </c>
      <c r="F155" s="73" t="s">
        <v>466</v>
      </c>
      <c r="G155" s="11" t="s">
        <v>114</v>
      </c>
      <c r="H155" s="1">
        <v>10</v>
      </c>
      <c r="I155" s="49">
        <v>1</v>
      </c>
      <c r="J155" s="51">
        <v>1</v>
      </c>
      <c r="K155" s="40"/>
      <c r="L155" s="40"/>
      <c r="M155" s="78">
        <f t="shared" si="4"/>
        <v>0</v>
      </c>
      <c r="N155" s="41">
        <v>19</v>
      </c>
      <c r="O155" s="31">
        <f>31793</f>
        <v>31793</v>
      </c>
      <c r="P155" s="31">
        <v>31793</v>
      </c>
      <c r="Q155" s="12">
        <f t="shared" si="5"/>
        <v>0</v>
      </c>
    </row>
    <row r="156" spans="1:18" s="13" customFormat="1" ht="15.75" x14ac:dyDescent="0.25">
      <c r="A156" s="10"/>
      <c r="B156" s="30" t="s">
        <v>91</v>
      </c>
      <c r="C156" s="1" t="s">
        <v>17</v>
      </c>
      <c r="D156" s="165"/>
      <c r="E156" s="17" t="s">
        <v>20</v>
      </c>
      <c r="F156" s="73" t="s">
        <v>399</v>
      </c>
      <c r="G156" s="74" t="s">
        <v>112</v>
      </c>
      <c r="H156" s="75"/>
      <c r="I156" s="76"/>
      <c r="J156" s="96"/>
      <c r="K156" s="77"/>
      <c r="L156" s="77"/>
      <c r="M156" s="38">
        <f t="shared" si="4"/>
        <v>0</v>
      </c>
      <c r="N156" s="100"/>
      <c r="O156" s="81"/>
      <c r="P156" s="81"/>
      <c r="Q156" s="79">
        <f t="shared" si="5"/>
        <v>0</v>
      </c>
      <c r="R156" s="141"/>
    </row>
    <row r="157" spans="1:18" s="13" customFormat="1" ht="15.75" x14ac:dyDescent="0.25">
      <c r="A157" s="10"/>
      <c r="B157" s="22" t="s">
        <v>138</v>
      </c>
      <c r="C157" s="1" t="s">
        <v>17</v>
      </c>
      <c r="D157" s="165"/>
      <c r="E157" s="17" t="s">
        <v>20</v>
      </c>
      <c r="F157" s="73" t="s">
        <v>467</v>
      </c>
      <c r="G157" s="11" t="s">
        <v>114</v>
      </c>
      <c r="H157" s="1">
        <v>4</v>
      </c>
      <c r="I157" s="49"/>
      <c r="J157" s="51"/>
      <c r="K157" s="37"/>
      <c r="L157" s="37"/>
      <c r="M157" s="78">
        <f t="shared" si="4"/>
        <v>0</v>
      </c>
      <c r="N157" s="39">
        <v>4</v>
      </c>
      <c r="O157" s="31">
        <v>1841</v>
      </c>
      <c r="P157" s="31">
        <v>1841</v>
      </c>
      <c r="Q157" s="12">
        <f t="shared" si="5"/>
        <v>0</v>
      </c>
    </row>
    <row r="158" spans="1:18" s="13" customFormat="1" ht="15.75" x14ac:dyDescent="0.25">
      <c r="A158" s="10"/>
      <c r="B158" s="62" t="s">
        <v>138</v>
      </c>
      <c r="C158" s="1" t="s">
        <v>17</v>
      </c>
      <c r="D158" s="165"/>
      <c r="E158" s="17" t="s">
        <v>20</v>
      </c>
      <c r="F158" s="73" t="s">
        <v>400</v>
      </c>
      <c r="G158" s="74" t="s">
        <v>112</v>
      </c>
      <c r="H158" s="75">
        <v>7</v>
      </c>
      <c r="I158" s="82">
        <v>3</v>
      </c>
      <c r="J158" s="96">
        <f>3</f>
        <v>3</v>
      </c>
      <c r="K158" s="77"/>
      <c r="L158" s="77"/>
      <c r="M158" s="38">
        <f t="shared" si="4"/>
        <v>0</v>
      </c>
      <c r="N158" s="100">
        <f>5+4</f>
        <v>9</v>
      </c>
      <c r="O158" s="81">
        <v>8995.8700000000008</v>
      </c>
      <c r="P158" s="81">
        <f>8995.87</f>
        <v>8995.8700000000008</v>
      </c>
      <c r="Q158" s="79">
        <f t="shared" si="5"/>
        <v>0</v>
      </c>
      <c r="R158" s="141"/>
    </row>
    <row r="159" spans="1:18" s="13" customFormat="1" ht="15.75" x14ac:dyDescent="0.25">
      <c r="A159" s="10"/>
      <c r="B159" s="62" t="s">
        <v>157</v>
      </c>
      <c r="C159" s="1" t="s">
        <v>17</v>
      </c>
      <c r="D159" s="165"/>
      <c r="E159" s="17" t="s">
        <v>20</v>
      </c>
      <c r="F159" s="73" t="s">
        <v>401</v>
      </c>
      <c r="G159" s="74" t="s">
        <v>112</v>
      </c>
      <c r="H159" s="75">
        <v>7</v>
      </c>
      <c r="I159" s="82"/>
      <c r="J159" s="96"/>
      <c r="K159" s="77"/>
      <c r="L159" s="77"/>
      <c r="M159" s="38">
        <f t="shared" ref="M159:M193" si="6">K159-L159</f>
        <v>0</v>
      </c>
      <c r="N159" s="100"/>
      <c r="O159" s="81"/>
      <c r="P159" s="81"/>
      <c r="Q159" s="12">
        <f t="shared" si="5"/>
        <v>0</v>
      </c>
      <c r="R159" s="141"/>
    </row>
    <row r="160" spans="1:18" s="13" customFormat="1" ht="15.75" x14ac:dyDescent="0.25">
      <c r="A160" s="10"/>
      <c r="B160" s="22" t="s">
        <v>157</v>
      </c>
      <c r="C160" s="1" t="s">
        <v>17</v>
      </c>
      <c r="D160" s="165"/>
      <c r="E160" s="17" t="s">
        <v>20</v>
      </c>
      <c r="F160" s="73"/>
      <c r="G160" s="11" t="s">
        <v>114</v>
      </c>
      <c r="H160" s="1"/>
      <c r="I160" s="49"/>
      <c r="J160" s="51"/>
      <c r="K160" s="37"/>
      <c r="L160" s="37"/>
      <c r="M160" s="38">
        <f t="shared" si="6"/>
        <v>0</v>
      </c>
      <c r="N160" s="39"/>
      <c r="O160" s="31"/>
      <c r="P160" s="31"/>
      <c r="Q160" s="79">
        <f t="shared" si="5"/>
        <v>0</v>
      </c>
    </row>
    <row r="161" spans="1:18" s="15" customFormat="1" ht="15.75" x14ac:dyDescent="0.25">
      <c r="A161" s="14"/>
      <c r="B161" s="80" t="s">
        <v>92</v>
      </c>
      <c r="C161" s="1" t="s">
        <v>17</v>
      </c>
      <c r="D161" s="165"/>
      <c r="E161" s="17" t="s">
        <v>20</v>
      </c>
      <c r="F161" s="73" t="s">
        <v>402</v>
      </c>
      <c r="G161" s="74" t="s">
        <v>112</v>
      </c>
      <c r="H161" s="75">
        <v>5</v>
      </c>
      <c r="I161" s="76">
        <v>3</v>
      </c>
      <c r="J161" s="96">
        <f>1+2</f>
        <v>3</v>
      </c>
      <c r="K161" s="77">
        <f>1951.74</f>
        <v>1951.74</v>
      </c>
      <c r="L161" s="77"/>
      <c r="M161" s="38">
        <f t="shared" si="6"/>
        <v>1951.74</v>
      </c>
      <c r="N161" s="100">
        <f>4+1+1</f>
        <v>6</v>
      </c>
      <c r="O161" s="81">
        <f>12624.74+2697.06</f>
        <v>15321.8</v>
      </c>
      <c r="P161" s="81">
        <f>12624.74+2697.06</f>
        <v>15321.8</v>
      </c>
      <c r="Q161" s="12">
        <f t="shared" si="5"/>
        <v>0</v>
      </c>
      <c r="R161" s="141"/>
    </row>
    <row r="162" spans="1:18" s="15" customFormat="1" ht="15.75" x14ac:dyDescent="0.25">
      <c r="A162" s="14"/>
      <c r="B162" s="23" t="s">
        <v>92</v>
      </c>
      <c r="C162" s="1" t="s">
        <v>17</v>
      </c>
      <c r="D162" s="165"/>
      <c r="E162" s="17" t="s">
        <v>20</v>
      </c>
      <c r="F162" s="73" t="s">
        <v>129</v>
      </c>
      <c r="G162" s="11" t="s">
        <v>114</v>
      </c>
      <c r="H162" s="1"/>
      <c r="I162" s="49"/>
      <c r="J162" s="51"/>
      <c r="K162" s="40"/>
      <c r="L162" s="40"/>
      <c r="M162" s="38">
        <f t="shared" si="6"/>
        <v>0</v>
      </c>
      <c r="N162" s="39"/>
      <c r="O162" s="31"/>
      <c r="P162" s="31"/>
      <c r="Q162" s="79">
        <f t="shared" si="5"/>
        <v>0</v>
      </c>
    </row>
    <row r="163" spans="1:18" s="13" customFormat="1" ht="15.75" x14ac:dyDescent="0.25">
      <c r="A163" s="10"/>
      <c r="B163" s="30" t="s">
        <v>93</v>
      </c>
      <c r="C163" s="1" t="s">
        <v>17</v>
      </c>
      <c r="D163" s="165"/>
      <c r="E163" s="3" t="s">
        <v>94</v>
      </c>
      <c r="F163" s="73" t="s">
        <v>403</v>
      </c>
      <c r="G163" s="74" t="s">
        <v>112</v>
      </c>
      <c r="H163" s="75">
        <v>7</v>
      </c>
      <c r="I163" s="76">
        <v>2</v>
      </c>
      <c r="J163" s="96">
        <f>2</f>
        <v>2</v>
      </c>
      <c r="K163" s="77">
        <f>2362.84</f>
        <v>2362.84</v>
      </c>
      <c r="L163" s="77">
        <f>2362.84</f>
        <v>2362.84</v>
      </c>
      <c r="M163" s="38">
        <f t="shared" si="6"/>
        <v>0</v>
      </c>
      <c r="N163" s="100">
        <f>3+8</f>
        <v>11</v>
      </c>
      <c r="O163" s="81">
        <f>20117.75</f>
        <v>20117.75</v>
      </c>
      <c r="P163" s="81">
        <f>20117.75</f>
        <v>20117.75</v>
      </c>
      <c r="Q163" s="12">
        <f t="shared" si="5"/>
        <v>0</v>
      </c>
      <c r="R163" s="141"/>
    </row>
    <row r="164" spans="1:18" s="13" customFormat="1" ht="15.75" x14ac:dyDescent="0.25">
      <c r="A164" s="10"/>
      <c r="B164" s="24" t="s">
        <v>93</v>
      </c>
      <c r="C164" s="1" t="s">
        <v>17</v>
      </c>
      <c r="D164" s="165"/>
      <c r="E164" s="3" t="s">
        <v>94</v>
      </c>
      <c r="F164" s="73" t="s">
        <v>130</v>
      </c>
      <c r="G164" s="11" t="s">
        <v>114</v>
      </c>
      <c r="H164" s="1"/>
      <c r="I164" s="49"/>
      <c r="J164" s="51"/>
      <c r="K164" s="40"/>
      <c r="L164" s="77"/>
      <c r="M164" s="38">
        <f t="shared" si="6"/>
        <v>0</v>
      </c>
      <c r="N164" s="41"/>
      <c r="O164" s="31"/>
      <c r="P164" s="31"/>
      <c r="Q164" s="79">
        <f t="shared" si="5"/>
        <v>0</v>
      </c>
    </row>
    <row r="165" spans="1:18" s="13" customFormat="1" ht="15.75" x14ac:dyDescent="0.25">
      <c r="A165" s="10"/>
      <c r="B165" s="24" t="s">
        <v>93</v>
      </c>
      <c r="C165" s="1" t="s">
        <v>17</v>
      </c>
      <c r="D165" s="165"/>
      <c r="E165" s="3" t="s">
        <v>94</v>
      </c>
      <c r="F165" s="73" t="s">
        <v>240</v>
      </c>
      <c r="G165" s="11" t="s">
        <v>118</v>
      </c>
      <c r="H165" s="1"/>
      <c r="I165" s="49"/>
      <c r="J165" s="46"/>
      <c r="K165" s="40"/>
      <c r="L165" s="40"/>
      <c r="M165" s="78">
        <f t="shared" si="6"/>
        <v>0</v>
      </c>
      <c r="N165" s="41"/>
      <c r="O165" s="31"/>
      <c r="P165" s="31"/>
      <c r="Q165" s="12">
        <f t="shared" si="5"/>
        <v>0</v>
      </c>
    </row>
    <row r="166" spans="1:18" s="13" customFormat="1" ht="15.75" x14ac:dyDescent="0.25">
      <c r="A166" s="10"/>
      <c r="B166" s="30" t="s">
        <v>95</v>
      </c>
      <c r="C166" s="1" t="s">
        <v>17</v>
      </c>
      <c r="D166" s="165"/>
      <c r="E166" s="17" t="s">
        <v>20</v>
      </c>
      <c r="F166" s="73" t="s">
        <v>404</v>
      </c>
      <c r="G166" s="74" t="s">
        <v>112</v>
      </c>
      <c r="H166" s="75">
        <v>9</v>
      </c>
      <c r="I166" s="76">
        <v>1</v>
      </c>
      <c r="J166" s="96">
        <f>1</f>
        <v>1</v>
      </c>
      <c r="K166" s="77">
        <f>1061.35</f>
        <v>1061.3499999999999</v>
      </c>
      <c r="L166" s="77"/>
      <c r="M166" s="38">
        <f t="shared" si="6"/>
        <v>1061.3499999999999</v>
      </c>
      <c r="N166" s="100">
        <f>1+6</f>
        <v>7</v>
      </c>
      <c r="O166" s="81">
        <f>11603.82+7559.28</f>
        <v>19163.099999999999</v>
      </c>
      <c r="P166" s="81"/>
      <c r="Q166" s="79">
        <f t="shared" si="5"/>
        <v>19163.099999999999</v>
      </c>
      <c r="R166" s="141"/>
    </row>
    <row r="167" spans="1:18" s="13" customFormat="1" ht="15.75" x14ac:dyDescent="0.25">
      <c r="A167" s="10"/>
      <c r="B167" s="24" t="s">
        <v>95</v>
      </c>
      <c r="C167" s="1" t="s">
        <v>17</v>
      </c>
      <c r="D167" s="165"/>
      <c r="E167" s="17" t="s">
        <v>20</v>
      </c>
      <c r="F167" s="73" t="s">
        <v>291</v>
      </c>
      <c r="G167" s="11" t="s">
        <v>114</v>
      </c>
      <c r="H167" s="1">
        <v>4</v>
      </c>
      <c r="I167" s="49"/>
      <c r="J167" s="51"/>
      <c r="K167" s="40"/>
      <c r="L167" s="40"/>
      <c r="M167" s="78">
        <f t="shared" si="6"/>
        <v>0</v>
      </c>
      <c r="N167" s="41">
        <v>9</v>
      </c>
      <c r="O167" s="31"/>
      <c r="P167" s="31"/>
      <c r="Q167" s="12">
        <f t="shared" si="5"/>
        <v>0</v>
      </c>
    </row>
    <row r="168" spans="1:18" s="13" customFormat="1" ht="15.75" x14ac:dyDescent="0.25">
      <c r="A168" s="10"/>
      <c r="B168" s="30" t="s">
        <v>96</v>
      </c>
      <c r="C168" s="1" t="s">
        <v>17</v>
      </c>
      <c r="D168" s="165"/>
      <c r="E168" s="17" t="s">
        <v>97</v>
      </c>
      <c r="F168" s="73" t="s">
        <v>405</v>
      </c>
      <c r="G168" s="74" t="s">
        <v>112</v>
      </c>
      <c r="H168" s="75">
        <v>1</v>
      </c>
      <c r="I168" s="76"/>
      <c r="J168" s="96"/>
      <c r="K168" s="77"/>
      <c r="L168" s="77"/>
      <c r="M168" s="38">
        <f t="shared" si="6"/>
        <v>0</v>
      </c>
      <c r="N168" s="103">
        <f>1+2</f>
        <v>3</v>
      </c>
      <c r="O168" s="77">
        <f>1742.31</f>
        <v>1742.31</v>
      </c>
      <c r="P168" s="77">
        <f>1742.31</f>
        <v>1742.31</v>
      </c>
      <c r="Q168" s="79">
        <f t="shared" si="5"/>
        <v>0</v>
      </c>
      <c r="R168" s="141"/>
    </row>
    <row r="169" spans="1:18" s="13" customFormat="1" ht="15.75" x14ac:dyDescent="0.25">
      <c r="A169" s="10"/>
      <c r="B169" s="24" t="s">
        <v>96</v>
      </c>
      <c r="C169" s="1" t="s">
        <v>17</v>
      </c>
      <c r="D169" s="165"/>
      <c r="E169" s="17" t="s">
        <v>97</v>
      </c>
      <c r="F169" s="73" t="s">
        <v>468</v>
      </c>
      <c r="G169" s="11" t="s">
        <v>114</v>
      </c>
      <c r="H169" s="1">
        <v>1</v>
      </c>
      <c r="I169" s="49"/>
      <c r="J169" s="51"/>
      <c r="K169" s="40"/>
      <c r="L169" s="40"/>
      <c r="M169" s="78">
        <f t="shared" si="6"/>
        <v>0</v>
      </c>
      <c r="N169" s="41">
        <v>2</v>
      </c>
      <c r="O169" s="31"/>
      <c r="P169" s="31"/>
      <c r="Q169" s="12">
        <f t="shared" si="5"/>
        <v>0</v>
      </c>
    </row>
    <row r="170" spans="1:18" s="13" customFormat="1" ht="15.75" x14ac:dyDescent="0.25">
      <c r="A170" s="10"/>
      <c r="B170" s="30" t="s">
        <v>98</v>
      </c>
      <c r="C170" s="1" t="s">
        <v>17</v>
      </c>
      <c r="D170" s="165"/>
      <c r="E170" s="17" t="s">
        <v>35</v>
      </c>
      <c r="F170" s="73" t="s">
        <v>406</v>
      </c>
      <c r="G170" s="74" t="s">
        <v>112</v>
      </c>
      <c r="H170" s="75">
        <v>20</v>
      </c>
      <c r="I170" s="76">
        <v>5</v>
      </c>
      <c r="J170" s="96">
        <f>1+2+1+1</f>
        <v>5</v>
      </c>
      <c r="K170" s="77">
        <f>845.24+1764.25+8353.03</f>
        <v>10962.52</v>
      </c>
      <c r="L170" s="77"/>
      <c r="M170" s="38">
        <f t="shared" si="6"/>
        <v>10962.52</v>
      </c>
      <c r="N170" s="100">
        <f>9+1+1+4+2+1+2</f>
        <v>20</v>
      </c>
      <c r="O170" s="81">
        <f>17007.01+2697.06+1267.86+31709.38+5331.44-10826.79</f>
        <v>47185.96</v>
      </c>
      <c r="P170" s="81">
        <f>17007.01+10149.24+3964.92</f>
        <v>31121.17</v>
      </c>
      <c r="Q170" s="79">
        <f t="shared" si="5"/>
        <v>16064.79</v>
      </c>
      <c r="R170" s="141"/>
    </row>
    <row r="171" spans="1:18" s="13" customFormat="1" ht="15.75" x14ac:dyDescent="0.25">
      <c r="A171" s="10"/>
      <c r="B171" s="24" t="s">
        <v>98</v>
      </c>
      <c r="C171" s="1" t="s">
        <v>17</v>
      </c>
      <c r="D171" s="165"/>
      <c r="E171" s="17" t="s">
        <v>35</v>
      </c>
      <c r="F171" s="73" t="s">
        <v>435</v>
      </c>
      <c r="G171" s="8" t="s">
        <v>117</v>
      </c>
      <c r="H171" s="1">
        <v>2</v>
      </c>
      <c r="I171" s="49">
        <v>1</v>
      </c>
      <c r="J171" s="46">
        <v>1</v>
      </c>
      <c r="K171" s="40">
        <v>1162.21</v>
      </c>
      <c r="L171" s="40"/>
      <c r="M171" s="78">
        <f t="shared" si="6"/>
        <v>1162.21</v>
      </c>
      <c r="N171" s="41">
        <f>4</f>
        <v>4</v>
      </c>
      <c r="O171" s="40">
        <v>10721.75</v>
      </c>
      <c r="P171" s="40">
        <v>10721.75</v>
      </c>
      <c r="Q171" s="12">
        <f t="shared" si="5"/>
        <v>0</v>
      </c>
    </row>
    <row r="172" spans="1:18" s="13" customFormat="1" ht="15.75" x14ac:dyDescent="0.25">
      <c r="A172" s="10"/>
      <c r="B172" s="24" t="s">
        <v>488</v>
      </c>
      <c r="C172" s="1" t="s">
        <v>17</v>
      </c>
      <c r="D172" s="165"/>
      <c r="E172" s="17" t="s">
        <v>97</v>
      </c>
      <c r="F172" s="73" t="s">
        <v>498</v>
      </c>
      <c r="G172" s="8" t="s">
        <v>112</v>
      </c>
      <c r="H172" s="1">
        <v>5</v>
      </c>
      <c r="I172" s="49">
        <v>4</v>
      </c>
      <c r="J172" s="46">
        <f>4</f>
        <v>4</v>
      </c>
      <c r="K172" s="40"/>
      <c r="L172" s="40"/>
      <c r="M172" s="78"/>
      <c r="N172" s="41"/>
      <c r="O172" s="40"/>
      <c r="P172" s="40"/>
      <c r="Q172" s="12"/>
    </row>
    <row r="173" spans="1:18" s="15" customFormat="1" ht="15.75" x14ac:dyDescent="0.25">
      <c r="A173" s="14"/>
      <c r="B173" s="84" t="s">
        <v>99</v>
      </c>
      <c r="C173" s="1" t="s">
        <v>17</v>
      </c>
      <c r="D173" s="165"/>
      <c r="E173" s="3" t="s">
        <v>32</v>
      </c>
      <c r="F173" s="73" t="s">
        <v>418</v>
      </c>
      <c r="G173" s="74" t="s">
        <v>112</v>
      </c>
      <c r="H173" s="75"/>
      <c r="I173" s="76"/>
      <c r="J173" s="96"/>
      <c r="K173" s="77"/>
      <c r="L173" s="77"/>
      <c r="M173" s="38">
        <f t="shared" si="6"/>
        <v>0</v>
      </c>
      <c r="N173" s="100"/>
      <c r="O173" s="81"/>
      <c r="P173" s="81"/>
      <c r="Q173" s="79">
        <f t="shared" si="5"/>
        <v>0</v>
      </c>
      <c r="R173" s="141"/>
    </row>
    <row r="174" spans="1:18" s="15" customFormat="1" ht="15.75" x14ac:dyDescent="0.25">
      <c r="A174" s="14"/>
      <c r="B174" s="29" t="s">
        <v>99</v>
      </c>
      <c r="C174" s="1" t="s">
        <v>17</v>
      </c>
      <c r="D174" s="165"/>
      <c r="E174" s="3" t="s">
        <v>32</v>
      </c>
      <c r="F174" s="73" t="s">
        <v>423</v>
      </c>
      <c r="G174" s="8" t="s">
        <v>117</v>
      </c>
      <c r="H174" s="1"/>
      <c r="I174" s="49"/>
      <c r="J174" s="51"/>
      <c r="K174" s="40"/>
      <c r="L174" s="40"/>
      <c r="M174" s="78">
        <f t="shared" si="6"/>
        <v>0</v>
      </c>
      <c r="N174" s="39"/>
      <c r="O174" s="40"/>
      <c r="P174" s="40"/>
      <c r="Q174" s="12">
        <f t="shared" si="5"/>
        <v>0</v>
      </c>
    </row>
    <row r="175" spans="1:18" s="15" customFormat="1" ht="31.5" x14ac:dyDescent="0.25">
      <c r="A175" s="14"/>
      <c r="B175" s="30" t="s">
        <v>144</v>
      </c>
      <c r="C175" s="1" t="s">
        <v>304</v>
      </c>
      <c r="D175" s="165" t="s">
        <v>313</v>
      </c>
      <c r="E175" s="17" t="s">
        <v>97</v>
      </c>
      <c r="F175" s="73" t="s">
        <v>407</v>
      </c>
      <c r="G175" s="66" t="s">
        <v>112</v>
      </c>
      <c r="H175" s="75">
        <v>8</v>
      </c>
      <c r="I175" s="76">
        <v>6</v>
      </c>
      <c r="J175" s="98">
        <f>2+2+1+3</f>
        <v>8</v>
      </c>
      <c r="K175" s="77">
        <f>950.9+1449.39+2272.32</f>
        <v>4672.6100000000006</v>
      </c>
      <c r="L175" s="77">
        <f>1373.52</f>
        <v>1373.52</v>
      </c>
      <c r="M175" s="38">
        <f t="shared" si="6"/>
        <v>3299.0900000000006</v>
      </c>
      <c r="N175" s="100">
        <f>3+2+1+1</f>
        <v>7</v>
      </c>
      <c r="O175" s="77">
        <f>5020.57+5566.06+2694.94</f>
        <v>13281.570000000002</v>
      </c>
      <c r="P175" s="77">
        <f>5071.44+1449.39</f>
        <v>6520.83</v>
      </c>
      <c r="Q175" s="79">
        <f t="shared" si="5"/>
        <v>6760.7400000000016</v>
      </c>
      <c r="R175" s="141"/>
    </row>
    <row r="176" spans="1:18" s="15" customFormat="1" ht="15.75" x14ac:dyDescent="0.25">
      <c r="A176" s="14"/>
      <c r="B176" s="30" t="s">
        <v>488</v>
      </c>
      <c r="C176" s="1"/>
      <c r="D176" s="165"/>
      <c r="E176" s="17"/>
      <c r="F176" s="73"/>
      <c r="G176" s="66" t="s">
        <v>114</v>
      </c>
      <c r="H176" s="75">
        <v>14</v>
      </c>
      <c r="I176" s="76"/>
      <c r="J176" s="98"/>
      <c r="K176" s="77"/>
      <c r="L176" s="77"/>
      <c r="M176" s="38"/>
      <c r="N176" s="100"/>
      <c r="O176" s="77"/>
      <c r="P176" s="77"/>
      <c r="Q176" s="79"/>
    </row>
    <row r="177" spans="1:18" s="15" customFormat="1" ht="15.75" x14ac:dyDescent="0.25">
      <c r="A177" s="14"/>
      <c r="B177" s="30" t="s">
        <v>488</v>
      </c>
      <c r="C177" s="1"/>
      <c r="D177" s="165"/>
      <c r="E177" s="17"/>
      <c r="F177" s="73"/>
      <c r="G177" s="66" t="s">
        <v>113</v>
      </c>
      <c r="H177" s="75">
        <v>7</v>
      </c>
      <c r="I177" s="76"/>
      <c r="J177" s="98"/>
      <c r="K177" s="77"/>
      <c r="L177" s="77"/>
      <c r="M177" s="38"/>
      <c r="N177" s="100"/>
      <c r="O177" s="77"/>
      <c r="P177" s="77"/>
      <c r="Q177" s="79"/>
    </row>
    <row r="178" spans="1:18" s="15" customFormat="1" ht="31.5" x14ac:dyDescent="0.25">
      <c r="A178" s="14"/>
      <c r="B178" s="34" t="s">
        <v>144</v>
      </c>
      <c r="C178" s="1" t="s">
        <v>446</v>
      </c>
      <c r="D178" s="165" t="s">
        <v>313</v>
      </c>
      <c r="E178" s="3" t="s">
        <v>20</v>
      </c>
      <c r="F178" s="73" t="s">
        <v>485</v>
      </c>
      <c r="G178" s="8" t="s">
        <v>114</v>
      </c>
      <c r="H178" s="1">
        <v>14</v>
      </c>
      <c r="I178" s="53">
        <v>1</v>
      </c>
      <c r="J178" s="52">
        <v>1</v>
      </c>
      <c r="K178" s="40">
        <v>1921</v>
      </c>
      <c r="L178" s="40">
        <v>1921</v>
      </c>
      <c r="M178" s="78">
        <f t="shared" si="6"/>
        <v>0</v>
      </c>
      <c r="N178" s="42">
        <v>18</v>
      </c>
      <c r="O178" s="31">
        <v>23332.2</v>
      </c>
      <c r="P178" s="31">
        <v>23332.2</v>
      </c>
      <c r="Q178" s="12">
        <f t="shared" si="5"/>
        <v>0</v>
      </c>
    </row>
    <row r="179" spans="1:18" s="21" customFormat="1" ht="47.25" x14ac:dyDescent="0.25">
      <c r="A179" s="1"/>
      <c r="B179" s="30" t="s">
        <v>100</v>
      </c>
      <c r="C179" s="1" t="s">
        <v>304</v>
      </c>
      <c r="D179" s="165" t="s">
        <v>416</v>
      </c>
      <c r="E179" s="17" t="s">
        <v>20</v>
      </c>
      <c r="F179" s="73" t="s">
        <v>408</v>
      </c>
      <c r="G179" s="27" t="s">
        <v>112</v>
      </c>
      <c r="H179" s="75">
        <v>10</v>
      </c>
      <c r="I179" s="76">
        <v>6</v>
      </c>
      <c r="J179" s="98">
        <f>5+1</f>
        <v>6</v>
      </c>
      <c r="K179" s="86">
        <f>6524.55</f>
        <v>6524.55</v>
      </c>
      <c r="L179" s="86"/>
      <c r="M179" s="38">
        <f t="shared" si="6"/>
        <v>6524.55</v>
      </c>
      <c r="N179" s="100">
        <f>1+3</f>
        <v>4</v>
      </c>
      <c r="O179" s="87">
        <f>10770.58+2113.01</f>
        <v>12883.59</v>
      </c>
      <c r="P179" s="87">
        <f>10771.58</f>
        <v>10771.58</v>
      </c>
      <c r="Q179" s="79">
        <f t="shared" si="5"/>
        <v>2112.0100000000002</v>
      </c>
      <c r="R179" s="141"/>
    </row>
    <row r="180" spans="1:18" s="21" customFormat="1" ht="47.25" x14ac:dyDescent="0.25">
      <c r="A180" s="1"/>
      <c r="B180" s="24" t="s">
        <v>100</v>
      </c>
      <c r="C180" s="18" t="s">
        <v>125</v>
      </c>
      <c r="D180" s="165" t="s">
        <v>126</v>
      </c>
      <c r="E180" s="17" t="s">
        <v>20</v>
      </c>
      <c r="F180" s="73" t="s">
        <v>486</v>
      </c>
      <c r="G180" s="20" t="s">
        <v>114</v>
      </c>
      <c r="H180" s="1">
        <v>8</v>
      </c>
      <c r="I180" s="53"/>
      <c r="J180" s="52"/>
      <c r="K180" s="55"/>
      <c r="L180" s="55"/>
      <c r="M180" s="78">
        <f t="shared" si="6"/>
        <v>0</v>
      </c>
      <c r="N180" s="41"/>
      <c r="O180" s="54"/>
      <c r="P180" s="54"/>
      <c r="Q180" s="12">
        <f t="shared" si="5"/>
        <v>0</v>
      </c>
    </row>
    <row r="181" spans="1:18" s="13" customFormat="1" ht="15.75" x14ac:dyDescent="0.25">
      <c r="A181" s="10"/>
      <c r="B181" s="62" t="s">
        <v>101</v>
      </c>
      <c r="C181" s="1" t="s">
        <v>17</v>
      </c>
      <c r="D181" s="165"/>
      <c r="E181" s="17" t="s">
        <v>20</v>
      </c>
      <c r="F181" s="73" t="s">
        <v>409</v>
      </c>
      <c r="G181" s="74" t="s">
        <v>112</v>
      </c>
      <c r="H181" s="75">
        <v>8</v>
      </c>
      <c r="I181" s="76">
        <v>5</v>
      </c>
      <c r="J181" s="96">
        <f>1+5</f>
        <v>6</v>
      </c>
      <c r="K181" s="77">
        <f>1045.98</f>
        <v>1045.98</v>
      </c>
      <c r="L181" s="77"/>
      <c r="M181" s="38">
        <f t="shared" si="6"/>
        <v>1045.98</v>
      </c>
      <c r="N181" s="100">
        <f>5+2+1</f>
        <v>8</v>
      </c>
      <c r="O181" s="81">
        <f>6288.07+3061.62</f>
        <v>9349.6899999999987</v>
      </c>
      <c r="P181" s="81">
        <f>6289.07</f>
        <v>6289.07</v>
      </c>
      <c r="Q181" s="79">
        <f t="shared" si="5"/>
        <v>3060.619999999999</v>
      </c>
      <c r="R181" s="141"/>
    </row>
    <row r="182" spans="1:18" s="13" customFormat="1" ht="15.75" x14ac:dyDescent="0.25">
      <c r="A182" s="10"/>
      <c r="B182" s="62" t="s">
        <v>146</v>
      </c>
      <c r="C182" s="1" t="s">
        <v>17</v>
      </c>
      <c r="D182" s="165"/>
      <c r="E182" s="17" t="s">
        <v>20</v>
      </c>
      <c r="F182" s="73" t="s">
        <v>410</v>
      </c>
      <c r="G182" s="74" t="s">
        <v>112</v>
      </c>
      <c r="H182" s="75">
        <v>6</v>
      </c>
      <c r="I182" s="76">
        <v>6</v>
      </c>
      <c r="J182" s="96">
        <f>4+1</f>
        <v>5</v>
      </c>
      <c r="K182" s="77">
        <f>4610.77+1568.98</f>
        <v>6179.75</v>
      </c>
      <c r="L182" s="77">
        <f>1287.07</f>
        <v>1287.07</v>
      </c>
      <c r="M182" s="38">
        <f t="shared" si="6"/>
        <v>4892.68</v>
      </c>
      <c r="N182" s="100">
        <f>5+1+1</f>
        <v>7</v>
      </c>
      <c r="O182" s="81">
        <f>13579.06+1287.07+2636.18</f>
        <v>17502.309999999998</v>
      </c>
      <c r="P182" s="81">
        <f>13579.06</f>
        <v>13579.06</v>
      </c>
      <c r="Q182" s="12">
        <f t="shared" si="5"/>
        <v>3923.2499999999982</v>
      </c>
      <c r="R182" s="141"/>
    </row>
    <row r="183" spans="1:18" s="13" customFormat="1" ht="15.75" x14ac:dyDescent="0.25">
      <c r="A183" s="10"/>
      <c r="B183" s="22" t="s">
        <v>146</v>
      </c>
      <c r="C183" s="1" t="s">
        <v>17</v>
      </c>
      <c r="D183" s="165"/>
      <c r="E183" s="3" t="s">
        <v>21</v>
      </c>
      <c r="F183" s="73" t="s">
        <v>443</v>
      </c>
      <c r="G183" s="11" t="s">
        <v>118</v>
      </c>
      <c r="H183" s="1">
        <v>4</v>
      </c>
      <c r="I183" s="47"/>
      <c r="J183" s="51"/>
      <c r="K183" s="37"/>
      <c r="L183" s="37"/>
      <c r="M183" s="38">
        <f t="shared" si="6"/>
        <v>0</v>
      </c>
      <c r="N183" s="39">
        <v>3</v>
      </c>
      <c r="O183" s="31">
        <v>3035.18</v>
      </c>
      <c r="P183" s="31">
        <v>3035.18</v>
      </c>
      <c r="Q183" s="79">
        <f t="shared" si="5"/>
        <v>0</v>
      </c>
    </row>
    <row r="184" spans="1:18" s="13" customFormat="1" ht="15.75" x14ac:dyDescent="0.25">
      <c r="A184" s="10"/>
      <c r="B184" s="27" t="s">
        <v>102</v>
      </c>
      <c r="C184" s="1" t="s">
        <v>17</v>
      </c>
      <c r="D184" s="165"/>
      <c r="E184" s="17" t="s">
        <v>20</v>
      </c>
      <c r="F184" s="73" t="s">
        <v>411</v>
      </c>
      <c r="G184" s="74" t="s">
        <v>112</v>
      </c>
      <c r="H184" s="75">
        <v>8</v>
      </c>
      <c r="I184" s="76">
        <v>2</v>
      </c>
      <c r="J184" s="96">
        <f>1+1</f>
        <v>2</v>
      </c>
      <c r="K184" s="77">
        <f>845.24+845.24</f>
        <v>1690.48</v>
      </c>
      <c r="L184" s="77">
        <f>845.24</f>
        <v>845.24</v>
      </c>
      <c r="M184" s="38">
        <f t="shared" si="6"/>
        <v>845.24</v>
      </c>
      <c r="N184" s="100">
        <f>3</f>
        <v>3</v>
      </c>
      <c r="O184" s="81">
        <f>7808.21+30833.77</f>
        <v>38641.980000000003</v>
      </c>
      <c r="P184" s="81">
        <f>7808.21</f>
        <v>7808.21</v>
      </c>
      <c r="Q184" s="12">
        <f t="shared" si="5"/>
        <v>30833.770000000004</v>
      </c>
      <c r="R184" s="141"/>
    </row>
    <row r="185" spans="1:18" s="13" customFormat="1" ht="15.75" x14ac:dyDescent="0.25">
      <c r="A185" s="10"/>
      <c r="B185" s="25" t="s">
        <v>102</v>
      </c>
      <c r="C185" s="1" t="s">
        <v>17</v>
      </c>
      <c r="D185" s="165"/>
      <c r="E185" s="17" t="s">
        <v>20</v>
      </c>
      <c r="F185" s="73" t="s">
        <v>469</v>
      </c>
      <c r="G185" s="11" t="s">
        <v>114</v>
      </c>
      <c r="H185" s="1">
        <v>6</v>
      </c>
      <c r="I185" s="58">
        <v>2</v>
      </c>
      <c r="J185" s="51">
        <v>2</v>
      </c>
      <c r="K185" s="40"/>
      <c r="L185" s="40"/>
      <c r="M185" s="38">
        <f t="shared" si="6"/>
        <v>0</v>
      </c>
      <c r="N185" s="41">
        <v>8</v>
      </c>
      <c r="O185" s="31">
        <f>7604.1</f>
        <v>7604.1</v>
      </c>
      <c r="P185" s="31">
        <v>7604.1</v>
      </c>
      <c r="Q185" s="79">
        <f t="shared" si="5"/>
        <v>0</v>
      </c>
    </row>
    <row r="186" spans="1:18" s="13" customFormat="1" ht="15.75" x14ac:dyDescent="0.25">
      <c r="A186" s="10"/>
      <c r="B186" s="27" t="s">
        <v>103</v>
      </c>
      <c r="C186" s="1" t="s">
        <v>17</v>
      </c>
      <c r="D186" s="165"/>
      <c r="E186" s="3" t="s">
        <v>20</v>
      </c>
      <c r="F186" s="73" t="s">
        <v>412</v>
      </c>
      <c r="G186" s="74" t="s">
        <v>112</v>
      </c>
      <c r="H186" s="75">
        <v>8</v>
      </c>
      <c r="I186" s="76">
        <v>3</v>
      </c>
      <c r="J186" s="96">
        <f>4</f>
        <v>4</v>
      </c>
      <c r="K186" s="77"/>
      <c r="L186" s="77"/>
      <c r="M186" s="38">
        <f t="shared" si="6"/>
        <v>0</v>
      </c>
      <c r="N186" s="100">
        <f>7+2</f>
        <v>9</v>
      </c>
      <c r="O186" s="77">
        <f>20193.14</f>
        <v>20193.14</v>
      </c>
      <c r="P186" s="81">
        <f>20193.14</f>
        <v>20193.14</v>
      </c>
      <c r="Q186" s="12">
        <f t="shared" si="5"/>
        <v>0</v>
      </c>
      <c r="R186" s="141"/>
    </row>
    <row r="187" spans="1:18" s="13" customFormat="1" ht="15.75" x14ac:dyDescent="0.25">
      <c r="A187" s="10"/>
      <c r="B187" s="25" t="s">
        <v>103</v>
      </c>
      <c r="C187" s="1" t="s">
        <v>17</v>
      </c>
      <c r="D187" s="165"/>
      <c r="E187" s="3" t="s">
        <v>20</v>
      </c>
      <c r="F187" s="73" t="s">
        <v>470</v>
      </c>
      <c r="G187" s="11" t="s">
        <v>114</v>
      </c>
      <c r="H187" s="1">
        <v>7</v>
      </c>
      <c r="I187" s="49"/>
      <c r="J187" s="51"/>
      <c r="K187" s="40"/>
      <c r="L187" s="40"/>
      <c r="M187" s="38">
        <f t="shared" si="6"/>
        <v>0</v>
      </c>
      <c r="N187" s="41">
        <v>4</v>
      </c>
      <c r="O187" s="31">
        <f>8510.89</f>
        <v>8510.89</v>
      </c>
      <c r="P187" s="31">
        <v>8510.89</v>
      </c>
      <c r="Q187" s="79">
        <f t="shared" si="5"/>
        <v>0</v>
      </c>
    </row>
    <row r="188" spans="1:18" s="15" customFormat="1" ht="15.75" x14ac:dyDescent="0.25">
      <c r="A188" s="14"/>
      <c r="B188" s="28" t="s">
        <v>104</v>
      </c>
      <c r="C188" s="1" t="s">
        <v>17</v>
      </c>
      <c r="D188" s="165"/>
      <c r="E188" s="3" t="s">
        <v>20</v>
      </c>
      <c r="F188" s="73" t="s">
        <v>413</v>
      </c>
      <c r="G188" s="74" t="s">
        <v>112</v>
      </c>
      <c r="H188" s="75">
        <v>7</v>
      </c>
      <c r="I188" s="76">
        <v>4</v>
      </c>
      <c r="J188" s="96">
        <f>3+1</f>
        <v>4</v>
      </c>
      <c r="K188" s="77">
        <f>5112.82+422.64</f>
        <v>5535.46</v>
      </c>
      <c r="L188" s="77"/>
      <c r="M188" s="38">
        <f t="shared" si="6"/>
        <v>5535.46</v>
      </c>
      <c r="N188" s="100">
        <f>4+1+1</f>
        <v>6</v>
      </c>
      <c r="O188" s="81">
        <f>7087.22</f>
        <v>7087.22</v>
      </c>
      <c r="P188" s="81">
        <f>7086.22+5112.82</f>
        <v>12199.04</v>
      </c>
      <c r="Q188" s="12">
        <f t="shared" si="5"/>
        <v>-5111.8200000000006</v>
      </c>
      <c r="R188" s="141"/>
    </row>
    <row r="189" spans="1:18" s="15" customFormat="1" ht="15.75" x14ac:dyDescent="0.25">
      <c r="A189" s="14"/>
      <c r="B189" s="26" t="s">
        <v>104</v>
      </c>
      <c r="C189" s="1" t="s">
        <v>17</v>
      </c>
      <c r="D189" s="165"/>
      <c r="E189" s="3" t="s">
        <v>20</v>
      </c>
      <c r="F189" s="73" t="s">
        <v>471</v>
      </c>
      <c r="G189" s="11" t="s">
        <v>114</v>
      </c>
      <c r="H189" s="1">
        <v>23</v>
      </c>
      <c r="I189" s="49">
        <v>1</v>
      </c>
      <c r="J189" s="51">
        <v>1</v>
      </c>
      <c r="K189" s="40"/>
      <c r="L189" s="40"/>
      <c r="M189" s="38">
        <f t="shared" si="6"/>
        <v>0</v>
      </c>
      <c r="N189" s="39">
        <v>14</v>
      </c>
      <c r="O189" s="31">
        <v>20243.37</v>
      </c>
      <c r="P189" s="31">
        <v>20243.37</v>
      </c>
      <c r="Q189" s="79">
        <f t="shared" si="5"/>
        <v>0</v>
      </c>
    </row>
    <row r="190" spans="1:18" s="13" customFormat="1" ht="15.75" x14ac:dyDescent="0.25">
      <c r="A190" s="10"/>
      <c r="B190" s="30" t="s">
        <v>105</v>
      </c>
      <c r="C190" s="1" t="s">
        <v>17</v>
      </c>
      <c r="D190" s="165"/>
      <c r="E190" s="17" t="s">
        <v>35</v>
      </c>
      <c r="F190" s="73" t="s">
        <v>419</v>
      </c>
      <c r="G190" s="74" t="s">
        <v>112</v>
      </c>
      <c r="H190" s="75"/>
      <c r="I190" s="76"/>
      <c r="J190" s="96"/>
      <c r="K190" s="77"/>
      <c r="L190" s="77"/>
      <c r="M190" s="38">
        <f t="shared" si="6"/>
        <v>0</v>
      </c>
      <c r="N190" s="100"/>
      <c r="O190" s="81"/>
      <c r="P190" s="81"/>
      <c r="Q190" s="12">
        <f t="shared" si="5"/>
        <v>0</v>
      </c>
      <c r="R190" s="141"/>
    </row>
    <row r="191" spans="1:18" s="13" customFormat="1" ht="15.75" x14ac:dyDescent="0.25">
      <c r="A191" s="10"/>
      <c r="B191" s="30" t="s">
        <v>26</v>
      </c>
      <c r="C191" s="1" t="s">
        <v>17</v>
      </c>
      <c r="D191" s="165"/>
      <c r="E191" s="3" t="s">
        <v>32</v>
      </c>
      <c r="F191" s="73" t="s">
        <v>246</v>
      </c>
      <c r="G191" s="74" t="s">
        <v>117</v>
      </c>
      <c r="H191" s="75"/>
      <c r="I191" s="76"/>
      <c r="J191" s="96"/>
      <c r="K191" s="77"/>
      <c r="L191" s="77"/>
      <c r="M191" s="78">
        <f t="shared" si="6"/>
        <v>0</v>
      </c>
      <c r="N191" s="100">
        <v>5</v>
      </c>
      <c r="O191" s="81">
        <v>3774.05</v>
      </c>
      <c r="P191" s="81">
        <v>3774.05</v>
      </c>
      <c r="Q191" s="12">
        <f t="shared" si="5"/>
        <v>0</v>
      </c>
    </row>
    <row r="192" spans="1:18" s="13" customFormat="1" ht="15.75" x14ac:dyDescent="0.25">
      <c r="A192" s="10"/>
      <c r="B192" s="24" t="s">
        <v>105</v>
      </c>
      <c r="C192" s="1" t="s">
        <v>17</v>
      </c>
      <c r="D192" s="165"/>
      <c r="E192" s="17" t="s">
        <v>35</v>
      </c>
      <c r="F192" s="73" t="s">
        <v>436</v>
      </c>
      <c r="G192" s="11" t="s">
        <v>117</v>
      </c>
      <c r="H192" s="1"/>
      <c r="I192" s="47"/>
      <c r="J192" s="46"/>
      <c r="K192" s="40"/>
      <c r="L192" s="40"/>
      <c r="M192" s="38">
        <f t="shared" si="6"/>
        <v>0</v>
      </c>
      <c r="N192" s="41"/>
      <c r="O192" s="31"/>
      <c r="P192" s="31"/>
      <c r="Q192" s="79">
        <f t="shared" si="5"/>
        <v>0</v>
      </c>
    </row>
    <row r="193" spans="1:18" s="13" customFormat="1" ht="15.75" x14ac:dyDescent="0.25">
      <c r="A193" s="10"/>
      <c r="B193" s="62" t="s">
        <v>106</v>
      </c>
      <c r="C193" s="1" t="s">
        <v>17</v>
      </c>
      <c r="D193" s="2"/>
      <c r="E193" s="17" t="s">
        <v>20</v>
      </c>
      <c r="F193" s="73" t="s">
        <v>414</v>
      </c>
      <c r="G193" s="74" t="s">
        <v>112</v>
      </c>
      <c r="H193" s="75">
        <v>7</v>
      </c>
      <c r="I193" s="76"/>
      <c r="J193" s="96"/>
      <c r="K193" s="77"/>
      <c r="L193" s="77"/>
      <c r="M193" s="38">
        <f t="shared" si="6"/>
        <v>0</v>
      </c>
      <c r="N193" s="100">
        <f>3</f>
        <v>3</v>
      </c>
      <c r="O193" s="81">
        <f>15956.85</f>
        <v>15956.85</v>
      </c>
      <c r="P193" s="81">
        <f>15956.85</f>
        <v>15956.85</v>
      </c>
      <c r="Q193" s="12">
        <f t="shared" si="5"/>
        <v>0</v>
      </c>
      <c r="R193" s="141"/>
    </row>
    <row r="194" spans="1:18" ht="15.75" x14ac:dyDescent="0.25">
      <c r="A194" s="7"/>
      <c r="B194" s="32"/>
      <c r="C194" s="107"/>
      <c r="D194" s="33"/>
      <c r="E194" s="33"/>
      <c r="F194" s="73"/>
      <c r="G194" s="8" t="s">
        <v>131</v>
      </c>
      <c r="H194" s="106">
        <f t="shared" ref="H194:P194" si="7">SUM(H10:H193)</f>
        <v>1282</v>
      </c>
      <c r="I194" s="59">
        <f t="shared" si="7"/>
        <v>450</v>
      </c>
      <c r="J194" s="43">
        <f t="shared" si="7"/>
        <v>509</v>
      </c>
      <c r="K194" s="56">
        <f t="shared" si="7"/>
        <v>604812.79499999981</v>
      </c>
      <c r="L194" s="56">
        <f t="shared" si="7"/>
        <v>90527.780000000028</v>
      </c>
      <c r="M194" s="44">
        <f>K194-L194</f>
        <v>514285.01499999978</v>
      </c>
      <c r="N194" s="43">
        <f t="shared" si="7"/>
        <v>1320</v>
      </c>
      <c r="O194" s="57">
        <f t="shared" si="7"/>
        <v>3402251.6899999995</v>
      </c>
      <c r="P194" s="57">
        <f t="shared" si="7"/>
        <v>2102237.8600000003</v>
      </c>
      <c r="Q194" s="79">
        <f t="shared" si="5"/>
        <v>1300013.8299999991</v>
      </c>
      <c r="R194" s="129"/>
    </row>
    <row r="195" spans="1:18" x14ac:dyDescent="0.25">
      <c r="K195" s="91" t="s">
        <v>305</v>
      </c>
    </row>
    <row r="196" spans="1:18" ht="45" x14ac:dyDescent="0.25">
      <c r="B196" s="89" t="s">
        <v>316</v>
      </c>
      <c r="F196" s="104" t="s">
        <v>317</v>
      </c>
      <c r="M196" s="142"/>
      <c r="Q196" s="133"/>
    </row>
  </sheetData>
  <mergeCells count="7">
    <mergeCell ref="O1:Q1"/>
    <mergeCell ref="A3:Q3"/>
    <mergeCell ref="A4:Q4"/>
    <mergeCell ref="A5:Q5"/>
    <mergeCell ref="B7:G7"/>
    <mergeCell ref="H7:M7"/>
    <mergeCell ref="N7:Q7"/>
  </mergeCells>
  <pageMargins left="0.70866141732283472" right="0.70866141732283472" top="0.74803149606299213" bottom="0.74803149606299213" header="0.31496062992125984" footer="0.31496062992125984"/>
  <pageSetup paperSize="9" scale="43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85"/>
  <sheetViews>
    <sheetView workbookViewId="0">
      <selection sqref="A1:XFD1048576"/>
    </sheetView>
  </sheetViews>
  <sheetFormatPr defaultRowHeight="15" x14ac:dyDescent="0.25"/>
  <cols>
    <col min="1" max="1" width="4" style="6" customWidth="1"/>
    <col min="2" max="2" width="37.5703125" style="88" customWidth="1"/>
    <col min="3" max="3" width="6.5703125" style="19" customWidth="1"/>
    <col min="4" max="4" width="10.140625" style="19" customWidth="1"/>
    <col min="5" max="5" width="19" style="19" customWidth="1"/>
    <col min="6" max="6" width="21.7109375" style="89" customWidth="1"/>
    <col min="7" max="7" width="22.7109375" style="89" customWidth="1"/>
    <col min="8" max="9" width="10.7109375" style="90" customWidth="1"/>
    <col min="10" max="10" width="8.42578125" style="99" customWidth="1"/>
    <col min="11" max="13" width="15.7109375" style="91" customWidth="1"/>
    <col min="14" max="14" width="10.7109375" style="99" customWidth="1"/>
    <col min="15" max="16" width="15.7109375" style="92" customWidth="1"/>
    <col min="17" max="17" width="18.28515625" style="92" customWidth="1"/>
    <col min="18" max="19" width="9.42578125" style="6" customWidth="1"/>
    <col min="20" max="21" width="9.140625" style="6" customWidth="1"/>
    <col min="22" max="16384" width="9.140625" style="6"/>
  </cols>
  <sheetData>
    <row r="1" spans="1:17" s="105" customFormat="1" x14ac:dyDescent="0.25">
      <c r="B1" s="60"/>
      <c r="C1" s="4"/>
      <c r="D1" s="4"/>
      <c r="E1" s="4"/>
      <c r="F1" s="63"/>
      <c r="G1" s="63"/>
      <c r="H1" s="64"/>
      <c r="I1" s="64"/>
      <c r="J1" s="93"/>
      <c r="K1" s="65"/>
      <c r="L1" s="65"/>
      <c r="M1" s="65"/>
      <c r="N1" s="93"/>
      <c r="O1" s="362" t="s">
        <v>15</v>
      </c>
      <c r="P1" s="362"/>
      <c r="Q1" s="362"/>
    </row>
    <row r="2" spans="1:17" s="105" customFormat="1" x14ac:dyDescent="0.25">
      <c r="A2" s="7"/>
      <c r="B2" s="111"/>
      <c r="C2" s="107"/>
      <c r="D2" s="107"/>
      <c r="E2" s="107"/>
      <c r="F2" s="66"/>
      <c r="G2" s="66"/>
      <c r="H2" s="110"/>
      <c r="I2" s="110"/>
      <c r="J2" s="94"/>
      <c r="K2" s="67"/>
      <c r="L2" s="67"/>
      <c r="M2" s="67"/>
      <c r="N2" s="94"/>
      <c r="O2" s="68"/>
      <c r="P2" s="68"/>
      <c r="Q2" s="68"/>
    </row>
    <row r="3" spans="1:17" s="105" customFormat="1" x14ac:dyDescent="0.25">
      <c r="A3" s="363" t="s">
        <v>318</v>
      </c>
      <c r="B3" s="364"/>
      <c r="C3" s="363"/>
      <c r="D3" s="363"/>
      <c r="E3" s="363"/>
      <c r="F3" s="364"/>
      <c r="G3" s="364"/>
      <c r="H3" s="365"/>
      <c r="I3" s="366"/>
      <c r="J3" s="367"/>
      <c r="K3" s="364"/>
      <c r="L3" s="364"/>
      <c r="M3" s="364"/>
      <c r="N3" s="364"/>
      <c r="O3" s="364"/>
      <c r="P3" s="364"/>
      <c r="Q3" s="364"/>
    </row>
    <row r="4" spans="1:17" s="105" customFormat="1" x14ac:dyDescent="0.25">
      <c r="A4" s="368">
        <v>43466</v>
      </c>
      <c r="B4" s="369"/>
      <c r="C4" s="370"/>
      <c r="D4" s="370"/>
      <c r="E4" s="370"/>
      <c r="F4" s="369"/>
      <c r="G4" s="369"/>
      <c r="H4" s="371"/>
      <c r="I4" s="372"/>
      <c r="J4" s="373"/>
      <c r="K4" s="369"/>
      <c r="L4" s="369"/>
      <c r="M4" s="369"/>
      <c r="N4" s="369"/>
      <c r="O4" s="369"/>
      <c r="P4" s="369"/>
      <c r="Q4" s="369"/>
    </row>
    <row r="5" spans="1:17" s="105" customFormat="1" x14ac:dyDescent="0.25">
      <c r="A5" s="374" t="s">
        <v>14</v>
      </c>
      <c r="B5" s="367"/>
      <c r="C5" s="374"/>
      <c r="D5" s="374"/>
      <c r="E5" s="374"/>
      <c r="F5" s="367"/>
      <c r="G5" s="367"/>
      <c r="H5" s="366"/>
      <c r="I5" s="366"/>
      <c r="J5" s="367"/>
      <c r="K5" s="367"/>
      <c r="L5" s="367"/>
      <c r="M5" s="367"/>
      <c r="N5" s="367"/>
      <c r="O5" s="367"/>
      <c r="P5" s="367"/>
      <c r="Q5" s="367"/>
    </row>
    <row r="6" spans="1:17" s="105" customFormat="1" x14ac:dyDescent="0.25">
      <c r="A6" s="7"/>
      <c r="B6" s="111"/>
      <c r="C6" s="107"/>
      <c r="D6" s="107"/>
      <c r="E6" s="107"/>
      <c r="F6" s="66"/>
      <c r="G6" s="66"/>
      <c r="H6" s="110"/>
      <c r="I6" s="110"/>
      <c r="J6" s="94"/>
      <c r="K6" s="67"/>
      <c r="L6" s="67"/>
      <c r="M6" s="67"/>
      <c r="N6" s="94"/>
      <c r="O6" s="68"/>
      <c r="P6" s="68"/>
      <c r="Q6" s="68"/>
    </row>
    <row r="7" spans="1:17" x14ac:dyDescent="0.25">
      <c r="A7" s="5" t="s">
        <v>0</v>
      </c>
      <c r="B7" s="364" t="s">
        <v>10</v>
      </c>
      <c r="C7" s="375"/>
      <c r="D7" s="375"/>
      <c r="E7" s="375"/>
      <c r="F7" s="364"/>
      <c r="G7" s="364"/>
      <c r="H7" s="365" t="s">
        <v>136</v>
      </c>
      <c r="I7" s="366"/>
      <c r="J7" s="367"/>
      <c r="K7" s="364"/>
      <c r="L7" s="364"/>
      <c r="M7" s="364"/>
      <c r="N7" s="364" t="s">
        <v>132</v>
      </c>
      <c r="O7" s="364"/>
      <c r="P7" s="364"/>
      <c r="Q7" s="364"/>
    </row>
    <row r="8" spans="1:17" ht="240" x14ac:dyDescent="0.25">
      <c r="A8" s="5"/>
      <c r="B8" s="111" t="s">
        <v>4</v>
      </c>
      <c r="C8" s="107" t="s">
        <v>1</v>
      </c>
      <c r="D8" s="107" t="s">
        <v>3</v>
      </c>
      <c r="E8" s="107" t="s">
        <v>2</v>
      </c>
      <c r="F8" s="111" t="s">
        <v>6</v>
      </c>
      <c r="G8" s="66" t="s">
        <v>5</v>
      </c>
      <c r="H8" s="111" t="s">
        <v>7</v>
      </c>
      <c r="I8" s="111" t="s">
        <v>8</v>
      </c>
      <c r="J8" s="94" t="s">
        <v>9</v>
      </c>
      <c r="K8" s="67" t="s">
        <v>11</v>
      </c>
      <c r="L8" s="67" t="s">
        <v>12</v>
      </c>
      <c r="M8" s="67" t="s">
        <v>13</v>
      </c>
      <c r="N8" s="94" t="s">
        <v>9</v>
      </c>
      <c r="O8" s="68" t="s">
        <v>11</v>
      </c>
      <c r="P8" s="68" t="s">
        <v>12</v>
      </c>
      <c r="Q8" s="68" t="s">
        <v>13</v>
      </c>
    </row>
    <row r="9" spans="1:17" x14ac:dyDescent="0.25">
      <c r="A9" s="9">
        <v>1</v>
      </c>
      <c r="B9" s="61">
        <f>A9+1</f>
        <v>2</v>
      </c>
      <c r="C9" s="9">
        <f t="shared" ref="C9:Q9" si="0">B9+1</f>
        <v>3</v>
      </c>
      <c r="D9" s="9">
        <f t="shared" si="0"/>
        <v>4</v>
      </c>
      <c r="E9" s="9">
        <f t="shared" si="0"/>
        <v>5</v>
      </c>
      <c r="F9" s="69">
        <f t="shared" si="0"/>
        <v>6</v>
      </c>
      <c r="G9" s="69">
        <f t="shared" si="0"/>
        <v>7</v>
      </c>
      <c r="H9" s="70">
        <f t="shared" si="0"/>
        <v>8</v>
      </c>
      <c r="I9" s="70">
        <f t="shared" si="0"/>
        <v>9</v>
      </c>
      <c r="J9" s="95">
        <f t="shared" si="0"/>
        <v>10</v>
      </c>
      <c r="K9" s="71">
        <f t="shared" si="0"/>
        <v>11</v>
      </c>
      <c r="L9" s="71">
        <f t="shared" si="0"/>
        <v>12</v>
      </c>
      <c r="M9" s="71">
        <f t="shared" si="0"/>
        <v>13</v>
      </c>
      <c r="N9" s="95">
        <f t="shared" si="0"/>
        <v>14</v>
      </c>
      <c r="O9" s="72">
        <f t="shared" si="0"/>
        <v>15</v>
      </c>
      <c r="P9" s="72">
        <f t="shared" si="0"/>
        <v>16</v>
      </c>
      <c r="Q9" s="72">
        <f t="shared" si="0"/>
        <v>17</v>
      </c>
    </row>
    <row r="10" spans="1:17" s="13" customFormat="1" ht="24" x14ac:dyDescent="0.25">
      <c r="A10" s="10">
        <v>1</v>
      </c>
      <c r="B10" s="62" t="s">
        <v>16</v>
      </c>
      <c r="C10" s="1" t="s">
        <v>304</v>
      </c>
      <c r="D10" s="18" t="s">
        <v>315</v>
      </c>
      <c r="E10" s="3" t="s">
        <v>18</v>
      </c>
      <c r="F10" s="73" t="s">
        <v>159</v>
      </c>
      <c r="G10" s="74" t="s">
        <v>112</v>
      </c>
      <c r="H10" s="75"/>
      <c r="I10" s="76"/>
      <c r="J10" s="96"/>
      <c r="K10" s="77"/>
      <c r="L10" s="77"/>
      <c r="M10" s="78">
        <f>K10-L10</f>
        <v>0</v>
      </c>
      <c r="N10" s="100"/>
      <c r="O10" s="77"/>
      <c r="P10" s="77"/>
      <c r="Q10" s="79">
        <f>O10-P10</f>
        <v>0</v>
      </c>
    </row>
    <row r="11" spans="1:17" s="13" customFormat="1" ht="15.75" x14ac:dyDescent="0.25">
      <c r="A11" s="10">
        <v>2</v>
      </c>
      <c r="B11" s="22" t="s">
        <v>16</v>
      </c>
      <c r="C11" s="1" t="s">
        <v>17</v>
      </c>
      <c r="D11" s="2"/>
      <c r="E11" s="3" t="s">
        <v>18</v>
      </c>
      <c r="F11" s="2" t="s">
        <v>241</v>
      </c>
      <c r="G11" s="11" t="s">
        <v>116</v>
      </c>
      <c r="H11" s="1">
        <v>2</v>
      </c>
      <c r="I11" s="49"/>
      <c r="J11" s="46"/>
      <c r="K11" s="31"/>
      <c r="L11" s="31"/>
      <c r="M11" s="38">
        <f t="shared" ref="M11:M83" si="1">K11-L11</f>
        <v>0</v>
      </c>
      <c r="N11" s="41"/>
      <c r="O11" s="31"/>
      <c r="P11" s="31"/>
      <c r="Q11" s="12">
        <f t="shared" ref="Q11:Q76" si="2">O11-P11</f>
        <v>0</v>
      </c>
    </row>
    <row r="12" spans="1:17" s="15" customFormat="1" ht="15.75" x14ac:dyDescent="0.25">
      <c r="A12" s="14">
        <v>2</v>
      </c>
      <c r="B12" s="80" t="s">
        <v>19</v>
      </c>
      <c r="C12" s="1" t="s">
        <v>17</v>
      </c>
      <c r="D12" s="2"/>
      <c r="E12" s="3" t="s">
        <v>20</v>
      </c>
      <c r="F12" s="73" t="s">
        <v>160</v>
      </c>
      <c r="G12" s="74" t="s">
        <v>112</v>
      </c>
      <c r="H12" s="75">
        <v>4</v>
      </c>
      <c r="I12" s="76"/>
      <c r="J12" s="96"/>
      <c r="K12" s="77"/>
      <c r="L12" s="77"/>
      <c r="M12" s="78">
        <f t="shared" si="1"/>
        <v>0</v>
      </c>
      <c r="N12" s="100"/>
      <c r="O12" s="81"/>
      <c r="P12" s="81"/>
      <c r="Q12" s="79">
        <f t="shared" si="2"/>
        <v>0</v>
      </c>
    </row>
    <row r="13" spans="1:17" s="15" customFormat="1" ht="15.75" x14ac:dyDescent="0.25">
      <c r="A13" s="14">
        <v>2</v>
      </c>
      <c r="B13" s="23" t="s">
        <v>19</v>
      </c>
      <c r="C13" s="1" t="s">
        <v>17</v>
      </c>
      <c r="D13" s="2"/>
      <c r="E13" s="3" t="s">
        <v>20</v>
      </c>
      <c r="F13" s="2" t="s">
        <v>264</v>
      </c>
      <c r="G13" s="11" t="s">
        <v>114</v>
      </c>
      <c r="H13" s="1"/>
      <c r="I13" s="49"/>
      <c r="J13" s="51"/>
      <c r="K13" s="40"/>
      <c r="L13" s="40"/>
      <c r="M13" s="38">
        <f t="shared" si="1"/>
        <v>0</v>
      </c>
      <c r="N13" s="42"/>
      <c r="O13" s="31"/>
      <c r="P13" s="31"/>
      <c r="Q13" s="12">
        <f t="shared" si="2"/>
        <v>0</v>
      </c>
    </row>
    <row r="14" spans="1:17" s="15" customFormat="1" ht="15.75" x14ac:dyDescent="0.25">
      <c r="A14" s="14"/>
      <c r="B14" s="62" t="s">
        <v>153</v>
      </c>
      <c r="C14" s="1" t="s">
        <v>17</v>
      </c>
      <c r="D14" s="2"/>
      <c r="E14" s="3" t="s">
        <v>20</v>
      </c>
      <c r="F14" s="73" t="s">
        <v>297</v>
      </c>
      <c r="G14" s="74" t="s">
        <v>112</v>
      </c>
      <c r="H14" s="75"/>
      <c r="I14" s="82"/>
      <c r="J14" s="96"/>
      <c r="K14" s="77"/>
      <c r="L14" s="77"/>
      <c r="M14" s="78">
        <f t="shared" si="1"/>
        <v>0</v>
      </c>
      <c r="N14" s="101"/>
      <c r="O14" s="81"/>
      <c r="P14" s="81"/>
      <c r="Q14" s="79">
        <f t="shared" si="2"/>
        <v>0</v>
      </c>
    </row>
    <row r="15" spans="1:17" s="15" customFormat="1" ht="15.75" x14ac:dyDescent="0.25">
      <c r="A15" s="14"/>
      <c r="B15" s="50" t="s">
        <v>153</v>
      </c>
      <c r="C15" s="1"/>
      <c r="D15" s="2"/>
      <c r="E15" s="3" t="s">
        <v>20</v>
      </c>
      <c r="F15" s="2"/>
      <c r="G15" s="11" t="s">
        <v>114</v>
      </c>
      <c r="H15" s="1"/>
      <c r="I15" s="49"/>
      <c r="J15" s="51"/>
      <c r="K15" s="40"/>
      <c r="L15" s="40"/>
      <c r="M15" s="38">
        <f t="shared" si="1"/>
        <v>0</v>
      </c>
      <c r="N15" s="42"/>
      <c r="O15" s="31"/>
      <c r="P15" s="31"/>
      <c r="Q15" s="12">
        <f t="shared" si="2"/>
        <v>0</v>
      </c>
    </row>
    <row r="16" spans="1:17" s="13" customFormat="1" ht="15.75" x14ac:dyDescent="0.25">
      <c r="A16" s="10">
        <v>3</v>
      </c>
      <c r="B16" s="30" t="s">
        <v>22</v>
      </c>
      <c r="C16" s="1" t="s">
        <v>17</v>
      </c>
      <c r="D16" s="2"/>
      <c r="E16" s="3" t="s">
        <v>23</v>
      </c>
      <c r="F16" s="73" t="s">
        <v>161</v>
      </c>
      <c r="G16" s="74" t="s">
        <v>112</v>
      </c>
      <c r="H16" s="75"/>
      <c r="I16" s="76"/>
      <c r="J16" s="96"/>
      <c r="K16" s="77"/>
      <c r="L16" s="77"/>
      <c r="M16" s="78">
        <f t="shared" si="1"/>
        <v>0</v>
      </c>
      <c r="N16" s="100"/>
      <c r="O16" s="81"/>
      <c r="P16" s="81"/>
      <c r="Q16" s="79">
        <f t="shared" si="2"/>
        <v>0</v>
      </c>
    </row>
    <row r="17" spans="1:17" s="13" customFormat="1" ht="15.75" x14ac:dyDescent="0.25">
      <c r="A17" s="10"/>
      <c r="B17" s="24" t="s">
        <v>154</v>
      </c>
      <c r="C17" s="1" t="s">
        <v>17</v>
      </c>
      <c r="D17" s="2"/>
      <c r="E17" s="3" t="s">
        <v>20</v>
      </c>
      <c r="F17" s="2"/>
      <c r="G17" s="11" t="s">
        <v>114</v>
      </c>
      <c r="H17" s="1">
        <v>1</v>
      </c>
      <c r="I17" s="47"/>
      <c r="J17" s="51"/>
      <c r="K17" s="37"/>
      <c r="L17" s="37"/>
      <c r="M17" s="38">
        <f t="shared" si="1"/>
        <v>0</v>
      </c>
      <c r="N17" s="39"/>
      <c r="O17" s="31"/>
      <c r="P17" s="31"/>
      <c r="Q17" s="12">
        <f t="shared" si="2"/>
        <v>0</v>
      </c>
    </row>
    <row r="18" spans="1:17" s="13" customFormat="1" ht="15.75" x14ac:dyDescent="0.25">
      <c r="A18" s="10"/>
      <c r="B18" s="30" t="s">
        <v>154</v>
      </c>
      <c r="C18" s="1" t="s">
        <v>17</v>
      </c>
      <c r="D18" s="2"/>
      <c r="E18" s="3" t="s">
        <v>20</v>
      </c>
      <c r="F18" s="73" t="s">
        <v>298</v>
      </c>
      <c r="G18" s="74" t="s">
        <v>112</v>
      </c>
      <c r="H18" s="75">
        <v>1</v>
      </c>
      <c r="I18" s="76"/>
      <c r="J18" s="96"/>
      <c r="K18" s="77"/>
      <c r="L18" s="77"/>
      <c r="M18" s="78">
        <f t="shared" si="1"/>
        <v>0</v>
      </c>
      <c r="N18" s="100"/>
      <c r="O18" s="81"/>
      <c r="P18" s="81"/>
      <c r="Q18" s="79">
        <f t="shared" si="2"/>
        <v>0</v>
      </c>
    </row>
    <row r="19" spans="1:17" s="13" customFormat="1" ht="15.75" x14ac:dyDescent="0.25">
      <c r="A19" s="10">
        <v>4</v>
      </c>
      <c r="B19" s="62" t="s">
        <v>24</v>
      </c>
      <c r="C19" s="1" t="s">
        <v>17</v>
      </c>
      <c r="D19" s="2"/>
      <c r="E19" s="3" t="s">
        <v>20</v>
      </c>
      <c r="F19" s="73" t="s">
        <v>162</v>
      </c>
      <c r="G19" s="74" t="s">
        <v>112</v>
      </c>
      <c r="H19" s="75"/>
      <c r="I19" s="76"/>
      <c r="J19" s="96"/>
      <c r="K19" s="77"/>
      <c r="L19" s="77"/>
      <c r="M19" s="38">
        <f t="shared" si="1"/>
        <v>0</v>
      </c>
      <c r="N19" s="100"/>
      <c r="O19" s="81"/>
      <c r="P19" s="81"/>
      <c r="Q19" s="12">
        <f t="shared" si="2"/>
        <v>0</v>
      </c>
    </row>
    <row r="20" spans="1:17" s="13" customFormat="1" ht="15.75" x14ac:dyDescent="0.25">
      <c r="A20" s="10">
        <v>1</v>
      </c>
      <c r="B20" s="22" t="s">
        <v>24</v>
      </c>
      <c r="C20" s="1" t="s">
        <v>17</v>
      </c>
      <c r="D20" s="2"/>
      <c r="E20" s="3" t="s">
        <v>20</v>
      </c>
      <c r="F20" s="2" t="s">
        <v>265</v>
      </c>
      <c r="G20" s="11" t="s">
        <v>114</v>
      </c>
      <c r="H20" s="1">
        <v>1</v>
      </c>
      <c r="I20" s="49"/>
      <c r="J20" s="51"/>
      <c r="K20" s="40"/>
      <c r="L20" s="40"/>
      <c r="M20" s="78">
        <f t="shared" si="1"/>
        <v>0</v>
      </c>
      <c r="N20" s="41"/>
      <c r="O20" s="31"/>
      <c r="P20" s="31"/>
      <c r="Q20" s="79">
        <f t="shared" si="2"/>
        <v>0</v>
      </c>
    </row>
    <row r="21" spans="1:17" s="13" customFormat="1" ht="15.75" x14ac:dyDescent="0.25">
      <c r="A21" s="10">
        <v>5</v>
      </c>
      <c r="B21" s="62" t="s">
        <v>25</v>
      </c>
      <c r="C21" s="1" t="s">
        <v>17</v>
      </c>
      <c r="D21" s="2"/>
      <c r="E21" s="3" t="s">
        <v>20</v>
      </c>
      <c r="F21" s="73" t="s">
        <v>163</v>
      </c>
      <c r="G21" s="74" t="s">
        <v>112</v>
      </c>
      <c r="H21" s="75"/>
      <c r="I21" s="76"/>
      <c r="J21" s="96"/>
      <c r="K21" s="77"/>
      <c r="L21" s="77"/>
      <c r="M21" s="38">
        <f t="shared" si="1"/>
        <v>0</v>
      </c>
      <c r="N21" s="100"/>
      <c r="O21" s="81"/>
      <c r="P21" s="81"/>
      <c r="Q21" s="12">
        <f t="shared" si="2"/>
        <v>0</v>
      </c>
    </row>
    <row r="22" spans="1:17" s="13" customFormat="1" ht="15.75" x14ac:dyDescent="0.25">
      <c r="A22" s="10"/>
      <c r="B22" s="22" t="s">
        <v>25</v>
      </c>
      <c r="C22" s="1" t="s">
        <v>17</v>
      </c>
      <c r="D22" s="2"/>
      <c r="E22" s="3" t="s">
        <v>20</v>
      </c>
      <c r="F22" s="2" t="s">
        <v>266</v>
      </c>
      <c r="G22" s="11" t="s">
        <v>114</v>
      </c>
      <c r="H22" s="1"/>
      <c r="I22" s="49"/>
      <c r="J22" s="51"/>
      <c r="K22" s="40"/>
      <c r="L22" s="40"/>
      <c r="M22" s="78">
        <f t="shared" si="1"/>
        <v>0</v>
      </c>
      <c r="N22" s="41"/>
      <c r="O22" s="31"/>
      <c r="P22" s="31"/>
      <c r="Q22" s="79">
        <f t="shared" si="2"/>
        <v>0</v>
      </c>
    </row>
    <row r="23" spans="1:17" s="13" customFormat="1" ht="15.75" x14ac:dyDescent="0.25">
      <c r="A23" s="10">
        <v>6</v>
      </c>
      <c r="B23" s="62" t="s">
        <v>26</v>
      </c>
      <c r="C23" s="1" t="s">
        <v>17</v>
      </c>
      <c r="D23" s="2"/>
      <c r="E23" s="3" t="s">
        <v>27</v>
      </c>
      <c r="F23" s="73" t="s">
        <v>164</v>
      </c>
      <c r="G23" s="74" t="s">
        <v>112</v>
      </c>
      <c r="H23" s="75"/>
      <c r="I23" s="76"/>
      <c r="J23" s="96"/>
      <c r="K23" s="77"/>
      <c r="L23" s="77"/>
      <c r="M23" s="38">
        <f t="shared" si="1"/>
        <v>0</v>
      </c>
      <c r="N23" s="100"/>
      <c r="O23" s="81"/>
      <c r="P23" s="81"/>
      <c r="Q23" s="12">
        <f t="shared" si="2"/>
        <v>0</v>
      </c>
    </row>
    <row r="24" spans="1:17" s="13" customFormat="1" ht="15.75" x14ac:dyDescent="0.25">
      <c r="A24" s="10"/>
      <c r="B24" s="22" t="s">
        <v>26</v>
      </c>
      <c r="C24" s="1" t="s">
        <v>17</v>
      </c>
      <c r="D24" s="2"/>
      <c r="E24" s="3" t="s">
        <v>27</v>
      </c>
      <c r="F24" s="16" t="s">
        <v>246</v>
      </c>
      <c r="G24" s="11" t="s">
        <v>117</v>
      </c>
      <c r="H24" s="1"/>
      <c r="I24" s="49"/>
      <c r="J24" s="46"/>
      <c r="K24" s="40"/>
      <c r="L24" s="40"/>
      <c r="M24" s="78">
        <f t="shared" si="1"/>
        <v>0</v>
      </c>
      <c r="N24" s="41"/>
      <c r="O24" s="40"/>
      <c r="P24" s="40"/>
      <c r="Q24" s="79">
        <f>O24-P24</f>
        <v>0</v>
      </c>
    </row>
    <row r="25" spans="1:17" s="15" customFormat="1" ht="15.75" x14ac:dyDescent="0.25">
      <c r="A25" s="14">
        <v>7</v>
      </c>
      <c r="B25" s="80" t="s">
        <v>28</v>
      </c>
      <c r="C25" s="1" t="s">
        <v>17</v>
      </c>
      <c r="D25" s="2"/>
      <c r="E25" s="17" t="s">
        <v>29</v>
      </c>
      <c r="F25" s="73" t="s">
        <v>165</v>
      </c>
      <c r="G25" s="74" t="s">
        <v>112</v>
      </c>
      <c r="H25" s="75"/>
      <c r="I25" s="76"/>
      <c r="J25" s="96"/>
      <c r="K25" s="77"/>
      <c r="L25" s="77"/>
      <c r="M25" s="38">
        <f t="shared" si="1"/>
        <v>0</v>
      </c>
      <c r="N25" s="100"/>
      <c r="O25" s="81"/>
      <c r="P25" s="81"/>
      <c r="Q25" s="12">
        <f t="shared" si="2"/>
        <v>0</v>
      </c>
    </row>
    <row r="26" spans="1:17" s="15" customFormat="1" ht="15.75" x14ac:dyDescent="0.25">
      <c r="A26" s="14"/>
      <c r="B26" s="23" t="s">
        <v>28</v>
      </c>
      <c r="C26" s="1" t="s">
        <v>17</v>
      </c>
      <c r="D26" s="2"/>
      <c r="E26" s="17" t="s">
        <v>29</v>
      </c>
      <c r="F26" s="16" t="s">
        <v>247</v>
      </c>
      <c r="G26" s="8" t="s">
        <v>117</v>
      </c>
      <c r="H26" s="1"/>
      <c r="I26" s="48"/>
      <c r="J26" s="45"/>
      <c r="K26" s="40"/>
      <c r="L26" s="40"/>
      <c r="M26" s="78">
        <f t="shared" si="1"/>
        <v>0</v>
      </c>
      <c r="N26" s="42"/>
      <c r="O26" s="31"/>
      <c r="P26" s="31"/>
      <c r="Q26" s="79">
        <f t="shared" si="2"/>
        <v>0</v>
      </c>
    </row>
    <row r="27" spans="1:17" s="13" customFormat="1" ht="15.75" x14ac:dyDescent="0.25">
      <c r="A27" s="10">
        <v>8</v>
      </c>
      <c r="B27" s="27" t="s">
        <v>30</v>
      </c>
      <c r="C27" s="1" t="s">
        <v>17</v>
      </c>
      <c r="D27" s="2"/>
      <c r="E27" s="17" t="s">
        <v>21</v>
      </c>
      <c r="F27" s="73" t="s">
        <v>166</v>
      </c>
      <c r="G27" s="74" t="s">
        <v>112</v>
      </c>
      <c r="H27" s="75">
        <v>2</v>
      </c>
      <c r="I27" s="76"/>
      <c r="J27" s="96"/>
      <c r="K27" s="77"/>
      <c r="L27" s="77"/>
      <c r="M27" s="38">
        <f t="shared" si="1"/>
        <v>0</v>
      </c>
      <c r="N27" s="100"/>
      <c r="O27" s="81"/>
      <c r="P27" s="81"/>
      <c r="Q27" s="12">
        <f t="shared" si="2"/>
        <v>0</v>
      </c>
    </row>
    <row r="28" spans="1:17" s="13" customFormat="1" ht="15.75" x14ac:dyDescent="0.25">
      <c r="A28" s="10">
        <v>9</v>
      </c>
      <c r="B28" s="30" t="s">
        <v>31</v>
      </c>
      <c r="C28" s="1" t="s">
        <v>17</v>
      </c>
      <c r="D28" s="2"/>
      <c r="E28" s="3" t="s">
        <v>32</v>
      </c>
      <c r="F28" s="73" t="s">
        <v>167</v>
      </c>
      <c r="G28" s="74" t="s">
        <v>112</v>
      </c>
      <c r="H28" s="75"/>
      <c r="I28" s="76"/>
      <c r="J28" s="96"/>
      <c r="K28" s="77"/>
      <c r="L28" s="77"/>
      <c r="M28" s="78">
        <f t="shared" si="1"/>
        <v>0</v>
      </c>
      <c r="N28" s="100"/>
      <c r="O28" s="81"/>
      <c r="P28" s="81"/>
      <c r="Q28" s="79">
        <f t="shared" si="2"/>
        <v>0</v>
      </c>
    </row>
    <row r="29" spans="1:17" s="13" customFormat="1" ht="15.75" x14ac:dyDescent="0.25">
      <c r="A29" s="10"/>
      <c r="B29" s="24" t="s">
        <v>31</v>
      </c>
      <c r="C29" s="1" t="s">
        <v>17</v>
      </c>
      <c r="D29" s="2"/>
      <c r="E29" s="3" t="s">
        <v>32</v>
      </c>
      <c r="F29" s="16" t="s">
        <v>248</v>
      </c>
      <c r="G29" s="8" t="s">
        <v>117</v>
      </c>
      <c r="H29" s="1">
        <v>1</v>
      </c>
      <c r="I29" s="49"/>
      <c r="J29" s="46"/>
      <c r="K29" s="40"/>
      <c r="L29" s="40"/>
      <c r="M29" s="38">
        <f t="shared" si="1"/>
        <v>0</v>
      </c>
      <c r="N29" s="41"/>
      <c r="O29" s="40"/>
      <c r="P29" s="40"/>
      <c r="Q29" s="12">
        <f t="shared" si="2"/>
        <v>0</v>
      </c>
    </row>
    <row r="30" spans="1:17" s="15" customFormat="1" ht="15.75" x14ac:dyDescent="0.25">
      <c r="A30" s="14">
        <v>10</v>
      </c>
      <c r="B30" s="80" t="s">
        <v>33</v>
      </c>
      <c r="C30" s="1" t="s">
        <v>17</v>
      </c>
      <c r="D30" s="2"/>
      <c r="E30" s="3" t="s">
        <v>20</v>
      </c>
      <c r="F30" s="73" t="s">
        <v>168</v>
      </c>
      <c r="G30" s="74" t="s">
        <v>112</v>
      </c>
      <c r="H30" s="75"/>
      <c r="I30" s="76"/>
      <c r="J30" s="96"/>
      <c r="K30" s="77"/>
      <c r="L30" s="77"/>
      <c r="M30" s="78">
        <f t="shared" si="1"/>
        <v>0</v>
      </c>
      <c r="N30" s="100"/>
      <c r="O30" s="81"/>
      <c r="P30" s="81"/>
      <c r="Q30" s="79">
        <f t="shared" si="2"/>
        <v>0</v>
      </c>
    </row>
    <row r="31" spans="1:17" s="15" customFormat="1" ht="15.75" x14ac:dyDescent="0.25">
      <c r="A31" s="14"/>
      <c r="B31" s="23" t="s">
        <v>33</v>
      </c>
      <c r="C31" s="1" t="s">
        <v>17</v>
      </c>
      <c r="D31" s="2"/>
      <c r="E31" s="3" t="s">
        <v>20</v>
      </c>
      <c r="F31" s="2" t="s">
        <v>267</v>
      </c>
      <c r="G31" s="11" t="s">
        <v>114</v>
      </c>
      <c r="H31" s="1"/>
      <c r="I31" s="49"/>
      <c r="J31" s="51"/>
      <c r="K31" s="40"/>
      <c r="L31" s="40"/>
      <c r="M31" s="38">
        <f t="shared" si="1"/>
        <v>0</v>
      </c>
      <c r="N31" s="42"/>
      <c r="O31" s="31"/>
      <c r="P31" s="31"/>
      <c r="Q31" s="12">
        <f t="shared" si="2"/>
        <v>0</v>
      </c>
    </row>
    <row r="32" spans="1:17" s="15" customFormat="1" ht="15.75" x14ac:dyDescent="0.25">
      <c r="A32" s="14"/>
      <c r="B32" s="62" t="s">
        <v>147</v>
      </c>
      <c r="C32" s="1" t="s">
        <v>17</v>
      </c>
      <c r="D32" s="2"/>
      <c r="E32" s="3" t="s">
        <v>29</v>
      </c>
      <c r="F32" s="73" t="s">
        <v>299</v>
      </c>
      <c r="G32" s="74" t="s">
        <v>112</v>
      </c>
      <c r="H32" s="75"/>
      <c r="I32" s="102"/>
      <c r="J32" s="97"/>
      <c r="K32" s="77"/>
      <c r="L32" s="77"/>
      <c r="M32" s="78">
        <f t="shared" si="1"/>
        <v>0</v>
      </c>
      <c r="N32" s="101"/>
      <c r="O32" s="81"/>
      <c r="P32" s="81"/>
      <c r="Q32" s="79">
        <f t="shared" si="2"/>
        <v>0</v>
      </c>
    </row>
    <row r="33" spans="1:17" s="15" customFormat="1" ht="15.75" x14ac:dyDescent="0.25">
      <c r="A33" s="14"/>
      <c r="B33" s="50" t="s">
        <v>147</v>
      </c>
      <c r="C33" s="1" t="s">
        <v>17</v>
      </c>
      <c r="D33" s="2"/>
      <c r="E33" s="3" t="s">
        <v>29</v>
      </c>
      <c r="F33" s="2" t="s">
        <v>262</v>
      </c>
      <c r="G33" s="11" t="s">
        <v>117</v>
      </c>
      <c r="H33" s="1"/>
      <c r="I33" s="48"/>
      <c r="J33" s="45"/>
      <c r="K33" s="40"/>
      <c r="L33" s="40"/>
      <c r="M33" s="38">
        <f t="shared" si="1"/>
        <v>0</v>
      </c>
      <c r="N33" s="42"/>
      <c r="O33" s="31"/>
      <c r="P33" s="31"/>
      <c r="Q33" s="12">
        <f t="shared" si="2"/>
        <v>0</v>
      </c>
    </row>
    <row r="34" spans="1:17" s="13" customFormat="1" ht="15.75" x14ac:dyDescent="0.25">
      <c r="A34" s="10">
        <v>11</v>
      </c>
      <c r="B34" s="62" t="s">
        <v>34</v>
      </c>
      <c r="C34" s="1" t="s">
        <v>17</v>
      </c>
      <c r="D34" s="2"/>
      <c r="E34" s="17" t="s">
        <v>35</v>
      </c>
      <c r="F34" s="73" t="s">
        <v>169</v>
      </c>
      <c r="G34" s="74" t="s">
        <v>112</v>
      </c>
      <c r="H34" s="75"/>
      <c r="I34" s="76"/>
      <c r="J34" s="96"/>
      <c r="K34" s="77"/>
      <c r="L34" s="77"/>
      <c r="M34" s="78">
        <f t="shared" si="1"/>
        <v>0</v>
      </c>
      <c r="N34" s="100"/>
      <c r="O34" s="81"/>
      <c r="P34" s="81"/>
      <c r="Q34" s="79">
        <f t="shared" si="2"/>
        <v>0</v>
      </c>
    </row>
    <row r="35" spans="1:17" s="13" customFormat="1" ht="15.75" x14ac:dyDescent="0.25">
      <c r="A35" s="10"/>
      <c r="B35" s="22" t="s">
        <v>34</v>
      </c>
      <c r="C35" s="1" t="s">
        <v>17</v>
      </c>
      <c r="D35" s="2"/>
      <c r="E35" s="17" t="s">
        <v>35</v>
      </c>
      <c r="F35" s="16" t="s">
        <v>263</v>
      </c>
      <c r="G35" s="8" t="s">
        <v>117</v>
      </c>
      <c r="H35" s="1"/>
      <c r="I35" s="49"/>
      <c r="J35" s="46"/>
      <c r="K35" s="40"/>
      <c r="L35" s="40"/>
      <c r="M35" s="38">
        <f t="shared" si="1"/>
        <v>0</v>
      </c>
      <c r="N35" s="41"/>
      <c r="O35" s="31"/>
      <c r="P35" s="31"/>
      <c r="Q35" s="12">
        <f t="shared" si="2"/>
        <v>0</v>
      </c>
    </row>
    <row r="36" spans="1:17" s="13" customFormat="1" ht="15.75" x14ac:dyDescent="0.25">
      <c r="A36" s="10">
        <v>12</v>
      </c>
      <c r="B36" s="27" t="s">
        <v>36</v>
      </c>
      <c r="C36" s="1" t="s">
        <v>17</v>
      </c>
      <c r="D36" s="2"/>
      <c r="E36" s="17" t="s">
        <v>32</v>
      </c>
      <c r="F36" s="73" t="s">
        <v>170</v>
      </c>
      <c r="G36" s="74" t="s">
        <v>112</v>
      </c>
      <c r="H36" s="75"/>
      <c r="I36" s="76"/>
      <c r="J36" s="96"/>
      <c r="K36" s="77"/>
      <c r="L36" s="77"/>
      <c r="M36" s="78">
        <f t="shared" si="1"/>
        <v>0</v>
      </c>
      <c r="N36" s="100"/>
      <c r="O36" s="81"/>
      <c r="P36" s="81"/>
      <c r="Q36" s="79">
        <f t="shared" si="2"/>
        <v>0</v>
      </c>
    </row>
    <row r="37" spans="1:17" s="13" customFormat="1" ht="15.75" x14ac:dyDescent="0.25">
      <c r="A37" s="10">
        <v>13</v>
      </c>
      <c r="B37" s="62" t="s">
        <v>37</v>
      </c>
      <c r="C37" s="1" t="s">
        <v>17</v>
      </c>
      <c r="D37" s="2"/>
      <c r="E37" s="3" t="s">
        <v>21</v>
      </c>
      <c r="F37" s="73" t="s">
        <v>171</v>
      </c>
      <c r="G37" s="74" t="s">
        <v>112</v>
      </c>
      <c r="H37" s="75"/>
      <c r="I37" s="76"/>
      <c r="J37" s="96"/>
      <c r="K37" s="77"/>
      <c r="L37" s="77"/>
      <c r="M37" s="38">
        <f t="shared" si="1"/>
        <v>0</v>
      </c>
      <c r="N37" s="100"/>
      <c r="O37" s="81"/>
      <c r="P37" s="81"/>
      <c r="Q37" s="12">
        <f t="shared" si="2"/>
        <v>0</v>
      </c>
    </row>
    <row r="38" spans="1:17" s="13" customFormat="1" ht="15.75" x14ac:dyDescent="0.25">
      <c r="A38" s="10">
        <v>14</v>
      </c>
      <c r="B38" s="27" t="s">
        <v>38</v>
      </c>
      <c r="C38" s="1" t="s">
        <v>17</v>
      </c>
      <c r="D38" s="2"/>
      <c r="E38" s="3" t="s">
        <v>20</v>
      </c>
      <c r="F38" s="73" t="s">
        <v>172</v>
      </c>
      <c r="G38" s="74" t="s">
        <v>112</v>
      </c>
      <c r="H38" s="75">
        <v>1</v>
      </c>
      <c r="I38" s="76"/>
      <c r="J38" s="96"/>
      <c r="K38" s="77"/>
      <c r="L38" s="77"/>
      <c r="M38" s="78">
        <f t="shared" si="1"/>
        <v>0</v>
      </c>
      <c r="N38" s="100"/>
      <c r="O38" s="81"/>
      <c r="P38" s="81"/>
      <c r="Q38" s="79">
        <f t="shared" si="2"/>
        <v>0</v>
      </c>
    </row>
    <row r="39" spans="1:17" s="13" customFormat="1" ht="15.75" x14ac:dyDescent="0.25">
      <c r="A39" s="10"/>
      <c r="B39" s="25" t="s">
        <v>38</v>
      </c>
      <c r="C39" s="1" t="s">
        <v>17</v>
      </c>
      <c r="D39" s="2"/>
      <c r="E39" s="3" t="s">
        <v>20</v>
      </c>
      <c r="F39" s="2" t="s">
        <v>268</v>
      </c>
      <c r="G39" s="11" t="s">
        <v>114</v>
      </c>
      <c r="H39" s="1"/>
      <c r="I39" s="49"/>
      <c r="J39" s="51"/>
      <c r="K39" s="40"/>
      <c r="L39" s="40"/>
      <c r="M39" s="38">
        <f t="shared" si="1"/>
        <v>0</v>
      </c>
      <c r="N39" s="41"/>
      <c r="O39" s="31"/>
      <c r="P39" s="31"/>
      <c r="Q39" s="12">
        <f t="shared" si="2"/>
        <v>0</v>
      </c>
    </row>
    <row r="40" spans="1:17" s="13" customFormat="1" ht="15.75" x14ac:dyDescent="0.25">
      <c r="A40" s="10">
        <v>15</v>
      </c>
      <c r="B40" s="62" t="s">
        <v>39</v>
      </c>
      <c r="C40" s="1" t="s">
        <v>17</v>
      </c>
      <c r="D40" s="2"/>
      <c r="E40" s="3" t="s">
        <v>20</v>
      </c>
      <c r="F40" s="73" t="s">
        <v>174</v>
      </c>
      <c r="G40" s="74" t="s">
        <v>112</v>
      </c>
      <c r="H40" s="75"/>
      <c r="I40" s="76"/>
      <c r="J40" s="96"/>
      <c r="K40" s="77"/>
      <c r="L40" s="77"/>
      <c r="M40" s="78">
        <f t="shared" si="1"/>
        <v>0</v>
      </c>
      <c r="N40" s="100"/>
      <c r="O40" s="81"/>
      <c r="P40" s="81"/>
      <c r="Q40" s="79">
        <f t="shared" si="2"/>
        <v>0</v>
      </c>
    </row>
    <row r="41" spans="1:17" s="13" customFormat="1" ht="15.75" x14ac:dyDescent="0.25">
      <c r="A41" s="10"/>
      <c r="B41" s="22" t="s">
        <v>39</v>
      </c>
      <c r="C41" s="1" t="s">
        <v>17</v>
      </c>
      <c r="D41" s="2"/>
      <c r="E41" s="3" t="s">
        <v>20</v>
      </c>
      <c r="F41" s="2" t="s">
        <v>269</v>
      </c>
      <c r="G41" s="11" t="s">
        <v>114</v>
      </c>
      <c r="H41" s="1"/>
      <c r="I41" s="49"/>
      <c r="J41" s="51"/>
      <c r="K41" s="40"/>
      <c r="L41" s="40"/>
      <c r="M41" s="38">
        <f t="shared" si="1"/>
        <v>0</v>
      </c>
      <c r="N41" s="41"/>
      <c r="O41" s="31"/>
      <c r="P41" s="31"/>
      <c r="Q41" s="12">
        <f t="shared" si="2"/>
        <v>0</v>
      </c>
    </row>
    <row r="42" spans="1:17" s="13" customFormat="1" ht="15.75" x14ac:dyDescent="0.25">
      <c r="A42" s="10">
        <v>16</v>
      </c>
      <c r="B42" s="27" t="s">
        <v>40</v>
      </c>
      <c r="C42" s="1" t="s">
        <v>17</v>
      </c>
      <c r="D42" s="2"/>
      <c r="E42" s="17" t="s">
        <v>41</v>
      </c>
      <c r="F42" s="73" t="s">
        <v>175</v>
      </c>
      <c r="G42" s="74" t="s">
        <v>112</v>
      </c>
      <c r="H42" s="75">
        <v>1</v>
      </c>
      <c r="I42" s="76"/>
      <c r="J42" s="96"/>
      <c r="K42" s="77"/>
      <c r="L42" s="77"/>
      <c r="M42" s="78">
        <f t="shared" si="1"/>
        <v>0</v>
      </c>
      <c r="N42" s="100"/>
      <c r="O42" s="81"/>
      <c r="P42" s="81"/>
      <c r="Q42" s="79">
        <f t="shared" si="2"/>
        <v>0</v>
      </c>
    </row>
    <row r="43" spans="1:17" s="13" customFormat="1" ht="15.75" x14ac:dyDescent="0.25">
      <c r="A43" s="10"/>
      <c r="B43" s="25" t="s">
        <v>40</v>
      </c>
      <c r="C43" s="1" t="s">
        <v>17</v>
      </c>
      <c r="D43" s="2"/>
      <c r="E43" s="17" t="s">
        <v>41</v>
      </c>
      <c r="F43" s="2" t="s">
        <v>270</v>
      </c>
      <c r="G43" s="11" t="s">
        <v>114</v>
      </c>
      <c r="H43" s="1"/>
      <c r="I43" s="49"/>
      <c r="J43" s="51"/>
      <c r="K43" s="40"/>
      <c r="L43" s="40"/>
      <c r="M43" s="38">
        <f t="shared" si="1"/>
        <v>0</v>
      </c>
      <c r="N43" s="41"/>
      <c r="O43" s="31"/>
      <c r="P43" s="31"/>
      <c r="Q43" s="12">
        <f t="shared" si="2"/>
        <v>0</v>
      </c>
    </row>
    <row r="44" spans="1:17" s="13" customFormat="1" ht="15.75" x14ac:dyDescent="0.25">
      <c r="A44" s="10"/>
      <c r="B44" s="27" t="s">
        <v>148</v>
      </c>
      <c r="C44" s="1" t="s">
        <v>17</v>
      </c>
      <c r="D44" s="2"/>
      <c r="E44" s="3" t="s">
        <v>20</v>
      </c>
      <c r="F44" s="73" t="s">
        <v>303</v>
      </c>
      <c r="G44" s="74" t="s">
        <v>112</v>
      </c>
      <c r="H44" s="75"/>
      <c r="I44" s="82"/>
      <c r="J44" s="96"/>
      <c r="K44" s="77"/>
      <c r="L44" s="77"/>
      <c r="M44" s="78">
        <f t="shared" si="1"/>
        <v>0</v>
      </c>
      <c r="N44" s="100"/>
      <c r="O44" s="81"/>
      <c r="P44" s="81"/>
      <c r="Q44" s="79">
        <f t="shared" si="2"/>
        <v>0</v>
      </c>
    </row>
    <row r="45" spans="1:17" s="13" customFormat="1" ht="15.75" x14ac:dyDescent="0.25">
      <c r="A45" s="10"/>
      <c r="B45" s="25" t="s">
        <v>148</v>
      </c>
      <c r="C45" s="1" t="s">
        <v>17</v>
      </c>
      <c r="D45" s="2"/>
      <c r="E45" s="17" t="s">
        <v>32</v>
      </c>
      <c r="F45" s="2" t="s">
        <v>261</v>
      </c>
      <c r="G45" s="11" t="s">
        <v>117</v>
      </c>
      <c r="H45" s="1"/>
      <c r="I45" s="49"/>
      <c r="J45" s="46"/>
      <c r="K45" s="40"/>
      <c r="L45" s="40"/>
      <c r="M45" s="38">
        <f t="shared" si="1"/>
        <v>0</v>
      </c>
      <c r="N45" s="41"/>
      <c r="O45" s="31"/>
      <c r="P45" s="31"/>
      <c r="Q45" s="12">
        <f t="shared" si="2"/>
        <v>0</v>
      </c>
    </row>
    <row r="46" spans="1:17" s="13" customFormat="1" ht="15.75" x14ac:dyDescent="0.25">
      <c r="A46" s="10">
        <v>17</v>
      </c>
      <c r="B46" s="30" t="s">
        <v>42</v>
      </c>
      <c r="C46" s="1" t="s">
        <v>17</v>
      </c>
      <c r="D46" s="2"/>
      <c r="E46" s="3" t="s">
        <v>23</v>
      </c>
      <c r="F46" s="73" t="s">
        <v>176</v>
      </c>
      <c r="G46" s="74" t="s">
        <v>112</v>
      </c>
      <c r="H46" s="75"/>
      <c r="I46" s="76"/>
      <c r="J46" s="96"/>
      <c r="K46" s="77"/>
      <c r="L46" s="77"/>
      <c r="M46" s="78">
        <f t="shared" si="1"/>
        <v>0</v>
      </c>
      <c r="N46" s="100"/>
      <c r="O46" s="81"/>
      <c r="P46" s="81"/>
      <c r="Q46" s="79">
        <f t="shared" si="2"/>
        <v>0</v>
      </c>
    </row>
    <row r="47" spans="1:17" s="13" customFormat="1" ht="15.75" x14ac:dyDescent="0.25">
      <c r="A47" s="10"/>
      <c r="B47" s="24" t="s">
        <v>42</v>
      </c>
      <c r="C47" s="1" t="s">
        <v>17</v>
      </c>
      <c r="D47" s="2"/>
      <c r="E47" s="3" t="s">
        <v>23</v>
      </c>
      <c r="F47" s="2" t="s">
        <v>234</v>
      </c>
      <c r="G47" s="11" t="s">
        <v>118</v>
      </c>
      <c r="H47" s="1"/>
      <c r="I47" s="49"/>
      <c r="J47" s="46"/>
      <c r="K47" s="40"/>
      <c r="L47" s="40"/>
      <c r="M47" s="38">
        <f t="shared" si="1"/>
        <v>0</v>
      </c>
      <c r="N47" s="41"/>
      <c r="O47" s="31"/>
      <c r="P47" s="31"/>
      <c r="Q47" s="12">
        <f t="shared" si="2"/>
        <v>0</v>
      </c>
    </row>
    <row r="48" spans="1:17" s="13" customFormat="1" ht="15.75" x14ac:dyDescent="0.25">
      <c r="A48" s="10"/>
      <c r="B48" s="30" t="s">
        <v>173</v>
      </c>
      <c r="C48" s="1" t="s">
        <v>17</v>
      </c>
      <c r="D48" s="2"/>
      <c r="E48" s="11" t="s">
        <v>118</v>
      </c>
      <c r="F48" s="73" t="s">
        <v>177</v>
      </c>
      <c r="G48" s="74" t="s">
        <v>112</v>
      </c>
      <c r="H48" s="75"/>
      <c r="I48" s="76"/>
      <c r="J48" s="96"/>
      <c r="K48" s="77"/>
      <c r="L48" s="77"/>
      <c r="M48" s="78">
        <f t="shared" si="1"/>
        <v>0</v>
      </c>
      <c r="N48" s="100"/>
      <c r="O48" s="81"/>
      <c r="P48" s="81"/>
      <c r="Q48" s="79">
        <f t="shared" si="2"/>
        <v>0</v>
      </c>
    </row>
    <row r="49" spans="1:17" s="13" customFormat="1" ht="15.75" x14ac:dyDescent="0.25">
      <c r="A49" s="10">
        <v>91</v>
      </c>
      <c r="B49" s="62" t="s">
        <v>108</v>
      </c>
      <c r="C49" s="1" t="s">
        <v>17</v>
      </c>
      <c r="D49" s="2"/>
      <c r="E49" s="17" t="s">
        <v>74</v>
      </c>
      <c r="F49" s="73" t="s">
        <v>111</v>
      </c>
      <c r="G49" s="74" t="s">
        <v>112</v>
      </c>
      <c r="H49" s="75"/>
      <c r="I49" s="76"/>
      <c r="J49" s="96"/>
      <c r="K49" s="77"/>
      <c r="L49" s="77"/>
      <c r="M49" s="38">
        <f t="shared" si="1"/>
        <v>0</v>
      </c>
      <c r="N49" s="100"/>
      <c r="O49" s="81"/>
      <c r="P49" s="81"/>
      <c r="Q49" s="12">
        <f t="shared" si="2"/>
        <v>0</v>
      </c>
    </row>
    <row r="50" spans="1:17" s="13" customFormat="1" ht="15.75" x14ac:dyDescent="0.25">
      <c r="A50" s="10"/>
      <c r="B50" s="22" t="s">
        <v>143</v>
      </c>
      <c r="C50" s="1" t="s">
        <v>17</v>
      </c>
      <c r="D50" s="2"/>
      <c r="E50" s="3" t="s">
        <v>20</v>
      </c>
      <c r="F50" s="2" t="s">
        <v>274</v>
      </c>
      <c r="G50" s="11" t="s">
        <v>114</v>
      </c>
      <c r="H50" s="1"/>
      <c r="I50" s="47"/>
      <c r="J50" s="51"/>
      <c r="K50" s="37"/>
      <c r="L50" s="37"/>
      <c r="M50" s="78">
        <f t="shared" si="1"/>
        <v>0</v>
      </c>
      <c r="N50" s="39"/>
      <c r="O50" s="31"/>
      <c r="P50" s="31"/>
      <c r="Q50" s="79">
        <f t="shared" si="2"/>
        <v>0</v>
      </c>
    </row>
    <row r="51" spans="1:17" s="13" customFormat="1" ht="15.75" x14ac:dyDescent="0.25">
      <c r="A51" s="10"/>
      <c r="B51" s="24" t="s">
        <v>158</v>
      </c>
      <c r="C51" s="1" t="s">
        <v>17</v>
      </c>
      <c r="D51" s="2"/>
      <c r="E51" s="17" t="s">
        <v>32</v>
      </c>
      <c r="F51" s="2" t="s">
        <v>260</v>
      </c>
      <c r="G51" s="11" t="s">
        <v>117</v>
      </c>
      <c r="H51" s="1">
        <v>2</v>
      </c>
      <c r="I51" s="47"/>
      <c r="J51" s="51"/>
      <c r="K51" s="37"/>
      <c r="L51" s="37"/>
      <c r="M51" s="38">
        <f t="shared" si="1"/>
        <v>0</v>
      </c>
      <c r="N51" s="39"/>
      <c r="O51" s="31"/>
      <c r="P51" s="31"/>
      <c r="Q51" s="12">
        <f t="shared" si="2"/>
        <v>0</v>
      </c>
    </row>
    <row r="52" spans="1:17" s="15" customFormat="1" ht="15.75" x14ac:dyDescent="0.25">
      <c r="A52" s="14">
        <v>19</v>
      </c>
      <c r="B52" s="80" t="s">
        <v>43</v>
      </c>
      <c r="C52" s="1" t="s">
        <v>17</v>
      </c>
      <c r="D52" s="2"/>
      <c r="E52" s="3" t="s">
        <v>18</v>
      </c>
      <c r="F52" s="73" t="s">
        <v>178</v>
      </c>
      <c r="G52" s="74" t="s">
        <v>112</v>
      </c>
      <c r="H52" s="75">
        <v>1</v>
      </c>
      <c r="I52" s="76"/>
      <c r="J52" s="96"/>
      <c r="K52" s="77"/>
      <c r="L52" s="77"/>
      <c r="M52" s="78">
        <f t="shared" si="1"/>
        <v>0</v>
      </c>
      <c r="N52" s="100"/>
      <c r="O52" s="81"/>
      <c r="P52" s="81"/>
      <c r="Q52" s="79">
        <f t="shared" si="2"/>
        <v>0</v>
      </c>
    </row>
    <row r="53" spans="1:17" s="15" customFormat="1" ht="15.75" x14ac:dyDescent="0.25">
      <c r="A53" s="14"/>
      <c r="B53" s="22" t="s">
        <v>43</v>
      </c>
      <c r="C53" s="1" t="s">
        <v>17</v>
      </c>
      <c r="D53" s="2"/>
      <c r="E53" s="3" t="s">
        <v>18</v>
      </c>
      <c r="F53" s="2" t="s">
        <v>242</v>
      </c>
      <c r="G53" s="11" t="s">
        <v>113</v>
      </c>
      <c r="H53" s="1"/>
      <c r="I53" s="48"/>
      <c r="J53" s="45"/>
      <c r="K53" s="40"/>
      <c r="L53" s="40"/>
      <c r="M53" s="38">
        <f t="shared" si="1"/>
        <v>0</v>
      </c>
      <c r="N53" s="39"/>
      <c r="O53" s="31"/>
      <c r="P53" s="31"/>
      <c r="Q53" s="12">
        <f t="shared" si="2"/>
        <v>0</v>
      </c>
    </row>
    <row r="54" spans="1:17" s="13" customFormat="1" ht="15.75" x14ac:dyDescent="0.25">
      <c r="A54" s="10">
        <v>20</v>
      </c>
      <c r="B54" s="30" t="s">
        <v>44</v>
      </c>
      <c r="C54" s="1" t="s">
        <v>17</v>
      </c>
      <c r="D54" s="2"/>
      <c r="E54" s="3" t="s">
        <v>20</v>
      </c>
      <c r="F54" s="73" t="s">
        <v>179</v>
      </c>
      <c r="G54" s="74" t="s">
        <v>112</v>
      </c>
      <c r="H54" s="75"/>
      <c r="I54" s="76"/>
      <c r="J54" s="96"/>
      <c r="K54" s="77"/>
      <c r="L54" s="77"/>
      <c r="M54" s="78">
        <f t="shared" si="1"/>
        <v>0</v>
      </c>
      <c r="N54" s="100"/>
      <c r="O54" s="81"/>
      <c r="P54" s="81"/>
      <c r="Q54" s="79">
        <f t="shared" si="2"/>
        <v>0</v>
      </c>
    </row>
    <row r="55" spans="1:17" s="13" customFormat="1" ht="15.75" x14ac:dyDescent="0.25">
      <c r="A55" s="10"/>
      <c r="B55" s="24" t="s">
        <v>44</v>
      </c>
      <c r="C55" s="1" t="s">
        <v>17</v>
      </c>
      <c r="D55" s="2"/>
      <c r="E55" s="3" t="s">
        <v>20</v>
      </c>
      <c r="F55" s="2" t="s">
        <v>271</v>
      </c>
      <c r="G55" s="11" t="s">
        <v>114</v>
      </c>
      <c r="H55" s="1"/>
      <c r="I55" s="49"/>
      <c r="J55" s="51"/>
      <c r="K55" s="40"/>
      <c r="L55" s="40"/>
      <c r="M55" s="78">
        <f t="shared" si="1"/>
        <v>0</v>
      </c>
      <c r="N55" s="41"/>
      <c r="O55" s="31"/>
      <c r="P55" s="31"/>
      <c r="Q55" s="12">
        <f t="shared" si="2"/>
        <v>0</v>
      </c>
    </row>
    <row r="56" spans="1:17" s="13" customFormat="1" ht="15.75" x14ac:dyDescent="0.25">
      <c r="A56" s="10">
        <v>21</v>
      </c>
      <c r="B56" s="27" t="s">
        <v>45</v>
      </c>
      <c r="C56" s="1" t="s">
        <v>17</v>
      </c>
      <c r="D56" s="2"/>
      <c r="E56" s="3" t="s">
        <v>20</v>
      </c>
      <c r="F56" s="73" t="s">
        <v>180</v>
      </c>
      <c r="G56" s="74" t="s">
        <v>112</v>
      </c>
      <c r="H56" s="75"/>
      <c r="I56" s="76"/>
      <c r="J56" s="96"/>
      <c r="K56" s="77"/>
      <c r="L56" s="77"/>
      <c r="M56" s="38">
        <f t="shared" si="1"/>
        <v>0</v>
      </c>
      <c r="N56" s="100"/>
      <c r="O56" s="81"/>
      <c r="P56" s="81"/>
      <c r="Q56" s="79">
        <f t="shared" si="2"/>
        <v>0</v>
      </c>
    </row>
    <row r="57" spans="1:17" s="13" customFormat="1" ht="15.75" x14ac:dyDescent="0.25">
      <c r="A57" s="10"/>
      <c r="B57" s="25" t="s">
        <v>45</v>
      </c>
      <c r="C57" s="1" t="s">
        <v>17</v>
      </c>
      <c r="D57" s="2"/>
      <c r="E57" s="3" t="s">
        <v>20</v>
      </c>
      <c r="F57" s="2" t="s">
        <v>272</v>
      </c>
      <c r="G57" s="11" t="s">
        <v>114</v>
      </c>
      <c r="H57" s="1"/>
      <c r="I57" s="49"/>
      <c r="J57" s="51"/>
      <c r="K57" s="40"/>
      <c r="L57" s="40"/>
      <c r="M57" s="78">
        <f t="shared" si="1"/>
        <v>0</v>
      </c>
      <c r="N57" s="41"/>
      <c r="O57" s="31"/>
      <c r="P57" s="31"/>
      <c r="Q57" s="12">
        <f t="shared" si="2"/>
        <v>0</v>
      </c>
    </row>
    <row r="58" spans="1:17" s="15" customFormat="1" ht="15.75" x14ac:dyDescent="0.25">
      <c r="A58" s="14">
        <v>22</v>
      </c>
      <c r="B58" s="28" t="s">
        <v>46</v>
      </c>
      <c r="C58" s="1" t="s">
        <v>17</v>
      </c>
      <c r="D58" s="2"/>
      <c r="E58" s="3" t="s">
        <v>20</v>
      </c>
      <c r="F58" s="73" t="s">
        <v>181</v>
      </c>
      <c r="G58" s="74" t="s">
        <v>112</v>
      </c>
      <c r="H58" s="75"/>
      <c r="I58" s="76"/>
      <c r="J58" s="96"/>
      <c r="K58" s="77"/>
      <c r="L58" s="77"/>
      <c r="M58" s="38">
        <f t="shared" si="1"/>
        <v>0</v>
      </c>
      <c r="N58" s="100"/>
      <c r="O58" s="81"/>
      <c r="P58" s="81"/>
      <c r="Q58" s="79">
        <f t="shared" si="2"/>
        <v>0</v>
      </c>
    </row>
    <row r="59" spans="1:17" s="15" customFormat="1" ht="15.75" x14ac:dyDescent="0.25">
      <c r="A59" s="14"/>
      <c r="B59" s="26" t="s">
        <v>46</v>
      </c>
      <c r="C59" s="1" t="s">
        <v>17</v>
      </c>
      <c r="D59" s="2"/>
      <c r="E59" s="3" t="s">
        <v>20</v>
      </c>
      <c r="F59" s="2" t="s">
        <v>273</v>
      </c>
      <c r="G59" s="11" t="s">
        <v>114</v>
      </c>
      <c r="H59" s="1"/>
      <c r="I59" s="49"/>
      <c r="J59" s="51"/>
      <c r="K59" s="40"/>
      <c r="L59" s="40"/>
      <c r="M59" s="78">
        <f t="shared" si="1"/>
        <v>0</v>
      </c>
      <c r="N59" s="42"/>
      <c r="O59" s="31"/>
      <c r="P59" s="31"/>
      <c r="Q59" s="12">
        <f t="shared" si="2"/>
        <v>0</v>
      </c>
    </row>
    <row r="60" spans="1:17" s="13" customFormat="1" ht="15.75" x14ac:dyDescent="0.25">
      <c r="A60" s="10">
        <v>23</v>
      </c>
      <c r="B60" s="30" t="s">
        <v>47</v>
      </c>
      <c r="C60" s="1" t="s">
        <v>17</v>
      </c>
      <c r="D60" s="2"/>
      <c r="E60" s="3" t="s">
        <v>18</v>
      </c>
      <c r="F60" s="73" t="s">
        <v>182</v>
      </c>
      <c r="G60" s="74" t="s">
        <v>112</v>
      </c>
      <c r="H60" s="75"/>
      <c r="I60" s="76"/>
      <c r="J60" s="96"/>
      <c r="K60" s="77"/>
      <c r="L60" s="77"/>
      <c r="M60" s="38">
        <f t="shared" si="1"/>
        <v>0</v>
      </c>
      <c r="N60" s="100"/>
      <c r="O60" s="81"/>
      <c r="P60" s="81"/>
      <c r="Q60" s="79">
        <f t="shared" si="2"/>
        <v>0</v>
      </c>
    </row>
    <row r="61" spans="1:17" s="13" customFormat="1" ht="15.75" x14ac:dyDescent="0.25">
      <c r="A61" s="10"/>
      <c r="B61" s="22" t="s">
        <v>120</v>
      </c>
      <c r="C61" s="1" t="s">
        <v>17</v>
      </c>
      <c r="D61" s="2"/>
      <c r="E61" s="3" t="s">
        <v>18</v>
      </c>
      <c r="F61" s="2" t="s">
        <v>243</v>
      </c>
      <c r="G61" s="11" t="s">
        <v>116</v>
      </c>
      <c r="H61" s="1">
        <v>4</v>
      </c>
      <c r="I61" s="49"/>
      <c r="J61" s="46"/>
      <c r="K61" s="40"/>
      <c r="L61" s="40"/>
      <c r="M61" s="78">
        <f t="shared" si="1"/>
        <v>0</v>
      </c>
      <c r="N61" s="41"/>
      <c r="O61" s="31"/>
      <c r="P61" s="31"/>
      <c r="Q61" s="12">
        <f t="shared" si="2"/>
        <v>0</v>
      </c>
    </row>
    <row r="62" spans="1:17" s="13" customFormat="1" ht="15.75" x14ac:dyDescent="0.25">
      <c r="A62" s="10">
        <v>68</v>
      </c>
      <c r="B62" s="30" t="s">
        <v>134</v>
      </c>
      <c r="C62" s="1" t="s">
        <v>17</v>
      </c>
      <c r="D62" s="2"/>
      <c r="E62" s="3" t="s">
        <v>20</v>
      </c>
      <c r="F62" s="73" t="s">
        <v>183</v>
      </c>
      <c r="G62" s="74" t="s">
        <v>112</v>
      </c>
      <c r="H62" s="75">
        <v>1</v>
      </c>
      <c r="I62" s="76"/>
      <c r="J62" s="96"/>
      <c r="K62" s="77"/>
      <c r="L62" s="77"/>
      <c r="M62" s="38">
        <f t="shared" si="1"/>
        <v>0</v>
      </c>
      <c r="N62" s="100"/>
      <c r="O62" s="81"/>
      <c r="P62" s="81"/>
      <c r="Q62" s="79">
        <f t="shared" si="2"/>
        <v>0</v>
      </c>
    </row>
    <row r="63" spans="1:17" s="13" customFormat="1" ht="15.75" x14ac:dyDescent="0.25">
      <c r="A63" s="10"/>
      <c r="B63" s="24" t="s">
        <v>134</v>
      </c>
      <c r="C63" s="1" t="s">
        <v>17</v>
      </c>
      <c r="D63" s="2"/>
      <c r="E63" s="3" t="s">
        <v>20</v>
      </c>
      <c r="F63" s="2" t="s">
        <v>275</v>
      </c>
      <c r="G63" s="11" t="s">
        <v>114</v>
      </c>
      <c r="H63" s="1"/>
      <c r="I63" s="49"/>
      <c r="J63" s="51"/>
      <c r="K63" s="40"/>
      <c r="L63" s="40"/>
      <c r="M63" s="78">
        <f t="shared" si="1"/>
        <v>0</v>
      </c>
      <c r="N63" s="41"/>
      <c r="O63" s="31"/>
      <c r="P63" s="31"/>
      <c r="Q63" s="12">
        <f t="shared" si="2"/>
        <v>0</v>
      </c>
    </row>
    <row r="64" spans="1:17" s="13" customFormat="1" ht="15.75" x14ac:dyDescent="0.25">
      <c r="A64" s="10">
        <v>24</v>
      </c>
      <c r="B64" s="62" t="s">
        <v>48</v>
      </c>
      <c r="C64" s="1" t="s">
        <v>17</v>
      </c>
      <c r="D64" s="2"/>
      <c r="E64" s="3" t="s">
        <v>20</v>
      </c>
      <c r="F64" s="73" t="s">
        <v>184</v>
      </c>
      <c r="G64" s="74" t="s">
        <v>112</v>
      </c>
      <c r="H64" s="75"/>
      <c r="I64" s="76"/>
      <c r="J64" s="96"/>
      <c r="K64" s="77"/>
      <c r="L64" s="77"/>
      <c r="M64" s="38">
        <f t="shared" si="1"/>
        <v>0</v>
      </c>
      <c r="N64" s="100"/>
      <c r="O64" s="81"/>
      <c r="P64" s="81"/>
      <c r="Q64" s="79">
        <f t="shared" si="2"/>
        <v>0</v>
      </c>
    </row>
    <row r="65" spans="1:17" s="13" customFormat="1" ht="15.75" x14ac:dyDescent="0.25">
      <c r="A65" s="10">
        <v>25</v>
      </c>
      <c r="B65" s="62" t="s">
        <v>49</v>
      </c>
      <c r="C65" s="1" t="s">
        <v>17</v>
      </c>
      <c r="D65" s="2"/>
      <c r="E65" s="3" t="s">
        <v>50</v>
      </c>
      <c r="F65" s="73" t="s">
        <v>185</v>
      </c>
      <c r="G65" s="74" t="s">
        <v>112</v>
      </c>
      <c r="H65" s="75"/>
      <c r="I65" s="76"/>
      <c r="J65" s="96"/>
      <c r="K65" s="77"/>
      <c r="L65" s="77"/>
      <c r="M65" s="78">
        <f t="shared" si="1"/>
        <v>0</v>
      </c>
      <c r="N65" s="100"/>
      <c r="O65" s="81"/>
      <c r="P65" s="81"/>
      <c r="Q65" s="12">
        <f t="shared" si="2"/>
        <v>0</v>
      </c>
    </row>
    <row r="66" spans="1:17" s="13" customFormat="1" ht="15.75" x14ac:dyDescent="0.25">
      <c r="A66" s="10"/>
      <c r="B66" s="22" t="s">
        <v>49</v>
      </c>
      <c r="C66" s="1" t="s">
        <v>17</v>
      </c>
      <c r="D66" s="2"/>
      <c r="E66" s="3" t="s">
        <v>50</v>
      </c>
      <c r="F66" s="16" t="s">
        <v>249</v>
      </c>
      <c r="G66" s="11" t="s">
        <v>115</v>
      </c>
      <c r="H66" s="1"/>
      <c r="I66" s="49"/>
      <c r="J66" s="46"/>
      <c r="K66" s="40"/>
      <c r="L66" s="40"/>
      <c r="M66" s="38">
        <f t="shared" si="1"/>
        <v>0</v>
      </c>
      <c r="N66" s="41"/>
      <c r="O66" s="31"/>
      <c r="P66" s="31"/>
      <c r="Q66" s="79">
        <f t="shared" si="2"/>
        <v>0</v>
      </c>
    </row>
    <row r="67" spans="1:17" s="13" customFormat="1" ht="15.75" x14ac:dyDescent="0.25">
      <c r="A67" s="10">
        <v>26</v>
      </c>
      <c r="B67" s="27" t="s">
        <v>51</v>
      </c>
      <c r="C67" s="1" t="s">
        <v>17</v>
      </c>
      <c r="D67" s="2"/>
      <c r="E67" s="3" t="s">
        <v>20</v>
      </c>
      <c r="F67" s="73" t="s">
        <v>186</v>
      </c>
      <c r="G67" s="74" t="s">
        <v>112</v>
      </c>
      <c r="H67" s="75"/>
      <c r="I67" s="76"/>
      <c r="J67" s="96"/>
      <c r="K67" s="77"/>
      <c r="L67" s="77"/>
      <c r="M67" s="78">
        <f t="shared" si="1"/>
        <v>0</v>
      </c>
      <c r="N67" s="100"/>
      <c r="O67" s="81"/>
      <c r="P67" s="81"/>
      <c r="Q67" s="12">
        <f t="shared" si="2"/>
        <v>0</v>
      </c>
    </row>
    <row r="68" spans="1:17" s="13" customFormat="1" ht="15.75" x14ac:dyDescent="0.25">
      <c r="A68" s="10"/>
      <c r="B68" s="27" t="s">
        <v>51</v>
      </c>
      <c r="C68" s="1" t="s">
        <v>17</v>
      </c>
      <c r="D68" s="2"/>
      <c r="E68" s="3" t="s">
        <v>20</v>
      </c>
      <c r="F68" s="2" t="s">
        <v>276</v>
      </c>
      <c r="G68" s="11" t="s">
        <v>114</v>
      </c>
      <c r="H68" s="1"/>
      <c r="I68" s="49"/>
      <c r="J68" s="51"/>
      <c r="K68" s="40"/>
      <c r="L68" s="40"/>
      <c r="M68" s="38">
        <f t="shared" si="1"/>
        <v>0</v>
      </c>
      <c r="N68" s="41"/>
      <c r="O68" s="31"/>
      <c r="P68" s="31"/>
      <c r="Q68" s="79">
        <f t="shared" si="2"/>
        <v>0</v>
      </c>
    </row>
    <row r="69" spans="1:17" s="13" customFormat="1" ht="15.75" x14ac:dyDescent="0.25">
      <c r="A69" s="10">
        <v>27</v>
      </c>
      <c r="B69" s="62" t="s">
        <v>52</v>
      </c>
      <c r="C69" s="1" t="s">
        <v>17</v>
      </c>
      <c r="D69" s="2"/>
      <c r="E69" s="3" t="s">
        <v>20</v>
      </c>
      <c r="F69" s="73" t="s">
        <v>139</v>
      </c>
      <c r="G69" s="74" t="s">
        <v>112</v>
      </c>
      <c r="H69" s="75"/>
      <c r="I69" s="76"/>
      <c r="J69" s="96"/>
      <c r="K69" s="77"/>
      <c r="L69" s="77"/>
      <c r="M69" s="78">
        <f t="shared" si="1"/>
        <v>0</v>
      </c>
      <c r="N69" s="100"/>
      <c r="O69" s="81"/>
      <c r="P69" s="81"/>
      <c r="Q69" s="12">
        <f t="shared" si="2"/>
        <v>0</v>
      </c>
    </row>
    <row r="70" spans="1:17" s="13" customFormat="1" ht="15.75" x14ac:dyDescent="0.25">
      <c r="A70" s="10"/>
      <c r="B70" s="22" t="s">
        <v>52</v>
      </c>
      <c r="C70" s="1" t="s">
        <v>17</v>
      </c>
      <c r="D70" s="2"/>
      <c r="E70" s="3" t="s">
        <v>20</v>
      </c>
      <c r="F70" s="2" t="s">
        <v>277</v>
      </c>
      <c r="G70" s="11" t="s">
        <v>114</v>
      </c>
      <c r="H70" s="1">
        <v>1</v>
      </c>
      <c r="I70" s="49"/>
      <c r="J70" s="51"/>
      <c r="K70" s="40"/>
      <c r="L70" s="40"/>
      <c r="M70" s="38">
        <f t="shared" si="1"/>
        <v>0</v>
      </c>
      <c r="N70" s="41"/>
      <c r="O70" s="31"/>
      <c r="P70" s="31"/>
      <c r="Q70" s="79">
        <f t="shared" si="2"/>
        <v>0</v>
      </c>
    </row>
    <row r="71" spans="1:17" s="13" customFormat="1" ht="15.75" x14ac:dyDescent="0.25">
      <c r="A71" s="10">
        <v>28</v>
      </c>
      <c r="B71" s="27" t="s">
        <v>53</v>
      </c>
      <c r="C71" s="1" t="s">
        <v>17</v>
      </c>
      <c r="D71" s="2"/>
      <c r="E71" s="3" t="s">
        <v>20</v>
      </c>
      <c r="F71" s="73" t="s">
        <v>187</v>
      </c>
      <c r="G71" s="74" t="s">
        <v>112</v>
      </c>
      <c r="H71" s="75"/>
      <c r="I71" s="76"/>
      <c r="J71" s="96"/>
      <c r="K71" s="77"/>
      <c r="L71" s="77"/>
      <c r="M71" s="78">
        <f>K71-L71</f>
        <v>0</v>
      </c>
      <c r="N71" s="100"/>
      <c r="O71" s="81"/>
      <c r="P71" s="81"/>
      <c r="Q71" s="12">
        <f t="shared" si="2"/>
        <v>0</v>
      </c>
    </row>
    <row r="72" spans="1:17" s="13" customFormat="1" ht="15.75" x14ac:dyDescent="0.25">
      <c r="A72" s="10"/>
      <c r="B72" s="27" t="s">
        <v>149</v>
      </c>
      <c r="C72" s="1"/>
      <c r="D72" s="2"/>
      <c r="E72" s="3"/>
      <c r="F72" s="73" t="s">
        <v>311</v>
      </c>
      <c r="G72" s="74" t="s">
        <v>112</v>
      </c>
      <c r="H72" s="75">
        <v>1</v>
      </c>
      <c r="I72" s="76"/>
      <c r="J72" s="96"/>
      <c r="K72" s="77"/>
      <c r="L72" s="77"/>
      <c r="M72" s="38">
        <f t="shared" si="1"/>
        <v>0</v>
      </c>
      <c r="N72" s="100"/>
      <c r="O72" s="81"/>
      <c r="P72" s="81"/>
      <c r="Q72" s="79">
        <f t="shared" si="2"/>
        <v>0</v>
      </c>
    </row>
    <row r="73" spans="1:17" s="13" customFormat="1" ht="15.75" x14ac:dyDescent="0.25">
      <c r="A73" s="10"/>
      <c r="B73" s="25" t="s">
        <v>149</v>
      </c>
      <c r="C73" s="1" t="s">
        <v>17</v>
      </c>
      <c r="D73" s="2"/>
      <c r="E73" s="3"/>
      <c r="F73" s="2" t="s">
        <v>235</v>
      </c>
      <c r="G73" s="11" t="s">
        <v>118</v>
      </c>
      <c r="H73" s="1"/>
      <c r="I73" s="47"/>
      <c r="J73" s="51"/>
      <c r="K73" s="37"/>
      <c r="L73" s="37"/>
      <c r="M73" s="78">
        <f t="shared" si="1"/>
        <v>0</v>
      </c>
      <c r="N73" s="39"/>
      <c r="O73" s="31"/>
      <c r="P73" s="31"/>
      <c r="Q73" s="12">
        <f t="shared" si="2"/>
        <v>0</v>
      </c>
    </row>
    <row r="74" spans="1:17" s="13" customFormat="1" ht="15.75" x14ac:dyDescent="0.25">
      <c r="A74" s="10">
        <v>90</v>
      </c>
      <c r="B74" s="62" t="s">
        <v>107</v>
      </c>
      <c r="C74" s="1" t="s">
        <v>17</v>
      </c>
      <c r="D74" s="2"/>
      <c r="E74" s="17" t="s">
        <v>20</v>
      </c>
      <c r="F74" s="73" t="s">
        <v>188</v>
      </c>
      <c r="G74" s="74" t="s">
        <v>112</v>
      </c>
      <c r="H74" s="75"/>
      <c r="I74" s="76"/>
      <c r="J74" s="96"/>
      <c r="K74" s="77"/>
      <c r="L74" s="77"/>
      <c r="M74" s="38">
        <f t="shared" si="1"/>
        <v>0</v>
      </c>
      <c r="N74" s="100"/>
      <c r="O74" s="81"/>
      <c r="P74" s="81"/>
      <c r="Q74" s="79">
        <f t="shared" si="2"/>
        <v>0</v>
      </c>
    </row>
    <row r="75" spans="1:17" s="13" customFormat="1" ht="15.75" x14ac:dyDescent="0.25">
      <c r="A75" s="10"/>
      <c r="B75" s="22" t="s">
        <v>107</v>
      </c>
      <c r="C75" s="1" t="s">
        <v>17</v>
      </c>
      <c r="D75" s="2"/>
      <c r="E75" s="17" t="s">
        <v>20</v>
      </c>
      <c r="F75" s="2" t="s">
        <v>133</v>
      </c>
      <c r="G75" s="11" t="s">
        <v>114</v>
      </c>
      <c r="H75" s="1"/>
      <c r="I75" s="49"/>
      <c r="J75" s="51"/>
      <c r="K75" s="40"/>
      <c r="L75" s="40"/>
      <c r="M75" s="78">
        <f t="shared" si="1"/>
        <v>0</v>
      </c>
      <c r="N75" s="41"/>
      <c r="O75" s="31"/>
      <c r="P75" s="31"/>
      <c r="Q75" s="12">
        <f t="shared" si="2"/>
        <v>0</v>
      </c>
    </row>
    <row r="76" spans="1:17" s="13" customFormat="1" ht="15.75" x14ac:dyDescent="0.25">
      <c r="A76" s="10">
        <v>30</v>
      </c>
      <c r="B76" s="30" t="s">
        <v>54</v>
      </c>
      <c r="C76" s="1" t="s">
        <v>17</v>
      </c>
      <c r="D76" s="2"/>
      <c r="E76" s="17" t="s">
        <v>20</v>
      </c>
      <c r="F76" s="73" t="s">
        <v>189</v>
      </c>
      <c r="G76" s="74" t="s">
        <v>112</v>
      </c>
      <c r="H76" s="75"/>
      <c r="I76" s="76"/>
      <c r="J76" s="96"/>
      <c r="K76" s="77"/>
      <c r="L76" s="77"/>
      <c r="M76" s="38">
        <f t="shared" si="1"/>
        <v>0</v>
      </c>
      <c r="N76" s="100"/>
      <c r="O76" s="81"/>
      <c r="P76" s="81"/>
      <c r="Q76" s="79">
        <f t="shared" si="2"/>
        <v>0</v>
      </c>
    </row>
    <row r="77" spans="1:17" s="13" customFormat="1" ht="36" x14ac:dyDescent="0.25">
      <c r="A77" s="10">
        <v>31</v>
      </c>
      <c r="B77" s="27" t="s">
        <v>55</v>
      </c>
      <c r="C77" s="1" t="s">
        <v>304</v>
      </c>
      <c r="D77" s="18" t="s">
        <v>314</v>
      </c>
      <c r="E77" s="3" t="s">
        <v>20</v>
      </c>
      <c r="F77" s="73" t="s">
        <v>190</v>
      </c>
      <c r="G77" s="74" t="s">
        <v>112</v>
      </c>
      <c r="H77" s="75"/>
      <c r="I77" s="76"/>
      <c r="J77" s="96"/>
      <c r="K77" s="77"/>
      <c r="L77" s="77"/>
      <c r="M77" s="78">
        <f t="shared" si="1"/>
        <v>0</v>
      </c>
      <c r="N77" s="100"/>
      <c r="O77" s="81"/>
      <c r="P77" s="81"/>
      <c r="Q77" s="12">
        <f t="shared" ref="Q77:Q142" si="3">O77-P77</f>
        <v>0</v>
      </c>
    </row>
    <row r="78" spans="1:17" s="13" customFormat="1" ht="15.75" x14ac:dyDescent="0.25">
      <c r="A78" s="10"/>
      <c r="B78" s="62" t="s">
        <v>56</v>
      </c>
      <c r="C78" s="1" t="s">
        <v>17</v>
      </c>
      <c r="D78" s="2"/>
      <c r="E78" s="3"/>
      <c r="F78" s="73" t="s">
        <v>119</v>
      </c>
      <c r="G78" s="74" t="s">
        <v>112</v>
      </c>
      <c r="H78" s="75"/>
      <c r="I78" s="76"/>
      <c r="J78" s="96"/>
      <c r="K78" s="77"/>
      <c r="L78" s="77"/>
      <c r="M78" s="38">
        <f t="shared" si="1"/>
        <v>0</v>
      </c>
      <c r="N78" s="100"/>
      <c r="O78" s="81"/>
      <c r="P78" s="81"/>
      <c r="Q78" s="79">
        <f t="shared" si="3"/>
        <v>0</v>
      </c>
    </row>
    <row r="79" spans="1:17" s="13" customFormat="1" ht="15.75" x14ac:dyDescent="0.25">
      <c r="A79" s="10"/>
      <c r="B79" s="22" t="s">
        <v>56</v>
      </c>
      <c r="C79" s="1" t="s">
        <v>17</v>
      </c>
      <c r="D79" s="2"/>
      <c r="E79" s="3" t="s">
        <v>18</v>
      </c>
      <c r="F79" s="2" t="s">
        <v>244</v>
      </c>
      <c r="G79" s="11" t="s">
        <v>113</v>
      </c>
      <c r="H79" s="1"/>
      <c r="I79" s="49"/>
      <c r="J79" s="46"/>
      <c r="K79" s="40"/>
      <c r="L79" s="40"/>
      <c r="M79" s="78">
        <f t="shared" si="1"/>
        <v>0</v>
      </c>
      <c r="N79" s="41"/>
      <c r="O79" s="31"/>
      <c r="P79" s="31"/>
      <c r="Q79" s="12">
        <f t="shared" si="3"/>
        <v>0</v>
      </c>
    </row>
    <row r="80" spans="1:17" s="13" customFormat="1" ht="15.75" x14ac:dyDescent="0.25">
      <c r="A80" s="10"/>
      <c r="B80" s="62" t="s">
        <v>156</v>
      </c>
      <c r="C80" s="1" t="s">
        <v>304</v>
      </c>
      <c r="D80" s="2"/>
      <c r="E80" s="3" t="s">
        <v>20</v>
      </c>
      <c r="F80" s="73" t="s">
        <v>191</v>
      </c>
      <c r="G80" s="74" t="s">
        <v>112</v>
      </c>
      <c r="H80" s="75"/>
      <c r="I80" s="76"/>
      <c r="J80" s="96"/>
      <c r="K80" s="77"/>
      <c r="L80" s="77"/>
      <c r="M80" s="38">
        <f t="shared" si="1"/>
        <v>0</v>
      </c>
      <c r="N80" s="100"/>
      <c r="O80" s="81"/>
      <c r="P80" s="81"/>
      <c r="Q80" s="79">
        <f t="shared" si="3"/>
        <v>0</v>
      </c>
    </row>
    <row r="81" spans="1:17" s="15" customFormat="1" ht="15.75" x14ac:dyDescent="0.25">
      <c r="A81" s="14">
        <v>32</v>
      </c>
      <c r="B81" s="80" t="s">
        <v>57</v>
      </c>
      <c r="C81" s="1" t="s">
        <v>17</v>
      </c>
      <c r="D81" s="2"/>
      <c r="E81" s="3" t="s">
        <v>20</v>
      </c>
      <c r="F81" s="73" t="s">
        <v>192</v>
      </c>
      <c r="G81" s="74" t="s">
        <v>112</v>
      </c>
      <c r="H81" s="75"/>
      <c r="I81" s="76"/>
      <c r="J81" s="96"/>
      <c r="K81" s="77"/>
      <c r="L81" s="77"/>
      <c r="M81" s="78">
        <f t="shared" si="1"/>
        <v>0</v>
      </c>
      <c r="N81" s="100"/>
      <c r="O81" s="81"/>
      <c r="P81" s="81"/>
      <c r="Q81" s="12">
        <f t="shared" si="3"/>
        <v>0</v>
      </c>
    </row>
    <row r="82" spans="1:17" s="15" customFormat="1" ht="15.75" x14ac:dyDescent="0.25">
      <c r="A82" s="14"/>
      <c r="B82" s="23" t="s">
        <v>57</v>
      </c>
      <c r="C82" s="1" t="s">
        <v>17</v>
      </c>
      <c r="D82" s="2"/>
      <c r="E82" s="3" t="s">
        <v>20</v>
      </c>
      <c r="F82" s="2" t="s">
        <v>278</v>
      </c>
      <c r="G82" s="11" t="s">
        <v>114</v>
      </c>
      <c r="H82" s="1"/>
      <c r="I82" s="49"/>
      <c r="J82" s="51"/>
      <c r="K82" s="40"/>
      <c r="L82" s="40"/>
      <c r="M82" s="38">
        <f t="shared" si="1"/>
        <v>0</v>
      </c>
      <c r="N82" s="42"/>
      <c r="O82" s="31"/>
      <c r="P82" s="31"/>
      <c r="Q82" s="79">
        <f t="shared" si="3"/>
        <v>0</v>
      </c>
    </row>
    <row r="83" spans="1:17" s="13" customFormat="1" ht="15.75" x14ac:dyDescent="0.25">
      <c r="A83" s="10">
        <v>33</v>
      </c>
      <c r="B83" s="62" t="s">
        <v>58</v>
      </c>
      <c r="C83" s="1" t="s">
        <v>17</v>
      </c>
      <c r="D83" s="2"/>
      <c r="E83" s="3" t="s">
        <v>20</v>
      </c>
      <c r="F83" s="73" t="s">
        <v>193</v>
      </c>
      <c r="G83" s="74" t="s">
        <v>112</v>
      </c>
      <c r="H83" s="75"/>
      <c r="I83" s="76"/>
      <c r="J83" s="96"/>
      <c r="K83" s="77"/>
      <c r="L83" s="77"/>
      <c r="M83" s="78">
        <f t="shared" si="1"/>
        <v>0</v>
      </c>
      <c r="N83" s="100"/>
      <c r="O83" s="81"/>
      <c r="P83" s="81"/>
      <c r="Q83" s="12">
        <f t="shared" si="3"/>
        <v>0</v>
      </c>
    </row>
    <row r="84" spans="1:17" s="13" customFormat="1" ht="15.75" x14ac:dyDescent="0.25">
      <c r="A84" s="10"/>
      <c r="B84" s="22" t="s">
        <v>58</v>
      </c>
      <c r="C84" s="1" t="s">
        <v>17</v>
      </c>
      <c r="D84" s="2"/>
      <c r="E84" s="3" t="s">
        <v>20</v>
      </c>
      <c r="F84" s="2" t="s">
        <v>279</v>
      </c>
      <c r="G84" s="11" t="s">
        <v>114</v>
      </c>
      <c r="H84" s="1"/>
      <c r="I84" s="49"/>
      <c r="J84" s="51"/>
      <c r="K84" s="40"/>
      <c r="L84" s="40"/>
      <c r="M84" s="38">
        <f t="shared" ref="M84:M151" si="4">K84-L84</f>
        <v>0</v>
      </c>
      <c r="N84" s="41"/>
      <c r="O84" s="31"/>
      <c r="P84" s="31"/>
      <c r="Q84" s="79">
        <f t="shared" si="3"/>
        <v>0</v>
      </c>
    </row>
    <row r="85" spans="1:17" s="13" customFormat="1" ht="15.75" x14ac:dyDescent="0.25">
      <c r="A85" s="10">
        <v>34</v>
      </c>
      <c r="B85" s="62" t="s">
        <v>59</v>
      </c>
      <c r="C85" s="1" t="s">
        <v>17</v>
      </c>
      <c r="D85" s="2"/>
      <c r="E85" s="3" t="s">
        <v>20</v>
      </c>
      <c r="F85" s="73" t="s">
        <v>308</v>
      </c>
      <c r="G85" s="74" t="s">
        <v>112</v>
      </c>
      <c r="H85" s="75">
        <v>1</v>
      </c>
      <c r="I85" s="76"/>
      <c r="J85" s="96"/>
      <c r="K85" s="77"/>
      <c r="L85" s="77"/>
      <c r="M85" s="78">
        <f t="shared" si="4"/>
        <v>0</v>
      </c>
      <c r="N85" s="100"/>
      <c r="O85" s="81"/>
      <c r="P85" s="81"/>
      <c r="Q85" s="12">
        <f t="shared" si="3"/>
        <v>0</v>
      </c>
    </row>
    <row r="86" spans="1:17" s="13" customFormat="1" ht="15.75" x14ac:dyDescent="0.25">
      <c r="A86" s="10"/>
      <c r="B86" s="22" t="s">
        <v>59</v>
      </c>
      <c r="C86" s="1" t="s">
        <v>17</v>
      </c>
      <c r="D86" s="2"/>
      <c r="E86" s="3" t="s">
        <v>20</v>
      </c>
      <c r="F86" s="2" t="s">
        <v>128</v>
      </c>
      <c r="G86" s="11" t="s">
        <v>114</v>
      </c>
      <c r="H86" s="1"/>
      <c r="I86" s="49"/>
      <c r="J86" s="51"/>
      <c r="K86" s="40"/>
      <c r="L86" s="40"/>
      <c r="M86" s="38">
        <f t="shared" si="4"/>
        <v>0</v>
      </c>
      <c r="N86" s="41"/>
      <c r="O86" s="31"/>
      <c r="P86" s="31"/>
      <c r="Q86" s="79">
        <f t="shared" si="3"/>
        <v>0</v>
      </c>
    </row>
    <row r="87" spans="1:17" s="13" customFormat="1" ht="15.75" x14ac:dyDescent="0.25">
      <c r="A87" s="10">
        <v>35</v>
      </c>
      <c r="B87" s="27" t="s">
        <v>60</v>
      </c>
      <c r="C87" s="1" t="s">
        <v>17</v>
      </c>
      <c r="D87" s="2"/>
      <c r="E87" s="3" t="s">
        <v>20</v>
      </c>
      <c r="F87" s="73" t="s">
        <v>194</v>
      </c>
      <c r="G87" s="74" t="s">
        <v>112</v>
      </c>
      <c r="H87" s="75"/>
      <c r="I87" s="76"/>
      <c r="J87" s="96"/>
      <c r="K87" s="77"/>
      <c r="L87" s="77"/>
      <c r="M87" s="78">
        <f t="shared" si="4"/>
        <v>0</v>
      </c>
      <c r="N87" s="100"/>
      <c r="O87" s="81"/>
      <c r="P87" s="81"/>
      <c r="Q87" s="12">
        <f t="shared" si="3"/>
        <v>0</v>
      </c>
    </row>
    <row r="88" spans="1:17" s="13" customFormat="1" ht="15.75" x14ac:dyDescent="0.25">
      <c r="A88" s="10"/>
      <c r="B88" s="25" t="s">
        <v>60</v>
      </c>
      <c r="C88" s="1" t="s">
        <v>17</v>
      </c>
      <c r="D88" s="2"/>
      <c r="E88" s="3" t="s">
        <v>20</v>
      </c>
      <c r="F88" s="2" t="s">
        <v>280</v>
      </c>
      <c r="G88" s="11" t="s">
        <v>114</v>
      </c>
      <c r="H88" s="1"/>
      <c r="I88" s="49"/>
      <c r="J88" s="51"/>
      <c r="K88" s="40"/>
      <c r="L88" s="40"/>
      <c r="M88" s="38">
        <f t="shared" si="4"/>
        <v>0</v>
      </c>
      <c r="N88" s="41"/>
      <c r="O88" s="31"/>
      <c r="P88" s="31"/>
      <c r="Q88" s="79">
        <f t="shared" si="3"/>
        <v>0</v>
      </c>
    </row>
    <row r="89" spans="1:17" s="15" customFormat="1" ht="15.75" x14ac:dyDescent="0.25">
      <c r="A89" s="14">
        <v>36</v>
      </c>
      <c r="B89" s="28" t="s">
        <v>61</v>
      </c>
      <c r="C89" s="1" t="s">
        <v>17</v>
      </c>
      <c r="D89" s="2"/>
      <c r="E89" s="3" t="s">
        <v>20</v>
      </c>
      <c r="F89" s="73" t="s">
        <v>109</v>
      </c>
      <c r="G89" s="74" t="s">
        <v>112</v>
      </c>
      <c r="H89" s="75"/>
      <c r="I89" s="76"/>
      <c r="J89" s="96"/>
      <c r="K89" s="77"/>
      <c r="L89" s="77"/>
      <c r="M89" s="78">
        <f t="shared" si="4"/>
        <v>0</v>
      </c>
      <c r="N89" s="100"/>
      <c r="O89" s="81"/>
      <c r="P89" s="81"/>
      <c r="Q89" s="12">
        <f t="shared" si="3"/>
        <v>0</v>
      </c>
    </row>
    <row r="90" spans="1:17" s="15" customFormat="1" ht="15.75" x14ac:dyDescent="0.25">
      <c r="A90" s="14"/>
      <c r="B90" s="26" t="s">
        <v>61</v>
      </c>
      <c r="C90" s="1" t="s">
        <v>17</v>
      </c>
      <c r="D90" s="2"/>
      <c r="E90" s="3" t="s">
        <v>20</v>
      </c>
      <c r="F90" s="2" t="s">
        <v>121</v>
      </c>
      <c r="G90" s="11" t="s">
        <v>114</v>
      </c>
      <c r="H90" s="1"/>
      <c r="I90" s="49"/>
      <c r="J90" s="51"/>
      <c r="K90" s="40"/>
      <c r="L90" s="40"/>
      <c r="M90" s="38">
        <f t="shared" si="4"/>
        <v>0</v>
      </c>
      <c r="N90" s="42"/>
      <c r="O90" s="31"/>
      <c r="P90" s="31"/>
      <c r="Q90" s="79">
        <f t="shared" si="3"/>
        <v>0</v>
      </c>
    </row>
    <row r="91" spans="1:17" s="15" customFormat="1" ht="15.75" x14ac:dyDescent="0.25">
      <c r="A91" s="14"/>
      <c r="B91" s="20" t="s">
        <v>306</v>
      </c>
      <c r="C91" s="1"/>
      <c r="D91" s="2"/>
      <c r="E91" s="3" t="s">
        <v>35</v>
      </c>
      <c r="F91" s="73" t="s">
        <v>307</v>
      </c>
      <c r="G91" s="11" t="s">
        <v>112</v>
      </c>
      <c r="H91" s="1">
        <v>1</v>
      </c>
      <c r="I91" s="58"/>
      <c r="J91" s="51"/>
      <c r="K91" s="40"/>
      <c r="L91" s="40"/>
      <c r="M91" s="78">
        <f t="shared" si="4"/>
        <v>0</v>
      </c>
      <c r="N91" s="42"/>
      <c r="O91" s="31"/>
      <c r="P91" s="31"/>
      <c r="Q91" s="12">
        <f t="shared" si="3"/>
        <v>0</v>
      </c>
    </row>
    <row r="92" spans="1:17" s="13" customFormat="1" ht="15.75" x14ac:dyDescent="0.25">
      <c r="A92" s="10">
        <v>37</v>
      </c>
      <c r="B92" s="27" t="s">
        <v>62</v>
      </c>
      <c r="C92" s="1" t="s">
        <v>17</v>
      </c>
      <c r="D92" s="2"/>
      <c r="E92" s="3" t="s">
        <v>35</v>
      </c>
      <c r="F92" s="73" t="s">
        <v>300</v>
      </c>
      <c r="G92" s="74" t="s">
        <v>112</v>
      </c>
      <c r="H92" s="75">
        <v>1</v>
      </c>
      <c r="I92" s="76"/>
      <c r="J92" s="96"/>
      <c r="K92" s="77"/>
      <c r="L92" s="77"/>
      <c r="M92" s="38">
        <f t="shared" si="4"/>
        <v>0</v>
      </c>
      <c r="N92" s="100"/>
      <c r="O92" s="81"/>
      <c r="P92" s="81"/>
      <c r="Q92" s="79">
        <f t="shared" si="3"/>
        <v>0</v>
      </c>
    </row>
    <row r="93" spans="1:17" s="13" customFormat="1" ht="15.75" x14ac:dyDescent="0.25">
      <c r="A93" s="10"/>
      <c r="B93" s="25" t="s">
        <v>62</v>
      </c>
      <c r="C93" s="1" t="s">
        <v>17</v>
      </c>
      <c r="D93" s="2"/>
      <c r="E93" s="3" t="s">
        <v>35</v>
      </c>
      <c r="F93" s="16" t="s">
        <v>250</v>
      </c>
      <c r="G93" s="11" t="s">
        <v>117</v>
      </c>
      <c r="H93" s="1"/>
      <c r="I93" s="49"/>
      <c r="J93" s="46"/>
      <c r="K93" s="40"/>
      <c r="L93" s="40"/>
      <c r="M93" s="78">
        <f t="shared" si="4"/>
        <v>0</v>
      </c>
      <c r="N93" s="41"/>
      <c r="O93" s="31"/>
      <c r="P93" s="31"/>
      <c r="Q93" s="12">
        <f t="shared" si="3"/>
        <v>0</v>
      </c>
    </row>
    <row r="94" spans="1:17" s="13" customFormat="1" ht="15.75" x14ac:dyDescent="0.25">
      <c r="A94" s="10"/>
      <c r="B94" s="25" t="s">
        <v>63</v>
      </c>
      <c r="C94" s="1" t="s">
        <v>64</v>
      </c>
      <c r="D94" s="10" t="s">
        <v>65</v>
      </c>
      <c r="E94" s="3" t="s">
        <v>20</v>
      </c>
      <c r="F94" s="2" t="s">
        <v>122</v>
      </c>
      <c r="G94" s="11" t="s">
        <v>114</v>
      </c>
      <c r="H94" s="1"/>
      <c r="I94" s="49"/>
      <c r="J94" s="51"/>
      <c r="K94" s="40"/>
      <c r="L94" s="40"/>
      <c r="M94" s="38">
        <f t="shared" si="4"/>
        <v>0</v>
      </c>
      <c r="N94" s="41"/>
      <c r="O94" s="31"/>
      <c r="P94" s="31"/>
      <c r="Q94" s="79">
        <f t="shared" si="3"/>
        <v>0</v>
      </c>
    </row>
    <row r="95" spans="1:17" s="13" customFormat="1" ht="15.75" x14ac:dyDescent="0.25">
      <c r="A95" s="10"/>
      <c r="B95" s="27" t="s">
        <v>155</v>
      </c>
      <c r="C95" s="1" t="s">
        <v>17</v>
      </c>
      <c r="D95" s="10"/>
      <c r="E95" s="3" t="s">
        <v>20</v>
      </c>
      <c r="F95" s="73" t="s">
        <v>301</v>
      </c>
      <c r="G95" s="74" t="s">
        <v>112</v>
      </c>
      <c r="H95" s="75">
        <v>1</v>
      </c>
      <c r="I95" s="82"/>
      <c r="J95" s="96"/>
      <c r="K95" s="77"/>
      <c r="L95" s="77"/>
      <c r="M95" s="78">
        <f t="shared" si="4"/>
        <v>0</v>
      </c>
      <c r="N95" s="100"/>
      <c r="O95" s="81"/>
      <c r="P95" s="81"/>
      <c r="Q95" s="12">
        <f t="shared" si="3"/>
        <v>0</v>
      </c>
    </row>
    <row r="96" spans="1:17" s="13" customFormat="1" ht="15.75" x14ac:dyDescent="0.25">
      <c r="A96" s="10"/>
      <c r="B96" s="25" t="s">
        <v>155</v>
      </c>
      <c r="C96" s="1" t="s">
        <v>17</v>
      </c>
      <c r="D96" s="10"/>
      <c r="E96" s="3" t="s">
        <v>20</v>
      </c>
      <c r="F96" s="2"/>
      <c r="G96" s="11" t="s">
        <v>114</v>
      </c>
      <c r="H96" s="1"/>
      <c r="I96" s="49"/>
      <c r="J96" s="51"/>
      <c r="K96" s="40"/>
      <c r="L96" s="40"/>
      <c r="M96" s="38">
        <f t="shared" si="4"/>
        <v>0</v>
      </c>
      <c r="N96" s="41"/>
      <c r="O96" s="31"/>
      <c r="P96" s="31"/>
      <c r="Q96" s="79">
        <f t="shared" si="3"/>
        <v>0</v>
      </c>
    </row>
    <row r="97" spans="1:19" s="13" customFormat="1" ht="15.75" x14ac:dyDescent="0.25">
      <c r="A97" s="10">
        <v>39</v>
      </c>
      <c r="B97" s="30" t="s">
        <v>66</v>
      </c>
      <c r="C97" s="1" t="s">
        <v>17</v>
      </c>
      <c r="D97" s="2"/>
      <c r="E97" s="3" t="s">
        <v>21</v>
      </c>
      <c r="F97" s="73" t="s">
        <v>195</v>
      </c>
      <c r="G97" s="74" t="s">
        <v>112</v>
      </c>
      <c r="H97" s="75"/>
      <c r="I97" s="76"/>
      <c r="J97" s="96"/>
      <c r="K97" s="77"/>
      <c r="L97" s="77"/>
      <c r="M97" s="78">
        <f t="shared" si="4"/>
        <v>0</v>
      </c>
      <c r="N97" s="100"/>
      <c r="O97" s="81"/>
      <c r="P97" s="81"/>
      <c r="Q97" s="12">
        <f t="shared" si="3"/>
        <v>0</v>
      </c>
    </row>
    <row r="98" spans="1:19" s="13" customFormat="1" ht="15.75" x14ac:dyDescent="0.25">
      <c r="A98" s="10"/>
      <c r="B98" s="24" t="s">
        <v>66</v>
      </c>
      <c r="C98" s="1" t="s">
        <v>17</v>
      </c>
      <c r="D98" s="2"/>
      <c r="E98" s="3" t="s">
        <v>21</v>
      </c>
      <c r="F98" s="2" t="s">
        <v>236</v>
      </c>
      <c r="G98" s="11" t="s">
        <v>118</v>
      </c>
      <c r="H98" s="1"/>
      <c r="I98" s="49"/>
      <c r="J98" s="46"/>
      <c r="K98" s="40"/>
      <c r="L98" s="40"/>
      <c r="M98" s="38">
        <f t="shared" si="4"/>
        <v>0</v>
      </c>
      <c r="N98" s="41"/>
      <c r="O98" s="31"/>
      <c r="P98" s="31"/>
      <c r="Q98" s="79">
        <f t="shared" si="3"/>
        <v>0</v>
      </c>
    </row>
    <row r="99" spans="1:19" s="13" customFormat="1" ht="15.75" x14ac:dyDescent="0.25">
      <c r="A99" s="10">
        <v>92</v>
      </c>
      <c r="B99" s="62" t="s">
        <v>137</v>
      </c>
      <c r="C99" s="1" t="s">
        <v>17</v>
      </c>
      <c r="D99" s="2"/>
      <c r="E99" s="17" t="s">
        <v>35</v>
      </c>
      <c r="F99" s="73" t="s">
        <v>196</v>
      </c>
      <c r="G99" s="74" t="s">
        <v>112</v>
      </c>
      <c r="H99" s="75">
        <v>1</v>
      </c>
      <c r="I99" s="76"/>
      <c r="J99" s="96"/>
      <c r="K99" s="77"/>
      <c r="L99" s="77"/>
      <c r="M99" s="78">
        <f t="shared" si="4"/>
        <v>0</v>
      </c>
      <c r="N99" s="100"/>
      <c r="O99" s="81"/>
      <c r="P99" s="81"/>
      <c r="Q99" s="12">
        <f t="shared" si="3"/>
        <v>0</v>
      </c>
    </row>
    <row r="100" spans="1:19" s="13" customFormat="1" ht="15.75" x14ac:dyDescent="0.25">
      <c r="A100" s="10"/>
      <c r="B100" s="22" t="s">
        <v>137</v>
      </c>
      <c r="C100" s="1" t="s">
        <v>17</v>
      </c>
      <c r="D100" s="2"/>
      <c r="E100" s="17" t="s">
        <v>35</v>
      </c>
      <c r="F100" s="2" t="s">
        <v>251</v>
      </c>
      <c r="G100" s="11" t="s">
        <v>117</v>
      </c>
      <c r="H100" s="1"/>
      <c r="I100" s="49"/>
      <c r="J100" s="51"/>
      <c r="K100" s="37"/>
      <c r="L100" s="37"/>
      <c r="M100" s="78">
        <f t="shared" si="4"/>
        <v>0</v>
      </c>
      <c r="N100" s="39"/>
      <c r="O100" s="31"/>
      <c r="P100" s="31"/>
      <c r="Q100" s="79">
        <f t="shared" si="3"/>
        <v>0</v>
      </c>
    </row>
    <row r="101" spans="1:19" s="13" customFormat="1" ht="15.75" x14ac:dyDescent="0.25">
      <c r="A101" s="10">
        <v>41</v>
      </c>
      <c r="B101" s="30" t="s">
        <v>67</v>
      </c>
      <c r="C101" s="1" t="s">
        <v>17</v>
      </c>
      <c r="D101" s="2"/>
      <c r="E101" s="17" t="s">
        <v>21</v>
      </c>
      <c r="F101" s="73" t="s">
        <v>197</v>
      </c>
      <c r="G101" s="74" t="s">
        <v>112</v>
      </c>
      <c r="H101" s="75"/>
      <c r="I101" s="76"/>
      <c r="J101" s="96"/>
      <c r="K101" s="77"/>
      <c r="L101" s="77"/>
      <c r="M101" s="38">
        <f t="shared" si="4"/>
        <v>0</v>
      </c>
      <c r="N101" s="100"/>
      <c r="O101" s="81"/>
      <c r="P101" s="81"/>
      <c r="Q101" s="12">
        <f t="shared" si="3"/>
        <v>0</v>
      </c>
    </row>
    <row r="102" spans="1:19" s="13" customFormat="1" ht="15.75" x14ac:dyDescent="0.25">
      <c r="A102" s="10"/>
      <c r="B102" s="24" t="s">
        <v>67</v>
      </c>
      <c r="C102" s="1" t="s">
        <v>17</v>
      </c>
      <c r="D102" s="2"/>
      <c r="E102" s="17" t="s">
        <v>21</v>
      </c>
      <c r="F102" s="2" t="s">
        <v>239</v>
      </c>
      <c r="G102" s="11" t="s">
        <v>118</v>
      </c>
      <c r="H102" s="1"/>
      <c r="I102" s="49"/>
      <c r="J102" s="46"/>
      <c r="K102" s="40"/>
      <c r="L102" s="40"/>
      <c r="M102" s="78">
        <f t="shared" si="4"/>
        <v>0</v>
      </c>
      <c r="N102" s="41"/>
      <c r="O102" s="31"/>
      <c r="P102" s="31"/>
      <c r="Q102" s="79">
        <f t="shared" si="3"/>
        <v>0</v>
      </c>
    </row>
    <row r="103" spans="1:19" s="13" customFormat="1" ht="15.75" x14ac:dyDescent="0.25">
      <c r="A103" s="10">
        <v>42</v>
      </c>
      <c r="B103" s="30" t="s">
        <v>68</v>
      </c>
      <c r="C103" s="1" t="s">
        <v>17</v>
      </c>
      <c r="D103" s="2"/>
      <c r="E103" s="17" t="s">
        <v>32</v>
      </c>
      <c r="F103" s="73" t="s">
        <v>198</v>
      </c>
      <c r="G103" s="74" t="s">
        <v>112</v>
      </c>
      <c r="H103" s="75"/>
      <c r="I103" s="76"/>
      <c r="J103" s="96"/>
      <c r="K103" s="77"/>
      <c r="L103" s="77"/>
      <c r="M103" s="38">
        <f t="shared" si="4"/>
        <v>0</v>
      </c>
      <c r="N103" s="100"/>
      <c r="O103" s="81"/>
      <c r="P103" s="81"/>
      <c r="Q103" s="12">
        <f t="shared" si="3"/>
        <v>0</v>
      </c>
    </row>
    <row r="104" spans="1:19" s="13" customFormat="1" ht="15.75" x14ac:dyDescent="0.25">
      <c r="A104" s="10"/>
      <c r="B104" s="24" t="s">
        <v>68</v>
      </c>
      <c r="C104" s="1" t="s">
        <v>17</v>
      </c>
      <c r="D104" s="2"/>
      <c r="E104" s="17" t="s">
        <v>32</v>
      </c>
      <c r="F104" s="16" t="s">
        <v>252</v>
      </c>
      <c r="G104" s="8" t="s">
        <v>117</v>
      </c>
      <c r="H104" s="1"/>
      <c r="I104" s="49"/>
      <c r="J104" s="46"/>
      <c r="K104" s="40"/>
      <c r="L104" s="40"/>
      <c r="M104" s="78">
        <f t="shared" si="4"/>
        <v>0</v>
      </c>
      <c r="N104" s="41"/>
      <c r="O104" s="40"/>
      <c r="P104" s="40"/>
      <c r="Q104" s="79">
        <f t="shared" si="3"/>
        <v>0</v>
      </c>
    </row>
    <row r="105" spans="1:19" s="15" customFormat="1" ht="15.75" x14ac:dyDescent="0.25">
      <c r="A105" s="14">
        <v>43</v>
      </c>
      <c r="B105" s="28" t="s">
        <v>69</v>
      </c>
      <c r="C105" s="1" t="s">
        <v>17</v>
      </c>
      <c r="D105" s="2"/>
      <c r="E105" s="3" t="s">
        <v>20</v>
      </c>
      <c r="F105" s="73" t="s">
        <v>140</v>
      </c>
      <c r="G105" s="74" t="s">
        <v>112</v>
      </c>
      <c r="H105" s="75"/>
      <c r="I105" s="76"/>
      <c r="J105" s="96"/>
      <c r="K105" s="77"/>
      <c r="L105" s="77"/>
      <c r="M105" s="38">
        <f t="shared" si="4"/>
        <v>0</v>
      </c>
      <c r="N105" s="100"/>
      <c r="O105" s="77"/>
      <c r="P105" s="77"/>
      <c r="Q105" s="12">
        <f t="shared" si="3"/>
        <v>0</v>
      </c>
    </row>
    <row r="106" spans="1:19" s="13" customFormat="1" ht="15.75" x14ac:dyDescent="0.25">
      <c r="A106" s="10">
        <v>45</v>
      </c>
      <c r="B106" s="62" t="s">
        <v>70</v>
      </c>
      <c r="C106" s="1" t="s">
        <v>17</v>
      </c>
      <c r="D106" s="2"/>
      <c r="E106" s="3" t="s">
        <v>20</v>
      </c>
      <c r="F106" s="73" t="s">
        <v>199</v>
      </c>
      <c r="G106" s="74" t="s">
        <v>112</v>
      </c>
      <c r="H106" s="75">
        <v>1</v>
      </c>
      <c r="I106" s="76"/>
      <c r="J106" s="96"/>
      <c r="K106" s="77"/>
      <c r="L106" s="77"/>
      <c r="M106" s="78">
        <f t="shared" si="4"/>
        <v>0</v>
      </c>
      <c r="N106" s="100"/>
      <c r="O106" s="81"/>
      <c r="P106" s="81"/>
      <c r="Q106" s="79">
        <f t="shared" si="3"/>
        <v>0</v>
      </c>
      <c r="R106" s="35"/>
    </row>
    <row r="107" spans="1:19" s="13" customFormat="1" ht="15.75" x14ac:dyDescent="0.25">
      <c r="A107" s="10"/>
      <c r="B107" s="22" t="s">
        <v>70</v>
      </c>
      <c r="C107" s="1" t="s">
        <v>17</v>
      </c>
      <c r="D107" s="2"/>
      <c r="E107" s="3" t="s">
        <v>20</v>
      </c>
      <c r="F107" s="2" t="s">
        <v>281</v>
      </c>
      <c r="G107" s="11" t="s">
        <v>114</v>
      </c>
      <c r="H107" s="1">
        <v>3</v>
      </c>
      <c r="I107" s="49"/>
      <c r="J107" s="51"/>
      <c r="K107" s="40"/>
      <c r="L107" s="40"/>
      <c r="M107" s="38">
        <f t="shared" si="4"/>
        <v>0</v>
      </c>
      <c r="N107" s="41"/>
      <c r="O107" s="31"/>
      <c r="P107" s="31"/>
      <c r="Q107" s="12">
        <f t="shared" si="3"/>
        <v>0</v>
      </c>
    </row>
    <row r="108" spans="1:19" s="15" customFormat="1" ht="15.75" x14ac:dyDescent="0.25">
      <c r="A108" s="14">
        <v>46</v>
      </c>
      <c r="B108" s="80" t="s">
        <v>71</v>
      </c>
      <c r="C108" s="1" t="s">
        <v>17</v>
      </c>
      <c r="D108" s="2"/>
      <c r="E108" s="3" t="s">
        <v>32</v>
      </c>
      <c r="F108" s="73" t="s">
        <v>200</v>
      </c>
      <c r="G108" s="74" t="s">
        <v>112</v>
      </c>
      <c r="H108" s="75"/>
      <c r="I108" s="76"/>
      <c r="J108" s="96"/>
      <c r="K108" s="77"/>
      <c r="L108" s="77"/>
      <c r="M108" s="78">
        <f t="shared" si="4"/>
        <v>0</v>
      </c>
      <c r="N108" s="100"/>
      <c r="O108" s="81"/>
      <c r="P108" s="81"/>
      <c r="Q108" s="79">
        <f t="shared" si="3"/>
        <v>0</v>
      </c>
      <c r="R108" s="36"/>
      <c r="S108" s="36"/>
    </row>
    <row r="109" spans="1:19" s="15" customFormat="1" ht="15.75" x14ac:dyDescent="0.25">
      <c r="A109" s="14"/>
      <c r="B109" s="23" t="s">
        <v>71</v>
      </c>
      <c r="C109" s="1" t="s">
        <v>17</v>
      </c>
      <c r="D109" s="2"/>
      <c r="E109" s="3" t="s">
        <v>32</v>
      </c>
      <c r="F109" s="16" t="s">
        <v>253</v>
      </c>
      <c r="G109" s="11" t="s">
        <v>115</v>
      </c>
      <c r="H109" s="1"/>
      <c r="I109" s="48"/>
      <c r="J109" s="45"/>
      <c r="K109" s="40"/>
      <c r="L109" s="40"/>
      <c r="M109" s="38">
        <f t="shared" si="4"/>
        <v>0</v>
      </c>
      <c r="N109" s="39"/>
      <c r="O109" s="40"/>
      <c r="P109" s="40"/>
      <c r="Q109" s="12">
        <f t="shared" si="3"/>
        <v>0</v>
      </c>
    </row>
    <row r="110" spans="1:19" s="15" customFormat="1" ht="15.75" x14ac:dyDescent="0.25">
      <c r="A110" s="14"/>
      <c r="B110" s="62" t="s">
        <v>150</v>
      </c>
      <c r="C110" s="1" t="s">
        <v>17</v>
      </c>
      <c r="D110" s="2"/>
      <c r="E110" s="3" t="s">
        <v>35</v>
      </c>
      <c r="F110" s="83" t="s">
        <v>302</v>
      </c>
      <c r="G110" s="74" t="s">
        <v>112</v>
      </c>
      <c r="H110" s="75"/>
      <c r="I110" s="76"/>
      <c r="J110" s="97"/>
      <c r="K110" s="77"/>
      <c r="L110" s="77"/>
      <c r="M110" s="78">
        <f t="shared" si="4"/>
        <v>0</v>
      </c>
      <c r="N110" s="101"/>
      <c r="O110" s="77"/>
      <c r="P110" s="81"/>
      <c r="Q110" s="79">
        <f t="shared" si="3"/>
        <v>0</v>
      </c>
    </row>
    <row r="111" spans="1:19" s="15" customFormat="1" ht="15.75" x14ac:dyDescent="0.25">
      <c r="A111" s="14"/>
      <c r="B111" s="50" t="s">
        <v>150</v>
      </c>
      <c r="C111" s="1"/>
      <c r="D111" s="2"/>
      <c r="E111" s="3"/>
      <c r="F111" s="16"/>
      <c r="G111" s="11" t="s">
        <v>117</v>
      </c>
      <c r="H111" s="1"/>
      <c r="I111" s="48"/>
      <c r="J111" s="45"/>
      <c r="K111" s="40"/>
      <c r="L111" s="37"/>
      <c r="M111" s="38">
        <f t="shared" si="4"/>
        <v>0</v>
      </c>
      <c r="N111" s="42"/>
      <c r="O111" s="40"/>
      <c r="P111" s="40"/>
      <c r="Q111" s="12">
        <f t="shared" si="3"/>
        <v>0</v>
      </c>
    </row>
    <row r="112" spans="1:19" s="13" customFormat="1" ht="15.75" x14ac:dyDescent="0.25">
      <c r="A112" s="10">
        <v>47</v>
      </c>
      <c r="B112" s="30" t="s">
        <v>72</v>
      </c>
      <c r="C112" s="1" t="s">
        <v>17</v>
      </c>
      <c r="D112" s="2"/>
      <c r="E112" s="3" t="s">
        <v>21</v>
      </c>
      <c r="F112" s="73" t="s">
        <v>201</v>
      </c>
      <c r="G112" s="74" t="s">
        <v>112</v>
      </c>
      <c r="H112" s="75"/>
      <c r="I112" s="76"/>
      <c r="J112" s="96"/>
      <c r="K112" s="77"/>
      <c r="L112" s="77"/>
      <c r="M112" s="78">
        <f t="shared" si="4"/>
        <v>0</v>
      </c>
      <c r="N112" s="100"/>
      <c r="O112" s="81"/>
      <c r="P112" s="81"/>
      <c r="Q112" s="79">
        <f t="shared" si="3"/>
        <v>0</v>
      </c>
    </row>
    <row r="113" spans="1:17" s="13" customFormat="1" ht="15.75" x14ac:dyDescent="0.25">
      <c r="A113" s="10"/>
      <c r="B113" s="24" t="s">
        <v>72</v>
      </c>
      <c r="C113" s="1" t="s">
        <v>17</v>
      </c>
      <c r="D113" s="2"/>
      <c r="E113" s="3" t="s">
        <v>21</v>
      </c>
      <c r="F113" s="2" t="s">
        <v>237</v>
      </c>
      <c r="G113" s="11" t="s">
        <v>118</v>
      </c>
      <c r="H113" s="1"/>
      <c r="I113" s="49"/>
      <c r="J113" s="46"/>
      <c r="K113" s="40"/>
      <c r="L113" s="40"/>
      <c r="M113" s="38">
        <f t="shared" si="4"/>
        <v>0</v>
      </c>
      <c r="N113" s="41"/>
      <c r="O113" s="31"/>
      <c r="P113" s="31"/>
      <c r="Q113" s="12">
        <f t="shared" si="3"/>
        <v>0</v>
      </c>
    </row>
    <row r="114" spans="1:17" s="15" customFormat="1" ht="15.75" x14ac:dyDescent="0.25">
      <c r="A114" s="14">
        <v>48</v>
      </c>
      <c r="B114" s="84" t="s">
        <v>73</v>
      </c>
      <c r="C114" s="1" t="s">
        <v>17</v>
      </c>
      <c r="D114" s="2"/>
      <c r="E114" s="3" t="s">
        <v>74</v>
      </c>
      <c r="F114" s="73" t="s">
        <v>141</v>
      </c>
      <c r="G114" s="74" t="s">
        <v>112</v>
      </c>
      <c r="H114" s="75"/>
      <c r="I114" s="76"/>
      <c r="J114" s="96"/>
      <c r="K114" s="77"/>
      <c r="L114" s="77"/>
      <c r="M114" s="78">
        <f t="shared" si="4"/>
        <v>0</v>
      </c>
      <c r="N114" s="100"/>
      <c r="O114" s="81"/>
      <c r="P114" s="81"/>
      <c r="Q114" s="79">
        <f t="shared" si="3"/>
        <v>0</v>
      </c>
    </row>
    <row r="115" spans="1:17" s="15" customFormat="1" ht="15.75" x14ac:dyDescent="0.25">
      <c r="A115" s="14"/>
      <c r="B115" s="29" t="s">
        <v>73</v>
      </c>
      <c r="C115" s="1" t="s">
        <v>17</v>
      </c>
      <c r="D115" s="2"/>
      <c r="E115" s="3" t="s">
        <v>74</v>
      </c>
      <c r="F115" s="2" t="s">
        <v>282</v>
      </c>
      <c r="G115" s="11" t="s">
        <v>114</v>
      </c>
      <c r="H115" s="1"/>
      <c r="I115" s="49"/>
      <c r="J115" s="51"/>
      <c r="K115" s="40"/>
      <c r="L115" s="40"/>
      <c r="M115" s="38">
        <f t="shared" si="4"/>
        <v>0</v>
      </c>
      <c r="N115" s="42"/>
      <c r="O115" s="31"/>
      <c r="P115" s="31"/>
      <c r="Q115" s="12">
        <f t="shared" si="3"/>
        <v>0</v>
      </c>
    </row>
    <row r="116" spans="1:17" s="13" customFormat="1" ht="15.75" x14ac:dyDescent="0.25">
      <c r="A116" s="10"/>
      <c r="B116" s="24" t="s">
        <v>75</v>
      </c>
      <c r="C116" s="1" t="s">
        <v>17</v>
      </c>
      <c r="D116" s="10"/>
      <c r="E116" s="3" t="s">
        <v>20</v>
      </c>
      <c r="F116" s="2" t="s">
        <v>123</v>
      </c>
      <c r="G116" s="11" t="s">
        <v>114</v>
      </c>
      <c r="H116" s="1"/>
      <c r="I116" s="49"/>
      <c r="J116" s="51"/>
      <c r="K116" s="40"/>
      <c r="L116" s="40"/>
      <c r="M116" s="78">
        <f t="shared" si="4"/>
        <v>0</v>
      </c>
      <c r="N116" s="41"/>
      <c r="O116" s="31"/>
      <c r="P116" s="31"/>
      <c r="Q116" s="79">
        <f t="shared" si="3"/>
        <v>0</v>
      </c>
    </row>
    <row r="117" spans="1:17" s="13" customFormat="1" ht="15.75" x14ac:dyDescent="0.25">
      <c r="A117" s="10">
        <v>29</v>
      </c>
      <c r="B117" s="30" t="s">
        <v>135</v>
      </c>
      <c r="C117" s="1" t="s">
        <v>17</v>
      </c>
      <c r="D117" s="2"/>
      <c r="E117" s="17" t="s">
        <v>35</v>
      </c>
      <c r="F117" s="73" t="s">
        <v>202</v>
      </c>
      <c r="G117" s="74" t="s">
        <v>112</v>
      </c>
      <c r="H117" s="75">
        <v>1</v>
      </c>
      <c r="I117" s="76"/>
      <c r="J117" s="96"/>
      <c r="K117" s="77"/>
      <c r="L117" s="77"/>
      <c r="M117" s="38">
        <f t="shared" si="4"/>
        <v>0</v>
      </c>
      <c r="N117" s="100"/>
      <c r="O117" s="81"/>
      <c r="P117" s="81"/>
      <c r="Q117" s="12">
        <f t="shared" si="3"/>
        <v>0</v>
      </c>
    </row>
    <row r="118" spans="1:17" s="13" customFormat="1" ht="15.75" x14ac:dyDescent="0.25">
      <c r="A118" s="10"/>
      <c r="B118" s="24" t="s">
        <v>135</v>
      </c>
      <c r="C118" s="1" t="s">
        <v>17</v>
      </c>
      <c r="D118" s="2"/>
      <c r="E118" s="17" t="s">
        <v>35</v>
      </c>
      <c r="F118" s="2" t="s">
        <v>254</v>
      </c>
      <c r="G118" s="11" t="s">
        <v>115</v>
      </c>
      <c r="H118" s="1"/>
      <c r="I118" s="49"/>
      <c r="J118" s="46"/>
      <c r="K118" s="40"/>
      <c r="L118" s="40"/>
      <c r="M118" s="78">
        <f t="shared" si="4"/>
        <v>0</v>
      </c>
      <c r="N118" s="41"/>
      <c r="O118" s="31"/>
      <c r="P118" s="31"/>
      <c r="Q118" s="79">
        <f t="shared" si="3"/>
        <v>0</v>
      </c>
    </row>
    <row r="119" spans="1:17" s="13" customFormat="1" ht="15.75" x14ac:dyDescent="0.25">
      <c r="A119" s="10"/>
      <c r="B119" s="30" t="s">
        <v>145</v>
      </c>
      <c r="C119" s="1" t="s">
        <v>17</v>
      </c>
      <c r="D119" s="2"/>
      <c r="E119" s="17" t="s">
        <v>20</v>
      </c>
      <c r="F119" s="73" t="s">
        <v>203</v>
      </c>
      <c r="G119" s="74" t="s">
        <v>112</v>
      </c>
      <c r="H119" s="75">
        <v>1</v>
      </c>
      <c r="I119" s="82"/>
      <c r="J119" s="96"/>
      <c r="K119" s="77"/>
      <c r="L119" s="77"/>
      <c r="M119" s="38">
        <f t="shared" si="4"/>
        <v>0</v>
      </c>
      <c r="N119" s="100"/>
      <c r="O119" s="81"/>
      <c r="P119" s="81"/>
      <c r="Q119" s="12">
        <f t="shared" si="3"/>
        <v>0</v>
      </c>
    </row>
    <row r="120" spans="1:17" s="13" customFormat="1" ht="15.75" x14ac:dyDescent="0.25">
      <c r="A120" s="10"/>
      <c r="B120" s="24" t="s">
        <v>145</v>
      </c>
      <c r="C120" s="1" t="s">
        <v>17</v>
      </c>
      <c r="D120" s="2"/>
      <c r="E120" s="17" t="s">
        <v>20</v>
      </c>
      <c r="F120" s="2" t="s">
        <v>283</v>
      </c>
      <c r="G120" s="11" t="s">
        <v>114</v>
      </c>
      <c r="H120" s="1"/>
      <c r="I120" s="49"/>
      <c r="J120" s="51"/>
      <c r="K120" s="40"/>
      <c r="L120" s="40"/>
      <c r="M120" s="78">
        <f t="shared" si="4"/>
        <v>0</v>
      </c>
      <c r="N120" s="41"/>
      <c r="O120" s="31"/>
      <c r="P120" s="31"/>
      <c r="Q120" s="79">
        <f t="shared" si="3"/>
        <v>0</v>
      </c>
    </row>
    <row r="121" spans="1:17" s="13" customFormat="1" ht="15.75" x14ac:dyDescent="0.25">
      <c r="A121" s="10">
        <v>50</v>
      </c>
      <c r="B121" s="62" t="s">
        <v>76</v>
      </c>
      <c r="C121" s="1" t="s">
        <v>17</v>
      </c>
      <c r="D121" s="2"/>
      <c r="E121" s="3" t="s">
        <v>20</v>
      </c>
      <c r="F121" s="73" t="s">
        <v>204</v>
      </c>
      <c r="G121" s="74" t="s">
        <v>112</v>
      </c>
      <c r="H121" s="75"/>
      <c r="I121" s="76"/>
      <c r="J121" s="96"/>
      <c r="K121" s="77"/>
      <c r="L121" s="77"/>
      <c r="M121" s="38">
        <f t="shared" si="4"/>
        <v>0</v>
      </c>
      <c r="N121" s="100"/>
      <c r="O121" s="81"/>
      <c r="P121" s="81"/>
      <c r="Q121" s="12">
        <f t="shared" si="3"/>
        <v>0</v>
      </c>
    </row>
    <row r="122" spans="1:17" s="13" customFormat="1" ht="15.75" x14ac:dyDescent="0.25">
      <c r="A122" s="10"/>
      <c r="B122" s="22" t="s">
        <v>76</v>
      </c>
      <c r="C122" s="1" t="s">
        <v>17</v>
      </c>
      <c r="D122" s="2"/>
      <c r="E122" s="3" t="s">
        <v>20</v>
      </c>
      <c r="F122" s="2" t="s">
        <v>284</v>
      </c>
      <c r="G122" s="11" t="s">
        <v>114</v>
      </c>
      <c r="H122" s="1"/>
      <c r="I122" s="49"/>
      <c r="J122" s="51"/>
      <c r="K122" s="40"/>
      <c r="L122" s="40"/>
      <c r="M122" s="78">
        <f t="shared" si="4"/>
        <v>0</v>
      </c>
      <c r="N122" s="41"/>
      <c r="O122" s="31"/>
      <c r="P122" s="31"/>
      <c r="Q122" s="79">
        <f t="shared" si="3"/>
        <v>0</v>
      </c>
    </row>
    <row r="123" spans="1:17" s="13" customFormat="1" ht="15.75" x14ac:dyDescent="0.25">
      <c r="A123" s="10">
        <v>51</v>
      </c>
      <c r="B123" s="30" t="s">
        <v>77</v>
      </c>
      <c r="C123" s="1" t="s">
        <v>17</v>
      </c>
      <c r="D123" s="2"/>
      <c r="E123" s="3" t="s">
        <v>32</v>
      </c>
      <c r="F123" s="73" t="s">
        <v>205</v>
      </c>
      <c r="G123" s="74" t="s">
        <v>112</v>
      </c>
      <c r="H123" s="75"/>
      <c r="I123" s="76"/>
      <c r="J123" s="96"/>
      <c r="K123" s="77"/>
      <c r="L123" s="77"/>
      <c r="M123" s="38">
        <f t="shared" si="4"/>
        <v>0</v>
      </c>
      <c r="N123" s="100"/>
      <c r="O123" s="81"/>
      <c r="P123" s="81"/>
      <c r="Q123" s="12">
        <f t="shared" si="3"/>
        <v>0</v>
      </c>
    </row>
    <row r="124" spans="1:17" s="13" customFormat="1" ht="15.75" x14ac:dyDescent="0.25">
      <c r="A124" s="10"/>
      <c r="B124" s="24" t="s">
        <v>77</v>
      </c>
      <c r="C124" s="1" t="s">
        <v>17</v>
      </c>
      <c r="D124" s="2"/>
      <c r="E124" s="3" t="s">
        <v>32</v>
      </c>
      <c r="F124" s="16" t="s">
        <v>255</v>
      </c>
      <c r="G124" s="11" t="s">
        <v>117</v>
      </c>
      <c r="H124" s="1"/>
      <c r="I124" s="49"/>
      <c r="J124" s="46"/>
      <c r="K124" s="40"/>
      <c r="L124" s="40"/>
      <c r="M124" s="78">
        <f t="shared" si="4"/>
        <v>0</v>
      </c>
      <c r="N124" s="41"/>
      <c r="O124" s="31"/>
      <c r="P124" s="31"/>
      <c r="Q124" s="79">
        <f t="shared" si="3"/>
        <v>0</v>
      </c>
    </row>
    <row r="125" spans="1:17" s="13" customFormat="1" ht="15.75" x14ac:dyDescent="0.25">
      <c r="A125" s="10">
        <v>52</v>
      </c>
      <c r="B125" s="62" t="s">
        <v>79</v>
      </c>
      <c r="C125" s="1" t="s">
        <v>17</v>
      </c>
      <c r="D125" s="2"/>
      <c r="E125" s="3" t="s">
        <v>18</v>
      </c>
      <c r="F125" s="73" t="s">
        <v>206</v>
      </c>
      <c r="G125" s="74" t="s">
        <v>112</v>
      </c>
      <c r="H125" s="75"/>
      <c r="I125" s="76"/>
      <c r="J125" s="96"/>
      <c r="K125" s="77"/>
      <c r="L125" s="77"/>
      <c r="M125" s="38">
        <f t="shared" si="4"/>
        <v>0</v>
      </c>
      <c r="N125" s="100"/>
      <c r="O125" s="81"/>
      <c r="P125" s="81"/>
      <c r="Q125" s="12">
        <f t="shared" si="3"/>
        <v>0</v>
      </c>
    </row>
    <row r="126" spans="1:17" s="13" customFormat="1" ht="15.75" x14ac:dyDescent="0.25">
      <c r="A126" s="10"/>
      <c r="B126" s="22" t="s">
        <v>79</v>
      </c>
      <c r="C126" s="1" t="s">
        <v>17</v>
      </c>
      <c r="D126" s="2"/>
      <c r="E126" s="3" t="s">
        <v>18</v>
      </c>
      <c r="F126" s="2" t="s">
        <v>245</v>
      </c>
      <c r="G126" s="11" t="s">
        <v>113</v>
      </c>
      <c r="H126" s="1"/>
      <c r="I126" s="49"/>
      <c r="J126" s="46"/>
      <c r="K126" s="31"/>
      <c r="L126" s="31"/>
      <c r="M126" s="78">
        <f t="shared" si="4"/>
        <v>0</v>
      </c>
      <c r="N126" s="41"/>
      <c r="O126" s="31"/>
      <c r="P126" s="31"/>
      <c r="Q126" s="79">
        <f t="shared" si="3"/>
        <v>0</v>
      </c>
    </row>
    <row r="127" spans="1:17" s="13" customFormat="1" ht="15.75" x14ac:dyDescent="0.25">
      <c r="A127" s="10"/>
      <c r="B127" s="62" t="s">
        <v>151</v>
      </c>
      <c r="C127" s="1" t="s">
        <v>17</v>
      </c>
      <c r="D127" s="2"/>
      <c r="E127" s="3" t="s">
        <v>32</v>
      </c>
      <c r="F127" s="73" t="s">
        <v>207</v>
      </c>
      <c r="G127" s="74" t="s">
        <v>112</v>
      </c>
      <c r="H127" s="75"/>
      <c r="I127" s="82"/>
      <c r="J127" s="96"/>
      <c r="K127" s="81"/>
      <c r="L127" s="81"/>
      <c r="M127" s="38">
        <f t="shared" si="4"/>
        <v>0</v>
      </c>
      <c r="N127" s="100"/>
      <c r="O127" s="81"/>
      <c r="P127" s="81"/>
      <c r="Q127" s="12">
        <f t="shared" si="3"/>
        <v>0</v>
      </c>
    </row>
    <row r="128" spans="1:17" s="13" customFormat="1" ht="15.75" x14ac:dyDescent="0.25">
      <c r="A128" s="10"/>
      <c r="B128" s="22" t="s">
        <v>151</v>
      </c>
      <c r="C128" s="1" t="s">
        <v>17</v>
      </c>
      <c r="D128" s="2"/>
      <c r="E128" s="3" t="s">
        <v>32</v>
      </c>
      <c r="F128" s="2" t="s">
        <v>259</v>
      </c>
      <c r="G128" s="11" t="s">
        <v>117</v>
      </c>
      <c r="H128" s="1"/>
      <c r="I128" s="49"/>
      <c r="J128" s="46"/>
      <c r="K128" s="40"/>
      <c r="L128" s="40"/>
      <c r="M128" s="78">
        <f t="shared" si="4"/>
        <v>0</v>
      </c>
      <c r="N128" s="41"/>
      <c r="O128" s="31"/>
      <c r="P128" s="31"/>
      <c r="Q128" s="79">
        <f t="shared" si="3"/>
        <v>0</v>
      </c>
    </row>
    <row r="129" spans="1:17" s="13" customFormat="1" ht="15.75" x14ac:dyDescent="0.25">
      <c r="A129" s="10">
        <v>53</v>
      </c>
      <c r="B129" s="62" t="s">
        <v>80</v>
      </c>
      <c r="C129" s="1" t="s">
        <v>17</v>
      </c>
      <c r="D129" s="2"/>
      <c r="E129" s="3" t="s">
        <v>81</v>
      </c>
      <c r="F129" s="73" t="s">
        <v>208</v>
      </c>
      <c r="G129" s="74" t="s">
        <v>112</v>
      </c>
      <c r="H129" s="75"/>
      <c r="I129" s="76"/>
      <c r="J129" s="96"/>
      <c r="K129" s="77"/>
      <c r="L129" s="77"/>
      <c r="M129" s="38">
        <f t="shared" si="4"/>
        <v>0</v>
      </c>
      <c r="N129" s="100"/>
      <c r="O129" s="81"/>
      <c r="P129" s="81"/>
      <c r="Q129" s="12">
        <f t="shared" si="3"/>
        <v>0</v>
      </c>
    </row>
    <row r="130" spans="1:17" s="13" customFormat="1" ht="15.75" x14ac:dyDescent="0.25">
      <c r="A130" s="10"/>
      <c r="B130" s="22" t="s">
        <v>80</v>
      </c>
      <c r="C130" s="1" t="s">
        <v>17</v>
      </c>
      <c r="D130" s="2"/>
      <c r="E130" s="3" t="s">
        <v>81</v>
      </c>
      <c r="F130" s="2" t="s">
        <v>285</v>
      </c>
      <c r="G130" s="11" t="s">
        <v>114</v>
      </c>
      <c r="H130" s="1"/>
      <c r="I130" s="49"/>
      <c r="J130" s="51"/>
      <c r="K130" s="40"/>
      <c r="L130" s="40"/>
      <c r="M130" s="78">
        <f t="shared" si="4"/>
        <v>0</v>
      </c>
      <c r="N130" s="41"/>
      <c r="O130" s="31"/>
      <c r="P130" s="31"/>
      <c r="Q130" s="79">
        <f t="shared" si="3"/>
        <v>0</v>
      </c>
    </row>
    <row r="131" spans="1:17" s="13" customFormat="1" ht="15.75" x14ac:dyDescent="0.25">
      <c r="A131" s="10">
        <v>54</v>
      </c>
      <c r="B131" s="30" t="s">
        <v>82</v>
      </c>
      <c r="C131" s="1" t="s">
        <v>17</v>
      </c>
      <c r="D131" s="2"/>
      <c r="E131" s="3" t="s">
        <v>20</v>
      </c>
      <c r="F131" s="73" t="s">
        <v>209</v>
      </c>
      <c r="G131" s="74" t="s">
        <v>112</v>
      </c>
      <c r="H131" s="75"/>
      <c r="I131" s="76"/>
      <c r="J131" s="96"/>
      <c r="K131" s="77"/>
      <c r="L131" s="77"/>
      <c r="M131" s="38">
        <f t="shared" si="4"/>
        <v>0</v>
      </c>
      <c r="N131" s="100"/>
      <c r="O131" s="81"/>
      <c r="P131" s="81"/>
      <c r="Q131" s="12">
        <f t="shared" si="3"/>
        <v>0</v>
      </c>
    </row>
    <row r="132" spans="1:17" s="13" customFormat="1" ht="15.75" x14ac:dyDescent="0.25">
      <c r="A132" s="10"/>
      <c r="B132" s="24" t="s">
        <v>82</v>
      </c>
      <c r="C132" s="1" t="s">
        <v>17</v>
      </c>
      <c r="D132" s="2"/>
      <c r="E132" s="3" t="s">
        <v>20</v>
      </c>
      <c r="F132" s="2" t="s">
        <v>124</v>
      </c>
      <c r="G132" s="11" t="s">
        <v>114</v>
      </c>
      <c r="H132" s="1"/>
      <c r="I132" s="49"/>
      <c r="J132" s="51"/>
      <c r="K132" s="40"/>
      <c r="L132" s="40"/>
      <c r="M132" s="78">
        <f t="shared" si="4"/>
        <v>0</v>
      </c>
      <c r="N132" s="41"/>
      <c r="O132" s="31"/>
      <c r="P132" s="31"/>
      <c r="Q132" s="79">
        <f t="shared" si="3"/>
        <v>0</v>
      </c>
    </row>
    <row r="133" spans="1:17" s="13" customFormat="1" ht="15.75" x14ac:dyDescent="0.25">
      <c r="A133" s="10"/>
      <c r="B133" s="24" t="s">
        <v>309</v>
      </c>
      <c r="C133" s="1"/>
      <c r="D133" s="2"/>
      <c r="E133" s="3" t="s">
        <v>20</v>
      </c>
      <c r="F133" s="2"/>
      <c r="G133" s="11" t="s">
        <v>112</v>
      </c>
      <c r="H133" s="1"/>
      <c r="I133" s="58"/>
      <c r="J133" s="51"/>
      <c r="K133" s="40"/>
      <c r="L133" s="40"/>
      <c r="M133" s="38">
        <f t="shared" si="4"/>
        <v>0</v>
      </c>
      <c r="N133" s="41"/>
      <c r="O133" s="31"/>
      <c r="P133" s="31"/>
      <c r="Q133" s="79"/>
    </row>
    <row r="134" spans="1:17" s="13" customFormat="1" ht="15.75" x14ac:dyDescent="0.25">
      <c r="A134" s="10"/>
      <c r="B134" s="30" t="s">
        <v>152</v>
      </c>
      <c r="C134" s="1" t="s">
        <v>17</v>
      </c>
      <c r="D134" s="2"/>
      <c r="E134" s="3" t="s">
        <v>35</v>
      </c>
      <c r="F134" s="73" t="s">
        <v>210</v>
      </c>
      <c r="G134" s="74" t="s">
        <v>112</v>
      </c>
      <c r="H134" s="75"/>
      <c r="I134" s="76"/>
      <c r="J134" s="96"/>
      <c r="K134" s="77"/>
      <c r="L134" s="77"/>
      <c r="M134" s="38">
        <f t="shared" si="4"/>
        <v>0</v>
      </c>
      <c r="N134" s="100"/>
      <c r="O134" s="81"/>
      <c r="P134" s="81"/>
      <c r="Q134" s="12">
        <f t="shared" si="3"/>
        <v>0</v>
      </c>
    </row>
    <row r="135" spans="1:17" s="13" customFormat="1" ht="15.75" x14ac:dyDescent="0.25">
      <c r="A135" s="10"/>
      <c r="B135" s="24" t="s">
        <v>152</v>
      </c>
      <c r="C135" s="1" t="s">
        <v>17</v>
      </c>
      <c r="D135" s="2"/>
      <c r="E135" s="3" t="s">
        <v>32</v>
      </c>
      <c r="F135" s="2"/>
      <c r="G135" s="11" t="s">
        <v>117</v>
      </c>
      <c r="H135" s="1"/>
      <c r="I135" s="49"/>
      <c r="J135" s="46"/>
      <c r="K135" s="40"/>
      <c r="L135" s="40"/>
      <c r="M135" s="78">
        <f t="shared" si="4"/>
        <v>0</v>
      </c>
      <c r="N135" s="41"/>
      <c r="O135" s="31"/>
      <c r="P135" s="31"/>
      <c r="Q135" s="79">
        <f t="shared" si="3"/>
        <v>0</v>
      </c>
    </row>
    <row r="136" spans="1:17" s="13" customFormat="1" ht="15.75" x14ac:dyDescent="0.25">
      <c r="A136" s="10">
        <v>55</v>
      </c>
      <c r="B136" s="30" t="s">
        <v>83</v>
      </c>
      <c r="C136" s="1" t="s">
        <v>17</v>
      </c>
      <c r="D136" s="2"/>
      <c r="E136" s="3" t="s">
        <v>20</v>
      </c>
      <c r="F136" s="73" t="s">
        <v>211</v>
      </c>
      <c r="G136" s="74" t="s">
        <v>112</v>
      </c>
      <c r="H136" s="75"/>
      <c r="I136" s="76"/>
      <c r="J136" s="96"/>
      <c r="K136" s="77"/>
      <c r="L136" s="77"/>
      <c r="M136" s="38">
        <f t="shared" si="4"/>
        <v>0</v>
      </c>
      <c r="N136" s="100"/>
      <c r="O136" s="81"/>
      <c r="P136" s="81"/>
      <c r="Q136" s="12">
        <f t="shared" si="3"/>
        <v>0</v>
      </c>
    </row>
    <row r="137" spans="1:17" s="13" customFormat="1" ht="15.75" x14ac:dyDescent="0.25">
      <c r="A137" s="10"/>
      <c r="B137" s="24" t="s">
        <v>83</v>
      </c>
      <c r="C137" s="1" t="s">
        <v>17</v>
      </c>
      <c r="D137" s="2"/>
      <c r="E137" s="3" t="s">
        <v>20</v>
      </c>
      <c r="F137" s="2" t="s">
        <v>286</v>
      </c>
      <c r="G137" s="11" t="s">
        <v>114</v>
      </c>
      <c r="H137" s="1"/>
      <c r="I137" s="49"/>
      <c r="J137" s="51"/>
      <c r="K137" s="40"/>
      <c r="L137" s="40"/>
      <c r="M137" s="78">
        <f t="shared" si="4"/>
        <v>0</v>
      </c>
      <c r="N137" s="41"/>
      <c r="O137" s="31"/>
      <c r="P137" s="31"/>
      <c r="Q137" s="79">
        <f t="shared" si="3"/>
        <v>0</v>
      </c>
    </row>
    <row r="138" spans="1:17" s="13" customFormat="1" ht="15.75" x14ac:dyDescent="0.25">
      <c r="A138" s="10"/>
      <c r="B138" s="24" t="s">
        <v>310</v>
      </c>
      <c r="C138" s="1"/>
      <c r="D138" s="2"/>
      <c r="E138" s="3" t="s">
        <v>20</v>
      </c>
      <c r="F138" s="2"/>
      <c r="G138" s="11" t="s">
        <v>114</v>
      </c>
      <c r="H138" s="1"/>
      <c r="I138" s="49"/>
      <c r="J138" s="51"/>
      <c r="K138" s="40"/>
      <c r="L138" s="40"/>
      <c r="M138" s="78"/>
      <c r="N138" s="41"/>
      <c r="O138" s="31"/>
      <c r="P138" s="31"/>
      <c r="Q138" s="79"/>
    </row>
    <row r="139" spans="1:17" s="13" customFormat="1" ht="15.75" x14ac:dyDescent="0.25">
      <c r="A139" s="10"/>
      <c r="B139" s="30" t="s">
        <v>84</v>
      </c>
      <c r="C139" s="1"/>
      <c r="D139" s="2"/>
      <c r="E139" s="3" t="s">
        <v>20</v>
      </c>
      <c r="F139" s="2" t="s">
        <v>287</v>
      </c>
      <c r="G139" s="11" t="s">
        <v>114</v>
      </c>
      <c r="H139" s="1"/>
      <c r="I139" s="49"/>
      <c r="J139" s="51"/>
      <c r="K139" s="40"/>
      <c r="L139" s="40"/>
      <c r="M139" s="38">
        <f t="shared" si="4"/>
        <v>0</v>
      </c>
      <c r="N139" s="41"/>
      <c r="O139" s="31"/>
      <c r="P139" s="31"/>
      <c r="Q139" s="12">
        <f t="shared" si="3"/>
        <v>0</v>
      </c>
    </row>
    <row r="140" spans="1:17" s="13" customFormat="1" ht="36" x14ac:dyDescent="0.25">
      <c r="A140" s="10">
        <v>57</v>
      </c>
      <c r="B140" s="30" t="s">
        <v>85</v>
      </c>
      <c r="C140" s="1" t="s">
        <v>304</v>
      </c>
      <c r="D140" s="18" t="s">
        <v>110</v>
      </c>
      <c r="E140" s="3" t="s">
        <v>20</v>
      </c>
      <c r="F140" s="73" t="s">
        <v>212</v>
      </c>
      <c r="G140" s="74" t="s">
        <v>112</v>
      </c>
      <c r="H140" s="75"/>
      <c r="I140" s="76"/>
      <c r="J140" s="96"/>
      <c r="K140" s="77"/>
      <c r="L140" s="77"/>
      <c r="M140" s="38">
        <f t="shared" si="4"/>
        <v>0</v>
      </c>
      <c r="N140" s="100"/>
      <c r="O140" s="81"/>
      <c r="P140" s="81"/>
      <c r="Q140" s="79">
        <f t="shared" si="3"/>
        <v>0</v>
      </c>
    </row>
    <row r="141" spans="1:17" s="13" customFormat="1" ht="15.75" x14ac:dyDescent="0.25">
      <c r="A141" s="10">
        <v>69</v>
      </c>
      <c r="B141" s="27" t="s">
        <v>86</v>
      </c>
      <c r="C141" s="1" t="s">
        <v>17</v>
      </c>
      <c r="D141" s="2"/>
      <c r="E141" s="17" t="s">
        <v>20</v>
      </c>
      <c r="F141" s="73" t="s">
        <v>213</v>
      </c>
      <c r="G141" s="74" t="s">
        <v>112</v>
      </c>
      <c r="H141" s="75"/>
      <c r="I141" s="76"/>
      <c r="J141" s="96"/>
      <c r="K141" s="77"/>
      <c r="L141" s="77"/>
      <c r="M141" s="38">
        <f t="shared" si="4"/>
        <v>0</v>
      </c>
      <c r="N141" s="100"/>
      <c r="O141" s="81"/>
      <c r="P141" s="81"/>
      <c r="Q141" s="12">
        <f t="shared" si="3"/>
        <v>0</v>
      </c>
    </row>
    <row r="142" spans="1:17" s="13" customFormat="1" ht="15.75" x14ac:dyDescent="0.25">
      <c r="A142" s="10"/>
      <c r="B142" s="25" t="s">
        <v>86</v>
      </c>
      <c r="C142" s="1" t="s">
        <v>17</v>
      </c>
      <c r="D142" s="2"/>
      <c r="E142" s="17" t="s">
        <v>20</v>
      </c>
      <c r="F142" s="2" t="s">
        <v>288</v>
      </c>
      <c r="G142" s="11" t="s">
        <v>114</v>
      </c>
      <c r="H142" s="1"/>
      <c r="I142" s="49"/>
      <c r="J142" s="51"/>
      <c r="K142" s="40"/>
      <c r="L142" s="40"/>
      <c r="M142" s="78">
        <f t="shared" si="4"/>
        <v>0</v>
      </c>
      <c r="N142" s="41"/>
      <c r="O142" s="31"/>
      <c r="P142" s="31"/>
      <c r="Q142" s="79">
        <f t="shared" si="3"/>
        <v>0</v>
      </c>
    </row>
    <row r="143" spans="1:17" s="13" customFormat="1" ht="15.75" x14ac:dyDescent="0.25">
      <c r="A143" s="10">
        <v>70</v>
      </c>
      <c r="B143" s="62" t="s">
        <v>87</v>
      </c>
      <c r="C143" s="1" t="s">
        <v>17</v>
      </c>
      <c r="D143" s="2"/>
      <c r="E143" s="17" t="s">
        <v>78</v>
      </c>
      <c r="F143" s="73" t="s">
        <v>142</v>
      </c>
      <c r="G143" s="74" t="s">
        <v>112</v>
      </c>
      <c r="H143" s="75"/>
      <c r="I143" s="76"/>
      <c r="J143" s="96"/>
      <c r="K143" s="77"/>
      <c r="L143" s="77"/>
      <c r="M143" s="38">
        <f t="shared" si="4"/>
        <v>0</v>
      </c>
      <c r="N143" s="100"/>
      <c r="O143" s="81"/>
      <c r="P143" s="81"/>
      <c r="Q143" s="12">
        <f t="shared" ref="Q143:Q183" si="5">O143-P143</f>
        <v>0</v>
      </c>
    </row>
    <row r="144" spans="1:17" s="13" customFormat="1" ht="15.75" x14ac:dyDescent="0.25">
      <c r="A144" s="10"/>
      <c r="B144" s="62" t="s">
        <v>312</v>
      </c>
      <c r="C144" s="1"/>
      <c r="D144" s="2"/>
      <c r="E144" s="17"/>
      <c r="F144" s="73"/>
      <c r="G144" s="74" t="s">
        <v>112</v>
      </c>
      <c r="H144" s="75">
        <v>2</v>
      </c>
      <c r="I144" s="76"/>
      <c r="J144" s="96"/>
      <c r="K144" s="77"/>
      <c r="L144" s="77"/>
      <c r="M144" s="38"/>
      <c r="N144" s="100"/>
      <c r="O144" s="81"/>
      <c r="P144" s="81"/>
      <c r="Q144" s="12"/>
    </row>
    <row r="145" spans="1:17" s="13" customFormat="1" ht="15.75" x14ac:dyDescent="0.25">
      <c r="A145" s="10">
        <v>71</v>
      </c>
      <c r="B145" s="30" t="s">
        <v>88</v>
      </c>
      <c r="C145" s="1" t="s">
        <v>17</v>
      </c>
      <c r="D145" s="2"/>
      <c r="E145" s="3" t="s">
        <v>89</v>
      </c>
      <c r="F145" s="73" t="s">
        <v>214</v>
      </c>
      <c r="G145" s="74" t="s">
        <v>112</v>
      </c>
      <c r="H145" s="75"/>
      <c r="I145" s="76"/>
      <c r="J145" s="96"/>
      <c r="K145" s="77"/>
      <c r="L145" s="77"/>
      <c r="M145" s="38">
        <f t="shared" si="4"/>
        <v>0</v>
      </c>
      <c r="N145" s="100"/>
      <c r="O145" s="81"/>
      <c r="P145" s="81"/>
      <c r="Q145" s="79">
        <f t="shared" si="5"/>
        <v>0</v>
      </c>
    </row>
    <row r="146" spans="1:17" s="13" customFormat="1" ht="15.75" x14ac:dyDescent="0.25">
      <c r="A146" s="10">
        <v>4907</v>
      </c>
      <c r="B146" s="24" t="s">
        <v>88</v>
      </c>
      <c r="C146" s="1" t="s">
        <v>17</v>
      </c>
      <c r="D146" s="2"/>
      <c r="E146" s="3" t="s">
        <v>89</v>
      </c>
      <c r="F146" s="2" t="s">
        <v>238</v>
      </c>
      <c r="G146" s="11" t="s">
        <v>118</v>
      </c>
      <c r="H146" s="1"/>
      <c r="I146" s="49"/>
      <c r="J146" s="46"/>
      <c r="K146" s="40"/>
      <c r="L146" s="40"/>
      <c r="M146" s="38">
        <f t="shared" si="4"/>
        <v>0</v>
      </c>
      <c r="N146" s="41"/>
      <c r="O146" s="31"/>
      <c r="P146" s="31"/>
      <c r="Q146" s="12">
        <f t="shared" si="5"/>
        <v>0</v>
      </c>
    </row>
    <row r="147" spans="1:17" s="13" customFormat="1" ht="15.75" x14ac:dyDescent="0.25">
      <c r="A147" s="10">
        <v>72</v>
      </c>
      <c r="B147" s="30" t="s">
        <v>90</v>
      </c>
      <c r="C147" s="1" t="s">
        <v>17</v>
      </c>
      <c r="D147" s="2"/>
      <c r="E147" s="17" t="s">
        <v>20</v>
      </c>
      <c r="F147" s="73" t="s">
        <v>215</v>
      </c>
      <c r="G147" s="74" t="s">
        <v>112</v>
      </c>
      <c r="H147" s="75"/>
      <c r="I147" s="76"/>
      <c r="J147" s="96"/>
      <c r="K147" s="77"/>
      <c r="L147" s="77"/>
      <c r="M147" s="38">
        <f t="shared" si="4"/>
        <v>0</v>
      </c>
      <c r="N147" s="100"/>
      <c r="O147" s="81"/>
      <c r="P147" s="81"/>
      <c r="Q147" s="79">
        <f t="shared" si="5"/>
        <v>0</v>
      </c>
    </row>
    <row r="148" spans="1:17" s="13" customFormat="1" ht="15.75" x14ac:dyDescent="0.25">
      <c r="A148" s="10"/>
      <c r="B148" s="24" t="s">
        <v>90</v>
      </c>
      <c r="C148" s="1" t="s">
        <v>17</v>
      </c>
      <c r="D148" s="2"/>
      <c r="E148" s="17" t="s">
        <v>20</v>
      </c>
      <c r="F148" s="2" t="s">
        <v>289</v>
      </c>
      <c r="G148" s="11" t="s">
        <v>114</v>
      </c>
      <c r="H148" s="1"/>
      <c r="I148" s="49"/>
      <c r="J148" s="51"/>
      <c r="K148" s="40"/>
      <c r="L148" s="40"/>
      <c r="M148" s="78">
        <f t="shared" si="4"/>
        <v>0</v>
      </c>
      <c r="N148" s="41"/>
      <c r="O148" s="31"/>
      <c r="P148" s="31"/>
      <c r="Q148" s="12">
        <f t="shared" si="5"/>
        <v>0</v>
      </c>
    </row>
    <row r="149" spans="1:17" s="13" customFormat="1" ht="15.75" x14ac:dyDescent="0.25">
      <c r="A149" s="10">
        <v>75</v>
      </c>
      <c r="B149" s="30" t="s">
        <v>91</v>
      </c>
      <c r="C149" s="1" t="s">
        <v>17</v>
      </c>
      <c r="D149" s="2"/>
      <c r="E149" s="17" t="s">
        <v>20</v>
      </c>
      <c r="F149" s="73" t="s">
        <v>216</v>
      </c>
      <c r="G149" s="74" t="s">
        <v>112</v>
      </c>
      <c r="H149" s="75"/>
      <c r="I149" s="76"/>
      <c r="J149" s="96"/>
      <c r="K149" s="77"/>
      <c r="L149" s="77"/>
      <c r="M149" s="38">
        <f t="shared" si="4"/>
        <v>0</v>
      </c>
      <c r="N149" s="100"/>
      <c r="O149" s="81"/>
      <c r="P149" s="81"/>
      <c r="Q149" s="79">
        <f t="shared" si="5"/>
        <v>0</v>
      </c>
    </row>
    <row r="150" spans="1:17" s="13" customFormat="1" ht="15.75" x14ac:dyDescent="0.25">
      <c r="A150" s="10">
        <v>93</v>
      </c>
      <c r="B150" s="22" t="s">
        <v>138</v>
      </c>
      <c r="C150" s="1" t="s">
        <v>17</v>
      </c>
      <c r="D150" s="2"/>
      <c r="E150" s="17" t="s">
        <v>20</v>
      </c>
      <c r="F150" s="2" t="s">
        <v>290</v>
      </c>
      <c r="G150" s="11" t="s">
        <v>114</v>
      </c>
      <c r="H150" s="1"/>
      <c r="I150" s="49"/>
      <c r="J150" s="51"/>
      <c r="K150" s="37"/>
      <c r="L150" s="37"/>
      <c r="M150" s="78">
        <f t="shared" si="4"/>
        <v>0</v>
      </c>
      <c r="N150" s="39"/>
      <c r="O150" s="31"/>
      <c r="P150" s="31"/>
      <c r="Q150" s="12">
        <f t="shared" si="5"/>
        <v>0</v>
      </c>
    </row>
    <row r="151" spans="1:17" s="13" customFormat="1" ht="15.75" x14ac:dyDescent="0.25">
      <c r="A151" s="10"/>
      <c r="B151" s="62" t="s">
        <v>138</v>
      </c>
      <c r="C151" s="1" t="s">
        <v>17</v>
      </c>
      <c r="D151" s="2"/>
      <c r="E151" s="17" t="s">
        <v>20</v>
      </c>
      <c r="F151" s="73" t="s">
        <v>217</v>
      </c>
      <c r="G151" s="74" t="s">
        <v>112</v>
      </c>
      <c r="H151" s="75"/>
      <c r="I151" s="82"/>
      <c r="J151" s="96"/>
      <c r="K151" s="77"/>
      <c r="L151" s="77"/>
      <c r="M151" s="38">
        <f t="shared" si="4"/>
        <v>0</v>
      </c>
      <c r="N151" s="100"/>
      <c r="O151" s="81"/>
      <c r="P151" s="81"/>
      <c r="Q151" s="79">
        <f t="shared" si="5"/>
        <v>0</v>
      </c>
    </row>
    <row r="152" spans="1:17" s="13" customFormat="1" ht="15.75" x14ac:dyDescent="0.25">
      <c r="A152" s="10"/>
      <c r="B152" s="62" t="s">
        <v>157</v>
      </c>
      <c r="C152" s="1" t="s">
        <v>17</v>
      </c>
      <c r="D152" s="2"/>
      <c r="E152" s="17" t="s">
        <v>20</v>
      </c>
      <c r="F152" s="73" t="s">
        <v>218</v>
      </c>
      <c r="G152" s="74" t="s">
        <v>112</v>
      </c>
      <c r="H152" s="75">
        <v>1</v>
      </c>
      <c r="I152" s="82"/>
      <c r="J152" s="96"/>
      <c r="K152" s="77"/>
      <c r="L152" s="77"/>
      <c r="M152" s="38">
        <f t="shared" ref="M152:M182" si="6">K152-L152</f>
        <v>0</v>
      </c>
      <c r="N152" s="100"/>
      <c r="O152" s="81"/>
      <c r="P152" s="81"/>
      <c r="Q152" s="12">
        <f t="shared" si="5"/>
        <v>0</v>
      </c>
    </row>
    <row r="153" spans="1:17" s="13" customFormat="1" ht="15.75" x14ac:dyDescent="0.25">
      <c r="A153" s="10"/>
      <c r="B153" s="22" t="s">
        <v>157</v>
      </c>
      <c r="C153" s="1" t="s">
        <v>17</v>
      </c>
      <c r="D153" s="2"/>
      <c r="E153" s="17" t="s">
        <v>20</v>
      </c>
      <c r="F153" s="2"/>
      <c r="G153" s="11" t="s">
        <v>114</v>
      </c>
      <c r="H153" s="1"/>
      <c r="I153" s="49"/>
      <c r="J153" s="51"/>
      <c r="K153" s="37"/>
      <c r="L153" s="37"/>
      <c r="M153" s="38">
        <f t="shared" si="6"/>
        <v>0</v>
      </c>
      <c r="N153" s="39"/>
      <c r="O153" s="31"/>
      <c r="P153" s="31"/>
      <c r="Q153" s="79">
        <f t="shared" si="5"/>
        <v>0</v>
      </c>
    </row>
    <row r="154" spans="1:17" s="15" customFormat="1" ht="15.75" x14ac:dyDescent="0.25">
      <c r="A154" s="14">
        <v>76</v>
      </c>
      <c r="B154" s="80" t="s">
        <v>92</v>
      </c>
      <c r="C154" s="1" t="s">
        <v>17</v>
      </c>
      <c r="D154" s="2"/>
      <c r="E154" s="17" t="s">
        <v>20</v>
      </c>
      <c r="F154" s="73" t="s">
        <v>219</v>
      </c>
      <c r="G154" s="74" t="s">
        <v>112</v>
      </c>
      <c r="H154" s="75"/>
      <c r="I154" s="76"/>
      <c r="J154" s="96"/>
      <c r="K154" s="77"/>
      <c r="L154" s="77"/>
      <c r="M154" s="38">
        <f t="shared" si="6"/>
        <v>0</v>
      </c>
      <c r="N154" s="100"/>
      <c r="O154" s="81"/>
      <c r="P154" s="81"/>
      <c r="Q154" s="12">
        <f t="shared" si="5"/>
        <v>0</v>
      </c>
    </row>
    <row r="155" spans="1:17" s="15" customFormat="1" ht="15.75" x14ac:dyDescent="0.25">
      <c r="A155" s="14"/>
      <c r="B155" s="23" t="s">
        <v>92</v>
      </c>
      <c r="C155" s="1" t="s">
        <v>17</v>
      </c>
      <c r="D155" s="2"/>
      <c r="E155" s="17" t="s">
        <v>20</v>
      </c>
      <c r="F155" s="2" t="s">
        <v>129</v>
      </c>
      <c r="G155" s="11" t="s">
        <v>114</v>
      </c>
      <c r="H155" s="1"/>
      <c r="I155" s="49"/>
      <c r="J155" s="51"/>
      <c r="K155" s="40"/>
      <c r="L155" s="40"/>
      <c r="M155" s="38">
        <f t="shared" si="6"/>
        <v>0</v>
      </c>
      <c r="N155" s="39"/>
      <c r="O155" s="31"/>
      <c r="P155" s="31"/>
      <c r="Q155" s="79">
        <f t="shared" si="5"/>
        <v>0</v>
      </c>
    </row>
    <row r="156" spans="1:17" s="13" customFormat="1" ht="15.75" x14ac:dyDescent="0.25">
      <c r="A156" s="10">
        <v>77</v>
      </c>
      <c r="B156" s="30" t="s">
        <v>93</v>
      </c>
      <c r="C156" s="1" t="s">
        <v>17</v>
      </c>
      <c r="D156" s="2"/>
      <c r="E156" s="3" t="s">
        <v>94</v>
      </c>
      <c r="F156" s="73" t="s">
        <v>220</v>
      </c>
      <c r="G156" s="74" t="s">
        <v>112</v>
      </c>
      <c r="H156" s="75">
        <v>3</v>
      </c>
      <c r="I156" s="76"/>
      <c r="J156" s="96"/>
      <c r="K156" s="77"/>
      <c r="L156" s="77"/>
      <c r="M156" s="38">
        <f t="shared" si="6"/>
        <v>0</v>
      </c>
      <c r="N156" s="100"/>
      <c r="O156" s="81"/>
      <c r="P156" s="81"/>
      <c r="Q156" s="12">
        <f t="shared" si="5"/>
        <v>0</v>
      </c>
    </row>
    <row r="157" spans="1:17" s="13" customFormat="1" ht="15.75" x14ac:dyDescent="0.25">
      <c r="A157" s="10"/>
      <c r="B157" s="24" t="s">
        <v>93</v>
      </c>
      <c r="C157" s="1" t="s">
        <v>17</v>
      </c>
      <c r="D157" s="2"/>
      <c r="E157" s="3" t="s">
        <v>94</v>
      </c>
      <c r="F157" s="2" t="s">
        <v>130</v>
      </c>
      <c r="G157" s="11" t="s">
        <v>114</v>
      </c>
      <c r="H157" s="1"/>
      <c r="I157" s="49"/>
      <c r="J157" s="51"/>
      <c r="K157" s="40"/>
      <c r="L157" s="77"/>
      <c r="M157" s="38">
        <f t="shared" si="6"/>
        <v>0</v>
      </c>
      <c r="N157" s="41"/>
      <c r="O157" s="31"/>
      <c r="P157" s="31"/>
      <c r="Q157" s="79">
        <f t="shared" si="5"/>
        <v>0</v>
      </c>
    </row>
    <row r="158" spans="1:17" s="13" customFormat="1" ht="15.75" x14ac:dyDescent="0.25">
      <c r="A158" s="10"/>
      <c r="B158" s="24" t="s">
        <v>93</v>
      </c>
      <c r="C158" s="1" t="s">
        <v>17</v>
      </c>
      <c r="D158" s="2"/>
      <c r="E158" s="3" t="s">
        <v>94</v>
      </c>
      <c r="F158" s="2" t="s">
        <v>240</v>
      </c>
      <c r="G158" s="11" t="s">
        <v>118</v>
      </c>
      <c r="H158" s="1"/>
      <c r="I158" s="49"/>
      <c r="J158" s="46"/>
      <c r="K158" s="40"/>
      <c r="L158" s="40"/>
      <c r="M158" s="78">
        <f t="shared" si="6"/>
        <v>0</v>
      </c>
      <c r="N158" s="41"/>
      <c r="O158" s="31"/>
      <c r="P158" s="31"/>
      <c r="Q158" s="12">
        <f t="shared" si="5"/>
        <v>0</v>
      </c>
    </row>
    <row r="159" spans="1:17" s="13" customFormat="1" ht="15.75" x14ac:dyDescent="0.25">
      <c r="A159" s="10">
        <v>78</v>
      </c>
      <c r="B159" s="30" t="s">
        <v>95</v>
      </c>
      <c r="C159" s="1" t="s">
        <v>17</v>
      </c>
      <c r="D159" s="2"/>
      <c r="E159" s="17" t="s">
        <v>20</v>
      </c>
      <c r="F159" s="73" t="s">
        <v>221</v>
      </c>
      <c r="G159" s="74" t="s">
        <v>112</v>
      </c>
      <c r="H159" s="75"/>
      <c r="I159" s="76"/>
      <c r="J159" s="96"/>
      <c r="K159" s="77"/>
      <c r="L159" s="77"/>
      <c r="M159" s="38">
        <f t="shared" si="6"/>
        <v>0</v>
      </c>
      <c r="N159" s="100"/>
      <c r="O159" s="81"/>
      <c r="P159" s="81"/>
      <c r="Q159" s="79">
        <f t="shared" si="5"/>
        <v>0</v>
      </c>
    </row>
    <row r="160" spans="1:17" s="13" customFormat="1" ht="15.75" x14ac:dyDescent="0.25">
      <c r="A160" s="10"/>
      <c r="B160" s="24" t="s">
        <v>95</v>
      </c>
      <c r="C160" s="1" t="s">
        <v>17</v>
      </c>
      <c r="D160" s="2"/>
      <c r="E160" s="17" t="s">
        <v>20</v>
      </c>
      <c r="F160" s="2" t="s">
        <v>291</v>
      </c>
      <c r="G160" s="11" t="s">
        <v>114</v>
      </c>
      <c r="H160" s="1"/>
      <c r="I160" s="49"/>
      <c r="J160" s="51"/>
      <c r="K160" s="40"/>
      <c r="L160" s="40"/>
      <c r="M160" s="78">
        <f t="shared" si="6"/>
        <v>0</v>
      </c>
      <c r="N160" s="41"/>
      <c r="O160" s="31"/>
      <c r="P160" s="31"/>
      <c r="Q160" s="12">
        <f t="shared" si="5"/>
        <v>0</v>
      </c>
    </row>
    <row r="161" spans="1:17" s="13" customFormat="1" ht="15.75" x14ac:dyDescent="0.25">
      <c r="A161" s="10">
        <v>79</v>
      </c>
      <c r="B161" s="30" t="s">
        <v>96</v>
      </c>
      <c r="C161" s="1" t="s">
        <v>17</v>
      </c>
      <c r="D161" s="2"/>
      <c r="E161" s="17" t="s">
        <v>97</v>
      </c>
      <c r="F161" s="73" t="s">
        <v>222</v>
      </c>
      <c r="G161" s="74" t="s">
        <v>112</v>
      </c>
      <c r="H161" s="75"/>
      <c r="I161" s="76"/>
      <c r="J161" s="96"/>
      <c r="K161" s="77"/>
      <c r="L161" s="77"/>
      <c r="M161" s="38">
        <f t="shared" si="6"/>
        <v>0</v>
      </c>
      <c r="N161" s="103"/>
      <c r="O161" s="77"/>
      <c r="P161" s="77"/>
      <c r="Q161" s="79">
        <f t="shared" si="5"/>
        <v>0</v>
      </c>
    </row>
    <row r="162" spans="1:17" s="13" customFormat="1" ht="15.75" x14ac:dyDescent="0.25">
      <c r="A162" s="10"/>
      <c r="B162" s="24" t="s">
        <v>96</v>
      </c>
      <c r="C162" s="1" t="s">
        <v>17</v>
      </c>
      <c r="D162" s="2"/>
      <c r="E162" s="17" t="s">
        <v>97</v>
      </c>
      <c r="F162" s="2" t="s">
        <v>292</v>
      </c>
      <c r="G162" s="11" t="s">
        <v>114</v>
      </c>
      <c r="H162" s="1"/>
      <c r="I162" s="49"/>
      <c r="J162" s="51"/>
      <c r="K162" s="40"/>
      <c r="L162" s="40"/>
      <c r="M162" s="78">
        <f t="shared" si="6"/>
        <v>0</v>
      </c>
      <c r="N162" s="41"/>
      <c r="O162" s="31"/>
      <c r="P162" s="31"/>
      <c r="Q162" s="12">
        <f t="shared" si="5"/>
        <v>0</v>
      </c>
    </row>
    <row r="163" spans="1:17" s="13" customFormat="1" ht="15.75" x14ac:dyDescent="0.25">
      <c r="A163" s="10">
        <v>80</v>
      </c>
      <c r="B163" s="30" t="s">
        <v>98</v>
      </c>
      <c r="C163" s="1" t="s">
        <v>17</v>
      </c>
      <c r="D163" s="2"/>
      <c r="E163" s="17" t="s">
        <v>35</v>
      </c>
      <c r="F163" s="73" t="s">
        <v>223</v>
      </c>
      <c r="G163" s="74" t="s">
        <v>112</v>
      </c>
      <c r="H163" s="75">
        <v>1</v>
      </c>
      <c r="I163" s="76"/>
      <c r="J163" s="96"/>
      <c r="K163" s="77"/>
      <c r="L163" s="77"/>
      <c r="M163" s="38">
        <f t="shared" si="6"/>
        <v>0</v>
      </c>
      <c r="N163" s="100"/>
      <c r="O163" s="81"/>
      <c r="P163" s="81"/>
      <c r="Q163" s="79">
        <f t="shared" si="5"/>
        <v>0</v>
      </c>
    </row>
    <row r="164" spans="1:17" s="13" customFormat="1" ht="15.75" x14ac:dyDescent="0.25">
      <c r="A164" s="10"/>
      <c r="B164" s="24" t="s">
        <v>98</v>
      </c>
      <c r="C164" s="1" t="s">
        <v>17</v>
      </c>
      <c r="D164" s="2"/>
      <c r="E164" s="17" t="s">
        <v>35</v>
      </c>
      <c r="F164" s="16" t="s">
        <v>256</v>
      </c>
      <c r="G164" s="8" t="s">
        <v>117</v>
      </c>
      <c r="H164" s="1"/>
      <c r="I164" s="49"/>
      <c r="J164" s="46"/>
      <c r="K164" s="40"/>
      <c r="L164" s="40"/>
      <c r="M164" s="78">
        <f t="shared" si="6"/>
        <v>0</v>
      </c>
      <c r="N164" s="41"/>
      <c r="O164" s="40"/>
      <c r="P164" s="40"/>
      <c r="Q164" s="12">
        <f t="shared" si="5"/>
        <v>0</v>
      </c>
    </row>
    <row r="165" spans="1:17" s="15" customFormat="1" ht="15.75" x14ac:dyDescent="0.25">
      <c r="A165" s="14">
        <v>81</v>
      </c>
      <c r="B165" s="84" t="s">
        <v>99</v>
      </c>
      <c r="C165" s="1" t="s">
        <v>17</v>
      </c>
      <c r="D165" s="2"/>
      <c r="E165" s="3" t="s">
        <v>32</v>
      </c>
      <c r="F165" s="73" t="s">
        <v>224</v>
      </c>
      <c r="G165" s="74" t="s">
        <v>112</v>
      </c>
      <c r="H165" s="75"/>
      <c r="I165" s="76"/>
      <c r="J165" s="96"/>
      <c r="K165" s="77"/>
      <c r="L165" s="77"/>
      <c r="M165" s="38">
        <f t="shared" si="6"/>
        <v>0</v>
      </c>
      <c r="N165" s="100"/>
      <c r="O165" s="81"/>
      <c r="P165" s="81"/>
      <c r="Q165" s="79">
        <f t="shared" si="5"/>
        <v>0</v>
      </c>
    </row>
    <row r="166" spans="1:17" s="15" customFormat="1" ht="15.75" x14ac:dyDescent="0.25">
      <c r="A166" s="14"/>
      <c r="B166" s="29" t="s">
        <v>99</v>
      </c>
      <c r="C166" s="1" t="s">
        <v>17</v>
      </c>
      <c r="D166" s="2"/>
      <c r="E166" s="3" t="s">
        <v>32</v>
      </c>
      <c r="F166" s="16" t="s">
        <v>257</v>
      </c>
      <c r="G166" s="8" t="s">
        <v>117</v>
      </c>
      <c r="H166" s="1"/>
      <c r="I166" s="49"/>
      <c r="J166" s="51"/>
      <c r="K166" s="40"/>
      <c r="L166" s="40"/>
      <c r="M166" s="78">
        <f t="shared" si="6"/>
        <v>0</v>
      </c>
      <c r="N166" s="39"/>
      <c r="O166" s="40"/>
      <c r="P166" s="40"/>
      <c r="Q166" s="12">
        <f t="shared" si="5"/>
        <v>0</v>
      </c>
    </row>
    <row r="167" spans="1:17" s="15" customFormat="1" ht="24" x14ac:dyDescent="0.25">
      <c r="A167" s="14"/>
      <c r="B167" s="30" t="s">
        <v>144</v>
      </c>
      <c r="C167" s="1" t="s">
        <v>304</v>
      </c>
      <c r="D167" s="18" t="s">
        <v>313</v>
      </c>
      <c r="E167" s="3"/>
      <c r="F167" s="83" t="s">
        <v>225</v>
      </c>
      <c r="G167" s="66" t="s">
        <v>112</v>
      </c>
      <c r="H167" s="75"/>
      <c r="I167" s="76"/>
      <c r="J167" s="96"/>
      <c r="K167" s="77"/>
      <c r="L167" s="77"/>
      <c r="M167" s="38">
        <f t="shared" si="6"/>
        <v>0</v>
      </c>
      <c r="N167" s="100"/>
      <c r="O167" s="77"/>
      <c r="P167" s="77"/>
      <c r="Q167" s="79">
        <f t="shared" si="5"/>
        <v>0</v>
      </c>
    </row>
    <row r="168" spans="1:17" s="15" customFormat="1" ht="15.75" x14ac:dyDescent="0.25">
      <c r="A168" s="14"/>
      <c r="B168" s="34" t="s">
        <v>144</v>
      </c>
      <c r="C168" s="1" t="s">
        <v>17</v>
      </c>
      <c r="D168" s="2"/>
      <c r="E168" s="3" t="s">
        <v>20</v>
      </c>
      <c r="F168" s="16" t="s">
        <v>293</v>
      </c>
      <c r="G168" s="8" t="s">
        <v>114</v>
      </c>
      <c r="H168" s="1">
        <v>1</v>
      </c>
      <c r="I168" s="49"/>
      <c r="J168" s="51"/>
      <c r="K168" s="40"/>
      <c r="L168" s="40"/>
      <c r="M168" s="78">
        <f t="shared" si="6"/>
        <v>0</v>
      </c>
      <c r="N168" s="42"/>
      <c r="O168" s="31"/>
      <c r="P168" s="31"/>
      <c r="Q168" s="12">
        <f t="shared" si="5"/>
        <v>0</v>
      </c>
    </row>
    <row r="169" spans="1:17" s="21" customFormat="1" ht="36" x14ac:dyDescent="0.25">
      <c r="A169" s="1">
        <v>82</v>
      </c>
      <c r="B169" s="30" t="s">
        <v>100</v>
      </c>
      <c r="C169" s="1" t="s">
        <v>304</v>
      </c>
      <c r="D169" s="18" t="s">
        <v>126</v>
      </c>
      <c r="E169" s="17" t="s">
        <v>20</v>
      </c>
      <c r="F169" s="85" t="s">
        <v>226</v>
      </c>
      <c r="G169" s="27" t="s">
        <v>112</v>
      </c>
      <c r="H169" s="75"/>
      <c r="I169" s="76"/>
      <c r="J169" s="98"/>
      <c r="K169" s="86"/>
      <c r="L169" s="86"/>
      <c r="M169" s="38">
        <f t="shared" si="6"/>
        <v>0</v>
      </c>
      <c r="N169" s="100"/>
      <c r="O169" s="87"/>
      <c r="P169" s="87"/>
      <c r="Q169" s="79">
        <f t="shared" si="5"/>
        <v>0</v>
      </c>
    </row>
    <row r="170" spans="1:17" s="21" customFormat="1" ht="36" x14ac:dyDescent="0.25">
      <c r="A170" s="1"/>
      <c r="B170" s="24" t="s">
        <v>100</v>
      </c>
      <c r="C170" s="18" t="s">
        <v>125</v>
      </c>
      <c r="D170" s="18" t="s">
        <v>126</v>
      </c>
      <c r="E170" s="17" t="s">
        <v>20</v>
      </c>
      <c r="F170" s="17" t="s">
        <v>294</v>
      </c>
      <c r="G170" s="20" t="s">
        <v>114</v>
      </c>
      <c r="H170" s="1"/>
      <c r="I170" s="53"/>
      <c r="J170" s="52"/>
      <c r="K170" s="55"/>
      <c r="L170" s="55"/>
      <c r="M170" s="78">
        <f t="shared" si="6"/>
        <v>0</v>
      </c>
      <c r="N170" s="41"/>
      <c r="O170" s="54"/>
      <c r="P170" s="54"/>
      <c r="Q170" s="12">
        <f t="shared" si="5"/>
        <v>0</v>
      </c>
    </row>
    <row r="171" spans="1:17" s="13" customFormat="1" ht="15.75" x14ac:dyDescent="0.25">
      <c r="A171" s="10">
        <v>83</v>
      </c>
      <c r="B171" s="62" t="s">
        <v>101</v>
      </c>
      <c r="C171" s="1" t="s">
        <v>17</v>
      </c>
      <c r="D171" s="2"/>
      <c r="E171" s="17" t="s">
        <v>20</v>
      </c>
      <c r="F171" s="73" t="s">
        <v>227</v>
      </c>
      <c r="G171" s="74" t="s">
        <v>112</v>
      </c>
      <c r="H171" s="75"/>
      <c r="I171" s="76"/>
      <c r="J171" s="96"/>
      <c r="K171" s="77"/>
      <c r="L171" s="77"/>
      <c r="M171" s="38">
        <f t="shared" si="6"/>
        <v>0</v>
      </c>
      <c r="N171" s="100"/>
      <c r="O171" s="81"/>
      <c r="P171" s="81"/>
      <c r="Q171" s="79">
        <f t="shared" si="5"/>
        <v>0</v>
      </c>
    </row>
    <row r="172" spans="1:17" s="13" customFormat="1" ht="15.75" x14ac:dyDescent="0.25">
      <c r="A172" s="10">
        <v>84</v>
      </c>
      <c r="B172" s="62" t="s">
        <v>146</v>
      </c>
      <c r="C172" s="1" t="s">
        <v>17</v>
      </c>
      <c r="D172" s="2"/>
      <c r="E172" s="17" t="s">
        <v>20</v>
      </c>
      <c r="F172" s="73" t="s">
        <v>228</v>
      </c>
      <c r="G172" s="74" t="s">
        <v>112</v>
      </c>
      <c r="H172" s="75"/>
      <c r="I172" s="76"/>
      <c r="J172" s="96"/>
      <c r="K172" s="77"/>
      <c r="L172" s="77"/>
      <c r="M172" s="38">
        <f t="shared" si="6"/>
        <v>0</v>
      </c>
      <c r="N172" s="100"/>
      <c r="O172" s="81"/>
      <c r="P172" s="81"/>
      <c r="Q172" s="12">
        <f t="shared" si="5"/>
        <v>0</v>
      </c>
    </row>
    <row r="173" spans="1:17" s="13" customFormat="1" ht="15.75" x14ac:dyDescent="0.25">
      <c r="A173" s="10"/>
      <c r="B173" s="22" t="s">
        <v>146</v>
      </c>
      <c r="C173" s="1" t="s">
        <v>17</v>
      </c>
      <c r="D173" s="2"/>
      <c r="E173" s="17"/>
      <c r="F173" s="2" t="s">
        <v>235</v>
      </c>
      <c r="G173" s="11" t="s">
        <v>118</v>
      </c>
      <c r="H173" s="1"/>
      <c r="I173" s="47"/>
      <c r="J173" s="51"/>
      <c r="K173" s="37"/>
      <c r="L173" s="37"/>
      <c r="M173" s="38">
        <f t="shared" si="6"/>
        <v>0</v>
      </c>
      <c r="N173" s="39"/>
      <c r="O173" s="31"/>
      <c r="P173" s="31"/>
      <c r="Q173" s="79">
        <f t="shared" si="5"/>
        <v>0</v>
      </c>
    </row>
    <row r="174" spans="1:17" s="13" customFormat="1" ht="15.75" x14ac:dyDescent="0.25">
      <c r="A174" s="10">
        <v>85</v>
      </c>
      <c r="B174" s="27" t="s">
        <v>102</v>
      </c>
      <c r="C174" s="1" t="s">
        <v>17</v>
      </c>
      <c r="D174" s="2"/>
      <c r="E174" s="17" t="s">
        <v>20</v>
      </c>
      <c r="F174" s="73" t="s">
        <v>229</v>
      </c>
      <c r="G174" s="74" t="s">
        <v>112</v>
      </c>
      <c r="H174" s="75"/>
      <c r="I174" s="76"/>
      <c r="J174" s="96"/>
      <c r="K174" s="77"/>
      <c r="L174" s="77"/>
      <c r="M174" s="38">
        <f t="shared" si="6"/>
        <v>0</v>
      </c>
      <c r="N174" s="100"/>
      <c r="O174" s="81"/>
      <c r="P174" s="81"/>
      <c r="Q174" s="12">
        <f t="shared" si="5"/>
        <v>0</v>
      </c>
    </row>
    <row r="175" spans="1:17" s="13" customFormat="1" ht="15.75" x14ac:dyDescent="0.25">
      <c r="A175" s="10"/>
      <c r="B175" s="25" t="s">
        <v>102</v>
      </c>
      <c r="C175" s="1" t="s">
        <v>17</v>
      </c>
      <c r="D175" s="2"/>
      <c r="E175" s="17" t="s">
        <v>20</v>
      </c>
      <c r="F175" s="2" t="s">
        <v>295</v>
      </c>
      <c r="G175" s="11" t="s">
        <v>114</v>
      </c>
      <c r="H175" s="1"/>
      <c r="I175" s="58"/>
      <c r="J175" s="51"/>
      <c r="K175" s="40"/>
      <c r="L175" s="40"/>
      <c r="M175" s="38">
        <f t="shared" si="6"/>
        <v>0</v>
      </c>
      <c r="N175" s="41"/>
      <c r="O175" s="31"/>
      <c r="P175" s="31"/>
      <c r="Q175" s="79">
        <f t="shared" si="5"/>
        <v>0</v>
      </c>
    </row>
    <row r="176" spans="1:17" s="13" customFormat="1" ht="15.75" x14ac:dyDescent="0.25">
      <c r="A176" s="10">
        <v>27</v>
      </c>
      <c r="B176" s="27" t="s">
        <v>103</v>
      </c>
      <c r="C176" s="1" t="s">
        <v>17</v>
      </c>
      <c r="D176" s="2"/>
      <c r="E176" s="3" t="s">
        <v>20</v>
      </c>
      <c r="F176" s="73" t="s">
        <v>230</v>
      </c>
      <c r="G176" s="74" t="s">
        <v>112</v>
      </c>
      <c r="H176" s="75"/>
      <c r="I176" s="76"/>
      <c r="J176" s="96"/>
      <c r="K176" s="77"/>
      <c r="L176" s="77"/>
      <c r="M176" s="38">
        <f t="shared" si="6"/>
        <v>0</v>
      </c>
      <c r="N176" s="100"/>
      <c r="O176" s="81"/>
      <c r="P176" s="81"/>
      <c r="Q176" s="12">
        <f t="shared" si="5"/>
        <v>0</v>
      </c>
    </row>
    <row r="177" spans="1:17" s="13" customFormat="1" ht="15.75" x14ac:dyDescent="0.25">
      <c r="A177" s="10"/>
      <c r="B177" s="25" t="s">
        <v>103</v>
      </c>
      <c r="C177" s="1" t="s">
        <v>17</v>
      </c>
      <c r="D177" s="2"/>
      <c r="E177" s="3" t="s">
        <v>20</v>
      </c>
      <c r="F177" s="2" t="s">
        <v>127</v>
      </c>
      <c r="G177" s="11" t="s">
        <v>114</v>
      </c>
      <c r="H177" s="1"/>
      <c r="I177" s="49"/>
      <c r="J177" s="51"/>
      <c r="K177" s="40"/>
      <c r="L177" s="40"/>
      <c r="M177" s="38">
        <f t="shared" si="6"/>
        <v>0</v>
      </c>
      <c r="N177" s="41"/>
      <c r="O177" s="31"/>
      <c r="P177" s="31"/>
      <c r="Q177" s="79">
        <f t="shared" si="5"/>
        <v>0</v>
      </c>
    </row>
    <row r="178" spans="1:17" s="15" customFormat="1" ht="15.75" x14ac:dyDescent="0.25">
      <c r="A178" s="14">
        <v>87</v>
      </c>
      <c r="B178" s="28" t="s">
        <v>104</v>
      </c>
      <c r="C178" s="1" t="s">
        <v>17</v>
      </c>
      <c r="D178" s="2"/>
      <c r="E178" s="3" t="s">
        <v>20</v>
      </c>
      <c r="F178" s="73" t="s">
        <v>231</v>
      </c>
      <c r="G178" s="74" t="s">
        <v>112</v>
      </c>
      <c r="H178" s="75">
        <v>1</v>
      </c>
      <c r="I178" s="76"/>
      <c r="J178" s="96"/>
      <c r="K178" s="77"/>
      <c r="L178" s="77"/>
      <c r="M178" s="38">
        <f t="shared" si="6"/>
        <v>0</v>
      </c>
      <c r="N178" s="100"/>
      <c r="O178" s="81"/>
      <c r="P178" s="81"/>
      <c r="Q178" s="12">
        <f t="shared" si="5"/>
        <v>0</v>
      </c>
    </row>
    <row r="179" spans="1:17" s="15" customFormat="1" ht="15.75" x14ac:dyDescent="0.25">
      <c r="A179" s="14"/>
      <c r="B179" s="26" t="s">
        <v>104</v>
      </c>
      <c r="C179" s="1" t="s">
        <v>17</v>
      </c>
      <c r="D179" s="2"/>
      <c r="E179" s="3" t="s">
        <v>20</v>
      </c>
      <c r="F179" s="2" t="s">
        <v>296</v>
      </c>
      <c r="G179" s="11" t="s">
        <v>114</v>
      </c>
      <c r="H179" s="1">
        <v>1</v>
      </c>
      <c r="I179" s="49"/>
      <c r="J179" s="51"/>
      <c r="K179" s="40"/>
      <c r="L179" s="40"/>
      <c r="M179" s="38">
        <f t="shared" si="6"/>
        <v>0</v>
      </c>
      <c r="N179" s="39"/>
      <c r="O179" s="31"/>
      <c r="P179" s="31"/>
      <c r="Q179" s="79">
        <f t="shared" si="5"/>
        <v>0</v>
      </c>
    </row>
    <row r="180" spans="1:17" s="13" customFormat="1" ht="15.75" x14ac:dyDescent="0.25">
      <c r="A180" s="10">
        <v>88</v>
      </c>
      <c r="B180" s="30" t="s">
        <v>105</v>
      </c>
      <c r="C180" s="1" t="s">
        <v>17</v>
      </c>
      <c r="D180" s="2"/>
      <c r="E180" s="17" t="s">
        <v>35</v>
      </c>
      <c r="F180" s="73" t="s">
        <v>232</v>
      </c>
      <c r="G180" s="74" t="s">
        <v>112</v>
      </c>
      <c r="H180" s="75"/>
      <c r="I180" s="76"/>
      <c r="J180" s="96"/>
      <c r="K180" s="77"/>
      <c r="L180" s="77"/>
      <c r="M180" s="38">
        <f t="shared" si="6"/>
        <v>0</v>
      </c>
      <c r="N180" s="100"/>
      <c r="O180" s="81"/>
      <c r="P180" s="81"/>
      <c r="Q180" s="12">
        <f t="shared" si="5"/>
        <v>0</v>
      </c>
    </row>
    <row r="181" spans="1:17" s="13" customFormat="1" ht="15.75" x14ac:dyDescent="0.25">
      <c r="A181" s="10"/>
      <c r="B181" s="24" t="s">
        <v>105</v>
      </c>
      <c r="C181" s="1" t="s">
        <v>17</v>
      </c>
      <c r="D181" s="2"/>
      <c r="E181" s="17" t="s">
        <v>35</v>
      </c>
      <c r="F181" s="16" t="s">
        <v>258</v>
      </c>
      <c r="G181" s="11" t="s">
        <v>117</v>
      </c>
      <c r="H181" s="1"/>
      <c r="I181" s="47"/>
      <c r="J181" s="46"/>
      <c r="K181" s="40"/>
      <c r="L181" s="40"/>
      <c r="M181" s="38">
        <f t="shared" si="6"/>
        <v>0</v>
      </c>
      <c r="N181" s="41"/>
      <c r="O181" s="31"/>
      <c r="P181" s="31"/>
      <c r="Q181" s="79">
        <f t="shared" si="5"/>
        <v>0</v>
      </c>
    </row>
    <row r="182" spans="1:17" s="13" customFormat="1" ht="15.75" x14ac:dyDescent="0.25">
      <c r="A182" s="10">
        <v>89</v>
      </c>
      <c r="B182" s="62" t="s">
        <v>106</v>
      </c>
      <c r="C182" s="1" t="s">
        <v>17</v>
      </c>
      <c r="D182" s="2"/>
      <c r="E182" s="17" t="s">
        <v>20</v>
      </c>
      <c r="F182" s="73" t="s">
        <v>233</v>
      </c>
      <c r="G182" s="74" t="s">
        <v>112</v>
      </c>
      <c r="H182" s="75">
        <v>1</v>
      </c>
      <c r="I182" s="76"/>
      <c r="J182" s="96"/>
      <c r="K182" s="77"/>
      <c r="L182" s="77"/>
      <c r="M182" s="38">
        <f t="shared" si="6"/>
        <v>0</v>
      </c>
      <c r="N182" s="100"/>
      <c r="O182" s="81"/>
      <c r="P182" s="81"/>
      <c r="Q182" s="12">
        <f t="shared" si="5"/>
        <v>0</v>
      </c>
    </row>
    <row r="183" spans="1:17" ht="15.75" x14ac:dyDescent="0.25">
      <c r="A183" s="7"/>
      <c r="B183" s="32"/>
      <c r="C183" s="107"/>
      <c r="D183" s="33"/>
      <c r="E183" s="33"/>
      <c r="F183" s="8"/>
      <c r="G183" s="8" t="s">
        <v>131</v>
      </c>
      <c r="H183" s="106">
        <f t="shared" ref="H183:P183" si="7">SUM(H10:H182)</f>
        <v>46</v>
      </c>
      <c r="I183" s="59">
        <f t="shared" si="7"/>
        <v>0</v>
      </c>
      <c r="J183" s="43">
        <f t="shared" si="7"/>
        <v>0</v>
      </c>
      <c r="K183" s="56">
        <f t="shared" si="7"/>
        <v>0</v>
      </c>
      <c r="L183" s="56">
        <f t="shared" si="7"/>
        <v>0</v>
      </c>
      <c r="M183" s="44">
        <f>K183-L183</f>
        <v>0</v>
      </c>
      <c r="N183" s="43">
        <f t="shared" si="7"/>
        <v>0</v>
      </c>
      <c r="O183" s="57">
        <f t="shared" si="7"/>
        <v>0</v>
      </c>
      <c r="P183" s="57">
        <f t="shared" si="7"/>
        <v>0</v>
      </c>
      <c r="Q183" s="79">
        <f t="shared" si="5"/>
        <v>0</v>
      </c>
    </row>
    <row r="184" spans="1:17" x14ac:dyDescent="0.25">
      <c r="K184" s="91" t="s">
        <v>305</v>
      </c>
    </row>
    <row r="185" spans="1:17" ht="45" x14ac:dyDescent="0.25">
      <c r="B185" s="89" t="s">
        <v>316</v>
      </c>
      <c r="F185" s="104" t="s">
        <v>317</v>
      </c>
    </row>
  </sheetData>
  <autoFilter ref="A9:U9"/>
  <mergeCells count="7">
    <mergeCell ref="O1:Q1"/>
    <mergeCell ref="A3:Q3"/>
    <mergeCell ref="A4:Q4"/>
    <mergeCell ref="A5:Q5"/>
    <mergeCell ref="B7:G7"/>
    <mergeCell ref="H7:M7"/>
    <mergeCell ref="N7:Q7"/>
  </mergeCell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97"/>
  <sheetViews>
    <sheetView workbookViewId="0">
      <selection sqref="A1:XFD1048576"/>
    </sheetView>
  </sheetViews>
  <sheetFormatPr defaultRowHeight="15" x14ac:dyDescent="0.25"/>
  <cols>
    <col min="1" max="1" width="1.85546875" style="6" customWidth="1"/>
    <col min="2" max="2" width="38.28515625" style="88" customWidth="1"/>
    <col min="3" max="3" width="6.5703125" style="19" customWidth="1"/>
    <col min="4" max="4" width="17.42578125" style="19" customWidth="1"/>
    <col min="5" max="5" width="19" style="19" customWidth="1"/>
    <col min="6" max="6" width="18.42578125" style="89" customWidth="1"/>
    <col min="7" max="7" width="23.42578125" style="89" customWidth="1"/>
    <col min="8" max="9" width="18.42578125" style="90" customWidth="1"/>
    <col min="10" max="10" width="18.42578125" style="99" customWidth="1"/>
    <col min="11" max="13" width="18.42578125" style="91" customWidth="1"/>
    <col min="14" max="14" width="18.42578125" style="99" customWidth="1"/>
    <col min="15" max="15" width="18.42578125" style="92" customWidth="1"/>
    <col min="16" max="16" width="16" style="92" customWidth="1"/>
    <col min="17" max="17" width="14.42578125" style="92" customWidth="1"/>
    <col min="18" max="18" width="11.7109375" style="6" customWidth="1"/>
    <col min="19" max="19" width="9.42578125" style="6" customWidth="1"/>
    <col min="20" max="21" width="9.140625" style="6" customWidth="1"/>
    <col min="22" max="16384" width="9.140625" style="6"/>
  </cols>
  <sheetData>
    <row r="1" spans="1:18" s="105" customFormat="1" x14ac:dyDescent="0.25">
      <c r="B1" s="60"/>
      <c r="C1" s="4"/>
      <c r="D1" s="4"/>
      <c r="E1" s="4"/>
      <c r="F1" s="63"/>
      <c r="G1" s="63"/>
      <c r="H1" s="64"/>
      <c r="I1" s="64"/>
      <c r="J1" s="93"/>
      <c r="K1" s="65"/>
      <c r="L1" s="65"/>
      <c r="M1" s="65"/>
      <c r="N1" s="93"/>
      <c r="O1" s="362" t="s">
        <v>15</v>
      </c>
      <c r="P1" s="362"/>
      <c r="Q1" s="362"/>
    </row>
    <row r="2" spans="1:18" s="105" customFormat="1" x14ac:dyDescent="0.25">
      <c r="A2" s="7"/>
      <c r="B2" s="172"/>
      <c r="C2" s="107"/>
      <c r="D2" s="107"/>
      <c r="E2" s="107"/>
      <c r="F2" s="66"/>
      <c r="G2" s="66"/>
      <c r="H2" s="171"/>
      <c r="I2" s="171"/>
      <c r="J2" s="94"/>
      <c r="K2" s="67"/>
      <c r="L2" s="67"/>
      <c r="M2" s="67"/>
      <c r="N2" s="94"/>
      <c r="O2" s="68"/>
      <c r="P2" s="68"/>
      <c r="Q2" s="68"/>
    </row>
    <row r="3" spans="1:18" s="105" customFormat="1" x14ac:dyDescent="0.25">
      <c r="A3" s="363" t="s">
        <v>318</v>
      </c>
      <c r="B3" s="364"/>
      <c r="C3" s="363"/>
      <c r="D3" s="363"/>
      <c r="E3" s="363"/>
      <c r="F3" s="364"/>
      <c r="G3" s="364"/>
      <c r="H3" s="365"/>
      <c r="I3" s="366"/>
      <c r="J3" s="367"/>
      <c r="K3" s="364"/>
      <c r="L3" s="364"/>
      <c r="M3" s="364"/>
      <c r="N3" s="364"/>
      <c r="O3" s="364"/>
      <c r="P3" s="364"/>
      <c r="Q3" s="364"/>
    </row>
    <row r="4" spans="1:18" s="105" customFormat="1" x14ac:dyDescent="0.25">
      <c r="A4" s="368">
        <v>43612</v>
      </c>
      <c r="B4" s="369"/>
      <c r="C4" s="370"/>
      <c r="D4" s="370"/>
      <c r="E4" s="370"/>
      <c r="F4" s="369"/>
      <c r="G4" s="369"/>
      <c r="H4" s="371"/>
      <c r="I4" s="372"/>
      <c r="J4" s="373"/>
      <c r="K4" s="369"/>
      <c r="L4" s="369"/>
      <c r="M4" s="369"/>
      <c r="N4" s="369"/>
      <c r="O4" s="369"/>
      <c r="P4" s="369"/>
      <c r="Q4" s="369"/>
    </row>
    <row r="5" spans="1:18" s="105" customFormat="1" x14ac:dyDescent="0.25">
      <c r="A5" s="374" t="s">
        <v>14</v>
      </c>
      <c r="B5" s="367"/>
      <c r="C5" s="374"/>
      <c r="D5" s="374"/>
      <c r="E5" s="374"/>
      <c r="F5" s="367"/>
      <c r="G5" s="367"/>
      <c r="H5" s="366"/>
      <c r="I5" s="366"/>
      <c r="J5" s="367"/>
      <c r="K5" s="367"/>
      <c r="L5" s="367"/>
      <c r="M5" s="367"/>
      <c r="N5" s="367"/>
      <c r="O5" s="367"/>
      <c r="P5" s="367"/>
      <c r="Q5" s="367"/>
    </row>
    <row r="6" spans="1:18" s="105" customFormat="1" x14ac:dyDescent="0.25">
      <c r="A6" s="7"/>
      <c r="B6" s="172"/>
      <c r="C6" s="107"/>
      <c r="D6" s="107"/>
      <c r="E6" s="107"/>
      <c r="F6" s="66"/>
      <c r="G6" s="66"/>
      <c r="H6" s="171"/>
      <c r="I6" s="171"/>
      <c r="J6" s="94"/>
      <c r="K6" s="67"/>
      <c r="L6" s="67"/>
      <c r="M6" s="67"/>
      <c r="N6" s="94"/>
      <c r="O6" s="68"/>
      <c r="P6" s="68"/>
      <c r="Q6" s="68"/>
    </row>
    <row r="7" spans="1:18" x14ac:dyDescent="0.25">
      <c r="A7" s="5" t="s">
        <v>0</v>
      </c>
      <c r="B7" s="364" t="s">
        <v>10</v>
      </c>
      <c r="C7" s="375"/>
      <c r="D7" s="375"/>
      <c r="E7" s="375"/>
      <c r="F7" s="364"/>
      <c r="G7" s="364"/>
      <c r="H7" s="365" t="s">
        <v>472</v>
      </c>
      <c r="I7" s="366"/>
      <c r="J7" s="367"/>
      <c r="K7" s="364"/>
      <c r="L7" s="364"/>
      <c r="M7" s="364"/>
      <c r="N7" s="364" t="s">
        <v>132</v>
      </c>
      <c r="O7" s="364"/>
      <c r="P7" s="364"/>
      <c r="Q7" s="364"/>
    </row>
    <row r="8" spans="1:18" ht="153" x14ac:dyDescent="0.25">
      <c r="A8" s="5"/>
      <c r="B8" s="172" t="s">
        <v>4</v>
      </c>
      <c r="C8" s="107" t="s">
        <v>1</v>
      </c>
      <c r="D8" s="107" t="s">
        <v>3</v>
      </c>
      <c r="E8" s="107" t="s">
        <v>2</v>
      </c>
      <c r="F8" s="122" t="s">
        <v>6</v>
      </c>
      <c r="G8" s="66" t="s">
        <v>5</v>
      </c>
      <c r="H8" s="172" t="s">
        <v>7</v>
      </c>
      <c r="I8" s="172" t="s">
        <v>8</v>
      </c>
      <c r="J8" s="94" t="s">
        <v>9</v>
      </c>
      <c r="K8" s="67" t="s">
        <v>11</v>
      </c>
      <c r="L8" s="67" t="s">
        <v>12</v>
      </c>
      <c r="M8" s="67" t="s">
        <v>13</v>
      </c>
      <c r="N8" s="94" t="s">
        <v>9</v>
      </c>
      <c r="O8" s="68" t="s">
        <v>11</v>
      </c>
      <c r="P8" s="68" t="s">
        <v>12</v>
      </c>
      <c r="Q8" s="68" t="s">
        <v>13</v>
      </c>
    </row>
    <row r="9" spans="1:18" x14ac:dyDescent="0.25">
      <c r="A9" s="9">
        <v>1</v>
      </c>
      <c r="B9" s="61">
        <f>A9+1</f>
        <v>2</v>
      </c>
      <c r="C9" s="9">
        <f t="shared" ref="C9:Q9" si="0">B9+1</f>
        <v>3</v>
      </c>
      <c r="D9" s="9">
        <f t="shared" si="0"/>
        <v>4</v>
      </c>
      <c r="E9" s="9">
        <f t="shared" si="0"/>
        <v>5</v>
      </c>
      <c r="F9" s="69">
        <f t="shared" si="0"/>
        <v>6</v>
      </c>
      <c r="G9" s="69">
        <f t="shared" si="0"/>
        <v>7</v>
      </c>
      <c r="H9" s="70">
        <f t="shared" si="0"/>
        <v>8</v>
      </c>
      <c r="I9" s="70">
        <f t="shared" si="0"/>
        <v>9</v>
      </c>
      <c r="J9" s="95">
        <f t="shared" si="0"/>
        <v>10</v>
      </c>
      <c r="K9" s="71">
        <f t="shared" si="0"/>
        <v>11</v>
      </c>
      <c r="L9" s="71">
        <f t="shared" si="0"/>
        <v>12</v>
      </c>
      <c r="M9" s="71">
        <f t="shared" si="0"/>
        <v>13</v>
      </c>
      <c r="N9" s="95">
        <f t="shared" si="0"/>
        <v>14</v>
      </c>
      <c r="O9" s="72">
        <f t="shared" si="0"/>
        <v>15</v>
      </c>
      <c r="P9" s="72">
        <f t="shared" si="0"/>
        <v>16</v>
      </c>
      <c r="Q9" s="72">
        <f t="shared" si="0"/>
        <v>17</v>
      </c>
    </row>
    <row r="10" spans="1:18" s="13" customFormat="1" ht="31.5" x14ac:dyDescent="0.25">
      <c r="A10" s="10"/>
      <c r="B10" s="62" t="s">
        <v>16</v>
      </c>
      <c r="C10" s="1" t="s">
        <v>304</v>
      </c>
      <c r="D10" s="165" t="s">
        <v>315</v>
      </c>
      <c r="E10" s="3" t="s">
        <v>18</v>
      </c>
      <c r="F10" s="73" t="s">
        <v>322</v>
      </c>
      <c r="G10" s="74" t="s">
        <v>112</v>
      </c>
      <c r="H10" s="75">
        <v>9</v>
      </c>
      <c r="I10" s="76">
        <v>3</v>
      </c>
      <c r="J10" s="98">
        <f>2+1</f>
        <v>3</v>
      </c>
      <c r="K10" s="77">
        <f>4792.51+1138.19+504.26+11366.06</f>
        <v>17801.02</v>
      </c>
      <c r="L10" s="77">
        <f>4765.04</f>
        <v>4765.04</v>
      </c>
      <c r="M10" s="78">
        <f>K10-L10</f>
        <v>13035.98</v>
      </c>
      <c r="N10" s="100">
        <f>2+5+1+2</f>
        <v>10</v>
      </c>
      <c r="O10" s="77">
        <f>9108.77+6924.32+11366.06</f>
        <v>27399.15</v>
      </c>
      <c r="P10" s="77">
        <f>9108.77</f>
        <v>9108.77</v>
      </c>
      <c r="Q10" s="79">
        <f>O10-P10</f>
        <v>18290.38</v>
      </c>
      <c r="R10" s="141"/>
    </row>
    <row r="11" spans="1:18" s="13" customFormat="1" ht="31.5" x14ac:dyDescent="0.25">
      <c r="A11" s="10"/>
      <c r="B11" s="22" t="s">
        <v>16</v>
      </c>
      <c r="C11" s="1" t="s">
        <v>304</v>
      </c>
      <c r="D11" s="165" t="s">
        <v>315</v>
      </c>
      <c r="E11" s="3" t="s">
        <v>18</v>
      </c>
      <c r="F11" s="73" t="s">
        <v>322</v>
      </c>
      <c r="G11" s="11" t="s">
        <v>116</v>
      </c>
      <c r="H11" s="1">
        <v>4</v>
      </c>
      <c r="I11" s="49">
        <v>1</v>
      </c>
      <c r="J11" s="46">
        <v>1</v>
      </c>
      <c r="K11" s="31"/>
      <c r="L11" s="31"/>
      <c r="M11" s="38">
        <f t="shared" ref="M11:M84" si="1">K11-L11</f>
        <v>0</v>
      </c>
      <c r="N11" s="41"/>
      <c r="O11" s="31">
        <v>2945</v>
      </c>
      <c r="P11" s="31">
        <v>2945</v>
      </c>
      <c r="Q11" s="12">
        <f t="shared" ref="Q11:Q79" si="2">O11-P11</f>
        <v>0</v>
      </c>
    </row>
    <row r="12" spans="1:18" s="13" customFormat="1" ht="15.75" x14ac:dyDescent="0.25">
      <c r="A12" s="10"/>
      <c r="B12" s="22" t="s">
        <v>490</v>
      </c>
      <c r="C12" s="1"/>
      <c r="D12" s="165"/>
      <c r="E12" s="3"/>
      <c r="F12" s="167" t="s">
        <v>501</v>
      </c>
      <c r="G12" s="11" t="s">
        <v>112</v>
      </c>
      <c r="H12" s="1">
        <v>7</v>
      </c>
      <c r="I12" s="49">
        <v>4</v>
      </c>
      <c r="J12" s="46">
        <f>5+1</f>
        <v>6</v>
      </c>
      <c r="K12" s="31"/>
      <c r="L12" s="31"/>
      <c r="M12" s="38"/>
      <c r="N12" s="41"/>
      <c r="O12" s="31"/>
      <c r="P12" s="31"/>
      <c r="Q12" s="12"/>
    </row>
    <row r="13" spans="1:18" s="15" customFormat="1" ht="15.75" x14ac:dyDescent="0.25">
      <c r="A13" s="14"/>
      <c r="B13" s="80" t="s">
        <v>19</v>
      </c>
      <c r="C13" s="1" t="s">
        <v>17</v>
      </c>
      <c r="D13" s="165"/>
      <c r="E13" s="3" t="s">
        <v>20</v>
      </c>
      <c r="F13" s="73" t="s">
        <v>323</v>
      </c>
      <c r="G13" s="74" t="s">
        <v>112</v>
      </c>
      <c r="H13" s="75">
        <v>8</v>
      </c>
      <c r="I13" s="76">
        <v>7</v>
      </c>
      <c r="J13" s="96">
        <f>1+2+5+2</f>
        <v>10</v>
      </c>
      <c r="K13" s="77">
        <f>422.62+4792.51</f>
        <v>5215.13</v>
      </c>
      <c r="L13" s="77">
        <f>422.62+4792.51</f>
        <v>5215.13</v>
      </c>
      <c r="M13" s="78">
        <f t="shared" si="1"/>
        <v>0</v>
      </c>
      <c r="N13" s="100">
        <f>8+3</f>
        <v>11</v>
      </c>
      <c r="O13" s="81">
        <v>6459.36</v>
      </c>
      <c r="P13" s="81">
        <f>5614.12+545.24</f>
        <v>6159.36</v>
      </c>
      <c r="Q13" s="79">
        <f t="shared" si="2"/>
        <v>300</v>
      </c>
      <c r="R13" s="141"/>
    </row>
    <row r="14" spans="1:18" s="15" customFormat="1" ht="15.75" x14ac:dyDescent="0.25">
      <c r="A14" s="14"/>
      <c r="B14" s="23" t="s">
        <v>19</v>
      </c>
      <c r="C14" s="1" t="s">
        <v>17</v>
      </c>
      <c r="D14" s="165"/>
      <c r="E14" s="3" t="s">
        <v>20</v>
      </c>
      <c r="F14" s="73" t="s">
        <v>451</v>
      </c>
      <c r="G14" s="11" t="s">
        <v>114</v>
      </c>
      <c r="H14" s="1">
        <v>4</v>
      </c>
      <c r="I14" s="49">
        <v>1</v>
      </c>
      <c r="J14" s="51">
        <v>1</v>
      </c>
      <c r="K14" s="40">
        <v>1267.68</v>
      </c>
      <c r="L14" s="40">
        <v>1267.68</v>
      </c>
      <c r="M14" s="38">
        <f t="shared" si="1"/>
        <v>0</v>
      </c>
      <c r="N14" s="42">
        <v>8</v>
      </c>
      <c r="O14" s="31">
        <v>12846.7</v>
      </c>
      <c r="P14" s="31">
        <v>12846.7</v>
      </c>
      <c r="Q14" s="12">
        <f t="shared" si="2"/>
        <v>0</v>
      </c>
    </row>
    <row r="15" spans="1:18" s="15" customFormat="1" ht="15.75" x14ac:dyDescent="0.25">
      <c r="A15" s="14"/>
      <c r="B15" s="62" t="s">
        <v>153</v>
      </c>
      <c r="C15" s="1" t="s">
        <v>17</v>
      </c>
      <c r="D15" s="165"/>
      <c r="E15" s="3" t="s">
        <v>20</v>
      </c>
      <c r="F15" s="73" t="s">
        <v>324</v>
      </c>
      <c r="G15" s="74" t="s">
        <v>112</v>
      </c>
      <c r="H15" s="75">
        <v>5</v>
      </c>
      <c r="I15" s="82">
        <v>3</v>
      </c>
      <c r="J15" s="96">
        <f>1+1+2+1</f>
        <v>5</v>
      </c>
      <c r="K15" s="77">
        <f>950.9+2451.87+3074.57</f>
        <v>6477.34</v>
      </c>
      <c r="L15" s="77">
        <v>950.9</v>
      </c>
      <c r="M15" s="78">
        <f t="shared" si="1"/>
        <v>5526.4400000000005</v>
      </c>
      <c r="N15" s="114">
        <f>1+2+1+2+1</f>
        <v>7</v>
      </c>
      <c r="O15" s="81">
        <f>422.62+945.61+2484.69+7964.81</f>
        <v>11817.73</v>
      </c>
      <c r="P15" s="81">
        <f>422.62</f>
        <v>422.62</v>
      </c>
      <c r="Q15" s="79">
        <f t="shared" si="2"/>
        <v>11395.109999999999</v>
      </c>
      <c r="R15" s="141"/>
    </row>
    <row r="16" spans="1:18" s="15" customFormat="1" ht="15.75" x14ac:dyDescent="0.25">
      <c r="A16" s="14"/>
      <c r="B16" s="50" t="s">
        <v>153</v>
      </c>
      <c r="C16" s="1" t="s">
        <v>17</v>
      </c>
      <c r="D16" s="165"/>
      <c r="E16" s="3" t="s">
        <v>20</v>
      </c>
      <c r="F16" s="73" t="s">
        <v>452</v>
      </c>
      <c r="G16" s="11" t="s">
        <v>114</v>
      </c>
      <c r="H16" s="1">
        <v>8</v>
      </c>
      <c r="I16" s="49">
        <v>1</v>
      </c>
      <c r="J16" s="51">
        <v>1</v>
      </c>
      <c r="K16" s="40">
        <v>1267.8599999999999</v>
      </c>
      <c r="L16" s="40">
        <v>1267.8599999999999</v>
      </c>
      <c r="M16" s="38">
        <f t="shared" si="1"/>
        <v>0</v>
      </c>
      <c r="N16" s="42">
        <v>7</v>
      </c>
      <c r="O16" s="31">
        <v>15816.3</v>
      </c>
      <c r="P16" s="31">
        <v>15816.3</v>
      </c>
      <c r="Q16" s="12">
        <f t="shared" si="2"/>
        <v>0</v>
      </c>
    </row>
    <row r="17" spans="1:18" s="13" customFormat="1" ht="15.75" x14ac:dyDescent="0.25">
      <c r="A17" s="10"/>
      <c r="B17" s="30" t="s">
        <v>22</v>
      </c>
      <c r="C17" s="1" t="s">
        <v>17</v>
      </c>
      <c r="D17" s="165"/>
      <c r="E17" s="3" t="s">
        <v>23</v>
      </c>
      <c r="F17" s="73" t="s">
        <v>325</v>
      </c>
      <c r="G17" s="74" t="s">
        <v>112</v>
      </c>
      <c r="H17" s="75">
        <v>14</v>
      </c>
      <c r="I17" s="76">
        <v>3</v>
      </c>
      <c r="J17" s="96">
        <f>1+2</f>
        <v>3</v>
      </c>
      <c r="K17" s="77">
        <f>2698.64+1402.33</f>
        <v>4100.9699999999993</v>
      </c>
      <c r="L17" s="77">
        <f>2698.64</f>
        <v>2698.64</v>
      </c>
      <c r="M17" s="78">
        <f t="shared" si="1"/>
        <v>1402.3299999999995</v>
      </c>
      <c r="N17" s="100">
        <f>14+3+7</f>
        <v>24</v>
      </c>
      <c r="O17" s="81">
        <f>22716.4+4171.06+18768.39</f>
        <v>45655.850000000006</v>
      </c>
      <c r="P17" s="81">
        <f>22717.4+4171.06</f>
        <v>26888.460000000003</v>
      </c>
      <c r="Q17" s="79">
        <f t="shared" si="2"/>
        <v>18767.390000000003</v>
      </c>
      <c r="R17" s="141"/>
    </row>
    <row r="18" spans="1:18" s="13" customFormat="1" ht="15.75" x14ac:dyDescent="0.25">
      <c r="A18" s="10"/>
      <c r="B18" s="24" t="s">
        <v>154</v>
      </c>
      <c r="C18" s="1" t="s">
        <v>17</v>
      </c>
      <c r="D18" s="165"/>
      <c r="E18" s="3" t="s">
        <v>20</v>
      </c>
      <c r="F18" s="73" t="s">
        <v>453</v>
      </c>
      <c r="G18" s="11" t="s">
        <v>114</v>
      </c>
      <c r="H18" s="1">
        <v>14</v>
      </c>
      <c r="I18" s="47"/>
      <c r="J18" s="51"/>
      <c r="K18" s="37"/>
      <c r="L18" s="37"/>
      <c r="M18" s="38">
        <f t="shared" si="1"/>
        <v>0</v>
      </c>
      <c r="N18" s="39">
        <v>6</v>
      </c>
      <c r="O18" s="31">
        <v>8292.4</v>
      </c>
      <c r="P18" s="31">
        <v>8292.4</v>
      </c>
      <c r="Q18" s="12">
        <f t="shared" si="2"/>
        <v>0</v>
      </c>
    </row>
    <row r="19" spans="1:18" s="13" customFormat="1" ht="15.75" x14ac:dyDescent="0.25">
      <c r="A19" s="10"/>
      <c r="B19" s="30" t="s">
        <v>154</v>
      </c>
      <c r="C19" s="1" t="s">
        <v>17</v>
      </c>
      <c r="D19" s="165"/>
      <c r="E19" s="3" t="s">
        <v>20</v>
      </c>
      <c r="F19" s="73" t="s">
        <v>326</v>
      </c>
      <c r="G19" s="74" t="s">
        <v>112</v>
      </c>
      <c r="H19" s="75">
        <v>13</v>
      </c>
      <c r="I19" s="76">
        <v>7</v>
      </c>
      <c r="J19" s="96">
        <f>1+1+2+2+2</f>
        <v>8</v>
      </c>
      <c r="K19" s="77">
        <f>950.9+864.46+845.24</f>
        <v>2660.6000000000004</v>
      </c>
      <c r="L19" s="77">
        <f>950.9+272.68+1523.55-86.53</f>
        <v>2660.6</v>
      </c>
      <c r="M19" s="78">
        <f t="shared" si="1"/>
        <v>0</v>
      </c>
      <c r="N19" s="100">
        <f>6+3+1+1+1</f>
        <v>12</v>
      </c>
      <c r="O19" s="128">
        <f>6681.33+7017+1523.5</f>
        <v>15221.83</v>
      </c>
      <c r="P19" s="81">
        <f>8477.51+6744.32</f>
        <v>15221.83</v>
      </c>
      <c r="Q19" s="79">
        <f t="shared" si="2"/>
        <v>0</v>
      </c>
      <c r="R19" s="141"/>
    </row>
    <row r="20" spans="1:18" s="13" customFormat="1" ht="15.75" x14ac:dyDescent="0.25">
      <c r="A20" s="10"/>
      <c r="B20" s="62" t="s">
        <v>24</v>
      </c>
      <c r="C20" s="1" t="s">
        <v>17</v>
      </c>
      <c r="D20" s="165"/>
      <c r="E20" s="3" t="s">
        <v>20</v>
      </c>
      <c r="F20" s="73" t="s">
        <v>327</v>
      </c>
      <c r="G20" s="74" t="s">
        <v>112</v>
      </c>
      <c r="H20" s="75">
        <v>4</v>
      </c>
      <c r="I20" s="76">
        <v>3</v>
      </c>
      <c r="J20" s="96">
        <f>3</f>
        <v>3</v>
      </c>
      <c r="K20" s="77"/>
      <c r="L20" s="77"/>
      <c r="M20" s="38">
        <f t="shared" si="1"/>
        <v>0</v>
      </c>
      <c r="N20" s="100">
        <f>1+1</f>
        <v>2</v>
      </c>
      <c r="O20" s="81">
        <f>576.3</f>
        <v>576.29999999999995</v>
      </c>
      <c r="P20" s="81">
        <f>576.3</f>
        <v>576.29999999999995</v>
      </c>
      <c r="Q20" s="12">
        <f t="shared" si="2"/>
        <v>0</v>
      </c>
      <c r="R20" s="141"/>
    </row>
    <row r="21" spans="1:18" s="13" customFormat="1" ht="15.75" x14ac:dyDescent="0.25">
      <c r="A21" s="10"/>
      <c r="B21" s="22" t="s">
        <v>24</v>
      </c>
      <c r="C21" s="1" t="s">
        <v>17</v>
      </c>
      <c r="D21" s="165"/>
      <c r="E21" s="3" t="s">
        <v>20</v>
      </c>
      <c r="F21" s="73" t="s">
        <v>454</v>
      </c>
      <c r="G21" s="11" t="s">
        <v>114</v>
      </c>
      <c r="H21" s="1">
        <v>8</v>
      </c>
      <c r="I21" s="49"/>
      <c r="J21" s="51"/>
      <c r="K21" s="40"/>
      <c r="L21" s="40"/>
      <c r="M21" s="78">
        <f t="shared" si="1"/>
        <v>0</v>
      </c>
      <c r="N21" s="41">
        <v>7</v>
      </c>
      <c r="O21" s="31">
        <v>14635.6</v>
      </c>
      <c r="P21" s="31">
        <v>14635.6</v>
      </c>
      <c r="Q21" s="79">
        <f t="shared" si="2"/>
        <v>0</v>
      </c>
    </row>
    <row r="22" spans="1:18" s="13" customFormat="1" ht="15.75" x14ac:dyDescent="0.25">
      <c r="A22" s="10"/>
      <c r="B22" s="62" t="s">
        <v>25</v>
      </c>
      <c r="C22" s="1" t="s">
        <v>17</v>
      </c>
      <c r="D22" s="165"/>
      <c r="E22" s="3" t="s">
        <v>20</v>
      </c>
      <c r="F22" s="73" t="s">
        <v>328</v>
      </c>
      <c r="G22" s="74" t="s">
        <v>112</v>
      </c>
      <c r="H22" s="75">
        <v>5</v>
      </c>
      <c r="I22" s="76">
        <v>2</v>
      </c>
      <c r="J22" s="96">
        <f>1+1+1</f>
        <v>3</v>
      </c>
      <c r="K22" s="77">
        <v>1743.31</v>
      </c>
      <c r="L22" s="77">
        <f>1743.31</f>
        <v>1743.31</v>
      </c>
      <c r="M22" s="38">
        <f t="shared" si="1"/>
        <v>0</v>
      </c>
      <c r="N22" s="100">
        <f>6+1+2</f>
        <v>9</v>
      </c>
      <c r="O22" s="81">
        <v>14526.7</v>
      </c>
      <c r="P22" s="81">
        <f>14526.7</f>
        <v>14526.7</v>
      </c>
      <c r="Q22" s="12">
        <f t="shared" si="2"/>
        <v>0</v>
      </c>
      <c r="R22" s="141"/>
    </row>
    <row r="23" spans="1:18" s="13" customFormat="1" ht="15.75" x14ac:dyDescent="0.25">
      <c r="A23" s="10"/>
      <c r="B23" s="22" t="s">
        <v>25</v>
      </c>
      <c r="C23" s="1" t="s">
        <v>17</v>
      </c>
      <c r="D23" s="165"/>
      <c r="E23" s="3" t="s">
        <v>20</v>
      </c>
      <c r="F23" s="73" t="s">
        <v>455</v>
      </c>
      <c r="G23" s="11" t="s">
        <v>114</v>
      </c>
      <c r="H23" s="1">
        <v>1</v>
      </c>
      <c r="I23" s="49"/>
      <c r="J23" s="51"/>
      <c r="K23" s="40"/>
      <c r="L23" s="40"/>
      <c r="M23" s="78">
        <f t="shared" si="1"/>
        <v>0</v>
      </c>
      <c r="N23" s="41">
        <v>2</v>
      </c>
      <c r="O23" s="31">
        <v>4146.2</v>
      </c>
      <c r="P23" s="31">
        <f>4146.2</f>
        <v>4146.2</v>
      </c>
      <c r="Q23" s="79">
        <f t="shared" si="2"/>
        <v>0</v>
      </c>
    </row>
    <row r="24" spans="1:18" s="13" customFormat="1" ht="15.75" x14ac:dyDescent="0.25">
      <c r="A24" s="10"/>
      <c r="B24" s="62" t="s">
        <v>26</v>
      </c>
      <c r="C24" s="1" t="s">
        <v>17</v>
      </c>
      <c r="D24" s="165"/>
      <c r="E24" s="3" t="s">
        <v>27</v>
      </c>
      <c r="F24" s="73" t="s">
        <v>329</v>
      </c>
      <c r="G24" s="74" t="s">
        <v>112</v>
      </c>
      <c r="H24" s="75">
        <v>12</v>
      </c>
      <c r="I24" s="76">
        <v>4</v>
      </c>
      <c r="J24" s="96">
        <f>2+2</f>
        <v>4</v>
      </c>
      <c r="K24" s="77">
        <f>845.24</f>
        <v>845.24</v>
      </c>
      <c r="L24" s="77">
        <f>845.24</f>
        <v>845.24</v>
      </c>
      <c r="M24" s="38">
        <f t="shared" si="1"/>
        <v>0</v>
      </c>
      <c r="N24" s="100">
        <f>6+1+1</f>
        <v>8</v>
      </c>
      <c r="O24" s="81">
        <f>17838.53+2535.75+7238.9</f>
        <v>27613.18</v>
      </c>
      <c r="P24" s="81">
        <f>14149.86+3380.96+3380.96</f>
        <v>20911.78</v>
      </c>
      <c r="Q24" s="12">
        <f t="shared" si="2"/>
        <v>6701.4000000000015</v>
      </c>
      <c r="R24" s="141"/>
    </row>
    <row r="25" spans="1:18" s="15" customFormat="1" ht="15.75" x14ac:dyDescent="0.25">
      <c r="A25" s="14"/>
      <c r="B25" s="80" t="s">
        <v>28</v>
      </c>
      <c r="C25" s="1" t="s">
        <v>17</v>
      </c>
      <c r="D25" s="165"/>
      <c r="E25" s="17" t="s">
        <v>29</v>
      </c>
      <c r="F25" s="73" t="s">
        <v>330</v>
      </c>
      <c r="G25" s="74" t="s">
        <v>112</v>
      </c>
      <c r="H25" s="75">
        <v>4</v>
      </c>
      <c r="I25" s="76">
        <v>3</v>
      </c>
      <c r="J25" s="96">
        <f>2+1</f>
        <v>3</v>
      </c>
      <c r="K25" s="77">
        <f>6135.14</f>
        <v>6135.14</v>
      </c>
      <c r="L25" s="77"/>
      <c r="M25" s="38">
        <f t="shared" si="1"/>
        <v>6135.14</v>
      </c>
      <c r="N25" s="100">
        <f>3+2+4+3</f>
        <v>12</v>
      </c>
      <c r="O25" s="81">
        <f>5310.83+4630.52+14679.01+36087.29</f>
        <v>60707.65</v>
      </c>
      <c r="P25" s="81">
        <f>5311.83+19308.53</f>
        <v>24620.36</v>
      </c>
      <c r="Q25" s="12">
        <f t="shared" si="2"/>
        <v>36087.29</v>
      </c>
      <c r="R25" s="141"/>
    </row>
    <row r="26" spans="1:18" s="15" customFormat="1" ht="15.75" x14ac:dyDescent="0.25">
      <c r="A26" s="14"/>
      <c r="B26" s="23" t="s">
        <v>28</v>
      </c>
      <c r="C26" s="1" t="s">
        <v>17</v>
      </c>
      <c r="D26" s="165"/>
      <c r="E26" s="17" t="s">
        <v>29</v>
      </c>
      <c r="F26" s="73" t="s">
        <v>420</v>
      </c>
      <c r="G26" s="8" t="s">
        <v>117</v>
      </c>
      <c r="H26" s="1">
        <v>1</v>
      </c>
      <c r="I26" s="48"/>
      <c r="J26" s="45"/>
      <c r="K26" s="40"/>
      <c r="L26" s="40"/>
      <c r="M26" s="78">
        <f t="shared" si="1"/>
        <v>0</v>
      </c>
      <c r="N26" s="42">
        <v>2</v>
      </c>
      <c r="O26" s="31"/>
      <c r="P26" s="31"/>
      <c r="Q26" s="79">
        <f t="shared" si="2"/>
        <v>0</v>
      </c>
    </row>
    <row r="27" spans="1:18" s="15" customFormat="1" ht="15.75" x14ac:dyDescent="0.25">
      <c r="A27" s="14"/>
      <c r="B27" s="50" t="s">
        <v>500</v>
      </c>
      <c r="C27" s="1"/>
      <c r="D27" s="165"/>
      <c r="E27" s="17"/>
      <c r="F27" s="73"/>
      <c r="G27" s="8" t="s">
        <v>112</v>
      </c>
      <c r="H27" s="1">
        <v>2</v>
      </c>
      <c r="I27" s="48"/>
      <c r="J27" s="45"/>
      <c r="K27" s="40"/>
      <c r="L27" s="40"/>
      <c r="M27" s="78"/>
      <c r="N27" s="42"/>
      <c r="O27" s="31"/>
      <c r="P27" s="31"/>
      <c r="Q27" s="79"/>
    </row>
    <row r="28" spans="1:18" s="13" customFormat="1" ht="15.75" x14ac:dyDescent="0.25">
      <c r="A28" s="10"/>
      <c r="B28" s="27" t="s">
        <v>30</v>
      </c>
      <c r="C28" s="1" t="s">
        <v>17</v>
      </c>
      <c r="D28" s="165"/>
      <c r="E28" s="17" t="s">
        <v>21</v>
      </c>
      <c r="F28" s="73" t="s">
        <v>333</v>
      </c>
      <c r="G28" s="74" t="s">
        <v>112</v>
      </c>
      <c r="H28" s="75">
        <v>12</v>
      </c>
      <c r="I28" s="76">
        <v>6</v>
      </c>
      <c r="J28" s="96">
        <f>3+1+3+1</f>
        <v>8</v>
      </c>
      <c r="K28" s="77">
        <f>2399.78+806.82+6240.86</f>
        <v>9447.4599999999991</v>
      </c>
      <c r="L28" s="77">
        <f>2399.78</f>
        <v>2399.7800000000002</v>
      </c>
      <c r="M28" s="38">
        <f t="shared" si="1"/>
        <v>7047.6799999999985</v>
      </c>
      <c r="N28" s="100">
        <f>9+1+3+1+1+1</f>
        <v>16</v>
      </c>
      <c r="O28" s="81">
        <f>39871.99+5530.04+5890.35+1728.9</f>
        <v>53021.279999999999</v>
      </c>
      <c r="P28" s="81">
        <f>24771.16+15100.83</f>
        <v>39871.99</v>
      </c>
      <c r="Q28" s="12">
        <f t="shared" si="2"/>
        <v>13149.29</v>
      </c>
      <c r="R28" s="141"/>
    </row>
    <row r="29" spans="1:18" s="13" customFormat="1" ht="15.75" x14ac:dyDescent="0.25">
      <c r="A29" s="10"/>
      <c r="B29" s="27" t="s">
        <v>491</v>
      </c>
      <c r="C29" s="1" t="s">
        <v>17</v>
      </c>
      <c r="D29" s="165"/>
      <c r="E29" s="3" t="s">
        <v>20</v>
      </c>
      <c r="F29" s="73" t="s">
        <v>495</v>
      </c>
      <c r="G29" s="74" t="s">
        <v>112</v>
      </c>
      <c r="H29" s="75">
        <v>7</v>
      </c>
      <c r="I29" s="76">
        <v>2</v>
      </c>
      <c r="J29" s="96">
        <f>2</f>
        <v>2</v>
      </c>
      <c r="K29" s="77"/>
      <c r="L29" s="77"/>
      <c r="M29" s="38"/>
      <c r="N29" s="100"/>
      <c r="O29" s="81"/>
      <c r="P29" s="81"/>
      <c r="Q29" s="12"/>
      <c r="R29" s="141"/>
    </row>
    <row r="30" spans="1:18" s="13" customFormat="1" ht="15.75" x14ac:dyDescent="0.25">
      <c r="A30" s="10"/>
      <c r="B30" s="27" t="s">
        <v>491</v>
      </c>
      <c r="C30" s="1"/>
      <c r="D30" s="165"/>
      <c r="E30" s="3"/>
      <c r="F30" s="73"/>
      <c r="G30" s="74" t="s">
        <v>114</v>
      </c>
      <c r="H30" s="75">
        <v>4</v>
      </c>
      <c r="I30" s="76"/>
      <c r="J30" s="96"/>
      <c r="K30" s="77"/>
      <c r="L30" s="77"/>
      <c r="M30" s="38"/>
      <c r="N30" s="100"/>
      <c r="O30" s="81"/>
      <c r="P30" s="81"/>
      <c r="Q30" s="12"/>
      <c r="R30" s="141"/>
    </row>
    <row r="31" spans="1:18" s="13" customFormat="1" ht="15.75" x14ac:dyDescent="0.25">
      <c r="A31" s="10"/>
      <c r="B31" s="30" t="s">
        <v>31</v>
      </c>
      <c r="C31" s="1" t="s">
        <v>17</v>
      </c>
      <c r="D31" s="165"/>
      <c r="E31" s="3" t="s">
        <v>32</v>
      </c>
      <c r="F31" s="73" t="s">
        <v>331</v>
      </c>
      <c r="G31" s="74" t="s">
        <v>112</v>
      </c>
      <c r="H31" s="75">
        <v>9</v>
      </c>
      <c r="I31" s="76">
        <v>5</v>
      </c>
      <c r="J31" s="96">
        <f>1+2+3+1</f>
        <v>7</v>
      </c>
      <c r="K31" s="77">
        <f>633.93+1045.98+5377.62</f>
        <v>7057.53</v>
      </c>
      <c r="L31" s="77"/>
      <c r="M31" s="78">
        <f t="shared" si="1"/>
        <v>7057.53</v>
      </c>
      <c r="N31" s="100">
        <f>1+3+3+1+1</f>
        <v>9</v>
      </c>
      <c r="O31" s="81">
        <f>2299.8+15239.58+6152.75+2720.49+1483.38</f>
        <v>27896.000000000004</v>
      </c>
      <c r="P31" s="81">
        <f>2299.8+15239.58</f>
        <v>17539.38</v>
      </c>
      <c r="Q31" s="79">
        <f t="shared" si="2"/>
        <v>10356.620000000003</v>
      </c>
      <c r="R31" s="141"/>
    </row>
    <row r="32" spans="1:18" s="13" customFormat="1" ht="15.75" x14ac:dyDescent="0.25">
      <c r="A32" s="10"/>
      <c r="B32" s="24" t="s">
        <v>31</v>
      </c>
      <c r="C32" s="1" t="s">
        <v>17</v>
      </c>
      <c r="D32" s="165"/>
      <c r="E32" s="3" t="s">
        <v>32</v>
      </c>
      <c r="F32" s="73" t="s">
        <v>422</v>
      </c>
      <c r="G32" s="8" t="s">
        <v>117</v>
      </c>
      <c r="H32" s="1">
        <v>9</v>
      </c>
      <c r="I32" s="49">
        <v>1</v>
      </c>
      <c r="J32" s="46">
        <v>1</v>
      </c>
      <c r="K32" s="40">
        <v>2344.3000000000002</v>
      </c>
      <c r="L32" s="40"/>
      <c r="M32" s="38">
        <f t="shared" si="1"/>
        <v>2344.3000000000002</v>
      </c>
      <c r="N32" s="41">
        <v>6</v>
      </c>
      <c r="O32" s="40">
        <v>12150.4</v>
      </c>
      <c r="P32" s="40">
        <v>10229.4</v>
      </c>
      <c r="Q32" s="12">
        <f t="shared" si="2"/>
        <v>1921</v>
      </c>
    </row>
    <row r="33" spans="1:18" s="15" customFormat="1" ht="15.75" x14ac:dyDescent="0.25">
      <c r="A33" s="14"/>
      <c r="B33" s="80" t="s">
        <v>33</v>
      </c>
      <c r="C33" s="1" t="s">
        <v>17</v>
      </c>
      <c r="D33" s="165"/>
      <c r="E33" s="145" t="s">
        <v>20</v>
      </c>
      <c r="F33" s="73" t="s">
        <v>332</v>
      </c>
      <c r="G33" s="74" t="s">
        <v>112</v>
      </c>
      <c r="H33" s="75">
        <v>6</v>
      </c>
      <c r="I33" s="76">
        <v>3</v>
      </c>
      <c r="J33" s="96">
        <f>1+1+1</f>
        <v>3</v>
      </c>
      <c r="K33" s="77">
        <f>845.245+5363.43</f>
        <v>6208.6750000000002</v>
      </c>
      <c r="L33" s="77"/>
      <c r="M33" s="78">
        <f t="shared" si="1"/>
        <v>6208.6750000000002</v>
      </c>
      <c r="N33" s="100">
        <f>2+1+1+1+1+2</f>
        <v>8</v>
      </c>
      <c r="O33" s="81">
        <f>845.24+1613.64+3380.96</f>
        <v>5839.84</v>
      </c>
      <c r="P33" s="81">
        <f>1613.64</f>
        <v>1613.64</v>
      </c>
      <c r="Q33" s="79">
        <f t="shared" si="2"/>
        <v>4226.2</v>
      </c>
      <c r="R33" s="141"/>
    </row>
    <row r="34" spans="1:18" s="15" customFormat="1" ht="15.75" x14ac:dyDescent="0.25">
      <c r="A34" s="14"/>
      <c r="B34" s="23" t="s">
        <v>33</v>
      </c>
      <c r="C34" s="1" t="s">
        <v>17</v>
      </c>
      <c r="D34" s="165"/>
      <c r="E34" s="3" t="s">
        <v>20</v>
      </c>
      <c r="F34" s="73" t="s">
        <v>481</v>
      </c>
      <c r="G34" s="11" t="s">
        <v>114</v>
      </c>
      <c r="H34" s="1">
        <v>4</v>
      </c>
      <c r="I34" s="49"/>
      <c r="J34" s="51"/>
      <c r="K34" s="40"/>
      <c r="L34" s="40"/>
      <c r="M34" s="38">
        <f t="shared" si="1"/>
        <v>0</v>
      </c>
      <c r="N34" s="42">
        <v>13</v>
      </c>
      <c r="O34" s="31">
        <v>13071.87</v>
      </c>
      <c r="P34" s="31">
        <v>13071.87</v>
      </c>
      <c r="Q34" s="12">
        <f t="shared" si="2"/>
        <v>0</v>
      </c>
    </row>
    <row r="35" spans="1:18" s="15" customFormat="1" ht="15.75" x14ac:dyDescent="0.25">
      <c r="A35" s="14"/>
      <c r="B35" s="62" t="s">
        <v>147</v>
      </c>
      <c r="C35" s="1" t="s">
        <v>17</v>
      </c>
      <c r="D35" s="165"/>
      <c r="E35" s="3" t="s">
        <v>29</v>
      </c>
      <c r="F35" s="73" t="s">
        <v>334</v>
      </c>
      <c r="G35" s="74" t="s">
        <v>112</v>
      </c>
      <c r="H35" s="75">
        <v>3</v>
      </c>
      <c r="I35" s="102">
        <v>1</v>
      </c>
      <c r="J35" s="97">
        <f>1+1</f>
        <v>2</v>
      </c>
      <c r="K35" s="77">
        <f>1854.88</f>
        <v>1854.88</v>
      </c>
      <c r="L35" s="77"/>
      <c r="M35" s="78">
        <f t="shared" si="1"/>
        <v>1854.88</v>
      </c>
      <c r="N35" s="114">
        <f>1+1+1</f>
        <v>3</v>
      </c>
      <c r="O35" s="81">
        <f>1394.65+2473.17</f>
        <v>3867.82</v>
      </c>
      <c r="P35" s="81">
        <f>1394.65</f>
        <v>1394.65</v>
      </c>
      <c r="Q35" s="79">
        <f t="shared" si="2"/>
        <v>2473.17</v>
      </c>
      <c r="R35" s="141"/>
    </row>
    <row r="36" spans="1:18" s="15" customFormat="1" ht="15.75" x14ac:dyDescent="0.25">
      <c r="A36" s="14"/>
      <c r="B36" s="50" t="s">
        <v>147</v>
      </c>
      <c r="C36" s="1" t="s">
        <v>17</v>
      </c>
      <c r="D36" s="165"/>
      <c r="E36" s="3" t="s">
        <v>29</v>
      </c>
      <c r="F36" s="73" t="s">
        <v>423</v>
      </c>
      <c r="G36" s="11" t="s">
        <v>117</v>
      </c>
      <c r="H36" s="1">
        <v>3</v>
      </c>
      <c r="I36" s="48">
        <v>3</v>
      </c>
      <c r="J36" s="45">
        <v>3</v>
      </c>
      <c r="K36" s="40">
        <v>1728.9</v>
      </c>
      <c r="L36" s="40"/>
      <c r="M36" s="38">
        <f t="shared" si="1"/>
        <v>1728.9</v>
      </c>
      <c r="N36" s="42">
        <v>3</v>
      </c>
      <c r="O36" s="31">
        <v>6874.35</v>
      </c>
      <c r="P36" s="31">
        <v>3361.75</v>
      </c>
      <c r="Q36" s="12">
        <f t="shared" si="2"/>
        <v>3512.6000000000004</v>
      </c>
    </row>
    <row r="37" spans="1:18" s="13" customFormat="1" ht="15.75" x14ac:dyDescent="0.25">
      <c r="A37" s="10"/>
      <c r="B37" s="62" t="s">
        <v>34</v>
      </c>
      <c r="C37" s="1" t="s">
        <v>17</v>
      </c>
      <c r="D37" s="165"/>
      <c r="E37" s="17" t="s">
        <v>35</v>
      </c>
      <c r="F37" s="73" t="s">
        <v>335</v>
      </c>
      <c r="G37" s="74" t="s">
        <v>112</v>
      </c>
      <c r="H37" s="75">
        <v>16</v>
      </c>
      <c r="I37" s="76">
        <v>7</v>
      </c>
      <c r="J37" s="96">
        <f>4+2+2</f>
        <v>8</v>
      </c>
      <c r="K37" s="77">
        <f>8288.4+1267.86+845.24+13964.6</f>
        <v>24366.1</v>
      </c>
      <c r="L37" s="77"/>
      <c r="M37" s="78">
        <f t="shared" si="1"/>
        <v>24366.1</v>
      </c>
      <c r="N37" s="100">
        <f>4+4+6+1+3+1+3</f>
        <v>22</v>
      </c>
      <c r="O37" s="81">
        <f>23915.04+21171.88+6399.1+11460.81</f>
        <v>62946.829999999994</v>
      </c>
      <c r="P37" s="81">
        <f>28915.04+21171.88</f>
        <v>50086.92</v>
      </c>
      <c r="Q37" s="79">
        <f t="shared" si="2"/>
        <v>12859.909999999996</v>
      </c>
      <c r="R37" s="141"/>
    </row>
    <row r="38" spans="1:18" s="13" customFormat="1" ht="15.75" x14ac:dyDescent="0.25">
      <c r="A38" s="10"/>
      <c r="B38" s="22" t="s">
        <v>34</v>
      </c>
      <c r="C38" s="1" t="s">
        <v>17</v>
      </c>
      <c r="D38" s="165"/>
      <c r="E38" s="17" t="s">
        <v>35</v>
      </c>
      <c r="F38" s="73" t="s">
        <v>424</v>
      </c>
      <c r="G38" s="8" t="s">
        <v>117</v>
      </c>
      <c r="H38" s="1">
        <v>2</v>
      </c>
      <c r="I38" s="49">
        <v>1</v>
      </c>
      <c r="J38" s="46">
        <v>1</v>
      </c>
      <c r="K38" s="40"/>
      <c r="L38" s="40"/>
      <c r="M38" s="38">
        <f t="shared" si="1"/>
        <v>0</v>
      </c>
      <c r="N38" s="41">
        <v>3</v>
      </c>
      <c r="O38" s="31">
        <v>5570.9</v>
      </c>
      <c r="P38" s="31">
        <v>5570.9</v>
      </c>
      <c r="Q38" s="12">
        <f t="shared" si="2"/>
        <v>0</v>
      </c>
    </row>
    <row r="39" spans="1:18" s="13" customFormat="1" ht="15.75" x14ac:dyDescent="0.25">
      <c r="A39" s="10"/>
      <c r="B39" s="27" t="s">
        <v>36</v>
      </c>
      <c r="C39" s="1" t="s">
        <v>17</v>
      </c>
      <c r="D39" s="165"/>
      <c r="E39" s="17" t="s">
        <v>32</v>
      </c>
      <c r="F39" s="73" t="s">
        <v>336</v>
      </c>
      <c r="G39" s="74" t="s">
        <v>112</v>
      </c>
      <c r="H39" s="75">
        <v>13</v>
      </c>
      <c r="I39" s="76">
        <v>7</v>
      </c>
      <c r="J39" s="96">
        <f>1+3+4</f>
        <v>8</v>
      </c>
      <c r="K39" s="77">
        <f>2091.97+4201.22</f>
        <v>6293.1900000000005</v>
      </c>
      <c r="L39" s="77"/>
      <c r="M39" s="78">
        <f t="shared" si="1"/>
        <v>6293.1900000000005</v>
      </c>
      <c r="N39" s="100">
        <f>4+2+5+1+1</f>
        <v>13</v>
      </c>
      <c r="O39" s="81">
        <f>26828.22+3116.2+14162+4691</f>
        <v>48797.42</v>
      </c>
      <c r="P39" s="81">
        <f>8144.95+6017.05</f>
        <v>14162</v>
      </c>
      <c r="Q39" s="79">
        <f t="shared" si="2"/>
        <v>34635.42</v>
      </c>
      <c r="R39" s="141"/>
    </row>
    <row r="40" spans="1:18" s="13" customFormat="1" ht="15.75" x14ac:dyDescent="0.25">
      <c r="A40" s="10"/>
      <c r="B40" s="27" t="s">
        <v>38</v>
      </c>
      <c r="C40" s="1" t="s">
        <v>17</v>
      </c>
      <c r="D40" s="165"/>
      <c r="E40" s="3" t="s">
        <v>20</v>
      </c>
      <c r="F40" s="73" t="s">
        <v>338</v>
      </c>
      <c r="G40" s="74" t="s">
        <v>112</v>
      </c>
      <c r="H40" s="75">
        <v>25</v>
      </c>
      <c r="I40" s="76">
        <v>19</v>
      </c>
      <c r="J40" s="96">
        <f>5+9+3+4+4+2</f>
        <v>27</v>
      </c>
      <c r="K40" s="77">
        <f>4427.07+14262.52+23391.74</f>
        <v>42081.33</v>
      </c>
      <c r="L40" s="77">
        <f>4427.07</f>
        <v>4427.07</v>
      </c>
      <c r="M40" s="78">
        <f t="shared" si="1"/>
        <v>37654.26</v>
      </c>
      <c r="N40" s="100">
        <f>1+14+2+2+2</f>
        <v>21</v>
      </c>
      <c r="O40" s="81">
        <f>34449.99+27363.78+23604.86+16739.26</f>
        <v>102157.89</v>
      </c>
      <c r="P40" s="81">
        <f>34449.99+27363.78</f>
        <v>61813.77</v>
      </c>
      <c r="Q40" s="79">
        <f t="shared" si="2"/>
        <v>40344.120000000003</v>
      </c>
      <c r="R40" s="141"/>
    </row>
    <row r="41" spans="1:18" s="13" customFormat="1" ht="15.75" x14ac:dyDescent="0.25">
      <c r="A41" s="10"/>
      <c r="B41" s="25" t="s">
        <v>38</v>
      </c>
      <c r="C41" s="1" t="s">
        <v>17</v>
      </c>
      <c r="D41" s="165"/>
      <c r="E41" s="3" t="s">
        <v>20</v>
      </c>
      <c r="F41" s="73" t="s">
        <v>268</v>
      </c>
      <c r="G41" s="11" t="s">
        <v>114</v>
      </c>
      <c r="H41" s="1"/>
      <c r="I41" s="49"/>
      <c r="J41" s="51"/>
      <c r="K41" s="40"/>
      <c r="L41" s="40"/>
      <c r="M41" s="38">
        <f t="shared" si="1"/>
        <v>0</v>
      </c>
      <c r="N41" s="41"/>
      <c r="O41" s="31"/>
      <c r="P41" s="31"/>
      <c r="Q41" s="12">
        <f t="shared" si="2"/>
        <v>0</v>
      </c>
    </row>
    <row r="42" spans="1:18" s="13" customFormat="1" ht="15.75" x14ac:dyDescent="0.25">
      <c r="A42" s="10"/>
      <c r="B42" s="25" t="s">
        <v>38</v>
      </c>
      <c r="C42" s="1" t="s">
        <v>17</v>
      </c>
      <c r="D42" s="165"/>
      <c r="E42" s="3" t="s">
        <v>18</v>
      </c>
      <c r="F42" s="73" t="s">
        <v>324</v>
      </c>
      <c r="G42" s="11" t="s">
        <v>116</v>
      </c>
      <c r="H42" s="1">
        <v>3</v>
      </c>
      <c r="I42" s="49">
        <v>6</v>
      </c>
      <c r="J42" s="51">
        <v>6</v>
      </c>
      <c r="K42" s="40"/>
      <c r="L42" s="40"/>
      <c r="M42" s="38">
        <f t="shared" si="1"/>
        <v>0</v>
      </c>
      <c r="N42" s="41">
        <v>12</v>
      </c>
      <c r="O42" s="31"/>
      <c r="P42" s="31"/>
      <c r="Q42" s="12">
        <f t="shared" si="2"/>
        <v>0</v>
      </c>
    </row>
    <row r="43" spans="1:18" s="13" customFormat="1" ht="15.75" x14ac:dyDescent="0.25">
      <c r="A43" s="10"/>
      <c r="B43" s="22" t="s">
        <v>39</v>
      </c>
      <c r="C43" s="1" t="s">
        <v>17</v>
      </c>
      <c r="D43" s="165"/>
      <c r="E43" s="3" t="s">
        <v>20</v>
      </c>
      <c r="F43" s="73" t="s">
        <v>269</v>
      </c>
      <c r="G43" s="11" t="s">
        <v>114</v>
      </c>
      <c r="H43" s="1"/>
      <c r="I43" s="49"/>
      <c r="J43" s="51"/>
      <c r="K43" s="40"/>
      <c r="L43" s="40"/>
      <c r="M43" s="38">
        <f t="shared" si="1"/>
        <v>0</v>
      </c>
      <c r="N43" s="41"/>
      <c r="O43" s="31"/>
      <c r="P43" s="31"/>
      <c r="Q43" s="12">
        <f t="shared" si="2"/>
        <v>0</v>
      </c>
    </row>
    <row r="44" spans="1:18" s="13" customFormat="1" ht="15.75" x14ac:dyDescent="0.25">
      <c r="A44" s="10"/>
      <c r="B44" s="27" t="s">
        <v>40</v>
      </c>
      <c r="C44" s="1" t="s">
        <v>17</v>
      </c>
      <c r="D44" s="165"/>
      <c r="E44" s="17" t="s">
        <v>41</v>
      </c>
      <c r="F44" s="73" t="s">
        <v>339</v>
      </c>
      <c r="G44" s="74" t="s">
        <v>112</v>
      </c>
      <c r="H44" s="75">
        <v>15</v>
      </c>
      <c r="I44" s="76">
        <v>13</v>
      </c>
      <c r="J44" s="96">
        <f>1+1+3+9+4</f>
        <v>18</v>
      </c>
      <c r="K44" s="77">
        <f>1045.98+3271.86+15658.52</f>
        <v>19976.36</v>
      </c>
      <c r="L44" s="77">
        <f>1764.25</f>
        <v>1764.25</v>
      </c>
      <c r="M44" s="78">
        <f t="shared" si="1"/>
        <v>18212.11</v>
      </c>
      <c r="N44" s="100">
        <f>3+13+6+5+4</f>
        <v>31</v>
      </c>
      <c r="O44" s="81">
        <f>17269.31+39990.78+16582.12+23492.44</f>
        <v>97334.65</v>
      </c>
      <c r="P44" s="81">
        <f>17269.31+38226.53</f>
        <v>55495.839999999997</v>
      </c>
      <c r="Q44" s="79">
        <f t="shared" si="2"/>
        <v>41838.81</v>
      </c>
      <c r="R44" s="141"/>
    </row>
    <row r="45" spans="1:18" s="13" customFormat="1" ht="15.75" x14ac:dyDescent="0.25">
      <c r="A45" s="10"/>
      <c r="B45" s="25" t="s">
        <v>40</v>
      </c>
      <c r="C45" s="1" t="s">
        <v>17</v>
      </c>
      <c r="D45" s="165"/>
      <c r="E45" s="17" t="s">
        <v>41</v>
      </c>
      <c r="F45" s="73" t="s">
        <v>482</v>
      </c>
      <c r="G45" s="11" t="s">
        <v>114</v>
      </c>
      <c r="H45" s="1"/>
      <c r="I45" s="49"/>
      <c r="J45" s="51"/>
      <c r="K45" s="40"/>
      <c r="L45" s="40"/>
      <c r="M45" s="38">
        <f t="shared" si="1"/>
        <v>0</v>
      </c>
      <c r="N45" s="41">
        <v>1</v>
      </c>
      <c r="O45" s="31">
        <v>3073.6</v>
      </c>
      <c r="P45" s="31">
        <f>3073.6</f>
        <v>3073.6</v>
      </c>
      <c r="Q45" s="12">
        <f t="shared" si="2"/>
        <v>0</v>
      </c>
    </row>
    <row r="46" spans="1:18" s="13" customFormat="1" ht="15.75" x14ac:dyDescent="0.25">
      <c r="A46" s="10"/>
      <c r="B46" s="27" t="s">
        <v>148</v>
      </c>
      <c r="C46" s="1" t="s">
        <v>17</v>
      </c>
      <c r="D46" s="165"/>
      <c r="E46" s="3" t="s">
        <v>20</v>
      </c>
      <c r="F46" s="73" t="s">
        <v>340</v>
      </c>
      <c r="G46" s="74" t="s">
        <v>112</v>
      </c>
      <c r="H46" s="75">
        <v>12</v>
      </c>
      <c r="I46" s="82">
        <v>4</v>
      </c>
      <c r="J46" s="96">
        <f>1+2+1</f>
        <v>4</v>
      </c>
      <c r="K46" s="77">
        <f>537.88+2110.03</f>
        <v>2647.9100000000003</v>
      </c>
      <c r="L46" s="77">
        <f>537.88+537.88</f>
        <v>1075.76</v>
      </c>
      <c r="M46" s="78">
        <f t="shared" si="1"/>
        <v>1572.1500000000003</v>
      </c>
      <c r="N46" s="100">
        <f>6+5+3+1+1</f>
        <v>16</v>
      </c>
      <c r="O46" s="81">
        <f>9370.6+9456.38+8868.69+5367.27+11572.62</f>
        <v>44635.560000000005</v>
      </c>
      <c r="P46" s="81">
        <f>9370.6+9456.38</f>
        <v>18826.98</v>
      </c>
      <c r="Q46" s="79">
        <f t="shared" si="2"/>
        <v>25808.580000000005</v>
      </c>
      <c r="R46" s="141"/>
    </row>
    <row r="47" spans="1:18" s="13" customFormat="1" ht="15.75" x14ac:dyDescent="0.25">
      <c r="A47" s="10"/>
      <c r="B47" s="25" t="s">
        <v>148</v>
      </c>
      <c r="C47" s="1" t="s">
        <v>17</v>
      </c>
      <c r="D47" s="165"/>
      <c r="E47" s="17" t="s">
        <v>32</v>
      </c>
      <c r="F47" s="73" t="s">
        <v>425</v>
      </c>
      <c r="G47" s="11" t="s">
        <v>117</v>
      </c>
      <c r="H47" s="1">
        <v>5</v>
      </c>
      <c r="I47" s="49">
        <v>1</v>
      </c>
      <c r="J47" s="46">
        <v>1</v>
      </c>
      <c r="K47" s="40">
        <v>3649.9</v>
      </c>
      <c r="L47" s="40"/>
      <c r="M47" s="38">
        <f t="shared" si="1"/>
        <v>3649.9</v>
      </c>
      <c r="N47" s="41">
        <v>4</v>
      </c>
      <c r="O47" s="31">
        <v>7472.69</v>
      </c>
      <c r="P47" s="31">
        <v>6576.94</v>
      </c>
      <c r="Q47" s="12">
        <f t="shared" si="2"/>
        <v>895.75</v>
      </c>
    </row>
    <row r="48" spans="1:18" s="13" customFormat="1" ht="15.75" x14ac:dyDescent="0.25">
      <c r="A48" s="10"/>
      <c r="B48" s="30" t="s">
        <v>42</v>
      </c>
      <c r="C48" s="1" t="s">
        <v>17</v>
      </c>
      <c r="D48" s="165"/>
      <c r="E48" s="3" t="s">
        <v>23</v>
      </c>
      <c r="F48" s="73" t="s">
        <v>341</v>
      </c>
      <c r="G48" s="74" t="s">
        <v>112</v>
      </c>
      <c r="H48" s="75">
        <v>25</v>
      </c>
      <c r="I48" s="76">
        <v>12</v>
      </c>
      <c r="J48" s="96">
        <f>5+3+5+3</f>
        <v>16</v>
      </c>
      <c r="K48" s="77">
        <f>7156.22+3849.11+8154.25</f>
        <v>19159.580000000002</v>
      </c>
      <c r="L48" s="77"/>
      <c r="M48" s="78">
        <f t="shared" si="1"/>
        <v>19159.580000000002</v>
      </c>
      <c r="N48" s="100">
        <f>4+6+9+2+4+2+2+3</f>
        <v>32</v>
      </c>
      <c r="O48" s="81">
        <f>5364.2+26170.88+2849.25+18965.6+9565.56</f>
        <v>62915.49</v>
      </c>
      <c r="P48" s="81">
        <f>5364.2+20436.7+5734.18</f>
        <v>31535.08</v>
      </c>
      <c r="Q48" s="79">
        <f t="shared" si="2"/>
        <v>31380.409999999996</v>
      </c>
      <c r="R48" s="141"/>
    </row>
    <row r="49" spans="1:18" s="13" customFormat="1" ht="15.75" x14ac:dyDescent="0.25">
      <c r="A49" s="10"/>
      <c r="B49" s="24" t="s">
        <v>42</v>
      </c>
      <c r="C49" s="1" t="s">
        <v>17</v>
      </c>
      <c r="D49" s="165"/>
      <c r="E49" s="3" t="s">
        <v>23</v>
      </c>
      <c r="F49" s="73" t="s">
        <v>437</v>
      </c>
      <c r="G49" s="11" t="s">
        <v>118</v>
      </c>
      <c r="H49" s="1">
        <v>2</v>
      </c>
      <c r="I49" s="49"/>
      <c r="J49" s="46"/>
      <c r="K49" s="40"/>
      <c r="L49" s="40"/>
      <c r="M49" s="38">
        <f t="shared" si="1"/>
        <v>0</v>
      </c>
      <c r="N49" s="41">
        <v>1</v>
      </c>
      <c r="O49" s="31">
        <v>7766.4</v>
      </c>
      <c r="P49" s="31">
        <v>4226.2</v>
      </c>
      <c r="Q49" s="12">
        <f t="shared" si="2"/>
        <v>3540.2</v>
      </c>
    </row>
    <row r="50" spans="1:18" s="13" customFormat="1" ht="15.75" x14ac:dyDescent="0.25">
      <c r="A50" s="10"/>
      <c r="B50" s="30" t="s">
        <v>173</v>
      </c>
      <c r="C50" s="1" t="s">
        <v>17</v>
      </c>
      <c r="D50" s="165"/>
      <c r="E50" s="11" t="s">
        <v>118</v>
      </c>
      <c r="F50" s="73" t="s">
        <v>342</v>
      </c>
      <c r="G50" s="74" t="s">
        <v>112</v>
      </c>
      <c r="H50" s="75">
        <v>4</v>
      </c>
      <c r="I50" s="76">
        <v>4</v>
      </c>
      <c r="J50" s="96">
        <f>1+2+1</f>
        <v>4</v>
      </c>
      <c r="K50" s="77">
        <f>6833.76+696.36</f>
        <v>7530.12</v>
      </c>
      <c r="L50" s="77">
        <f>6833.76</f>
        <v>6833.76</v>
      </c>
      <c r="M50" s="78">
        <f t="shared" si="1"/>
        <v>696.35999999999967</v>
      </c>
      <c r="N50" s="100">
        <f>4+2</f>
        <v>6</v>
      </c>
      <c r="O50" s="81">
        <f>5931.9+4183.92+3158.95</f>
        <v>13274.77</v>
      </c>
      <c r="P50" s="81">
        <f>5931.9+4183.92+3158.95</f>
        <v>13274.77</v>
      </c>
      <c r="Q50" s="79">
        <f t="shared" si="2"/>
        <v>0</v>
      </c>
      <c r="R50" s="141"/>
    </row>
    <row r="51" spans="1:18" s="13" customFormat="1" ht="15.75" x14ac:dyDescent="0.25">
      <c r="A51" s="10"/>
      <c r="B51" s="22" t="s">
        <v>143</v>
      </c>
      <c r="C51" s="1" t="s">
        <v>64</v>
      </c>
      <c r="D51" s="165" t="s">
        <v>444</v>
      </c>
      <c r="E51" s="3" t="s">
        <v>20</v>
      </c>
      <c r="F51" s="73" t="s">
        <v>445</v>
      </c>
      <c r="G51" s="11" t="s">
        <v>114</v>
      </c>
      <c r="H51" s="1">
        <v>10</v>
      </c>
      <c r="I51" s="47"/>
      <c r="J51" s="51"/>
      <c r="K51" s="37"/>
      <c r="L51" s="37"/>
      <c r="M51" s="78">
        <f t="shared" si="1"/>
        <v>0</v>
      </c>
      <c r="N51" s="39">
        <v>15</v>
      </c>
      <c r="O51" s="31">
        <v>13367.1</v>
      </c>
      <c r="P51" s="31">
        <v>13367.1</v>
      </c>
      <c r="Q51" s="79">
        <f t="shared" si="2"/>
        <v>0</v>
      </c>
    </row>
    <row r="52" spans="1:18" s="13" customFormat="1" ht="15.75" x14ac:dyDescent="0.25">
      <c r="A52" s="10"/>
      <c r="B52" s="24" t="s">
        <v>158</v>
      </c>
      <c r="C52" s="1" t="s">
        <v>17</v>
      </c>
      <c r="D52" s="165"/>
      <c r="E52" s="17" t="s">
        <v>32</v>
      </c>
      <c r="F52" s="73" t="s">
        <v>426</v>
      </c>
      <c r="G52" s="11" t="s">
        <v>117</v>
      </c>
      <c r="H52" s="1">
        <v>6</v>
      </c>
      <c r="I52" s="47">
        <v>2</v>
      </c>
      <c r="J52" s="51">
        <v>2</v>
      </c>
      <c r="K52" s="37"/>
      <c r="L52" s="37"/>
      <c r="M52" s="38">
        <f t="shared" si="1"/>
        <v>0</v>
      </c>
      <c r="N52" s="39">
        <v>4</v>
      </c>
      <c r="O52" s="31">
        <v>9789.2000000000007</v>
      </c>
      <c r="P52" s="31">
        <v>6907.7</v>
      </c>
      <c r="Q52" s="12">
        <f t="shared" si="2"/>
        <v>2881.5000000000009</v>
      </c>
    </row>
    <row r="53" spans="1:18" s="15" customFormat="1" ht="15.75" x14ac:dyDescent="0.25">
      <c r="A53" s="14"/>
      <c r="B53" s="80" t="s">
        <v>43</v>
      </c>
      <c r="C53" s="1" t="s">
        <v>17</v>
      </c>
      <c r="D53" s="165"/>
      <c r="E53" s="3" t="s">
        <v>18</v>
      </c>
      <c r="F53" s="73" t="s">
        <v>344</v>
      </c>
      <c r="G53" s="74" t="s">
        <v>112</v>
      </c>
      <c r="H53" s="75">
        <v>17</v>
      </c>
      <c r="I53" s="76">
        <v>12</v>
      </c>
      <c r="J53" s="96">
        <f>1+2+2+5+2</f>
        <v>12</v>
      </c>
      <c r="K53" s="77">
        <f>1776.93+926.88</f>
        <v>2703.81</v>
      </c>
      <c r="L53" s="77">
        <f>403.41</f>
        <v>403.41</v>
      </c>
      <c r="M53" s="78">
        <f t="shared" si="1"/>
        <v>2300.4</v>
      </c>
      <c r="N53" s="100">
        <f>1+5+4+1+1</f>
        <v>12</v>
      </c>
      <c r="O53" s="81">
        <f>1223.8+3810.29+4959.02+10043.87+2769.48</f>
        <v>22806.460000000003</v>
      </c>
      <c r="P53" s="81">
        <f>1223.8+3810.29+4555.61</f>
        <v>9589.7000000000007</v>
      </c>
      <c r="Q53" s="79">
        <f t="shared" si="2"/>
        <v>13216.760000000002</v>
      </c>
      <c r="R53" s="141"/>
    </row>
    <row r="54" spans="1:18" s="15" customFormat="1" ht="31.5" x14ac:dyDescent="0.25">
      <c r="A54" s="14"/>
      <c r="B54" s="22" t="s">
        <v>43</v>
      </c>
      <c r="C54" s="1" t="s">
        <v>304</v>
      </c>
      <c r="D54" s="165" t="s">
        <v>473</v>
      </c>
      <c r="E54" s="3" t="s">
        <v>18</v>
      </c>
      <c r="F54" s="73" t="s">
        <v>323</v>
      </c>
      <c r="G54" s="11" t="s">
        <v>113</v>
      </c>
      <c r="H54" s="1">
        <v>15</v>
      </c>
      <c r="I54" s="126">
        <v>5</v>
      </c>
      <c r="J54" s="125">
        <v>5</v>
      </c>
      <c r="K54" s="40">
        <v>6339</v>
      </c>
      <c r="L54" s="40">
        <v>3804</v>
      </c>
      <c r="M54" s="38">
        <f t="shared" si="1"/>
        <v>2535</v>
      </c>
      <c r="N54" s="39">
        <v>11</v>
      </c>
      <c r="O54" s="31">
        <v>25343</v>
      </c>
      <c r="P54" s="31">
        <v>8360</v>
      </c>
      <c r="Q54" s="12">
        <f t="shared" si="2"/>
        <v>16983</v>
      </c>
    </row>
    <row r="55" spans="1:18" s="13" customFormat="1" ht="15.75" x14ac:dyDescent="0.25">
      <c r="A55" s="10"/>
      <c r="B55" s="30" t="s">
        <v>44</v>
      </c>
      <c r="C55" s="1" t="s">
        <v>17</v>
      </c>
      <c r="D55" s="165"/>
      <c r="E55" s="3" t="s">
        <v>20</v>
      </c>
      <c r="F55" s="73" t="s">
        <v>345</v>
      </c>
      <c r="G55" s="74" t="s">
        <v>112</v>
      </c>
      <c r="H55" s="75">
        <v>6</v>
      </c>
      <c r="I55" s="76">
        <v>6</v>
      </c>
      <c r="J55" s="96">
        <f>1+1+1+4</f>
        <v>7</v>
      </c>
      <c r="K55" s="77">
        <f>2422.38+1267.86+15410.58</f>
        <v>19100.82</v>
      </c>
      <c r="L55" s="77">
        <f>422.62+3690.24+845.24</f>
        <v>4958.0999999999995</v>
      </c>
      <c r="M55" s="78">
        <f t="shared" si="1"/>
        <v>14142.720000000001</v>
      </c>
      <c r="N55" s="100">
        <f>1+11</f>
        <v>12</v>
      </c>
      <c r="O55" s="81">
        <f>421.62+4603.39+10559.77+72902.04</f>
        <v>88486.819999999992</v>
      </c>
      <c r="P55" s="81">
        <f>10559.77+4603.39</f>
        <v>15163.16</v>
      </c>
      <c r="Q55" s="79">
        <f t="shared" si="2"/>
        <v>73323.659999999989</v>
      </c>
      <c r="R55" s="141"/>
    </row>
    <row r="56" spans="1:18" s="13" customFormat="1" ht="15.75" x14ac:dyDescent="0.25">
      <c r="A56" s="10"/>
      <c r="B56" s="24" t="s">
        <v>44</v>
      </c>
      <c r="C56" s="1" t="s">
        <v>17</v>
      </c>
      <c r="D56" s="165"/>
      <c r="E56" s="3" t="s">
        <v>20</v>
      </c>
      <c r="F56" s="73" t="s">
        <v>483</v>
      </c>
      <c r="G56" s="11" t="s">
        <v>114</v>
      </c>
      <c r="H56" s="1"/>
      <c r="I56" s="49"/>
      <c r="J56" s="51"/>
      <c r="K56" s="40"/>
      <c r="L56" s="40"/>
      <c r="M56" s="78">
        <f t="shared" si="1"/>
        <v>0</v>
      </c>
      <c r="N56" s="41">
        <v>2</v>
      </c>
      <c r="O56" s="31"/>
      <c r="P56" s="31"/>
      <c r="Q56" s="12">
        <f t="shared" si="2"/>
        <v>0</v>
      </c>
    </row>
    <row r="57" spans="1:18" s="13" customFormat="1" ht="15.75" x14ac:dyDescent="0.25">
      <c r="A57" s="10"/>
      <c r="B57" s="24" t="s">
        <v>492</v>
      </c>
      <c r="C57" s="1" t="s">
        <v>17</v>
      </c>
      <c r="D57" s="165"/>
      <c r="E57" s="3" t="s">
        <v>20</v>
      </c>
      <c r="F57" s="73" t="s">
        <v>499</v>
      </c>
      <c r="G57" s="11" t="s">
        <v>112</v>
      </c>
      <c r="H57" s="1">
        <v>7</v>
      </c>
      <c r="I57" s="49">
        <v>1</v>
      </c>
      <c r="J57" s="51">
        <f>1</f>
        <v>1</v>
      </c>
      <c r="K57" s="40"/>
      <c r="L57" s="40"/>
      <c r="M57" s="78"/>
      <c r="N57" s="41"/>
      <c r="O57" s="31"/>
      <c r="P57" s="31"/>
      <c r="Q57" s="12"/>
    </row>
    <row r="58" spans="1:18" s="13" customFormat="1" ht="15.75" x14ac:dyDescent="0.25">
      <c r="A58" s="10"/>
      <c r="B58" s="27" t="s">
        <v>45</v>
      </c>
      <c r="C58" s="1" t="s">
        <v>17</v>
      </c>
      <c r="D58" s="165"/>
      <c r="E58" s="3" t="s">
        <v>20</v>
      </c>
      <c r="F58" s="73" t="s">
        <v>346</v>
      </c>
      <c r="G58" s="74" t="s">
        <v>112</v>
      </c>
      <c r="H58" s="75"/>
      <c r="I58" s="76"/>
      <c r="J58" s="96"/>
      <c r="K58" s="77"/>
      <c r="L58" s="77"/>
      <c r="M58" s="38">
        <f t="shared" si="1"/>
        <v>0</v>
      </c>
      <c r="N58" s="100">
        <f>1</f>
        <v>1</v>
      </c>
      <c r="O58" s="81">
        <f>17995.91+2729.8</f>
        <v>20725.71</v>
      </c>
      <c r="P58" s="81"/>
      <c r="Q58" s="79">
        <f t="shared" si="2"/>
        <v>20725.71</v>
      </c>
      <c r="R58" s="141"/>
    </row>
    <row r="59" spans="1:18" s="13" customFormat="1" ht="15.75" x14ac:dyDescent="0.25">
      <c r="A59" s="10"/>
      <c r="B59" s="25" t="s">
        <v>45</v>
      </c>
      <c r="C59" s="1" t="s">
        <v>17</v>
      </c>
      <c r="D59" s="165"/>
      <c r="E59" s="3" t="s">
        <v>20</v>
      </c>
      <c r="F59" s="73" t="s">
        <v>484</v>
      </c>
      <c r="G59" s="11" t="s">
        <v>114</v>
      </c>
      <c r="H59" s="1"/>
      <c r="I59" s="49"/>
      <c r="J59" s="51"/>
      <c r="K59" s="40"/>
      <c r="L59" s="40"/>
      <c r="M59" s="78">
        <f t="shared" si="1"/>
        <v>0</v>
      </c>
      <c r="N59" s="41"/>
      <c r="O59" s="31"/>
      <c r="P59" s="31"/>
      <c r="Q59" s="12">
        <f t="shared" si="2"/>
        <v>0</v>
      </c>
    </row>
    <row r="60" spans="1:18" s="15" customFormat="1" ht="15.75" x14ac:dyDescent="0.25">
      <c r="A60" s="14"/>
      <c r="B60" s="28" t="s">
        <v>46</v>
      </c>
      <c r="C60" s="1" t="s">
        <v>17</v>
      </c>
      <c r="D60" s="165"/>
      <c r="E60" s="3" t="s">
        <v>20</v>
      </c>
      <c r="F60" s="73" t="s">
        <v>347</v>
      </c>
      <c r="G60" s="74" t="s">
        <v>112</v>
      </c>
      <c r="H60" s="75">
        <v>9</v>
      </c>
      <c r="I60" s="76">
        <v>7</v>
      </c>
      <c r="J60" s="96">
        <f>1+2+3+2+4</f>
        <v>12</v>
      </c>
      <c r="K60" s="77">
        <f>1045.98+1068.08+8157.32</f>
        <v>10271.379999999999</v>
      </c>
      <c r="L60" s="77">
        <v>1045.98</v>
      </c>
      <c r="M60" s="38">
        <f t="shared" si="1"/>
        <v>9225.4</v>
      </c>
      <c r="N60" s="100">
        <f>4+4+1</f>
        <v>9</v>
      </c>
      <c r="O60" s="81">
        <f>10759.2+10685.34</f>
        <v>21444.54</v>
      </c>
      <c r="P60" s="81">
        <v>10759.2</v>
      </c>
      <c r="Q60" s="79">
        <f t="shared" si="2"/>
        <v>10685.34</v>
      </c>
      <c r="R60" s="141"/>
    </row>
    <row r="61" spans="1:18" s="15" customFormat="1" ht="15.75" x14ac:dyDescent="0.25">
      <c r="A61" s="14"/>
      <c r="B61" s="26" t="s">
        <v>46</v>
      </c>
      <c r="C61" s="1" t="s">
        <v>17</v>
      </c>
      <c r="D61" s="165"/>
      <c r="E61" s="3" t="s">
        <v>20</v>
      </c>
      <c r="F61" s="73" t="s">
        <v>273</v>
      </c>
      <c r="G61" s="11" t="s">
        <v>114</v>
      </c>
      <c r="H61" s="1">
        <v>2</v>
      </c>
      <c r="I61" s="49"/>
      <c r="J61" s="51"/>
      <c r="K61" s="40"/>
      <c r="L61" s="40"/>
      <c r="M61" s="78">
        <f t="shared" si="1"/>
        <v>0</v>
      </c>
      <c r="N61" s="42">
        <v>3</v>
      </c>
      <c r="O61" s="31">
        <v>8068.2</v>
      </c>
      <c r="P61" s="31">
        <v>8068.2</v>
      </c>
      <c r="Q61" s="12">
        <f t="shared" si="2"/>
        <v>0</v>
      </c>
    </row>
    <row r="62" spans="1:18" s="13" customFormat="1" ht="47.25" x14ac:dyDescent="0.25">
      <c r="A62" s="10"/>
      <c r="B62" s="30" t="s">
        <v>47</v>
      </c>
      <c r="C62" s="1" t="s">
        <v>304</v>
      </c>
      <c r="D62" s="165" t="s">
        <v>474</v>
      </c>
      <c r="E62" s="3" t="s">
        <v>18</v>
      </c>
      <c r="F62" s="73" t="s">
        <v>348</v>
      </c>
      <c r="G62" s="74" t="s">
        <v>112</v>
      </c>
      <c r="H62" s="75">
        <v>24</v>
      </c>
      <c r="I62" s="76">
        <v>12</v>
      </c>
      <c r="J62" s="98">
        <f>1+1+3+21+7+2</f>
        <v>35</v>
      </c>
      <c r="K62" s="154">
        <f>1129.78+866.14+4090.7+2466.18+13383.67</f>
        <v>21936.47</v>
      </c>
      <c r="L62" s="77"/>
      <c r="M62" s="38">
        <f t="shared" si="1"/>
        <v>21936.47</v>
      </c>
      <c r="N62" s="100">
        <f>7+3+4+10+6+1+2+1</f>
        <v>34</v>
      </c>
      <c r="O62" s="81">
        <f>8477.51+15159.83+14079.46+15414.2+17995.91+2065.56+1859.53+9543.86+1728.53</f>
        <v>86324.39</v>
      </c>
      <c r="P62" s="81">
        <f>8477.51+15159.83</f>
        <v>23637.34</v>
      </c>
      <c r="Q62" s="79">
        <f t="shared" si="2"/>
        <v>62687.05</v>
      </c>
      <c r="R62" s="141"/>
    </row>
    <row r="63" spans="1:18" s="13" customFormat="1" ht="47.25" x14ac:dyDescent="0.25">
      <c r="A63" s="10"/>
      <c r="B63" s="22" t="s">
        <v>120</v>
      </c>
      <c r="C63" s="1" t="s">
        <v>304</v>
      </c>
      <c r="D63" s="165" t="s">
        <v>474</v>
      </c>
      <c r="E63" s="3" t="s">
        <v>18</v>
      </c>
      <c r="F63" s="73" t="s">
        <v>334</v>
      </c>
      <c r="G63" s="11" t="s">
        <v>116</v>
      </c>
      <c r="H63" s="1">
        <v>17</v>
      </c>
      <c r="I63" s="53">
        <v>7</v>
      </c>
      <c r="J63" s="127">
        <v>8</v>
      </c>
      <c r="K63" s="40">
        <v>5591</v>
      </c>
      <c r="L63" s="40">
        <v>1268</v>
      </c>
      <c r="M63" s="78">
        <f t="shared" si="1"/>
        <v>4323</v>
      </c>
      <c r="N63" s="41">
        <v>11</v>
      </c>
      <c r="O63" s="31">
        <v>34506</v>
      </c>
      <c r="P63" s="31">
        <v>26928</v>
      </c>
      <c r="Q63" s="12">
        <f t="shared" si="2"/>
        <v>7578</v>
      </c>
    </row>
    <row r="64" spans="1:18" s="13" customFormat="1" ht="15.75" x14ac:dyDescent="0.25">
      <c r="A64" s="10"/>
      <c r="B64" s="30" t="s">
        <v>134</v>
      </c>
      <c r="C64" s="1" t="s">
        <v>17</v>
      </c>
      <c r="D64" s="165"/>
      <c r="E64" s="3" t="s">
        <v>20</v>
      </c>
      <c r="F64" s="73" t="s">
        <v>349</v>
      </c>
      <c r="G64" s="74" t="s">
        <v>112</v>
      </c>
      <c r="H64" s="75">
        <v>9</v>
      </c>
      <c r="I64" s="76">
        <v>7</v>
      </c>
      <c r="J64" s="96">
        <f>1+4+1</f>
        <v>6</v>
      </c>
      <c r="K64" s="77">
        <f>7301.48+1473.89+1911.09+1690.48</f>
        <v>12376.939999999999</v>
      </c>
      <c r="L64" s="77">
        <f>7301.48</f>
        <v>7301.48</v>
      </c>
      <c r="M64" s="38">
        <f t="shared" si="1"/>
        <v>5075.4599999999991</v>
      </c>
      <c r="N64" s="100">
        <f>4+1</f>
        <v>5</v>
      </c>
      <c r="O64" s="81">
        <f>5020.05+3215.31+12312.39+4648.82+32425.98</f>
        <v>57622.55</v>
      </c>
      <c r="P64" s="81">
        <f>5020.05</f>
        <v>5020.05</v>
      </c>
      <c r="Q64" s="79">
        <f t="shared" si="2"/>
        <v>52602.5</v>
      </c>
      <c r="R64" s="141"/>
    </row>
    <row r="65" spans="1:18" s="13" customFormat="1" ht="15.75" x14ac:dyDescent="0.25">
      <c r="A65" s="10"/>
      <c r="B65" s="24" t="s">
        <v>134</v>
      </c>
      <c r="C65" s="1" t="s">
        <v>17</v>
      </c>
      <c r="D65" s="165"/>
      <c r="E65" s="3" t="s">
        <v>20</v>
      </c>
      <c r="F65" s="73" t="s">
        <v>456</v>
      </c>
      <c r="G65" s="11" t="s">
        <v>114</v>
      </c>
      <c r="H65" s="1">
        <v>13</v>
      </c>
      <c r="I65" s="49">
        <v>2</v>
      </c>
      <c r="J65" s="51">
        <v>2</v>
      </c>
      <c r="K65" s="40"/>
      <c r="L65" s="40"/>
      <c r="M65" s="78">
        <f t="shared" si="1"/>
        <v>0</v>
      </c>
      <c r="N65" s="41">
        <v>22</v>
      </c>
      <c r="O65" s="31">
        <v>34751.910000000003</v>
      </c>
      <c r="P65" s="31">
        <v>34751.910000000003</v>
      </c>
      <c r="Q65" s="12">
        <f t="shared" si="2"/>
        <v>0</v>
      </c>
    </row>
    <row r="66" spans="1:18" s="13" customFormat="1" ht="15.75" x14ac:dyDescent="0.25">
      <c r="A66" s="10"/>
      <c r="B66" s="62" t="s">
        <v>48</v>
      </c>
      <c r="C66" s="1" t="s">
        <v>17</v>
      </c>
      <c r="D66" s="165"/>
      <c r="E66" s="3" t="s">
        <v>20</v>
      </c>
      <c r="F66" s="73" t="s">
        <v>350</v>
      </c>
      <c r="G66" s="74" t="s">
        <v>112</v>
      </c>
      <c r="H66" s="75">
        <v>10</v>
      </c>
      <c r="I66" s="76">
        <v>7</v>
      </c>
      <c r="J66" s="96">
        <f>1+1+2</f>
        <v>4</v>
      </c>
      <c r="K66" s="77">
        <f>4805.96+2585.78+3065.92</f>
        <v>10457.66</v>
      </c>
      <c r="L66" s="77"/>
      <c r="M66" s="38">
        <f t="shared" si="1"/>
        <v>10457.66</v>
      </c>
      <c r="N66" s="100">
        <f>2+1+2</f>
        <v>5</v>
      </c>
      <c r="O66" s="81">
        <f>23174.33+2535.72+11633.02+6993.42+20756.4</f>
        <v>65092.890000000007</v>
      </c>
      <c r="P66" s="81">
        <f>22598.03+2535.72</f>
        <v>25133.75</v>
      </c>
      <c r="Q66" s="79">
        <f t="shared" si="2"/>
        <v>39959.140000000007</v>
      </c>
      <c r="R66" s="141"/>
    </row>
    <row r="67" spans="1:18" s="13" customFormat="1" ht="15.75" x14ac:dyDescent="0.25">
      <c r="A67" s="10"/>
      <c r="B67" s="62" t="s">
        <v>49</v>
      </c>
      <c r="C67" s="1" t="s">
        <v>17</v>
      </c>
      <c r="D67" s="165"/>
      <c r="E67" s="3" t="s">
        <v>50</v>
      </c>
      <c r="F67" s="73" t="s">
        <v>351</v>
      </c>
      <c r="G67" s="74" t="s">
        <v>112</v>
      </c>
      <c r="H67" s="75">
        <v>16</v>
      </c>
      <c r="I67" s="76">
        <v>5</v>
      </c>
      <c r="J67" s="96">
        <f>1+4</f>
        <v>5</v>
      </c>
      <c r="K67" s="77">
        <f>525.65+1267.86</f>
        <v>1793.5099999999998</v>
      </c>
      <c r="L67" s="77"/>
      <c r="M67" s="78">
        <f t="shared" si="1"/>
        <v>1793.5099999999998</v>
      </c>
      <c r="N67" s="100">
        <f>5+1+3</f>
        <v>9</v>
      </c>
      <c r="O67" s="81">
        <f>7374+1806.93+7275.53+4666.9+2684.03</f>
        <v>23807.39</v>
      </c>
      <c r="P67" s="81">
        <f>7374+9082.46</f>
        <v>16456.46</v>
      </c>
      <c r="Q67" s="12">
        <f t="shared" si="2"/>
        <v>7350.93</v>
      </c>
      <c r="R67" s="141"/>
    </row>
    <row r="68" spans="1:18" s="13" customFormat="1" ht="15.75" x14ac:dyDescent="0.25">
      <c r="A68" s="10"/>
      <c r="B68" s="22" t="s">
        <v>49</v>
      </c>
      <c r="C68" s="1" t="s">
        <v>17</v>
      </c>
      <c r="D68" s="165"/>
      <c r="E68" s="3" t="s">
        <v>50</v>
      </c>
      <c r="F68" s="73" t="s">
        <v>427</v>
      </c>
      <c r="G68" s="11" t="s">
        <v>115</v>
      </c>
      <c r="H68" s="1">
        <v>8</v>
      </c>
      <c r="I68" s="49">
        <v>1</v>
      </c>
      <c r="J68" s="46">
        <v>1</v>
      </c>
      <c r="K68" s="40">
        <v>2408.23</v>
      </c>
      <c r="L68" s="40"/>
      <c r="M68" s="38">
        <f t="shared" si="1"/>
        <v>2408.23</v>
      </c>
      <c r="N68" s="41">
        <v>8</v>
      </c>
      <c r="O68" s="31">
        <v>11237.9</v>
      </c>
      <c r="P68" s="31">
        <v>4898.6000000000004</v>
      </c>
      <c r="Q68" s="79">
        <f t="shared" si="2"/>
        <v>6339.2999999999993</v>
      </c>
    </row>
    <row r="69" spans="1:18" s="13" customFormat="1" ht="15.75" x14ac:dyDescent="0.25">
      <c r="A69" s="10"/>
      <c r="B69" s="27" t="s">
        <v>51</v>
      </c>
      <c r="C69" s="1" t="s">
        <v>17</v>
      </c>
      <c r="D69" s="165"/>
      <c r="E69" s="3" t="s">
        <v>20</v>
      </c>
      <c r="F69" s="73" t="s">
        <v>186</v>
      </c>
      <c r="G69" s="74" t="s">
        <v>112</v>
      </c>
      <c r="H69" s="75"/>
      <c r="I69" s="76"/>
      <c r="J69" s="96"/>
      <c r="K69" s="77"/>
      <c r="L69" s="77"/>
      <c r="M69" s="78">
        <f t="shared" si="1"/>
        <v>0</v>
      </c>
      <c r="N69" s="100">
        <f>1</f>
        <v>1</v>
      </c>
      <c r="O69" s="81">
        <v>2451.87</v>
      </c>
      <c r="P69" s="81">
        <f>2451.87</f>
        <v>2451.87</v>
      </c>
      <c r="Q69" s="12">
        <f t="shared" si="2"/>
        <v>0</v>
      </c>
      <c r="R69" s="141"/>
    </row>
    <row r="70" spans="1:18" s="13" customFormat="1" ht="15.75" x14ac:dyDescent="0.25">
      <c r="A70" s="10"/>
      <c r="B70" s="27" t="s">
        <v>51</v>
      </c>
      <c r="C70" s="1" t="s">
        <v>17</v>
      </c>
      <c r="D70" s="165"/>
      <c r="E70" s="3" t="s">
        <v>20</v>
      </c>
      <c r="F70" s="73" t="s">
        <v>276</v>
      </c>
      <c r="G70" s="11" t="s">
        <v>114</v>
      </c>
      <c r="H70" s="1"/>
      <c r="I70" s="49"/>
      <c r="J70" s="51"/>
      <c r="K70" s="40"/>
      <c r="L70" s="40"/>
      <c r="M70" s="38">
        <f t="shared" si="1"/>
        <v>0</v>
      </c>
      <c r="N70" s="41">
        <v>3</v>
      </c>
      <c r="O70" s="31">
        <v>6763.6</v>
      </c>
      <c r="P70" s="31">
        <v>6763.6</v>
      </c>
      <c r="Q70" s="79">
        <f t="shared" si="2"/>
        <v>0</v>
      </c>
    </row>
    <row r="71" spans="1:18" s="13" customFormat="1" ht="15.75" x14ac:dyDescent="0.25">
      <c r="A71" s="10"/>
      <c r="B71" s="62" t="s">
        <v>52</v>
      </c>
      <c r="C71" s="1" t="s">
        <v>17</v>
      </c>
      <c r="D71" s="165"/>
      <c r="E71" s="3" t="s">
        <v>20</v>
      </c>
      <c r="F71" s="73" t="s">
        <v>352</v>
      </c>
      <c r="G71" s="74" t="s">
        <v>112</v>
      </c>
      <c r="H71" s="75">
        <v>6</v>
      </c>
      <c r="I71" s="76"/>
      <c r="J71" s="96">
        <f>1</f>
        <v>1</v>
      </c>
      <c r="K71" s="77"/>
      <c r="L71" s="77"/>
      <c r="M71" s="78">
        <f t="shared" si="1"/>
        <v>0</v>
      </c>
      <c r="N71" s="100">
        <f>4+3+1+1+2+3</f>
        <v>14</v>
      </c>
      <c r="O71" s="81">
        <f>5977.15+48296.91+7596.86+1061.83</f>
        <v>62932.750000000007</v>
      </c>
      <c r="P71" s="81">
        <f>48296.91+13574.01</f>
        <v>61870.920000000006</v>
      </c>
      <c r="Q71" s="12">
        <f t="shared" si="2"/>
        <v>1061.8300000000017</v>
      </c>
      <c r="R71" s="141"/>
    </row>
    <row r="72" spans="1:18" s="13" customFormat="1" ht="15.75" x14ac:dyDescent="0.25">
      <c r="A72" s="10"/>
      <c r="B72" s="22" t="s">
        <v>52</v>
      </c>
      <c r="C72" s="1" t="s">
        <v>17</v>
      </c>
      <c r="D72" s="165"/>
      <c r="E72" s="3" t="s">
        <v>20</v>
      </c>
      <c r="F72" s="73" t="s">
        <v>457</v>
      </c>
      <c r="G72" s="11" t="s">
        <v>114</v>
      </c>
      <c r="H72" s="1">
        <v>8</v>
      </c>
      <c r="I72" s="49">
        <v>1</v>
      </c>
      <c r="J72" s="51">
        <v>1</v>
      </c>
      <c r="K72" s="40"/>
      <c r="L72" s="40"/>
      <c r="M72" s="38">
        <f t="shared" si="1"/>
        <v>0</v>
      </c>
      <c r="N72" s="41">
        <v>15</v>
      </c>
      <c r="O72" s="31">
        <v>27349.86</v>
      </c>
      <c r="P72" s="31">
        <v>27349.86</v>
      </c>
      <c r="Q72" s="79">
        <f t="shared" si="2"/>
        <v>0</v>
      </c>
    </row>
    <row r="73" spans="1:18" s="13" customFormat="1" ht="15.75" x14ac:dyDescent="0.25">
      <c r="A73" s="10"/>
      <c r="B73" s="27" t="s">
        <v>53</v>
      </c>
      <c r="C73" s="1" t="s">
        <v>17</v>
      </c>
      <c r="D73" s="165"/>
      <c r="E73" s="3" t="s">
        <v>20</v>
      </c>
      <c r="F73" s="73" t="s">
        <v>353</v>
      </c>
      <c r="G73" s="74" t="s">
        <v>112</v>
      </c>
      <c r="H73" s="75">
        <v>7</v>
      </c>
      <c r="I73" s="76">
        <v>4</v>
      </c>
      <c r="J73" s="96">
        <f>2+2</f>
        <v>4</v>
      </c>
      <c r="K73" s="77"/>
      <c r="L73" s="77"/>
      <c r="M73" s="78">
        <f>K73-L73</f>
        <v>0</v>
      </c>
      <c r="N73" s="100">
        <f>1+2+2+1</f>
        <v>6</v>
      </c>
      <c r="O73" s="81">
        <f>1743.3+3921.71+422.62</f>
        <v>6087.63</v>
      </c>
      <c r="P73" s="81">
        <f>422.62+1743.3+3921.71</f>
        <v>6087.63</v>
      </c>
      <c r="Q73" s="12">
        <f t="shared" si="2"/>
        <v>0</v>
      </c>
      <c r="R73" s="141"/>
    </row>
    <row r="74" spans="1:18" s="13" customFormat="1" ht="15.75" x14ac:dyDescent="0.25">
      <c r="A74" s="10"/>
      <c r="B74" s="27" t="s">
        <v>149</v>
      </c>
      <c r="C74" s="1" t="s">
        <v>17</v>
      </c>
      <c r="D74" s="165"/>
      <c r="E74" s="3" t="s">
        <v>383</v>
      </c>
      <c r="F74" s="73" t="s">
        <v>354</v>
      </c>
      <c r="G74" s="74" t="s">
        <v>112</v>
      </c>
      <c r="H74" s="75">
        <v>23</v>
      </c>
      <c r="I74" s="76"/>
      <c r="J74" s="96"/>
      <c r="K74" s="77"/>
      <c r="L74" s="77"/>
      <c r="M74" s="38">
        <f t="shared" si="1"/>
        <v>0</v>
      </c>
      <c r="N74" s="100">
        <f>2+2</f>
        <v>4</v>
      </c>
      <c r="O74" s="81">
        <f>3676.8+3431.65</f>
        <v>7108.4500000000007</v>
      </c>
      <c r="P74" s="81">
        <f>1903.98+3431.65</f>
        <v>5335.63</v>
      </c>
      <c r="Q74" s="79">
        <f t="shared" si="2"/>
        <v>1772.8200000000006</v>
      </c>
      <c r="R74" s="141"/>
    </row>
    <row r="75" spans="1:18" s="13" customFormat="1" ht="15.75" x14ac:dyDescent="0.25">
      <c r="A75" s="10"/>
      <c r="B75" s="25" t="s">
        <v>149</v>
      </c>
      <c r="C75" s="1" t="s">
        <v>17</v>
      </c>
      <c r="D75" s="165"/>
      <c r="E75" s="3" t="s">
        <v>383</v>
      </c>
      <c r="F75" s="73" t="s">
        <v>438</v>
      </c>
      <c r="G75" s="11" t="s">
        <v>118</v>
      </c>
      <c r="H75" s="1">
        <v>3</v>
      </c>
      <c r="I75" s="47"/>
      <c r="J75" s="51"/>
      <c r="K75" s="37"/>
      <c r="L75" s="37"/>
      <c r="M75" s="78">
        <f t="shared" si="1"/>
        <v>0</v>
      </c>
      <c r="N75" s="39">
        <v>3</v>
      </c>
      <c r="O75" s="31">
        <v>4994.6000000000004</v>
      </c>
      <c r="P75" s="31">
        <v>4994.6000000000004</v>
      </c>
      <c r="Q75" s="12">
        <f t="shared" si="2"/>
        <v>0</v>
      </c>
    </row>
    <row r="76" spans="1:18" s="13" customFormat="1" ht="15.75" x14ac:dyDescent="0.25">
      <c r="A76" s="10"/>
      <c r="B76" s="62" t="s">
        <v>107</v>
      </c>
      <c r="C76" s="1" t="s">
        <v>17</v>
      </c>
      <c r="D76" s="165"/>
      <c r="E76" s="17" t="s">
        <v>20</v>
      </c>
      <c r="F76" s="73" t="s">
        <v>355</v>
      </c>
      <c r="G76" s="74" t="s">
        <v>112</v>
      </c>
      <c r="H76" s="75">
        <v>7</v>
      </c>
      <c r="I76" s="76"/>
      <c r="J76" s="96">
        <f>1</f>
        <v>1</v>
      </c>
      <c r="K76" s="77">
        <f>666.63</f>
        <v>666.63</v>
      </c>
      <c r="L76" s="77">
        <f>666.63</f>
        <v>666.63</v>
      </c>
      <c r="M76" s="38">
        <f t="shared" si="1"/>
        <v>0</v>
      </c>
      <c r="N76" s="100">
        <f>2+6+1</f>
        <v>9</v>
      </c>
      <c r="O76" s="81">
        <f>7612.92+18804.48+9163.33</f>
        <v>35580.730000000003</v>
      </c>
      <c r="P76" s="81">
        <f>7612.92+9952.7+8851.78</f>
        <v>26417.4</v>
      </c>
      <c r="Q76" s="79">
        <f t="shared" si="2"/>
        <v>9163.3300000000017</v>
      </c>
      <c r="R76" s="141"/>
    </row>
    <row r="77" spans="1:18" s="13" customFormat="1" ht="15.75" x14ac:dyDescent="0.25">
      <c r="A77" s="10"/>
      <c r="B77" s="30" t="s">
        <v>54</v>
      </c>
      <c r="C77" s="1" t="s">
        <v>17</v>
      </c>
      <c r="D77" s="165"/>
      <c r="E77" s="17" t="s">
        <v>20</v>
      </c>
      <c r="F77" s="73" t="s">
        <v>356</v>
      </c>
      <c r="G77" s="74" t="s">
        <v>112</v>
      </c>
      <c r="H77" s="75"/>
      <c r="I77" s="76"/>
      <c r="J77" s="96"/>
      <c r="K77" s="77"/>
      <c r="L77" s="77"/>
      <c r="M77" s="38">
        <f t="shared" si="1"/>
        <v>0</v>
      </c>
      <c r="N77" s="100">
        <f>4+1+1</f>
        <v>6</v>
      </c>
      <c r="O77" s="81">
        <f>17895.28</f>
        <v>17895.28</v>
      </c>
      <c r="P77" s="81">
        <v>17895.28</v>
      </c>
      <c r="Q77" s="79">
        <f t="shared" si="2"/>
        <v>0</v>
      </c>
      <c r="R77" s="141"/>
    </row>
    <row r="78" spans="1:18" s="13" customFormat="1" ht="31.5" x14ac:dyDescent="0.25">
      <c r="A78" s="10"/>
      <c r="B78" s="27" t="s">
        <v>55</v>
      </c>
      <c r="C78" s="1" t="s">
        <v>304</v>
      </c>
      <c r="D78" s="165" t="s">
        <v>387</v>
      </c>
      <c r="E78" s="3" t="s">
        <v>20</v>
      </c>
      <c r="F78" s="73" t="s">
        <v>357</v>
      </c>
      <c r="G78" s="74" t="s">
        <v>112</v>
      </c>
      <c r="H78" s="75">
        <v>12</v>
      </c>
      <c r="I78" s="76">
        <v>8</v>
      </c>
      <c r="J78" s="96">
        <f>3</f>
        <v>3</v>
      </c>
      <c r="K78" s="77">
        <f>1267.86+6667.8+5756.15</f>
        <v>13691.81</v>
      </c>
      <c r="L78" s="77"/>
      <c r="M78" s="78">
        <f t="shared" si="1"/>
        <v>13691.81</v>
      </c>
      <c r="N78" s="100">
        <f>2+1+2+2</f>
        <v>7</v>
      </c>
      <c r="O78" s="81">
        <f>34854.19+2113.1+6430.67+5463.42+39145.22</f>
        <v>88006.6</v>
      </c>
      <c r="P78" s="81">
        <f>34854.19+2113.1</f>
        <v>36967.29</v>
      </c>
      <c r="Q78" s="12">
        <f t="shared" si="2"/>
        <v>51039.310000000005</v>
      </c>
      <c r="R78" s="141"/>
    </row>
    <row r="79" spans="1:18" s="13" customFormat="1" ht="31.5" x14ac:dyDescent="0.25">
      <c r="A79" s="10"/>
      <c r="B79" s="62" t="s">
        <v>56</v>
      </c>
      <c r="C79" s="1" t="s">
        <v>17</v>
      </c>
      <c r="D79" s="165" t="s">
        <v>386</v>
      </c>
      <c r="E79" s="3" t="s">
        <v>18</v>
      </c>
      <c r="F79" s="73" t="s">
        <v>358</v>
      </c>
      <c r="G79" s="74" t="s">
        <v>112</v>
      </c>
      <c r="H79" s="75">
        <v>4</v>
      </c>
      <c r="I79" s="76">
        <v>2</v>
      </c>
      <c r="J79" s="96">
        <f>1+1</f>
        <v>2</v>
      </c>
      <c r="K79" s="77">
        <f>678.11</f>
        <v>678.11</v>
      </c>
      <c r="L79" s="77">
        <f>678.11</f>
        <v>678.11</v>
      </c>
      <c r="M79" s="38">
        <f t="shared" si="1"/>
        <v>0</v>
      </c>
      <c r="N79" s="100"/>
      <c r="O79" s="81"/>
      <c r="P79" s="81"/>
      <c r="Q79" s="79">
        <f t="shared" si="2"/>
        <v>0</v>
      </c>
      <c r="R79" s="141"/>
    </row>
    <row r="80" spans="1:18" s="13" customFormat="1" ht="31.5" x14ac:dyDescent="0.25">
      <c r="A80" s="10"/>
      <c r="B80" s="22" t="s">
        <v>56</v>
      </c>
      <c r="C80" s="1" t="s">
        <v>304</v>
      </c>
      <c r="D80" s="165" t="s">
        <v>386</v>
      </c>
      <c r="E80" s="3" t="s">
        <v>18</v>
      </c>
      <c r="F80" s="73" t="s">
        <v>476</v>
      </c>
      <c r="G80" s="11" t="s">
        <v>113</v>
      </c>
      <c r="H80" s="1">
        <v>4</v>
      </c>
      <c r="I80" s="49">
        <v>2</v>
      </c>
      <c r="J80" s="46">
        <v>2</v>
      </c>
      <c r="K80" s="40">
        <v>3401</v>
      </c>
      <c r="L80" s="40">
        <v>1268</v>
      </c>
      <c r="M80" s="78">
        <f t="shared" si="1"/>
        <v>2133</v>
      </c>
      <c r="N80" s="41"/>
      <c r="O80" s="31">
        <v>7612</v>
      </c>
      <c r="P80" s="31">
        <v>7612</v>
      </c>
      <c r="Q80" s="12">
        <f t="shared" ref="Q80:Q148" si="3">O80-P80</f>
        <v>0</v>
      </c>
    </row>
    <row r="81" spans="1:18" s="13" customFormat="1" ht="15.75" x14ac:dyDescent="0.25">
      <c r="A81" s="10"/>
      <c r="B81" s="62" t="s">
        <v>156</v>
      </c>
      <c r="C81" s="1" t="s">
        <v>304</v>
      </c>
      <c r="D81" s="165"/>
      <c r="E81" s="3" t="s">
        <v>20</v>
      </c>
      <c r="F81" s="73" t="s">
        <v>359</v>
      </c>
      <c r="G81" s="74" t="s">
        <v>112</v>
      </c>
      <c r="H81" s="75">
        <v>3</v>
      </c>
      <c r="I81" s="76">
        <v>2</v>
      </c>
      <c r="J81" s="96">
        <f>2</f>
        <v>2</v>
      </c>
      <c r="K81" s="77">
        <f>1690.48</f>
        <v>1690.48</v>
      </c>
      <c r="L81" s="77"/>
      <c r="M81" s="38">
        <f t="shared" si="1"/>
        <v>1690.48</v>
      </c>
      <c r="N81" s="100">
        <f>3+1</f>
        <v>4</v>
      </c>
      <c r="O81" s="81">
        <f>5488.54+2398.37+422.62</f>
        <v>8309.5300000000007</v>
      </c>
      <c r="P81" s="81">
        <f>5488.54+2398.37</f>
        <v>7886.91</v>
      </c>
      <c r="Q81" s="79">
        <f t="shared" si="3"/>
        <v>422.6200000000008</v>
      </c>
      <c r="R81" s="141"/>
    </row>
    <row r="82" spans="1:18" s="15" customFormat="1" ht="15.75" x14ac:dyDescent="0.25">
      <c r="A82" s="14"/>
      <c r="B82" s="80" t="s">
        <v>57</v>
      </c>
      <c r="C82" s="1" t="s">
        <v>17</v>
      </c>
      <c r="D82" s="165"/>
      <c r="E82" s="3" t="s">
        <v>20</v>
      </c>
      <c r="F82" s="73" t="s">
        <v>360</v>
      </c>
      <c r="G82" s="74" t="s">
        <v>112</v>
      </c>
      <c r="H82" s="75">
        <v>6</v>
      </c>
      <c r="I82" s="76">
        <v>4</v>
      </c>
      <c r="J82" s="96">
        <f>2+1+1</f>
        <v>4</v>
      </c>
      <c r="K82" s="77">
        <f>806.82</f>
        <v>806.82</v>
      </c>
      <c r="L82" s="77"/>
      <c r="M82" s="78">
        <f t="shared" si="1"/>
        <v>806.82</v>
      </c>
      <c r="N82" s="100">
        <f>2+1</f>
        <v>3</v>
      </c>
      <c r="O82" s="81">
        <f>2745.3</f>
        <v>2745.3</v>
      </c>
      <c r="P82" s="81">
        <v>2745.3</v>
      </c>
      <c r="Q82" s="12">
        <f t="shared" si="3"/>
        <v>0</v>
      </c>
      <c r="R82" s="141"/>
    </row>
    <row r="83" spans="1:18" s="15" customFormat="1" ht="15.75" x14ac:dyDescent="0.25">
      <c r="A83" s="14"/>
      <c r="B83" s="23" t="s">
        <v>57</v>
      </c>
      <c r="C83" s="1" t="s">
        <v>17</v>
      </c>
      <c r="D83" s="165"/>
      <c r="E83" s="3" t="s">
        <v>20</v>
      </c>
      <c r="F83" s="73" t="s">
        <v>458</v>
      </c>
      <c r="G83" s="11" t="s">
        <v>114</v>
      </c>
      <c r="H83" s="1">
        <v>19</v>
      </c>
      <c r="I83" s="49">
        <v>3</v>
      </c>
      <c r="J83" s="51">
        <v>3</v>
      </c>
      <c r="K83" s="40">
        <v>1267.8599999999999</v>
      </c>
      <c r="L83" s="40">
        <v>1267.8599999999999</v>
      </c>
      <c r="M83" s="38">
        <f t="shared" si="1"/>
        <v>0</v>
      </c>
      <c r="N83" s="42">
        <v>12</v>
      </c>
      <c r="O83" s="31">
        <v>20647.63</v>
      </c>
      <c r="P83" s="31">
        <v>20647.63</v>
      </c>
      <c r="Q83" s="79">
        <f t="shared" si="3"/>
        <v>0</v>
      </c>
    </row>
    <row r="84" spans="1:18" s="13" customFormat="1" ht="15.75" x14ac:dyDescent="0.25">
      <c r="A84" s="10"/>
      <c r="B84" s="62" t="s">
        <v>58</v>
      </c>
      <c r="C84" s="1" t="s">
        <v>17</v>
      </c>
      <c r="D84" s="165"/>
      <c r="E84" s="3" t="s">
        <v>20</v>
      </c>
      <c r="F84" s="73" t="s">
        <v>361</v>
      </c>
      <c r="G84" s="74" t="s">
        <v>112</v>
      </c>
      <c r="H84" s="75">
        <v>4</v>
      </c>
      <c r="I84" s="76">
        <v>1</v>
      </c>
      <c r="J84" s="96">
        <f>1</f>
        <v>1</v>
      </c>
      <c r="K84" s="77"/>
      <c r="L84" s="77"/>
      <c r="M84" s="78">
        <f t="shared" si="1"/>
        <v>0</v>
      </c>
      <c r="N84" s="100">
        <f>1+1+3</f>
        <v>5</v>
      </c>
      <c r="O84" s="81">
        <f>9196.24+2480.78+2954.11+15214.32</f>
        <v>29845.45</v>
      </c>
      <c r="P84" s="81"/>
      <c r="Q84" s="12">
        <f t="shared" si="3"/>
        <v>29845.45</v>
      </c>
      <c r="R84" s="141"/>
    </row>
    <row r="85" spans="1:18" s="13" customFormat="1" ht="15.75" x14ac:dyDescent="0.25">
      <c r="A85" s="10"/>
      <c r="B85" s="22" t="s">
        <v>58</v>
      </c>
      <c r="C85" s="1" t="s">
        <v>17</v>
      </c>
      <c r="D85" s="165"/>
      <c r="E85" s="3" t="s">
        <v>20</v>
      </c>
      <c r="F85" s="73" t="s">
        <v>478</v>
      </c>
      <c r="G85" s="11" t="s">
        <v>114</v>
      </c>
      <c r="H85" s="1">
        <v>4</v>
      </c>
      <c r="I85" s="49"/>
      <c r="J85" s="51"/>
      <c r="K85" s="40"/>
      <c r="L85" s="40"/>
      <c r="M85" s="38">
        <f t="shared" ref="M85:M159" si="4">K85-L85</f>
        <v>0</v>
      </c>
      <c r="N85" s="41">
        <v>21</v>
      </c>
      <c r="O85" s="31">
        <v>36273.629999999997</v>
      </c>
      <c r="P85" s="31">
        <v>36273.629999999997</v>
      </c>
      <c r="Q85" s="79">
        <f t="shared" si="3"/>
        <v>0</v>
      </c>
    </row>
    <row r="86" spans="1:18" s="13" customFormat="1" ht="15.75" x14ac:dyDescent="0.25">
      <c r="A86" s="10"/>
      <c r="B86" s="62" t="s">
        <v>59</v>
      </c>
      <c r="C86" s="1" t="s">
        <v>17</v>
      </c>
      <c r="D86" s="165"/>
      <c r="E86" s="3" t="s">
        <v>20</v>
      </c>
      <c r="F86" s="73" t="s">
        <v>362</v>
      </c>
      <c r="G86" s="74" t="s">
        <v>112</v>
      </c>
      <c r="H86" s="75">
        <v>8</v>
      </c>
      <c r="I86" s="76">
        <v>6</v>
      </c>
      <c r="J86" s="96">
        <f>1+1+1+3</f>
        <v>6</v>
      </c>
      <c r="K86" s="77">
        <f>403.41</f>
        <v>403.41</v>
      </c>
      <c r="L86" s="77">
        <f>403.41</f>
        <v>403.41</v>
      </c>
      <c r="M86" s="78">
        <f t="shared" si="4"/>
        <v>0</v>
      </c>
      <c r="N86" s="100">
        <f>1+2+2+1</f>
        <v>6</v>
      </c>
      <c r="O86" s="81">
        <f>6646.05+1267.86+979.71</f>
        <v>8893.619999999999</v>
      </c>
      <c r="P86" s="81">
        <f>2353.23+5561.68+978.71</f>
        <v>8893.619999999999</v>
      </c>
      <c r="Q86" s="12">
        <f t="shared" si="3"/>
        <v>0</v>
      </c>
      <c r="R86" s="141"/>
    </row>
    <row r="87" spans="1:18" s="13" customFormat="1" ht="15.75" x14ac:dyDescent="0.25">
      <c r="A87" s="10"/>
      <c r="B87" s="22" t="s">
        <v>59</v>
      </c>
      <c r="C87" s="1" t="s">
        <v>17</v>
      </c>
      <c r="D87" s="165"/>
      <c r="E87" s="3" t="s">
        <v>20</v>
      </c>
      <c r="F87" s="73" t="s">
        <v>128</v>
      </c>
      <c r="G87" s="11" t="s">
        <v>114</v>
      </c>
      <c r="H87" s="1"/>
      <c r="I87" s="49"/>
      <c r="J87" s="51"/>
      <c r="K87" s="40"/>
      <c r="L87" s="40"/>
      <c r="M87" s="38">
        <f t="shared" si="4"/>
        <v>0</v>
      </c>
      <c r="N87" s="41"/>
      <c r="O87" s="31"/>
      <c r="P87" s="31"/>
      <c r="Q87" s="79">
        <f t="shared" si="3"/>
        <v>0</v>
      </c>
    </row>
    <row r="88" spans="1:18" s="13" customFormat="1" ht="15.75" x14ac:dyDescent="0.25">
      <c r="A88" s="10"/>
      <c r="B88" s="27" t="s">
        <v>60</v>
      </c>
      <c r="C88" s="1" t="s">
        <v>17</v>
      </c>
      <c r="D88" s="165"/>
      <c r="E88" s="3" t="s">
        <v>20</v>
      </c>
      <c r="F88" s="73" t="s">
        <v>364</v>
      </c>
      <c r="G88" s="74" t="s">
        <v>112</v>
      </c>
      <c r="H88" s="75">
        <v>9</v>
      </c>
      <c r="I88" s="76">
        <v>2</v>
      </c>
      <c r="J88" s="96">
        <f>1+1</f>
        <v>2</v>
      </c>
      <c r="K88" s="77">
        <f>634.93</f>
        <v>634.92999999999995</v>
      </c>
      <c r="L88" s="77">
        <f>633.93</f>
        <v>633.92999999999995</v>
      </c>
      <c r="M88" s="78">
        <f t="shared" si="4"/>
        <v>1</v>
      </c>
      <c r="N88" s="100">
        <f>4+1+3</f>
        <v>8</v>
      </c>
      <c r="O88" s="81">
        <f>15124.53+2065.75</f>
        <v>17190.28</v>
      </c>
      <c r="P88" s="81">
        <f>15125.53+2064.75</f>
        <v>17190.28</v>
      </c>
      <c r="Q88" s="12">
        <f t="shared" si="3"/>
        <v>0</v>
      </c>
      <c r="R88" s="141"/>
    </row>
    <row r="89" spans="1:18" s="13" customFormat="1" ht="15.75" x14ac:dyDescent="0.25">
      <c r="A89" s="10"/>
      <c r="B89" s="25" t="s">
        <v>60</v>
      </c>
      <c r="C89" s="1" t="s">
        <v>17</v>
      </c>
      <c r="D89" s="165"/>
      <c r="E89" s="3" t="s">
        <v>20</v>
      </c>
      <c r="F89" s="73" t="s">
        <v>479</v>
      </c>
      <c r="G89" s="11" t="s">
        <v>114</v>
      </c>
      <c r="H89" s="1">
        <v>4</v>
      </c>
      <c r="I89" s="49"/>
      <c r="J89" s="51"/>
      <c r="K89" s="40"/>
      <c r="L89" s="40"/>
      <c r="M89" s="38">
        <f t="shared" si="4"/>
        <v>0</v>
      </c>
      <c r="N89" s="41">
        <v>4</v>
      </c>
      <c r="O89" s="31">
        <v>6259.4</v>
      </c>
      <c r="P89" s="31">
        <v>6259.4</v>
      </c>
      <c r="Q89" s="79">
        <f t="shared" si="3"/>
        <v>0</v>
      </c>
    </row>
    <row r="90" spans="1:18" s="13" customFormat="1" ht="15.75" x14ac:dyDescent="0.25">
      <c r="A90" s="10"/>
      <c r="B90" s="25" t="s">
        <v>493</v>
      </c>
      <c r="C90" s="1" t="s">
        <v>17</v>
      </c>
      <c r="D90" s="165"/>
      <c r="E90" s="3" t="s">
        <v>20</v>
      </c>
      <c r="F90" s="73" t="s">
        <v>496</v>
      </c>
      <c r="G90" s="11" t="s">
        <v>112</v>
      </c>
      <c r="H90" s="1">
        <v>6</v>
      </c>
      <c r="I90" s="49">
        <v>3</v>
      </c>
      <c r="J90" s="51">
        <f>3</f>
        <v>3</v>
      </c>
      <c r="K90" s="40"/>
      <c r="L90" s="40"/>
      <c r="M90" s="38"/>
      <c r="N90" s="41"/>
      <c r="O90" s="31"/>
      <c r="P90" s="31"/>
      <c r="Q90" s="79"/>
    </row>
    <row r="91" spans="1:18" s="15" customFormat="1" ht="15.75" x14ac:dyDescent="0.25">
      <c r="A91" s="14"/>
      <c r="B91" s="28" t="s">
        <v>61</v>
      </c>
      <c r="C91" s="1" t="s">
        <v>17</v>
      </c>
      <c r="D91" s="165"/>
      <c r="E91" s="3" t="s">
        <v>20</v>
      </c>
      <c r="F91" s="73" t="s">
        <v>363</v>
      </c>
      <c r="G91" s="74" t="s">
        <v>112</v>
      </c>
      <c r="H91" s="75"/>
      <c r="I91" s="76"/>
      <c r="J91" s="96"/>
      <c r="K91" s="77"/>
      <c r="L91" s="77"/>
      <c r="M91" s="78">
        <f t="shared" si="4"/>
        <v>0</v>
      </c>
      <c r="N91" s="100"/>
      <c r="O91" s="81"/>
      <c r="P91" s="81"/>
      <c r="Q91" s="12">
        <f t="shared" si="3"/>
        <v>0</v>
      </c>
      <c r="R91" s="141"/>
    </row>
    <row r="92" spans="1:18" s="15" customFormat="1" ht="15.75" x14ac:dyDescent="0.25">
      <c r="A92" s="14"/>
      <c r="B92" s="26" t="s">
        <v>61</v>
      </c>
      <c r="C92" s="1" t="s">
        <v>17</v>
      </c>
      <c r="D92" s="165"/>
      <c r="E92" s="3" t="s">
        <v>20</v>
      </c>
      <c r="F92" s="73" t="s">
        <v>121</v>
      </c>
      <c r="G92" s="11" t="s">
        <v>114</v>
      </c>
      <c r="H92" s="1"/>
      <c r="I92" s="49"/>
      <c r="J92" s="51"/>
      <c r="K92" s="40"/>
      <c r="L92" s="40"/>
      <c r="M92" s="38">
        <f t="shared" si="4"/>
        <v>0</v>
      </c>
      <c r="N92" s="42"/>
      <c r="O92" s="31"/>
      <c r="P92" s="31"/>
      <c r="Q92" s="79">
        <f t="shared" si="3"/>
        <v>0</v>
      </c>
    </row>
    <row r="93" spans="1:18" s="15" customFormat="1" ht="15.75" x14ac:dyDescent="0.25">
      <c r="A93" s="14"/>
      <c r="B93" s="20" t="s">
        <v>306</v>
      </c>
      <c r="C93" s="1" t="s">
        <v>17</v>
      </c>
      <c r="D93" s="165"/>
      <c r="E93" s="3" t="s">
        <v>35</v>
      </c>
      <c r="F93" s="73" t="s">
        <v>365</v>
      </c>
      <c r="G93" s="11" t="s">
        <v>112</v>
      </c>
      <c r="H93" s="1">
        <v>23</v>
      </c>
      <c r="I93" s="58">
        <v>12</v>
      </c>
      <c r="J93" s="51">
        <f>1+2+1+3+3+2</f>
        <v>12</v>
      </c>
      <c r="K93" s="40">
        <f>1045.98+2658.7+35696.14+4892.46+1024.04</f>
        <v>45317.32</v>
      </c>
      <c r="L93" s="40">
        <f>1045.98+2658.7</f>
        <v>3704.68</v>
      </c>
      <c r="M93" s="78">
        <f t="shared" si="4"/>
        <v>41612.639999999999</v>
      </c>
      <c r="N93" s="39">
        <f>7+2+2+2</f>
        <v>13</v>
      </c>
      <c r="O93" s="31">
        <f>2313.84+6162.57+2330.32+1690.48</f>
        <v>12497.21</v>
      </c>
      <c r="P93" s="31">
        <f>2313.84+6162.57+2330.32</f>
        <v>10806.73</v>
      </c>
      <c r="Q93" s="12">
        <f t="shared" si="3"/>
        <v>1690.4799999999996</v>
      </c>
      <c r="R93" s="141"/>
    </row>
    <row r="94" spans="1:18" s="13" customFormat="1" ht="15.75" x14ac:dyDescent="0.25">
      <c r="A94" s="10"/>
      <c r="B94" s="22" t="s">
        <v>306</v>
      </c>
      <c r="C94" s="1" t="s">
        <v>17</v>
      </c>
      <c r="D94" s="165"/>
      <c r="E94" s="3" t="s">
        <v>27</v>
      </c>
      <c r="F94" s="73" t="s">
        <v>421</v>
      </c>
      <c r="G94" s="11" t="s">
        <v>117</v>
      </c>
      <c r="H94" s="1">
        <v>2</v>
      </c>
      <c r="I94" s="49"/>
      <c r="J94" s="46"/>
      <c r="K94" s="40"/>
      <c r="L94" s="40"/>
      <c r="M94" s="78">
        <f>K94-L94</f>
        <v>0</v>
      </c>
      <c r="N94" s="41"/>
      <c r="O94" s="40"/>
      <c r="P94" s="40"/>
      <c r="Q94" s="79">
        <f>O94-P94</f>
        <v>0</v>
      </c>
    </row>
    <row r="95" spans="1:18" s="13" customFormat="1" ht="15.75" x14ac:dyDescent="0.25">
      <c r="A95" s="10"/>
      <c r="B95" s="27" t="s">
        <v>62</v>
      </c>
      <c r="C95" s="1" t="s">
        <v>17</v>
      </c>
      <c r="D95" s="165"/>
      <c r="E95" s="3" t="s">
        <v>35</v>
      </c>
      <c r="F95" s="73" t="s">
        <v>366</v>
      </c>
      <c r="G95" s="74" t="s">
        <v>112</v>
      </c>
      <c r="H95" s="75">
        <v>11</v>
      </c>
      <c r="I95" s="76">
        <v>8</v>
      </c>
      <c r="J95" s="96">
        <f>1+3+1+1</f>
        <v>6</v>
      </c>
      <c r="K95" s="77">
        <f>3613.4+1872.01</f>
        <v>5485.41</v>
      </c>
      <c r="L95" s="77">
        <v>848.31</v>
      </c>
      <c r="M95" s="38">
        <f t="shared" si="4"/>
        <v>4637.1000000000004</v>
      </c>
      <c r="N95" s="100">
        <f>6+2+1+2+1</f>
        <v>12</v>
      </c>
      <c r="O95" s="81">
        <f>19511.33+1270.93+3979.74+2500.85+8530.18</f>
        <v>35793.03</v>
      </c>
      <c r="P95" s="81">
        <f>19512.33+11872.94</f>
        <v>31385.270000000004</v>
      </c>
      <c r="Q95" s="79">
        <f t="shared" si="3"/>
        <v>4407.7599999999948</v>
      </c>
      <c r="R95" s="141"/>
    </row>
    <row r="96" spans="1:18" s="13" customFormat="1" ht="15.75" x14ac:dyDescent="0.25">
      <c r="A96" s="10"/>
      <c r="B96" s="25" t="s">
        <v>62</v>
      </c>
      <c r="C96" s="1" t="s">
        <v>17</v>
      </c>
      <c r="D96" s="165"/>
      <c r="E96" s="3" t="s">
        <v>35</v>
      </c>
      <c r="F96" s="73" t="s">
        <v>428</v>
      </c>
      <c r="G96" s="11" t="s">
        <v>117</v>
      </c>
      <c r="H96" s="1">
        <v>1</v>
      </c>
      <c r="I96" s="49"/>
      <c r="J96" s="46"/>
      <c r="K96" s="40"/>
      <c r="L96" s="40"/>
      <c r="M96" s="78">
        <f t="shared" si="4"/>
        <v>0</v>
      </c>
      <c r="N96" s="41">
        <v>9</v>
      </c>
      <c r="O96" s="31">
        <v>22788.1</v>
      </c>
      <c r="P96" s="31">
        <v>14143.6</v>
      </c>
      <c r="Q96" s="12">
        <f t="shared" si="3"/>
        <v>8644.4999999999982</v>
      </c>
    </row>
    <row r="97" spans="1:19" s="13" customFormat="1" ht="15.75" x14ac:dyDescent="0.25">
      <c r="A97" s="10"/>
      <c r="B97" s="25" t="s">
        <v>63</v>
      </c>
      <c r="C97" s="1" t="s">
        <v>64</v>
      </c>
      <c r="D97" s="165" t="s">
        <v>65</v>
      </c>
      <c r="E97" s="3" t="s">
        <v>20</v>
      </c>
      <c r="F97" s="73" t="s">
        <v>480</v>
      </c>
      <c r="G97" s="11" t="s">
        <v>114</v>
      </c>
      <c r="H97" s="1"/>
      <c r="I97" s="49"/>
      <c r="J97" s="51"/>
      <c r="K97" s="40"/>
      <c r="L97" s="40"/>
      <c r="M97" s="38">
        <f t="shared" si="4"/>
        <v>0</v>
      </c>
      <c r="N97" s="41"/>
      <c r="O97" s="31"/>
      <c r="P97" s="31"/>
      <c r="Q97" s="79">
        <f t="shared" si="3"/>
        <v>0</v>
      </c>
    </row>
    <row r="98" spans="1:19" s="13" customFormat="1" ht="15.75" x14ac:dyDescent="0.25">
      <c r="A98" s="10"/>
      <c r="B98" s="27" t="s">
        <v>155</v>
      </c>
      <c r="C98" s="1" t="s">
        <v>17</v>
      </c>
      <c r="D98" s="165"/>
      <c r="E98" s="3" t="s">
        <v>20</v>
      </c>
      <c r="F98" s="73" t="s">
        <v>367</v>
      </c>
      <c r="G98" s="74" t="s">
        <v>112</v>
      </c>
      <c r="H98" s="75">
        <v>6</v>
      </c>
      <c r="I98" s="82">
        <v>1</v>
      </c>
      <c r="J98" s="96">
        <f>1</f>
        <v>1</v>
      </c>
      <c r="K98" s="77">
        <f>3117.56</f>
        <v>3117.56</v>
      </c>
      <c r="L98" s="77">
        <f>845.24</f>
        <v>845.24</v>
      </c>
      <c r="M98" s="78">
        <f t="shared" si="4"/>
        <v>2272.3199999999997</v>
      </c>
      <c r="N98" s="100">
        <f>1+1+1</f>
        <v>3</v>
      </c>
      <c r="O98" s="81">
        <f>1798.06+2123.67</f>
        <v>3921.73</v>
      </c>
      <c r="P98" s="81">
        <f>2272.32</f>
        <v>2272.3200000000002</v>
      </c>
      <c r="Q98" s="12">
        <f t="shared" si="3"/>
        <v>1649.4099999999999</v>
      </c>
      <c r="R98" s="141"/>
    </row>
    <row r="99" spans="1:19" s="13" customFormat="1" ht="15.75" x14ac:dyDescent="0.25">
      <c r="A99" s="10"/>
      <c r="B99" s="25" t="s">
        <v>155</v>
      </c>
      <c r="C99" s="1" t="s">
        <v>17</v>
      </c>
      <c r="D99" s="165"/>
      <c r="E99" s="3" t="s">
        <v>20</v>
      </c>
      <c r="F99" s="73" t="s">
        <v>459</v>
      </c>
      <c r="G99" s="11" t="s">
        <v>114</v>
      </c>
      <c r="H99" s="1">
        <v>7</v>
      </c>
      <c r="I99" s="49"/>
      <c r="J99" s="51"/>
      <c r="K99" s="40"/>
      <c r="L99" s="40"/>
      <c r="M99" s="38">
        <f t="shared" si="4"/>
        <v>0</v>
      </c>
      <c r="N99" s="41">
        <v>13</v>
      </c>
      <c r="O99" s="31">
        <v>27266.37</v>
      </c>
      <c r="P99" s="31">
        <v>27266.37</v>
      </c>
      <c r="Q99" s="79">
        <f t="shared" si="3"/>
        <v>0</v>
      </c>
    </row>
    <row r="100" spans="1:19" s="13" customFormat="1" ht="15.75" x14ac:dyDescent="0.25">
      <c r="A100" s="10"/>
      <c r="B100" s="30" t="s">
        <v>66</v>
      </c>
      <c r="C100" s="1" t="s">
        <v>17</v>
      </c>
      <c r="D100" s="165"/>
      <c r="E100" s="3" t="s">
        <v>21</v>
      </c>
      <c r="F100" s="73" t="s">
        <v>368</v>
      </c>
      <c r="G100" s="74" t="s">
        <v>112</v>
      </c>
      <c r="H100" s="75">
        <v>14</v>
      </c>
      <c r="I100" s="76">
        <v>10</v>
      </c>
      <c r="J100" s="96">
        <f>1+3+2+3+2</f>
        <v>11</v>
      </c>
      <c r="K100" s="77">
        <f>1045.98+4309.04+3820.12+1872.01+4253.49</f>
        <v>15300.64</v>
      </c>
      <c r="L100" s="77"/>
      <c r="M100" s="78">
        <f t="shared" si="4"/>
        <v>15300.64</v>
      </c>
      <c r="N100" s="100">
        <f>6+3+8+7+1+1+1+2+1</f>
        <v>30</v>
      </c>
      <c r="O100" s="81">
        <f>11911.17+23136+18060.17+1977.84+2091.97+19535.65</f>
        <v>76712.799999999988</v>
      </c>
      <c r="P100" s="81">
        <f>1152.6+11911.47+23136</f>
        <v>36200.07</v>
      </c>
      <c r="Q100" s="12">
        <f t="shared" si="3"/>
        <v>40512.729999999989</v>
      </c>
      <c r="R100" s="141"/>
    </row>
    <row r="101" spans="1:19" s="13" customFormat="1" ht="15.75" x14ac:dyDescent="0.25">
      <c r="A101" s="10"/>
      <c r="B101" s="24" t="s">
        <v>66</v>
      </c>
      <c r="C101" s="1" t="s">
        <v>17</v>
      </c>
      <c r="D101" s="165"/>
      <c r="E101" s="3" t="s">
        <v>21</v>
      </c>
      <c r="F101" s="73" t="s">
        <v>439</v>
      </c>
      <c r="G101" s="11" t="s">
        <v>118</v>
      </c>
      <c r="H101" s="1">
        <v>6</v>
      </c>
      <c r="I101" s="49">
        <v>1</v>
      </c>
      <c r="J101" s="46"/>
      <c r="K101" s="40"/>
      <c r="L101" s="40"/>
      <c r="M101" s="38">
        <f t="shared" si="4"/>
        <v>0</v>
      </c>
      <c r="N101" s="41">
        <v>15</v>
      </c>
      <c r="O101" s="31">
        <v>61492.89</v>
      </c>
      <c r="P101" s="31">
        <v>12328.58</v>
      </c>
      <c r="Q101" s="79">
        <f t="shared" si="3"/>
        <v>49164.31</v>
      </c>
    </row>
    <row r="102" spans="1:19" s="13" customFormat="1" ht="15.75" x14ac:dyDescent="0.25">
      <c r="A102" s="10"/>
      <c r="B102" s="62" t="s">
        <v>137</v>
      </c>
      <c r="C102" s="1" t="s">
        <v>17</v>
      </c>
      <c r="D102" s="165"/>
      <c r="E102" s="17" t="s">
        <v>35</v>
      </c>
      <c r="F102" s="73" t="s">
        <v>369</v>
      </c>
      <c r="G102" s="74" t="s">
        <v>112</v>
      </c>
      <c r="H102" s="75">
        <v>17</v>
      </c>
      <c r="I102" s="76">
        <v>8</v>
      </c>
      <c r="J102" s="96">
        <f>3+3+1</f>
        <v>7</v>
      </c>
      <c r="K102" s="77">
        <f>504.26+845.24+3380.96</f>
        <v>4730.46</v>
      </c>
      <c r="L102" s="77">
        <f>504.26</f>
        <v>504.26</v>
      </c>
      <c r="M102" s="78">
        <f t="shared" si="4"/>
        <v>4226.2</v>
      </c>
      <c r="N102" s="100">
        <f>5+1+1+2</f>
        <v>9</v>
      </c>
      <c r="O102" s="81">
        <f>2617.36+422.62+3852.18+3380.96</f>
        <v>10273.119999999999</v>
      </c>
      <c r="P102" s="81">
        <f>2617.36+422.62</f>
        <v>3039.98</v>
      </c>
      <c r="Q102" s="12">
        <f t="shared" si="3"/>
        <v>7233.1399999999994</v>
      </c>
      <c r="R102" s="141"/>
    </row>
    <row r="103" spans="1:19" s="13" customFormat="1" ht="15.75" x14ac:dyDescent="0.25">
      <c r="A103" s="10"/>
      <c r="B103" s="22" t="s">
        <v>137</v>
      </c>
      <c r="C103" s="1" t="s">
        <v>17</v>
      </c>
      <c r="D103" s="165"/>
      <c r="E103" s="17" t="s">
        <v>35</v>
      </c>
      <c r="F103" s="73" t="s">
        <v>429</v>
      </c>
      <c r="G103" s="11" t="s">
        <v>117</v>
      </c>
      <c r="H103" s="1">
        <v>1</v>
      </c>
      <c r="I103" s="49">
        <v>1</v>
      </c>
      <c r="J103" s="51">
        <v>1</v>
      </c>
      <c r="K103" s="37"/>
      <c r="L103" s="37"/>
      <c r="M103" s="78">
        <f t="shared" si="4"/>
        <v>0</v>
      </c>
      <c r="N103" s="39">
        <v>2</v>
      </c>
      <c r="O103" s="31">
        <v>7299.8</v>
      </c>
      <c r="P103" s="31">
        <v>7299.8</v>
      </c>
      <c r="Q103" s="79">
        <f t="shared" si="3"/>
        <v>0</v>
      </c>
    </row>
    <row r="104" spans="1:19" s="13" customFormat="1" ht="15.75" x14ac:dyDescent="0.25">
      <c r="A104" s="10"/>
      <c r="B104" s="30" t="s">
        <v>67</v>
      </c>
      <c r="C104" s="1" t="s">
        <v>17</v>
      </c>
      <c r="D104" s="165"/>
      <c r="E104" s="17" t="s">
        <v>21</v>
      </c>
      <c r="F104" s="73" t="s">
        <v>370</v>
      </c>
      <c r="G104" s="74" t="s">
        <v>112</v>
      </c>
      <c r="H104" s="75">
        <v>15</v>
      </c>
      <c r="I104" s="76">
        <v>7</v>
      </c>
      <c r="J104" s="96">
        <f>2+1+1+2+1+1</f>
        <v>8</v>
      </c>
      <c r="K104" s="77">
        <f>3319.85+1198.9+864.45</f>
        <v>5383.2</v>
      </c>
      <c r="L104" s="77"/>
      <c r="M104" s="38">
        <f t="shared" si="4"/>
        <v>5383.2</v>
      </c>
      <c r="N104" s="100">
        <f>4+9+4+4+1+3+1+3</f>
        <v>29</v>
      </c>
      <c r="O104" s="81">
        <f>29696.65+38129.03+13567.9+20687.05+2022.79+8145.77</f>
        <v>112249.18999999999</v>
      </c>
      <c r="P104" s="81">
        <f>34696.65+38129.03</f>
        <v>72825.679999999993</v>
      </c>
      <c r="Q104" s="12">
        <f t="shared" si="3"/>
        <v>39423.509999999995</v>
      </c>
      <c r="R104" s="141"/>
    </row>
    <row r="105" spans="1:19" s="13" customFormat="1" ht="15.75" x14ac:dyDescent="0.25">
      <c r="A105" s="10"/>
      <c r="B105" s="24" t="s">
        <v>67</v>
      </c>
      <c r="C105" s="1" t="s">
        <v>17</v>
      </c>
      <c r="D105" s="165"/>
      <c r="E105" s="17" t="s">
        <v>21</v>
      </c>
      <c r="F105" s="73" t="s">
        <v>440</v>
      </c>
      <c r="G105" s="11" t="s">
        <v>118</v>
      </c>
      <c r="H105" s="1">
        <v>9</v>
      </c>
      <c r="I105" s="49">
        <v>1</v>
      </c>
      <c r="J105" s="46"/>
      <c r="K105" s="40"/>
      <c r="L105" s="40"/>
      <c r="M105" s="78">
        <f t="shared" si="4"/>
        <v>0</v>
      </c>
      <c r="N105" s="41">
        <v>11</v>
      </c>
      <c r="O105" s="31">
        <v>46580.53</v>
      </c>
      <c r="P105" s="31">
        <v>16540.89</v>
      </c>
      <c r="Q105" s="79">
        <f t="shared" si="3"/>
        <v>30039.64</v>
      </c>
    </row>
    <row r="106" spans="1:19" s="13" customFormat="1" ht="15.75" x14ac:dyDescent="0.25">
      <c r="A106" s="10"/>
      <c r="B106" s="30" t="s">
        <v>68</v>
      </c>
      <c r="C106" s="1" t="s">
        <v>17</v>
      </c>
      <c r="D106" s="165"/>
      <c r="E106" s="17" t="s">
        <v>32</v>
      </c>
      <c r="F106" s="73" t="s">
        <v>371</v>
      </c>
      <c r="G106" s="74" t="s">
        <v>112</v>
      </c>
      <c r="H106" s="75">
        <v>14</v>
      </c>
      <c r="I106" s="76">
        <v>5</v>
      </c>
      <c r="J106" s="96">
        <f>2+1+2</f>
        <v>5</v>
      </c>
      <c r="K106" s="77">
        <f>1128.59+422.62+1152.6+4557.81</f>
        <v>7261.6200000000008</v>
      </c>
      <c r="L106" s="77">
        <f>422.62</f>
        <v>422.62</v>
      </c>
      <c r="M106" s="38">
        <f t="shared" si="4"/>
        <v>6839.0000000000009</v>
      </c>
      <c r="N106" s="100">
        <f>6+5+1+4</f>
        <v>16</v>
      </c>
      <c r="O106" s="81">
        <f>7813.73+8523.5+1452.28+12582.19</f>
        <v>30371.699999999997</v>
      </c>
      <c r="P106" s="81">
        <f>7813.73+8523.53</f>
        <v>16337.26</v>
      </c>
      <c r="Q106" s="12">
        <f t="shared" si="3"/>
        <v>14034.439999999997</v>
      </c>
      <c r="R106" s="141"/>
    </row>
    <row r="107" spans="1:19" s="13" customFormat="1" ht="15.75" x14ac:dyDescent="0.25">
      <c r="A107" s="10"/>
      <c r="B107" s="24" t="s">
        <v>68</v>
      </c>
      <c r="C107" s="1" t="s">
        <v>17</v>
      </c>
      <c r="D107" s="165"/>
      <c r="E107" s="17" t="s">
        <v>32</v>
      </c>
      <c r="F107" s="73" t="s">
        <v>430</v>
      </c>
      <c r="G107" s="8" t="s">
        <v>117</v>
      </c>
      <c r="H107" s="1">
        <v>1</v>
      </c>
      <c r="I107" s="49"/>
      <c r="J107" s="46"/>
      <c r="K107" s="40"/>
      <c r="L107" s="40"/>
      <c r="M107" s="78">
        <f t="shared" si="4"/>
        <v>0</v>
      </c>
      <c r="N107" s="41"/>
      <c r="O107" s="40"/>
      <c r="P107" s="40"/>
      <c r="Q107" s="79">
        <f t="shared" si="3"/>
        <v>0</v>
      </c>
    </row>
    <row r="108" spans="1:19" s="15" customFormat="1" ht="15.75" x14ac:dyDescent="0.25">
      <c r="A108" s="14"/>
      <c r="B108" s="28" t="s">
        <v>69</v>
      </c>
      <c r="C108" s="1" t="s">
        <v>17</v>
      </c>
      <c r="D108" s="165"/>
      <c r="E108" s="3" t="s">
        <v>20</v>
      </c>
      <c r="F108" s="73" t="s">
        <v>372</v>
      </c>
      <c r="G108" s="74" t="s">
        <v>112</v>
      </c>
      <c r="H108" s="75">
        <v>4</v>
      </c>
      <c r="I108" s="76">
        <v>2</v>
      </c>
      <c r="J108" s="96">
        <f>1+1+1</f>
        <v>3</v>
      </c>
      <c r="K108" s="77">
        <f>422.62+17390.69</f>
        <v>17813.309999999998</v>
      </c>
      <c r="L108" s="77"/>
      <c r="M108" s="38">
        <f t="shared" si="4"/>
        <v>17813.309999999998</v>
      </c>
      <c r="N108" s="100">
        <f>3+2+1+1+1</f>
        <v>8</v>
      </c>
      <c r="O108" s="77">
        <f>7210.31+3647.96+1306.28+1267.86</f>
        <v>13432.410000000002</v>
      </c>
      <c r="P108" s="77">
        <f>7201.31+3647.96+1306.28</f>
        <v>12155.550000000001</v>
      </c>
      <c r="Q108" s="12">
        <f t="shared" si="3"/>
        <v>1276.8600000000006</v>
      </c>
      <c r="R108" s="141"/>
    </row>
    <row r="109" spans="1:19" s="15" customFormat="1" ht="15.75" x14ac:dyDescent="0.25">
      <c r="A109" s="14"/>
      <c r="B109" s="170" t="s">
        <v>502</v>
      </c>
      <c r="C109" s="1"/>
      <c r="D109" s="165"/>
      <c r="E109" s="3"/>
      <c r="F109" s="73"/>
      <c r="G109" s="74" t="s">
        <v>112</v>
      </c>
      <c r="H109" s="75">
        <v>2</v>
      </c>
      <c r="I109" s="76"/>
      <c r="J109" s="96"/>
      <c r="K109" s="77"/>
      <c r="L109" s="77"/>
      <c r="M109" s="38"/>
      <c r="N109" s="100"/>
      <c r="O109" s="77"/>
      <c r="P109" s="77"/>
      <c r="Q109" s="12"/>
      <c r="R109" s="141"/>
    </row>
    <row r="110" spans="1:19" s="13" customFormat="1" ht="15.75" x14ac:dyDescent="0.25">
      <c r="A110" s="10"/>
      <c r="B110" s="62" t="s">
        <v>70</v>
      </c>
      <c r="C110" s="1" t="s">
        <v>17</v>
      </c>
      <c r="D110" s="165"/>
      <c r="E110" s="3" t="s">
        <v>20</v>
      </c>
      <c r="F110" s="73" t="s">
        <v>373</v>
      </c>
      <c r="G110" s="74" t="s">
        <v>112</v>
      </c>
      <c r="H110" s="75">
        <v>8</v>
      </c>
      <c r="I110" s="76">
        <v>4</v>
      </c>
      <c r="J110" s="96">
        <f>2+2</f>
        <v>4</v>
      </c>
      <c r="K110" s="77">
        <f>1959.42</f>
        <v>1959.42</v>
      </c>
      <c r="L110" s="77"/>
      <c r="M110" s="78">
        <f t="shared" si="4"/>
        <v>1959.42</v>
      </c>
      <c r="N110" s="100">
        <f>2+3+4+2</f>
        <v>11</v>
      </c>
      <c r="O110" s="81">
        <v>7606.2</v>
      </c>
      <c r="P110" s="81">
        <f>3534.95</f>
        <v>3534.95</v>
      </c>
      <c r="Q110" s="79">
        <f t="shared" si="3"/>
        <v>4071.25</v>
      </c>
      <c r="R110" s="141"/>
    </row>
    <row r="111" spans="1:19" s="13" customFormat="1" ht="15.75" x14ac:dyDescent="0.25">
      <c r="A111" s="10"/>
      <c r="B111" s="22" t="s">
        <v>70</v>
      </c>
      <c r="C111" s="1" t="s">
        <v>17</v>
      </c>
      <c r="D111" s="165"/>
      <c r="E111" s="3" t="s">
        <v>20</v>
      </c>
      <c r="F111" s="73" t="s">
        <v>460</v>
      </c>
      <c r="G111" s="11" t="s">
        <v>114</v>
      </c>
      <c r="H111" s="1">
        <v>22</v>
      </c>
      <c r="I111" s="49">
        <v>1</v>
      </c>
      <c r="J111" s="51">
        <v>1</v>
      </c>
      <c r="K111" s="40"/>
      <c r="L111" s="40"/>
      <c r="M111" s="38">
        <f t="shared" si="4"/>
        <v>0</v>
      </c>
      <c r="N111" s="41">
        <v>28</v>
      </c>
      <c r="O111" s="31">
        <v>42931.54</v>
      </c>
      <c r="P111" s="31">
        <v>42931.54</v>
      </c>
      <c r="Q111" s="12">
        <f t="shared" si="3"/>
        <v>0</v>
      </c>
    </row>
    <row r="112" spans="1:19" s="15" customFormat="1" ht="15.75" x14ac:dyDescent="0.25">
      <c r="A112" s="14"/>
      <c r="B112" s="80" t="s">
        <v>71</v>
      </c>
      <c r="C112" s="1" t="s">
        <v>17</v>
      </c>
      <c r="D112" s="165"/>
      <c r="E112" s="3" t="s">
        <v>32</v>
      </c>
      <c r="F112" s="73" t="s">
        <v>374</v>
      </c>
      <c r="G112" s="74" t="s">
        <v>112</v>
      </c>
      <c r="H112" s="75">
        <v>11</v>
      </c>
      <c r="I112" s="76">
        <v>7</v>
      </c>
      <c r="J112" s="96">
        <f>3+1+2+1</f>
        <v>7</v>
      </c>
      <c r="K112" s="77">
        <f>1536.8+461.04+1748.88</f>
        <v>3746.7200000000003</v>
      </c>
      <c r="L112" s="77"/>
      <c r="M112" s="78">
        <f t="shared" si="4"/>
        <v>3746.7200000000003</v>
      </c>
      <c r="N112" s="100">
        <f>3+2+1+1</f>
        <v>7</v>
      </c>
      <c r="O112" s="81">
        <f>9567.93+3616.67+403.41</f>
        <v>13588.01</v>
      </c>
      <c r="P112" s="81">
        <f>9567.93</f>
        <v>9567.93</v>
      </c>
      <c r="Q112" s="79">
        <f t="shared" si="3"/>
        <v>4020.08</v>
      </c>
      <c r="R112" s="141"/>
      <c r="S112" s="36"/>
    </row>
    <row r="113" spans="1:18" s="15" customFormat="1" ht="15.75" x14ac:dyDescent="0.25">
      <c r="A113" s="14"/>
      <c r="B113" s="23" t="s">
        <v>71</v>
      </c>
      <c r="C113" s="1" t="s">
        <v>17</v>
      </c>
      <c r="D113" s="165"/>
      <c r="E113" s="3" t="s">
        <v>32</v>
      </c>
      <c r="F113" s="73" t="s">
        <v>431</v>
      </c>
      <c r="G113" s="11" t="s">
        <v>115</v>
      </c>
      <c r="H113" s="1">
        <v>5</v>
      </c>
      <c r="I113" s="48">
        <v>3</v>
      </c>
      <c r="J113" s="45">
        <v>3</v>
      </c>
      <c r="K113" s="40">
        <v>5570.9</v>
      </c>
      <c r="L113" s="40"/>
      <c r="M113" s="38">
        <f t="shared" si="4"/>
        <v>5570.9</v>
      </c>
      <c r="N113" s="39">
        <f>5</f>
        <v>5</v>
      </c>
      <c r="O113" s="40">
        <v>6595.5</v>
      </c>
      <c r="P113" s="40">
        <v>6595.5</v>
      </c>
      <c r="Q113" s="12">
        <f t="shared" si="3"/>
        <v>0</v>
      </c>
    </row>
    <row r="114" spans="1:18" s="13" customFormat="1" ht="15.75" x14ac:dyDescent="0.25">
      <c r="A114" s="10"/>
      <c r="B114" s="62" t="s">
        <v>319</v>
      </c>
      <c r="C114" s="1" t="s">
        <v>17</v>
      </c>
      <c r="D114" s="165"/>
      <c r="E114" s="3" t="s">
        <v>20</v>
      </c>
      <c r="F114" s="73" t="s">
        <v>375</v>
      </c>
      <c r="G114" s="74" t="s">
        <v>112</v>
      </c>
      <c r="H114" s="75">
        <v>20</v>
      </c>
      <c r="I114" s="76">
        <v>8</v>
      </c>
      <c r="J114" s="96">
        <f>2+1+4+3</f>
        <v>10</v>
      </c>
      <c r="K114" s="77">
        <f>710.77+1523.35+6753.23+7215.52+1437.48</f>
        <v>17640.349999999999</v>
      </c>
      <c r="L114" s="77"/>
      <c r="M114" s="78">
        <f>K114-L114</f>
        <v>17640.349999999999</v>
      </c>
      <c r="N114" s="100">
        <f>3+1+2+1</f>
        <v>7</v>
      </c>
      <c r="O114" s="77">
        <f>13419.94+726.71+2846.77+3770.56</f>
        <v>20763.980000000003</v>
      </c>
      <c r="P114" s="77">
        <f>13419.94+1592.75</f>
        <v>15012.69</v>
      </c>
      <c r="Q114" s="79">
        <f>O114-P114</f>
        <v>5751.2900000000027</v>
      </c>
      <c r="R114" s="141"/>
    </row>
    <row r="115" spans="1:18" s="15" customFormat="1" ht="15.75" x14ac:dyDescent="0.25">
      <c r="A115" s="14"/>
      <c r="B115" s="62" t="s">
        <v>150</v>
      </c>
      <c r="C115" s="1" t="s">
        <v>17</v>
      </c>
      <c r="D115" s="165"/>
      <c r="E115" s="3" t="s">
        <v>35</v>
      </c>
      <c r="F115" s="73" t="s">
        <v>376</v>
      </c>
      <c r="G115" s="74" t="s">
        <v>112</v>
      </c>
      <c r="H115" s="75">
        <v>9</v>
      </c>
      <c r="I115" s="76">
        <v>6</v>
      </c>
      <c r="J115" s="97">
        <f>1+1+2+2</f>
        <v>6</v>
      </c>
      <c r="K115" s="77">
        <f>1343.65+384.2</f>
        <v>1727.8500000000001</v>
      </c>
      <c r="L115" s="77">
        <f>403.41</f>
        <v>403.41</v>
      </c>
      <c r="M115" s="78">
        <f t="shared" si="4"/>
        <v>1324.44</v>
      </c>
      <c r="N115" s="114">
        <f>8+1+1+2+3+1</f>
        <v>16</v>
      </c>
      <c r="O115" s="77">
        <f>5997.32+3719.39+3054.34+13138.17</f>
        <v>25909.22</v>
      </c>
      <c r="P115" s="81">
        <f>3885.22+2113.1+4659.63</f>
        <v>10657.95</v>
      </c>
      <c r="Q115" s="79">
        <f t="shared" si="3"/>
        <v>15251.27</v>
      </c>
      <c r="R115" s="141"/>
    </row>
    <row r="116" spans="1:18" s="15" customFormat="1" ht="15.75" x14ac:dyDescent="0.25">
      <c r="A116" s="14"/>
      <c r="B116" s="50" t="s">
        <v>150</v>
      </c>
      <c r="C116" s="1" t="s">
        <v>17</v>
      </c>
      <c r="D116" s="165"/>
      <c r="E116" s="3" t="s">
        <v>32</v>
      </c>
      <c r="F116" s="73" t="s">
        <v>487</v>
      </c>
      <c r="G116" s="11" t="s">
        <v>117</v>
      </c>
      <c r="H116" s="1"/>
      <c r="I116" s="48"/>
      <c r="J116" s="45"/>
      <c r="K116" s="40"/>
      <c r="L116" s="37"/>
      <c r="M116" s="38">
        <f t="shared" si="4"/>
        <v>0</v>
      </c>
      <c r="N116" s="42">
        <v>1</v>
      </c>
      <c r="O116" s="40">
        <v>4226.2</v>
      </c>
      <c r="P116" s="40"/>
      <c r="Q116" s="12">
        <f t="shared" si="3"/>
        <v>4226.2</v>
      </c>
    </row>
    <row r="117" spans="1:18" s="13" customFormat="1" ht="15.75" x14ac:dyDescent="0.25">
      <c r="A117" s="10"/>
      <c r="B117" s="30" t="s">
        <v>72</v>
      </c>
      <c r="C117" s="1" t="s">
        <v>17</v>
      </c>
      <c r="D117" s="165"/>
      <c r="E117" s="3" t="s">
        <v>21</v>
      </c>
      <c r="F117" s="73" t="s">
        <v>377</v>
      </c>
      <c r="G117" s="74" t="s">
        <v>112</v>
      </c>
      <c r="H117" s="75">
        <v>15</v>
      </c>
      <c r="I117" s="76">
        <v>3</v>
      </c>
      <c r="J117" s="96">
        <f>1+1+1+1</f>
        <v>4</v>
      </c>
      <c r="K117" s="77">
        <f>633.93+1415.78+1610.18</f>
        <v>3659.8900000000003</v>
      </c>
      <c r="L117" s="77"/>
      <c r="M117" s="78">
        <f t="shared" si="4"/>
        <v>3659.8900000000003</v>
      </c>
      <c r="N117" s="100">
        <f>1+3+1+1+1+3</f>
        <v>10</v>
      </c>
      <c r="O117" s="81">
        <f>1950.74+10237.13+6595.95+3861.21+1348.53</f>
        <v>23993.559999999998</v>
      </c>
      <c r="P117" s="81">
        <f>1951.74+10237.13</f>
        <v>12188.869999999999</v>
      </c>
      <c r="Q117" s="79">
        <f t="shared" si="3"/>
        <v>11804.689999999999</v>
      </c>
      <c r="R117" s="141"/>
    </row>
    <row r="118" spans="1:18" s="13" customFormat="1" ht="15.75" x14ac:dyDescent="0.25">
      <c r="A118" s="10"/>
      <c r="B118" s="24" t="s">
        <v>72</v>
      </c>
      <c r="C118" s="1" t="s">
        <v>17</v>
      </c>
      <c r="D118" s="165"/>
      <c r="E118" s="3" t="s">
        <v>21</v>
      </c>
      <c r="F118" s="73" t="s">
        <v>441</v>
      </c>
      <c r="G118" s="11" t="s">
        <v>118</v>
      </c>
      <c r="H118" s="1">
        <v>5</v>
      </c>
      <c r="I118" s="49"/>
      <c r="J118" s="46"/>
      <c r="K118" s="40"/>
      <c r="L118" s="40"/>
      <c r="M118" s="38">
        <f t="shared" si="4"/>
        <v>0</v>
      </c>
      <c r="N118" s="41">
        <v>13</v>
      </c>
      <c r="O118" s="31">
        <v>45577.03</v>
      </c>
      <c r="P118" s="31">
        <v>12247.68</v>
      </c>
      <c r="Q118" s="12">
        <f t="shared" si="3"/>
        <v>33329.35</v>
      </c>
    </row>
    <row r="119" spans="1:18" s="15" customFormat="1" ht="15.75" x14ac:dyDescent="0.25">
      <c r="A119" s="14"/>
      <c r="B119" s="84" t="s">
        <v>73</v>
      </c>
      <c r="C119" s="1" t="s">
        <v>17</v>
      </c>
      <c r="D119" s="165"/>
      <c r="E119" s="3" t="s">
        <v>74</v>
      </c>
      <c r="F119" s="73" t="s">
        <v>378</v>
      </c>
      <c r="G119" s="74" t="s">
        <v>112</v>
      </c>
      <c r="H119" s="75">
        <v>16</v>
      </c>
      <c r="I119" s="76">
        <v>15</v>
      </c>
      <c r="J119" s="96">
        <f>9+8+2+2</f>
        <v>21</v>
      </c>
      <c r="K119" s="77">
        <f>6305.33</f>
        <v>6305.33</v>
      </c>
      <c r="L119" s="77"/>
      <c r="M119" s="78">
        <f t="shared" si="4"/>
        <v>6305.33</v>
      </c>
      <c r="N119" s="100">
        <f>5+3+3+1</f>
        <v>12</v>
      </c>
      <c r="O119" s="81">
        <f>5416.39+9506.99</f>
        <v>14923.380000000001</v>
      </c>
      <c r="P119" s="81">
        <f>5417.39</f>
        <v>5417.39</v>
      </c>
      <c r="Q119" s="79">
        <f t="shared" si="3"/>
        <v>9505.9900000000016</v>
      </c>
      <c r="R119" s="141"/>
    </row>
    <row r="120" spans="1:18" s="15" customFormat="1" ht="15.75" x14ac:dyDescent="0.25">
      <c r="A120" s="14"/>
      <c r="B120" s="29" t="s">
        <v>73</v>
      </c>
      <c r="C120" s="1" t="s">
        <v>17</v>
      </c>
      <c r="D120" s="165"/>
      <c r="E120" s="3" t="s">
        <v>74</v>
      </c>
      <c r="F120" s="73" t="s">
        <v>282</v>
      </c>
      <c r="G120" s="11" t="s">
        <v>114</v>
      </c>
      <c r="H120" s="1"/>
      <c r="I120" s="49"/>
      <c r="J120" s="51"/>
      <c r="K120" s="40"/>
      <c r="L120" s="40"/>
      <c r="M120" s="38">
        <f t="shared" si="4"/>
        <v>0</v>
      </c>
      <c r="N120" s="42">
        <v>1</v>
      </c>
      <c r="O120" s="31">
        <v>19379.400000000001</v>
      </c>
      <c r="P120" s="31">
        <v>19379.400000000001</v>
      </c>
      <c r="Q120" s="12">
        <f t="shared" si="3"/>
        <v>0</v>
      </c>
    </row>
    <row r="121" spans="1:18" s="13" customFormat="1" ht="15.75" x14ac:dyDescent="0.25">
      <c r="A121" s="10"/>
      <c r="B121" s="30" t="s">
        <v>135</v>
      </c>
      <c r="C121" s="1" t="s">
        <v>17</v>
      </c>
      <c r="D121" s="165"/>
      <c r="E121" s="17" t="s">
        <v>35</v>
      </c>
      <c r="F121" s="73" t="s">
        <v>379</v>
      </c>
      <c r="G121" s="74" t="s">
        <v>112</v>
      </c>
      <c r="H121" s="75">
        <v>17</v>
      </c>
      <c r="I121" s="76">
        <v>11</v>
      </c>
      <c r="J121" s="96">
        <f>1+6+5</f>
        <v>12</v>
      </c>
      <c r="K121" s="77">
        <f>697.32+4374.12</f>
        <v>5071.4399999999996</v>
      </c>
      <c r="L121" s="77">
        <f>697.32</f>
        <v>697.32</v>
      </c>
      <c r="M121" s="38">
        <f t="shared" si="4"/>
        <v>4374.12</v>
      </c>
      <c r="N121" s="100">
        <f>2+5+1+2+2+2</f>
        <v>14</v>
      </c>
      <c r="O121" s="81">
        <f>6432.89+2283.68</f>
        <v>8716.57</v>
      </c>
      <c r="P121" s="81">
        <f>6432.89</f>
        <v>6432.89</v>
      </c>
      <c r="Q121" s="12">
        <f t="shared" si="3"/>
        <v>2283.6799999999994</v>
      </c>
      <c r="R121" s="141"/>
    </row>
    <row r="122" spans="1:18" s="13" customFormat="1" ht="15.75" x14ac:dyDescent="0.25">
      <c r="A122" s="10"/>
      <c r="B122" s="24" t="s">
        <v>135</v>
      </c>
      <c r="C122" s="1" t="s">
        <v>17</v>
      </c>
      <c r="D122" s="165"/>
      <c r="E122" s="17" t="s">
        <v>35</v>
      </c>
      <c r="F122" s="73" t="s">
        <v>432</v>
      </c>
      <c r="G122" s="11" t="s">
        <v>115</v>
      </c>
      <c r="H122" s="1"/>
      <c r="I122" s="49"/>
      <c r="J122" s="46"/>
      <c r="K122" s="40"/>
      <c r="L122" s="40"/>
      <c r="M122" s="78">
        <f t="shared" si="4"/>
        <v>0</v>
      </c>
      <c r="N122" s="41">
        <v>1</v>
      </c>
      <c r="O122" s="31">
        <v>2689.4</v>
      </c>
      <c r="P122" s="31"/>
      <c r="Q122" s="79">
        <f t="shared" si="3"/>
        <v>2689.4</v>
      </c>
    </row>
    <row r="123" spans="1:18" s="13" customFormat="1" ht="15.75" x14ac:dyDescent="0.25">
      <c r="A123" s="10"/>
      <c r="B123" s="30" t="s">
        <v>145</v>
      </c>
      <c r="C123" s="1" t="s">
        <v>17</v>
      </c>
      <c r="D123" s="165"/>
      <c r="E123" s="17" t="s">
        <v>20</v>
      </c>
      <c r="F123" s="73" t="s">
        <v>380</v>
      </c>
      <c r="G123" s="74" t="s">
        <v>112</v>
      </c>
      <c r="H123" s="75">
        <v>4</v>
      </c>
      <c r="I123" s="82">
        <v>3</v>
      </c>
      <c r="J123" s="96">
        <f>2+1+1</f>
        <v>4</v>
      </c>
      <c r="K123" s="77">
        <f>5169.72+1100+538.84</f>
        <v>6808.56</v>
      </c>
      <c r="L123" s="77">
        <f>949.36</f>
        <v>949.36</v>
      </c>
      <c r="M123" s="38">
        <f t="shared" si="4"/>
        <v>5859.2000000000007</v>
      </c>
      <c r="N123" s="100">
        <f>1+1+2+1</f>
        <v>5</v>
      </c>
      <c r="O123" s="81">
        <f>5120.23+3915.15+1114.12</f>
        <v>10149.5</v>
      </c>
      <c r="P123" s="81">
        <f>5120.23+3915.15</f>
        <v>9035.3799999999992</v>
      </c>
      <c r="Q123" s="12">
        <f t="shared" si="3"/>
        <v>1114.1200000000008</v>
      </c>
      <c r="R123" s="141"/>
    </row>
    <row r="124" spans="1:18" s="13" customFormat="1" ht="15.75" x14ac:dyDescent="0.25">
      <c r="A124" s="10"/>
      <c r="B124" s="24" t="s">
        <v>145</v>
      </c>
      <c r="C124" s="1" t="s">
        <v>17</v>
      </c>
      <c r="D124" s="165"/>
      <c r="E124" s="17" t="s">
        <v>20</v>
      </c>
      <c r="F124" s="73" t="s">
        <v>461</v>
      </c>
      <c r="G124" s="11" t="s">
        <v>114</v>
      </c>
      <c r="H124" s="1">
        <v>2</v>
      </c>
      <c r="I124" s="49"/>
      <c r="J124" s="51"/>
      <c r="K124" s="40"/>
      <c r="L124" s="40"/>
      <c r="M124" s="78">
        <f t="shared" si="4"/>
        <v>0</v>
      </c>
      <c r="N124" s="41">
        <v>9</v>
      </c>
      <c r="O124" s="31"/>
      <c r="P124" s="31"/>
      <c r="Q124" s="79">
        <f t="shared" si="3"/>
        <v>0</v>
      </c>
    </row>
    <row r="125" spans="1:18" s="13" customFormat="1" ht="15.75" x14ac:dyDescent="0.25">
      <c r="A125" s="10"/>
      <c r="B125" s="62" t="s">
        <v>76</v>
      </c>
      <c r="C125" s="1" t="s">
        <v>17</v>
      </c>
      <c r="D125" s="165"/>
      <c r="E125" s="3" t="s">
        <v>20</v>
      </c>
      <c r="F125" s="73" t="s">
        <v>381</v>
      </c>
      <c r="G125" s="74" t="s">
        <v>112</v>
      </c>
      <c r="H125" s="75">
        <v>17</v>
      </c>
      <c r="I125" s="76">
        <v>12</v>
      </c>
      <c r="J125" s="96">
        <f>1+6+3+1+3</f>
        <v>14</v>
      </c>
      <c r="K125" s="77">
        <f>6556.06+2806.39+2697.06+1267.86</f>
        <v>13327.37</v>
      </c>
      <c r="L125" s="77">
        <f>384.2+6556.06</f>
        <v>6940.26</v>
      </c>
      <c r="M125" s="38">
        <f t="shared" si="4"/>
        <v>6387.1100000000006</v>
      </c>
      <c r="N125" s="100">
        <f>5+6+2+1</f>
        <v>14</v>
      </c>
      <c r="O125" s="81">
        <f>11527.9+19846.52+1011.91+9641+2451.87</f>
        <v>44479.200000000004</v>
      </c>
      <c r="P125" s="81">
        <f>11144.7+8114.23</f>
        <v>19258.93</v>
      </c>
      <c r="Q125" s="12">
        <f t="shared" si="3"/>
        <v>25220.270000000004</v>
      </c>
      <c r="R125" s="141"/>
    </row>
    <row r="126" spans="1:18" s="13" customFormat="1" ht="15.75" x14ac:dyDescent="0.25">
      <c r="A126" s="10"/>
      <c r="B126" s="22" t="s">
        <v>76</v>
      </c>
      <c r="C126" s="1" t="s">
        <v>17</v>
      </c>
      <c r="D126" s="165"/>
      <c r="E126" s="3" t="s">
        <v>20</v>
      </c>
      <c r="F126" s="73" t="s">
        <v>462</v>
      </c>
      <c r="G126" s="11" t="s">
        <v>114</v>
      </c>
      <c r="H126" s="1">
        <v>6</v>
      </c>
      <c r="I126" s="49">
        <v>1</v>
      </c>
      <c r="J126" s="51">
        <v>1</v>
      </c>
      <c r="K126" s="40"/>
      <c r="L126" s="40"/>
      <c r="M126" s="78">
        <f t="shared" si="4"/>
        <v>0</v>
      </c>
      <c r="N126" s="41">
        <v>8</v>
      </c>
      <c r="O126" s="31">
        <v>23172.09</v>
      </c>
      <c r="P126" s="31">
        <v>23172.09</v>
      </c>
      <c r="Q126" s="79">
        <f t="shared" si="3"/>
        <v>0</v>
      </c>
    </row>
    <row r="127" spans="1:18" s="13" customFormat="1" ht="15.75" x14ac:dyDescent="0.25">
      <c r="A127" s="10"/>
      <c r="B127" s="30" t="s">
        <v>77</v>
      </c>
      <c r="C127" s="1" t="s">
        <v>17</v>
      </c>
      <c r="D127" s="165"/>
      <c r="E127" s="3" t="s">
        <v>32</v>
      </c>
      <c r="F127" s="73" t="s">
        <v>388</v>
      </c>
      <c r="G127" s="74" t="s">
        <v>112</v>
      </c>
      <c r="H127" s="75">
        <v>10</v>
      </c>
      <c r="I127" s="76">
        <v>5</v>
      </c>
      <c r="J127" s="96">
        <f>2+2+2</f>
        <v>6</v>
      </c>
      <c r="K127" s="77">
        <f>2440.63+1507.02</f>
        <v>3947.65</v>
      </c>
      <c r="L127" s="77"/>
      <c r="M127" s="38">
        <f t="shared" si="4"/>
        <v>3947.65</v>
      </c>
      <c r="N127" s="100">
        <f>5+2+3+3+1</f>
        <v>14</v>
      </c>
      <c r="O127" s="81">
        <f>11716.73+6848.82+4046.18+11166.34+8845.95</f>
        <v>42624.020000000004</v>
      </c>
      <c r="P127" s="81">
        <f>11716.73+6848.82</f>
        <v>18565.55</v>
      </c>
      <c r="Q127" s="12">
        <f t="shared" si="3"/>
        <v>24058.470000000005</v>
      </c>
      <c r="R127" s="141"/>
    </row>
    <row r="128" spans="1:18" s="13" customFormat="1" ht="15.75" x14ac:dyDescent="0.25">
      <c r="A128" s="10"/>
      <c r="B128" s="24" t="s">
        <v>77</v>
      </c>
      <c r="C128" s="1" t="s">
        <v>17</v>
      </c>
      <c r="D128" s="165"/>
      <c r="E128" s="3" t="s">
        <v>32</v>
      </c>
      <c r="F128" s="73" t="s">
        <v>433</v>
      </c>
      <c r="G128" s="11" t="s">
        <v>117</v>
      </c>
      <c r="H128" s="1">
        <v>1</v>
      </c>
      <c r="I128" s="49"/>
      <c r="J128" s="46"/>
      <c r="K128" s="40"/>
      <c r="L128" s="40"/>
      <c r="M128" s="78">
        <f t="shared" si="4"/>
        <v>0</v>
      </c>
      <c r="N128" s="41">
        <v>6</v>
      </c>
      <c r="O128" s="31">
        <v>15666.81</v>
      </c>
      <c r="P128" s="31">
        <v>15666.81</v>
      </c>
      <c r="Q128" s="79">
        <f t="shared" si="3"/>
        <v>0</v>
      </c>
    </row>
    <row r="129" spans="1:18" s="13" customFormat="1" ht="15.75" x14ac:dyDescent="0.25">
      <c r="A129" s="10"/>
      <c r="B129" s="24" t="s">
        <v>321</v>
      </c>
      <c r="C129" s="1" t="s">
        <v>17</v>
      </c>
      <c r="D129" s="165"/>
      <c r="E129" s="3" t="s">
        <v>21</v>
      </c>
      <c r="F129" s="73" t="s">
        <v>489</v>
      </c>
      <c r="G129" s="11" t="s">
        <v>112</v>
      </c>
      <c r="H129" s="1">
        <v>3</v>
      </c>
      <c r="I129" s="49"/>
      <c r="J129" s="46"/>
      <c r="K129" s="40"/>
      <c r="L129" s="40"/>
      <c r="M129" s="78"/>
      <c r="N129" s="41"/>
      <c r="O129" s="31"/>
      <c r="P129" s="31"/>
      <c r="Q129" s="79"/>
      <c r="R129" s="141"/>
    </row>
    <row r="130" spans="1:18" s="13" customFormat="1" ht="31.5" x14ac:dyDescent="0.25">
      <c r="A130" s="10"/>
      <c r="B130" s="62" t="s">
        <v>79</v>
      </c>
      <c r="C130" s="1" t="s">
        <v>304</v>
      </c>
      <c r="D130" s="165" t="s">
        <v>385</v>
      </c>
      <c r="E130" s="3" t="s">
        <v>18</v>
      </c>
      <c r="F130" s="73" t="s">
        <v>389</v>
      </c>
      <c r="G130" s="74" t="s">
        <v>112</v>
      </c>
      <c r="H130" s="75">
        <v>11</v>
      </c>
      <c r="I130" s="76">
        <v>6</v>
      </c>
      <c r="J130" s="96">
        <f>2+5</f>
        <v>7</v>
      </c>
      <c r="K130" s="77">
        <f>2091.97+3190.2</f>
        <v>5282.17</v>
      </c>
      <c r="L130" s="77"/>
      <c r="M130" s="38">
        <f t="shared" si="4"/>
        <v>5282.17</v>
      </c>
      <c r="N130" s="100">
        <f>2+2+1+2+1</f>
        <v>8</v>
      </c>
      <c r="O130" s="81">
        <f>1547.4+4166.12+7835.61+1675.01+4717.63</f>
        <v>19941.77</v>
      </c>
      <c r="P130" s="81">
        <f>1548.4+2451.87+1714.25</f>
        <v>5714.52</v>
      </c>
      <c r="Q130" s="12">
        <f t="shared" si="3"/>
        <v>14227.25</v>
      </c>
      <c r="R130" s="141"/>
    </row>
    <row r="131" spans="1:18" s="13" customFormat="1" ht="31.5" x14ac:dyDescent="0.25">
      <c r="A131" s="10"/>
      <c r="B131" s="22" t="s">
        <v>79</v>
      </c>
      <c r="C131" s="1" t="s">
        <v>304</v>
      </c>
      <c r="D131" s="165" t="s">
        <v>475</v>
      </c>
      <c r="E131" s="3" t="s">
        <v>18</v>
      </c>
      <c r="F131" s="73" t="s">
        <v>329</v>
      </c>
      <c r="G131" s="11" t="s">
        <v>113</v>
      </c>
      <c r="H131" s="1">
        <v>26</v>
      </c>
      <c r="I131" s="53">
        <v>10</v>
      </c>
      <c r="J131" s="127">
        <v>10</v>
      </c>
      <c r="K131" s="31">
        <v>11975</v>
      </c>
      <c r="L131" s="31"/>
      <c r="M131" s="78">
        <f t="shared" si="4"/>
        <v>11975</v>
      </c>
      <c r="N131" s="41">
        <v>10</v>
      </c>
      <c r="O131" s="31">
        <v>35959</v>
      </c>
      <c r="P131" s="31">
        <v>26815</v>
      </c>
      <c r="Q131" s="79">
        <f t="shared" si="3"/>
        <v>9144</v>
      </c>
    </row>
    <row r="132" spans="1:18" s="13" customFormat="1" ht="15.75" x14ac:dyDescent="0.25">
      <c r="A132" s="10"/>
      <c r="B132" s="62" t="s">
        <v>151</v>
      </c>
      <c r="C132" s="1" t="s">
        <v>17</v>
      </c>
      <c r="D132" s="165"/>
      <c r="E132" s="3" t="s">
        <v>32</v>
      </c>
      <c r="F132" s="73" t="s">
        <v>390</v>
      </c>
      <c r="G132" s="74" t="s">
        <v>112</v>
      </c>
      <c r="H132" s="75">
        <v>30</v>
      </c>
      <c r="I132" s="82">
        <v>15</v>
      </c>
      <c r="J132" s="96">
        <f>1+3+3+5+3</f>
        <v>15</v>
      </c>
      <c r="K132" s="81">
        <f>2317+4640.19+5864.19</f>
        <v>12821.38</v>
      </c>
      <c r="L132" s="81"/>
      <c r="M132" s="38">
        <f t="shared" si="4"/>
        <v>12821.38</v>
      </c>
      <c r="N132" s="100">
        <f>9+3+5+1+4</f>
        <v>22</v>
      </c>
      <c r="O132" s="81">
        <f>10726.94+18822.65+5703.53+12846.53+1320.36</f>
        <v>49420.01</v>
      </c>
      <c r="P132" s="81">
        <f>10726.94</f>
        <v>10726.94</v>
      </c>
      <c r="Q132" s="12">
        <f t="shared" si="3"/>
        <v>38693.07</v>
      </c>
      <c r="R132" s="141"/>
    </row>
    <row r="133" spans="1:18" s="13" customFormat="1" ht="15.75" x14ac:dyDescent="0.25">
      <c r="A133" s="10"/>
      <c r="B133" s="22" t="s">
        <v>151</v>
      </c>
      <c r="C133" s="1" t="s">
        <v>17</v>
      </c>
      <c r="D133" s="165"/>
      <c r="E133" s="3" t="s">
        <v>32</v>
      </c>
      <c r="F133" s="73" t="s">
        <v>434</v>
      </c>
      <c r="G133" s="11" t="s">
        <v>117</v>
      </c>
      <c r="H133" s="1">
        <v>6</v>
      </c>
      <c r="I133" s="49"/>
      <c r="J133" s="46"/>
      <c r="K133" s="40"/>
      <c r="L133" s="40"/>
      <c r="M133" s="78">
        <f t="shared" si="4"/>
        <v>0</v>
      </c>
      <c r="N133" s="41">
        <v>12</v>
      </c>
      <c r="O133" s="31">
        <v>22129.3</v>
      </c>
      <c r="P133" s="31">
        <v>14253.2</v>
      </c>
      <c r="Q133" s="79">
        <f t="shared" si="3"/>
        <v>7876.0999999999985</v>
      </c>
    </row>
    <row r="134" spans="1:18" s="13" customFormat="1" ht="15.75" x14ac:dyDescent="0.25">
      <c r="A134" s="10"/>
      <c r="B134" s="62" t="s">
        <v>80</v>
      </c>
      <c r="C134" s="1" t="s">
        <v>17</v>
      </c>
      <c r="D134" s="165"/>
      <c r="E134" s="3" t="s">
        <v>81</v>
      </c>
      <c r="F134" s="73" t="s">
        <v>417</v>
      </c>
      <c r="G134" s="74" t="s">
        <v>112</v>
      </c>
      <c r="H134" s="75"/>
      <c r="I134" s="76"/>
      <c r="J134" s="96"/>
      <c r="K134" s="77"/>
      <c r="L134" s="77"/>
      <c r="M134" s="38">
        <f t="shared" si="4"/>
        <v>0</v>
      </c>
      <c r="N134" s="100">
        <f>2+2</f>
        <v>4</v>
      </c>
      <c r="O134" s="81">
        <f>3040.94</f>
        <v>3040.94</v>
      </c>
      <c r="P134" s="81">
        <f>3040.94</f>
        <v>3040.94</v>
      </c>
      <c r="Q134" s="12">
        <f t="shared" si="3"/>
        <v>0</v>
      </c>
      <c r="R134" s="141"/>
    </row>
    <row r="135" spans="1:18" s="13" customFormat="1" ht="15.75" x14ac:dyDescent="0.25">
      <c r="A135" s="10"/>
      <c r="B135" s="22" t="s">
        <v>80</v>
      </c>
      <c r="C135" s="1" t="s">
        <v>17</v>
      </c>
      <c r="D135" s="165"/>
      <c r="E135" s="3" t="s">
        <v>81</v>
      </c>
      <c r="F135" s="73" t="s">
        <v>285</v>
      </c>
      <c r="G135" s="11" t="s">
        <v>114</v>
      </c>
      <c r="H135" s="1"/>
      <c r="I135" s="49"/>
      <c r="J135" s="51"/>
      <c r="K135" s="40"/>
      <c r="L135" s="40"/>
      <c r="M135" s="78">
        <f t="shared" si="4"/>
        <v>0</v>
      </c>
      <c r="N135" s="41">
        <v>22</v>
      </c>
      <c r="O135" s="31">
        <f>21200.04</f>
        <v>21200.04</v>
      </c>
      <c r="P135" s="31">
        <v>21200</v>
      </c>
      <c r="Q135" s="79">
        <f t="shared" si="3"/>
        <v>4.0000000000873115E-2</v>
      </c>
    </row>
    <row r="136" spans="1:18" s="13" customFormat="1" ht="15.75" x14ac:dyDescent="0.25">
      <c r="A136" s="10"/>
      <c r="B136" s="30" t="s">
        <v>82</v>
      </c>
      <c r="C136" s="1" t="s">
        <v>17</v>
      </c>
      <c r="D136" s="165"/>
      <c r="E136" s="3" t="s">
        <v>20</v>
      </c>
      <c r="F136" s="73" t="s">
        <v>394</v>
      </c>
      <c r="G136" s="74" t="s">
        <v>112</v>
      </c>
      <c r="H136" s="75">
        <v>6</v>
      </c>
      <c r="I136" s="76">
        <v>4</v>
      </c>
      <c r="J136" s="96">
        <f>4</f>
        <v>4</v>
      </c>
      <c r="K136" s="77"/>
      <c r="L136" s="77"/>
      <c r="M136" s="38">
        <f t="shared" si="4"/>
        <v>0</v>
      </c>
      <c r="N136" s="100">
        <f>3+5+1</f>
        <v>9</v>
      </c>
      <c r="O136" s="81">
        <f>5975.84+23579.15</f>
        <v>29554.99</v>
      </c>
      <c r="P136" s="81">
        <f>15975.84-2007.3+300</f>
        <v>14268.54</v>
      </c>
      <c r="Q136" s="12">
        <f t="shared" si="3"/>
        <v>15286.45</v>
      </c>
      <c r="R136" s="141"/>
    </row>
    <row r="137" spans="1:18" s="13" customFormat="1" ht="15.75" x14ac:dyDescent="0.25">
      <c r="A137" s="10"/>
      <c r="B137" s="24" t="s">
        <v>82</v>
      </c>
      <c r="C137" s="1" t="s">
        <v>17</v>
      </c>
      <c r="D137" s="165"/>
      <c r="E137" s="3" t="s">
        <v>20</v>
      </c>
      <c r="F137" s="73" t="s">
        <v>463</v>
      </c>
      <c r="G137" s="11" t="s">
        <v>114</v>
      </c>
      <c r="H137" s="1">
        <v>13</v>
      </c>
      <c r="I137" s="49"/>
      <c r="J137" s="51"/>
      <c r="K137" s="40"/>
      <c r="L137" s="40"/>
      <c r="M137" s="78">
        <f t="shared" si="4"/>
        <v>0</v>
      </c>
      <c r="N137" s="41">
        <v>7</v>
      </c>
      <c r="O137" s="31">
        <v>10757.8</v>
      </c>
      <c r="P137" s="31">
        <v>10757.8</v>
      </c>
      <c r="Q137" s="79">
        <f t="shared" si="3"/>
        <v>0</v>
      </c>
    </row>
    <row r="138" spans="1:18" s="13" customFormat="1" ht="15.75" x14ac:dyDescent="0.25">
      <c r="A138" s="10"/>
      <c r="B138" s="24" t="s">
        <v>309</v>
      </c>
      <c r="C138" s="1"/>
      <c r="D138" s="165"/>
      <c r="E138" s="3" t="s">
        <v>20</v>
      </c>
      <c r="F138" s="73" t="s">
        <v>391</v>
      </c>
      <c r="G138" s="11" t="s">
        <v>112</v>
      </c>
      <c r="H138" s="1">
        <v>10</v>
      </c>
      <c r="I138" s="58">
        <v>5</v>
      </c>
      <c r="J138" s="51">
        <f>1+5</f>
        <v>6</v>
      </c>
      <c r="K138" s="40">
        <f>3606.1</f>
        <v>3606.1</v>
      </c>
      <c r="L138" s="40">
        <f>3606.1</f>
        <v>3606.1</v>
      </c>
      <c r="M138" s="38">
        <f t="shared" si="4"/>
        <v>0</v>
      </c>
      <c r="N138" s="41">
        <f>1+5+1+3</f>
        <v>10</v>
      </c>
      <c r="O138" s="31">
        <f>3088.97+13147.65+1267.86</f>
        <v>17504.48</v>
      </c>
      <c r="P138" s="31">
        <f>13147.65</f>
        <v>13147.65</v>
      </c>
      <c r="Q138" s="12">
        <f t="shared" si="3"/>
        <v>4356.83</v>
      </c>
      <c r="R138" s="141"/>
    </row>
    <row r="139" spans="1:18" s="13" customFormat="1" ht="15.75" x14ac:dyDescent="0.25">
      <c r="A139" s="10"/>
      <c r="B139" s="30" t="s">
        <v>152</v>
      </c>
      <c r="C139" s="1" t="s">
        <v>17</v>
      </c>
      <c r="D139" s="165"/>
      <c r="E139" s="3" t="s">
        <v>35</v>
      </c>
      <c r="F139" s="73" t="s">
        <v>392</v>
      </c>
      <c r="G139" s="74" t="s">
        <v>112</v>
      </c>
      <c r="H139" s="75">
        <v>7</v>
      </c>
      <c r="I139" s="76">
        <v>5</v>
      </c>
      <c r="J139" s="96">
        <f>1+1+2+1</f>
        <v>5</v>
      </c>
      <c r="K139" s="77">
        <f>403.41+845.24</f>
        <v>1248.6500000000001</v>
      </c>
      <c r="L139" s="77">
        <f>403.41</f>
        <v>403.41</v>
      </c>
      <c r="M139" s="38">
        <f t="shared" si="4"/>
        <v>845.24</v>
      </c>
      <c r="N139" s="100">
        <f>2+2+2+1+1</f>
        <v>8</v>
      </c>
      <c r="O139" s="81">
        <f>1690.48+3050.26+3661.61+4648.82+1267.86+1690.48+9282.42</f>
        <v>25291.93</v>
      </c>
      <c r="P139" s="81">
        <f>3050.26+1690.4</f>
        <v>4740.66</v>
      </c>
      <c r="Q139" s="12">
        <f t="shared" si="3"/>
        <v>20551.27</v>
      </c>
      <c r="R139" s="141"/>
    </row>
    <row r="140" spans="1:18" s="13" customFormat="1" ht="15.75" x14ac:dyDescent="0.25">
      <c r="A140" s="10"/>
      <c r="B140" s="24" t="s">
        <v>152</v>
      </c>
      <c r="C140" s="1" t="s">
        <v>17</v>
      </c>
      <c r="D140" s="165"/>
      <c r="E140" s="3" t="s">
        <v>32</v>
      </c>
      <c r="F140" s="73"/>
      <c r="G140" s="11" t="s">
        <v>117</v>
      </c>
      <c r="H140" s="1"/>
      <c r="I140" s="49"/>
      <c r="J140" s="46"/>
      <c r="K140" s="40"/>
      <c r="L140" s="40"/>
      <c r="M140" s="78">
        <f t="shared" si="4"/>
        <v>0</v>
      </c>
      <c r="N140" s="41"/>
      <c r="O140" s="31"/>
      <c r="P140" s="31"/>
      <c r="Q140" s="79">
        <f t="shared" si="3"/>
        <v>0</v>
      </c>
    </row>
    <row r="141" spans="1:18" s="13" customFormat="1" ht="15.75" x14ac:dyDescent="0.25">
      <c r="A141" s="10"/>
      <c r="B141" s="30" t="s">
        <v>83</v>
      </c>
      <c r="C141" s="1" t="s">
        <v>17</v>
      </c>
      <c r="D141" s="165"/>
      <c r="E141" s="3" t="s">
        <v>20</v>
      </c>
      <c r="F141" s="73" t="s">
        <v>393</v>
      </c>
      <c r="G141" s="74" t="s">
        <v>112</v>
      </c>
      <c r="H141" s="75">
        <v>9</v>
      </c>
      <c r="I141" s="76">
        <v>5</v>
      </c>
      <c r="J141" s="96">
        <f>1+1+2+1+1</f>
        <v>6</v>
      </c>
      <c r="K141" s="77">
        <f>768.4+2535.72</f>
        <v>3304.12</v>
      </c>
      <c r="L141" s="77">
        <f>848.31</f>
        <v>848.31</v>
      </c>
      <c r="M141" s="38">
        <f t="shared" si="4"/>
        <v>2455.81</v>
      </c>
      <c r="N141" s="100">
        <f>1+2+1+1</f>
        <v>5</v>
      </c>
      <c r="O141" s="81">
        <f>5837.09+1922.92</f>
        <v>7760.01</v>
      </c>
      <c r="P141" s="81">
        <v>4989.78</v>
      </c>
      <c r="Q141" s="12">
        <f t="shared" si="3"/>
        <v>2770.2300000000005</v>
      </c>
      <c r="R141" s="141"/>
    </row>
    <row r="142" spans="1:18" s="13" customFormat="1" ht="15.75" x14ac:dyDescent="0.25">
      <c r="A142" s="10"/>
      <c r="B142" s="24" t="s">
        <v>83</v>
      </c>
      <c r="C142" s="1" t="s">
        <v>17</v>
      </c>
      <c r="D142" s="165"/>
      <c r="E142" s="3" t="s">
        <v>20</v>
      </c>
      <c r="F142" s="73" t="s">
        <v>464</v>
      </c>
      <c r="G142" s="11" t="s">
        <v>114</v>
      </c>
      <c r="H142" s="1">
        <v>11</v>
      </c>
      <c r="I142" s="49">
        <v>3</v>
      </c>
      <c r="J142" s="51">
        <v>3</v>
      </c>
      <c r="K142" s="40"/>
      <c r="L142" s="40"/>
      <c r="M142" s="78">
        <f t="shared" si="4"/>
        <v>0</v>
      </c>
      <c r="N142" s="41">
        <v>24</v>
      </c>
      <c r="O142" s="31">
        <v>62120.800000000003</v>
      </c>
      <c r="P142" s="31">
        <v>62120.800000000003</v>
      </c>
      <c r="Q142" s="79">
        <f t="shared" si="3"/>
        <v>0</v>
      </c>
    </row>
    <row r="143" spans="1:18" s="13" customFormat="1" ht="15.75" x14ac:dyDescent="0.25">
      <c r="A143" s="10"/>
      <c r="B143" s="24" t="s">
        <v>310</v>
      </c>
      <c r="C143" s="1"/>
      <c r="D143" s="165"/>
      <c r="E143" s="3" t="s">
        <v>20</v>
      </c>
      <c r="F143" s="73"/>
      <c r="G143" s="11" t="s">
        <v>114</v>
      </c>
      <c r="H143" s="1"/>
      <c r="I143" s="49"/>
      <c r="J143" s="51"/>
      <c r="K143" s="40"/>
      <c r="L143" s="40"/>
      <c r="M143" s="78"/>
      <c r="N143" s="41"/>
      <c r="O143" s="31"/>
      <c r="P143" s="31"/>
      <c r="Q143" s="79"/>
    </row>
    <row r="144" spans="1:18" s="13" customFormat="1" ht="15.75" x14ac:dyDescent="0.25">
      <c r="A144" s="10"/>
      <c r="B144" s="30" t="s">
        <v>84</v>
      </c>
      <c r="C144" s="1"/>
      <c r="D144" s="165"/>
      <c r="E144" s="3" t="s">
        <v>20</v>
      </c>
      <c r="F144" s="73" t="s">
        <v>287</v>
      </c>
      <c r="G144" s="11" t="s">
        <v>114</v>
      </c>
      <c r="H144" s="1"/>
      <c r="I144" s="49"/>
      <c r="J144" s="51"/>
      <c r="K144" s="40"/>
      <c r="L144" s="40"/>
      <c r="M144" s="38">
        <f t="shared" si="4"/>
        <v>0</v>
      </c>
      <c r="N144" s="41"/>
      <c r="O144" s="31"/>
      <c r="P144" s="31"/>
      <c r="Q144" s="12">
        <f t="shared" si="3"/>
        <v>0</v>
      </c>
    </row>
    <row r="145" spans="1:18" s="13" customFormat="1" ht="47.25" x14ac:dyDescent="0.25">
      <c r="A145" s="10"/>
      <c r="B145" s="30" t="s">
        <v>85</v>
      </c>
      <c r="C145" s="1" t="s">
        <v>304</v>
      </c>
      <c r="D145" s="165" t="s">
        <v>415</v>
      </c>
      <c r="E145" s="3" t="s">
        <v>20</v>
      </c>
      <c r="F145" s="73" t="s">
        <v>395</v>
      </c>
      <c r="G145" s="74" t="s">
        <v>112</v>
      </c>
      <c r="H145" s="75">
        <v>6</v>
      </c>
      <c r="I145" s="76">
        <v>4</v>
      </c>
      <c r="J145" s="96"/>
      <c r="K145" s="77"/>
      <c r="L145" s="77"/>
      <c r="M145" s="38">
        <f t="shared" si="4"/>
        <v>0</v>
      </c>
      <c r="N145" s="100"/>
      <c r="O145" s="81">
        <f>3917.73</f>
        <v>3917.73</v>
      </c>
      <c r="P145" s="81"/>
      <c r="Q145" s="79">
        <f t="shared" si="3"/>
        <v>3917.73</v>
      </c>
      <c r="R145" s="141"/>
    </row>
    <row r="146" spans="1:18" s="13" customFormat="1" ht="15.75" x14ac:dyDescent="0.25">
      <c r="A146" s="10"/>
      <c r="B146" s="27" t="s">
        <v>86</v>
      </c>
      <c r="C146" s="1" t="s">
        <v>17</v>
      </c>
      <c r="D146" s="165"/>
      <c r="E146" s="17" t="s">
        <v>20</v>
      </c>
      <c r="F146" s="73" t="s">
        <v>396</v>
      </c>
      <c r="G146" s="74" t="s">
        <v>112</v>
      </c>
      <c r="H146" s="75">
        <v>9</v>
      </c>
      <c r="I146" s="76">
        <v>3</v>
      </c>
      <c r="J146" s="96">
        <f>1+3+1</f>
        <v>5</v>
      </c>
      <c r="K146" s="77">
        <f>950.9+5134.06+2091.97</f>
        <v>8176.93</v>
      </c>
      <c r="L146" s="77">
        <f>950.9</f>
        <v>950.9</v>
      </c>
      <c r="M146" s="38">
        <f t="shared" si="4"/>
        <v>7226.0300000000007</v>
      </c>
      <c r="N146" s="100">
        <f>15+4+2</f>
        <v>21</v>
      </c>
      <c r="O146" s="81">
        <f>30236.61+18366.75+8887.09</f>
        <v>57490.45</v>
      </c>
      <c r="P146" s="81">
        <f>30236.61+18366.75</f>
        <v>48603.360000000001</v>
      </c>
      <c r="Q146" s="12">
        <f t="shared" si="3"/>
        <v>8887.0899999999965</v>
      </c>
      <c r="R146" s="141"/>
    </row>
    <row r="147" spans="1:18" s="13" customFormat="1" ht="15.75" x14ac:dyDescent="0.25">
      <c r="A147" s="10"/>
      <c r="B147" s="25" t="s">
        <v>86</v>
      </c>
      <c r="C147" s="1" t="s">
        <v>17</v>
      </c>
      <c r="D147" s="165"/>
      <c r="E147" s="17" t="s">
        <v>20</v>
      </c>
      <c r="F147" s="73" t="s">
        <v>465</v>
      </c>
      <c r="G147" s="11" t="s">
        <v>114</v>
      </c>
      <c r="H147" s="1">
        <v>2</v>
      </c>
      <c r="I147" s="49"/>
      <c r="J147" s="51"/>
      <c r="K147" s="40"/>
      <c r="L147" s="40"/>
      <c r="M147" s="78">
        <f t="shared" si="4"/>
        <v>0</v>
      </c>
      <c r="N147" s="41">
        <v>9</v>
      </c>
      <c r="O147" s="31">
        <v>8870.23</v>
      </c>
      <c r="P147" s="31">
        <v>8870.23</v>
      </c>
      <c r="Q147" s="79">
        <f t="shared" si="3"/>
        <v>0</v>
      </c>
    </row>
    <row r="148" spans="1:18" s="13" customFormat="1" ht="15.75" x14ac:dyDescent="0.25">
      <c r="A148" s="10"/>
      <c r="B148" s="62" t="s">
        <v>87</v>
      </c>
      <c r="C148" s="1" t="s">
        <v>17</v>
      </c>
      <c r="D148" s="165"/>
      <c r="E148" s="17" t="s">
        <v>78</v>
      </c>
      <c r="F148" s="73" t="s">
        <v>142</v>
      </c>
      <c r="G148" s="74" t="s">
        <v>112</v>
      </c>
      <c r="H148" s="75"/>
      <c r="I148" s="76"/>
      <c r="J148" s="96"/>
      <c r="K148" s="77"/>
      <c r="L148" s="77"/>
      <c r="M148" s="38">
        <f t="shared" si="4"/>
        <v>0</v>
      </c>
      <c r="N148" s="100"/>
      <c r="O148" s="81"/>
      <c r="P148" s="81"/>
      <c r="Q148" s="12">
        <f t="shared" si="3"/>
        <v>0</v>
      </c>
      <c r="R148" s="141"/>
    </row>
    <row r="149" spans="1:18" s="13" customFormat="1" ht="15.75" x14ac:dyDescent="0.25">
      <c r="A149" s="10"/>
      <c r="B149" s="62" t="s">
        <v>312</v>
      </c>
      <c r="C149" s="1" t="s">
        <v>17</v>
      </c>
      <c r="D149" s="165"/>
      <c r="E149" s="17" t="s">
        <v>20</v>
      </c>
      <c r="F149" s="73" t="s">
        <v>320</v>
      </c>
      <c r="G149" s="74" t="s">
        <v>112</v>
      </c>
      <c r="H149" s="75">
        <v>11</v>
      </c>
      <c r="I149" s="76">
        <v>2</v>
      </c>
      <c r="J149" s="96">
        <f>1+1</f>
        <v>2</v>
      </c>
      <c r="K149" s="77">
        <f>3319.49+845.24</f>
        <v>4164.7299999999996</v>
      </c>
      <c r="L149" s="77"/>
      <c r="M149" s="38"/>
      <c r="N149" s="100">
        <f>5+6</f>
        <v>11</v>
      </c>
      <c r="O149" s="81">
        <f>4226.2+6627.45</f>
        <v>10853.65</v>
      </c>
      <c r="P149" s="81">
        <f>4226.2</f>
        <v>4226.2</v>
      </c>
      <c r="Q149" s="12"/>
      <c r="R149" s="141"/>
    </row>
    <row r="150" spans="1:18" s="13" customFormat="1" ht="15.75" x14ac:dyDescent="0.25">
      <c r="A150" s="10"/>
      <c r="B150" s="62" t="s">
        <v>494</v>
      </c>
      <c r="C150" s="1" t="s">
        <v>17</v>
      </c>
      <c r="D150" s="165"/>
      <c r="E150" s="17" t="s">
        <v>20</v>
      </c>
      <c r="F150" s="73" t="s">
        <v>497</v>
      </c>
      <c r="G150" s="74" t="s">
        <v>112</v>
      </c>
      <c r="H150" s="75">
        <v>5</v>
      </c>
      <c r="I150" s="76">
        <v>2</v>
      </c>
      <c r="J150" s="96">
        <f>1+1</f>
        <v>2</v>
      </c>
      <c r="K150" s="77">
        <v>3379</v>
      </c>
      <c r="L150" s="77"/>
      <c r="M150" s="38"/>
      <c r="N150" s="100"/>
      <c r="O150" s="81"/>
      <c r="P150" s="81"/>
      <c r="Q150" s="12"/>
      <c r="R150" s="141"/>
    </row>
    <row r="151" spans="1:18" s="13" customFormat="1" ht="15.75" x14ac:dyDescent="0.25">
      <c r="A151" s="10"/>
      <c r="B151" s="62" t="s">
        <v>494</v>
      </c>
      <c r="C151" s="1"/>
      <c r="D151" s="165"/>
      <c r="E151" s="17"/>
      <c r="F151" s="73"/>
      <c r="G151" s="74" t="s">
        <v>114</v>
      </c>
      <c r="H151" s="75">
        <v>16</v>
      </c>
      <c r="I151" s="76"/>
      <c r="J151" s="96"/>
      <c r="K151" s="77"/>
      <c r="L151" s="77"/>
      <c r="M151" s="38"/>
      <c r="N151" s="100"/>
      <c r="O151" s="81"/>
      <c r="P151" s="81"/>
      <c r="Q151" s="12"/>
      <c r="R151" s="141"/>
    </row>
    <row r="152" spans="1:18" s="13" customFormat="1" ht="15.75" x14ac:dyDescent="0.25">
      <c r="A152" s="10"/>
      <c r="B152" s="30" t="s">
        <v>88</v>
      </c>
      <c r="C152" s="1" t="s">
        <v>17</v>
      </c>
      <c r="D152" s="165"/>
      <c r="E152" s="3" t="s">
        <v>89</v>
      </c>
      <c r="F152" s="73" t="s">
        <v>397</v>
      </c>
      <c r="G152" s="74" t="s">
        <v>112</v>
      </c>
      <c r="H152" s="75">
        <v>5</v>
      </c>
      <c r="I152" s="76">
        <v>5</v>
      </c>
      <c r="J152" s="96">
        <f>1+3+1</f>
        <v>5</v>
      </c>
      <c r="K152" s="77">
        <f>4226.2+2394.91+6485.1</f>
        <v>13106.21</v>
      </c>
      <c r="L152" s="77"/>
      <c r="M152" s="38">
        <f t="shared" si="4"/>
        <v>13106.21</v>
      </c>
      <c r="N152" s="100">
        <f>4+1+3+1+2+2+1+1</f>
        <v>15</v>
      </c>
      <c r="O152" s="81">
        <f>11967.83+2831.55+10544.37+9418.99+3799.13+1798.04+2548.4</f>
        <v>42908.31</v>
      </c>
      <c r="P152" s="81">
        <f>11967.83+2831.55+10544.37</f>
        <v>25343.75</v>
      </c>
      <c r="Q152" s="79">
        <f t="shared" ref="Q152:Q195" si="5">O152-P152</f>
        <v>17564.559999999998</v>
      </c>
      <c r="R152" s="141"/>
    </row>
    <row r="153" spans="1:18" s="13" customFormat="1" ht="15.75" x14ac:dyDescent="0.25">
      <c r="A153" s="10"/>
      <c r="B153" s="24" t="s">
        <v>88</v>
      </c>
      <c r="C153" s="1" t="s">
        <v>17</v>
      </c>
      <c r="D153" s="165"/>
      <c r="E153" s="3" t="s">
        <v>89</v>
      </c>
      <c r="F153" s="73" t="s">
        <v>442</v>
      </c>
      <c r="G153" s="11" t="s">
        <v>118</v>
      </c>
      <c r="H153" s="1">
        <v>1</v>
      </c>
      <c r="I153" s="49"/>
      <c r="J153" s="46"/>
      <c r="K153" s="40"/>
      <c r="L153" s="40"/>
      <c r="M153" s="38">
        <f t="shared" si="4"/>
        <v>0</v>
      </c>
      <c r="N153" s="41">
        <v>3</v>
      </c>
      <c r="O153" s="31">
        <v>11020.82</v>
      </c>
      <c r="P153" s="31">
        <v>6026.87</v>
      </c>
      <c r="Q153" s="12">
        <f t="shared" si="5"/>
        <v>4993.95</v>
      </c>
    </row>
    <row r="154" spans="1:18" s="13" customFormat="1" ht="15.75" x14ac:dyDescent="0.25">
      <c r="A154" s="10"/>
      <c r="B154" s="24" t="s">
        <v>88</v>
      </c>
      <c r="C154" s="1"/>
      <c r="D154" s="165"/>
      <c r="E154" s="3"/>
      <c r="F154" s="73"/>
      <c r="G154" s="11" t="s">
        <v>114</v>
      </c>
      <c r="H154" s="1">
        <v>4</v>
      </c>
      <c r="I154" s="49"/>
      <c r="J154" s="46"/>
      <c r="K154" s="40"/>
      <c r="L154" s="40"/>
      <c r="M154" s="38"/>
      <c r="N154" s="41"/>
      <c r="O154" s="31"/>
      <c r="P154" s="31"/>
      <c r="Q154" s="12"/>
    </row>
    <row r="155" spans="1:18" s="13" customFormat="1" ht="15.75" x14ac:dyDescent="0.25">
      <c r="A155" s="10"/>
      <c r="B155" s="30" t="s">
        <v>90</v>
      </c>
      <c r="C155" s="1" t="s">
        <v>17</v>
      </c>
      <c r="D155" s="165"/>
      <c r="E155" s="17" t="s">
        <v>20</v>
      </c>
      <c r="F155" s="73" t="s">
        <v>398</v>
      </c>
      <c r="G155" s="74" t="s">
        <v>112</v>
      </c>
      <c r="H155" s="75">
        <v>4</v>
      </c>
      <c r="I155" s="76">
        <v>3</v>
      </c>
      <c r="J155" s="96">
        <f>1+1+1</f>
        <v>3</v>
      </c>
      <c r="K155" s="77">
        <f>422.62</f>
        <v>422.62</v>
      </c>
      <c r="L155" s="77"/>
      <c r="M155" s="38">
        <f t="shared" si="4"/>
        <v>422.62</v>
      </c>
      <c r="N155" s="100">
        <f>1+1+1+1</f>
        <v>4</v>
      </c>
      <c r="O155" s="81">
        <f>2122.67+787.61</f>
        <v>2910.28</v>
      </c>
      <c r="P155" s="81">
        <f>2123.67</f>
        <v>2123.67</v>
      </c>
      <c r="Q155" s="79">
        <f t="shared" si="5"/>
        <v>786.61000000000013</v>
      </c>
      <c r="R155" s="141"/>
    </row>
    <row r="156" spans="1:18" s="13" customFormat="1" ht="15.75" x14ac:dyDescent="0.25">
      <c r="A156" s="10"/>
      <c r="B156" s="24" t="s">
        <v>90</v>
      </c>
      <c r="C156" s="1" t="s">
        <v>17</v>
      </c>
      <c r="D156" s="165"/>
      <c r="E156" s="17" t="s">
        <v>20</v>
      </c>
      <c r="F156" s="73" t="s">
        <v>466</v>
      </c>
      <c r="G156" s="11" t="s">
        <v>114</v>
      </c>
      <c r="H156" s="1">
        <v>10</v>
      </c>
      <c r="I156" s="49">
        <v>1</v>
      </c>
      <c r="J156" s="51">
        <v>1</v>
      </c>
      <c r="K156" s="40"/>
      <c r="L156" s="40"/>
      <c r="M156" s="78">
        <f t="shared" si="4"/>
        <v>0</v>
      </c>
      <c r="N156" s="41">
        <v>19</v>
      </c>
      <c r="O156" s="31">
        <f>31793</f>
        <v>31793</v>
      </c>
      <c r="P156" s="31">
        <v>31793</v>
      </c>
      <c r="Q156" s="12">
        <f t="shared" si="5"/>
        <v>0</v>
      </c>
    </row>
    <row r="157" spans="1:18" s="13" customFormat="1" ht="15.75" x14ac:dyDescent="0.25">
      <c r="A157" s="10"/>
      <c r="B157" s="30" t="s">
        <v>91</v>
      </c>
      <c r="C157" s="1" t="s">
        <v>17</v>
      </c>
      <c r="D157" s="165"/>
      <c r="E157" s="17" t="s">
        <v>20</v>
      </c>
      <c r="F157" s="73" t="s">
        <v>399</v>
      </c>
      <c r="G157" s="74" t="s">
        <v>112</v>
      </c>
      <c r="H157" s="75"/>
      <c r="I157" s="76"/>
      <c r="J157" s="96"/>
      <c r="K157" s="77"/>
      <c r="L157" s="77"/>
      <c r="M157" s="38">
        <f t="shared" si="4"/>
        <v>0</v>
      </c>
      <c r="N157" s="100"/>
      <c r="O157" s="81"/>
      <c r="P157" s="81"/>
      <c r="Q157" s="79">
        <f t="shared" si="5"/>
        <v>0</v>
      </c>
      <c r="R157" s="141"/>
    </row>
    <row r="158" spans="1:18" s="13" customFormat="1" ht="15.75" x14ac:dyDescent="0.25">
      <c r="A158" s="10"/>
      <c r="B158" s="22" t="s">
        <v>138</v>
      </c>
      <c r="C158" s="1" t="s">
        <v>17</v>
      </c>
      <c r="D158" s="165"/>
      <c r="E158" s="17" t="s">
        <v>20</v>
      </c>
      <c r="F158" s="73" t="s">
        <v>467</v>
      </c>
      <c r="G158" s="11" t="s">
        <v>114</v>
      </c>
      <c r="H158" s="1">
        <v>4</v>
      </c>
      <c r="I158" s="49"/>
      <c r="J158" s="51"/>
      <c r="K158" s="37"/>
      <c r="L158" s="37"/>
      <c r="M158" s="78">
        <f t="shared" si="4"/>
        <v>0</v>
      </c>
      <c r="N158" s="39">
        <v>4</v>
      </c>
      <c r="O158" s="31">
        <v>1841</v>
      </c>
      <c r="P158" s="31">
        <v>1841</v>
      </c>
      <c r="Q158" s="12">
        <f t="shared" si="5"/>
        <v>0</v>
      </c>
    </row>
    <row r="159" spans="1:18" s="13" customFormat="1" ht="15.75" x14ac:dyDescent="0.25">
      <c r="A159" s="10"/>
      <c r="B159" s="62" t="s">
        <v>138</v>
      </c>
      <c r="C159" s="1" t="s">
        <v>17</v>
      </c>
      <c r="D159" s="165"/>
      <c r="E159" s="17" t="s">
        <v>20</v>
      </c>
      <c r="F159" s="73" t="s">
        <v>400</v>
      </c>
      <c r="G159" s="74" t="s">
        <v>112</v>
      </c>
      <c r="H159" s="75">
        <v>8</v>
      </c>
      <c r="I159" s="82">
        <v>3</v>
      </c>
      <c r="J159" s="96">
        <f>3</f>
        <v>3</v>
      </c>
      <c r="K159" s="77"/>
      <c r="L159" s="77"/>
      <c r="M159" s="38">
        <f t="shared" si="4"/>
        <v>0</v>
      </c>
      <c r="N159" s="100">
        <f>5+4</f>
        <v>9</v>
      </c>
      <c r="O159" s="81">
        <v>8995.8700000000008</v>
      </c>
      <c r="P159" s="81">
        <f>8995.87</f>
        <v>8995.8700000000008</v>
      </c>
      <c r="Q159" s="79">
        <f t="shared" si="5"/>
        <v>0</v>
      </c>
      <c r="R159" s="141"/>
    </row>
    <row r="160" spans="1:18" s="13" customFormat="1" ht="15.75" x14ac:dyDescent="0.25">
      <c r="A160" s="10"/>
      <c r="B160" s="62" t="s">
        <v>157</v>
      </c>
      <c r="C160" s="1" t="s">
        <v>17</v>
      </c>
      <c r="D160" s="165"/>
      <c r="E160" s="17" t="s">
        <v>20</v>
      </c>
      <c r="F160" s="73" t="s">
        <v>401</v>
      </c>
      <c r="G160" s="74" t="s">
        <v>112</v>
      </c>
      <c r="H160" s="75">
        <v>7</v>
      </c>
      <c r="I160" s="82"/>
      <c r="J160" s="96"/>
      <c r="K160" s="77"/>
      <c r="L160" s="77"/>
      <c r="M160" s="38">
        <f t="shared" ref="M160:M194" si="6">K160-L160</f>
        <v>0</v>
      </c>
      <c r="N160" s="100"/>
      <c r="O160" s="81"/>
      <c r="P160" s="81"/>
      <c r="Q160" s="12">
        <f t="shared" si="5"/>
        <v>0</v>
      </c>
      <c r="R160" s="141"/>
    </row>
    <row r="161" spans="1:18" s="13" customFormat="1" ht="15.75" x14ac:dyDescent="0.25">
      <c r="A161" s="10"/>
      <c r="B161" s="22" t="s">
        <v>157</v>
      </c>
      <c r="C161" s="1" t="s">
        <v>17</v>
      </c>
      <c r="D161" s="165"/>
      <c r="E161" s="17" t="s">
        <v>20</v>
      </c>
      <c r="F161" s="73"/>
      <c r="G161" s="11" t="s">
        <v>114</v>
      </c>
      <c r="H161" s="1"/>
      <c r="I161" s="49"/>
      <c r="J161" s="51"/>
      <c r="K161" s="37"/>
      <c r="L161" s="37"/>
      <c r="M161" s="38">
        <f t="shared" si="6"/>
        <v>0</v>
      </c>
      <c r="N161" s="39"/>
      <c r="O161" s="31"/>
      <c r="P161" s="31"/>
      <c r="Q161" s="79">
        <f t="shared" si="5"/>
        <v>0</v>
      </c>
    </row>
    <row r="162" spans="1:18" s="15" customFormat="1" ht="15.75" x14ac:dyDescent="0.25">
      <c r="A162" s="14"/>
      <c r="B162" s="80" t="s">
        <v>92</v>
      </c>
      <c r="C162" s="1" t="s">
        <v>17</v>
      </c>
      <c r="D162" s="165"/>
      <c r="E162" s="17" t="s">
        <v>20</v>
      </c>
      <c r="F162" s="73" t="s">
        <v>402</v>
      </c>
      <c r="G162" s="74" t="s">
        <v>112</v>
      </c>
      <c r="H162" s="75">
        <v>5</v>
      </c>
      <c r="I162" s="76">
        <v>3</v>
      </c>
      <c r="J162" s="96">
        <f>1+2</f>
        <v>3</v>
      </c>
      <c r="K162" s="77">
        <f>1951.74</f>
        <v>1951.74</v>
      </c>
      <c r="L162" s="77"/>
      <c r="M162" s="38">
        <f t="shared" si="6"/>
        <v>1951.74</v>
      </c>
      <c r="N162" s="100">
        <f>4+1+1</f>
        <v>6</v>
      </c>
      <c r="O162" s="81">
        <f>12624.74+2697.06</f>
        <v>15321.8</v>
      </c>
      <c r="P162" s="81">
        <f>12624.74+2697.06</f>
        <v>15321.8</v>
      </c>
      <c r="Q162" s="12">
        <f t="shared" si="5"/>
        <v>0</v>
      </c>
      <c r="R162" s="141"/>
    </row>
    <row r="163" spans="1:18" s="15" customFormat="1" ht="15.75" x14ac:dyDescent="0.25">
      <c r="A163" s="14"/>
      <c r="B163" s="23" t="s">
        <v>92</v>
      </c>
      <c r="C163" s="1" t="s">
        <v>17</v>
      </c>
      <c r="D163" s="165"/>
      <c r="E163" s="17" t="s">
        <v>20</v>
      </c>
      <c r="F163" s="73" t="s">
        <v>129</v>
      </c>
      <c r="G163" s="11" t="s">
        <v>114</v>
      </c>
      <c r="H163" s="1"/>
      <c r="I163" s="49"/>
      <c r="J163" s="51"/>
      <c r="K163" s="40"/>
      <c r="L163" s="40"/>
      <c r="M163" s="38">
        <f t="shared" si="6"/>
        <v>0</v>
      </c>
      <c r="N163" s="39"/>
      <c r="O163" s="31"/>
      <c r="P163" s="31"/>
      <c r="Q163" s="79">
        <f t="shared" si="5"/>
        <v>0</v>
      </c>
    </row>
    <row r="164" spans="1:18" s="13" customFormat="1" ht="15.75" x14ac:dyDescent="0.25">
      <c r="A164" s="10"/>
      <c r="B164" s="30" t="s">
        <v>93</v>
      </c>
      <c r="C164" s="1" t="s">
        <v>17</v>
      </c>
      <c r="D164" s="165"/>
      <c r="E164" s="3" t="s">
        <v>94</v>
      </c>
      <c r="F164" s="73" t="s">
        <v>403</v>
      </c>
      <c r="G164" s="74" t="s">
        <v>112</v>
      </c>
      <c r="H164" s="75">
        <v>7</v>
      </c>
      <c r="I164" s="76">
        <v>2</v>
      </c>
      <c r="J164" s="96">
        <f>2</f>
        <v>2</v>
      </c>
      <c r="K164" s="77">
        <f>2362.84</f>
        <v>2362.84</v>
      </c>
      <c r="L164" s="77">
        <f>2362.84</f>
        <v>2362.84</v>
      </c>
      <c r="M164" s="38">
        <f t="shared" si="6"/>
        <v>0</v>
      </c>
      <c r="N164" s="100">
        <f>3+8</f>
        <v>11</v>
      </c>
      <c r="O164" s="81">
        <f>20117.75</f>
        <v>20117.75</v>
      </c>
      <c r="P164" s="81">
        <f>20117.75</f>
        <v>20117.75</v>
      </c>
      <c r="Q164" s="12">
        <f t="shared" si="5"/>
        <v>0</v>
      </c>
      <c r="R164" s="141"/>
    </row>
    <row r="165" spans="1:18" s="13" customFormat="1" ht="15.75" x14ac:dyDescent="0.25">
      <c r="A165" s="10"/>
      <c r="B165" s="24" t="s">
        <v>93</v>
      </c>
      <c r="C165" s="1" t="s">
        <v>17</v>
      </c>
      <c r="D165" s="165"/>
      <c r="E165" s="3" t="s">
        <v>94</v>
      </c>
      <c r="F165" s="73" t="s">
        <v>130</v>
      </c>
      <c r="G165" s="11" t="s">
        <v>114</v>
      </c>
      <c r="H165" s="1"/>
      <c r="I165" s="49"/>
      <c r="J165" s="51"/>
      <c r="K165" s="40"/>
      <c r="L165" s="77"/>
      <c r="M165" s="38">
        <f t="shared" si="6"/>
        <v>0</v>
      </c>
      <c r="N165" s="41"/>
      <c r="O165" s="31"/>
      <c r="P165" s="31"/>
      <c r="Q165" s="79">
        <f t="shared" si="5"/>
        <v>0</v>
      </c>
    </row>
    <row r="166" spans="1:18" s="13" customFormat="1" ht="15.75" x14ac:dyDescent="0.25">
      <c r="A166" s="10"/>
      <c r="B166" s="24" t="s">
        <v>93</v>
      </c>
      <c r="C166" s="1" t="s">
        <v>17</v>
      </c>
      <c r="D166" s="165"/>
      <c r="E166" s="3" t="s">
        <v>94</v>
      </c>
      <c r="F166" s="73" t="s">
        <v>240</v>
      </c>
      <c r="G166" s="11" t="s">
        <v>118</v>
      </c>
      <c r="H166" s="1"/>
      <c r="I166" s="49"/>
      <c r="J166" s="46"/>
      <c r="K166" s="40"/>
      <c r="L166" s="40"/>
      <c r="M166" s="78">
        <f t="shared" si="6"/>
        <v>0</v>
      </c>
      <c r="N166" s="41"/>
      <c r="O166" s="31"/>
      <c r="P166" s="31"/>
      <c r="Q166" s="12">
        <f t="shared" si="5"/>
        <v>0</v>
      </c>
    </row>
    <row r="167" spans="1:18" s="13" customFormat="1" ht="15.75" x14ac:dyDescent="0.25">
      <c r="A167" s="10"/>
      <c r="B167" s="30" t="s">
        <v>95</v>
      </c>
      <c r="C167" s="1" t="s">
        <v>17</v>
      </c>
      <c r="D167" s="165"/>
      <c r="E167" s="17" t="s">
        <v>20</v>
      </c>
      <c r="F167" s="73" t="s">
        <v>404</v>
      </c>
      <c r="G167" s="74" t="s">
        <v>112</v>
      </c>
      <c r="H167" s="75">
        <v>10</v>
      </c>
      <c r="I167" s="76">
        <v>4</v>
      </c>
      <c r="J167" s="96">
        <f>1+4</f>
        <v>5</v>
      </c>
      <c r="K167" s="77">
        <f>1061.35</f>
        <v>1061.3499999999999</v>
      </c>
      <c r="L167" s="77"/>
      <c r="M167" s="38">
        <f t="shared" si="6"/>
        <v>1061.3499999999999</v>
      </c>
      <c r="N167" s="100">
        <f>1+6+1</f>
        <v>8</v>
      </c>
      <c r="O167" s="81">
        <f>11603.82+7559.28</f>
        <v>19163.099999999999</v>
      </c>
      <c r="P167" s="81"/>
      <c r="Q167" s="79">
        <f t="shared" si="5"/>
        <v>19163.099999999999</v>
      </c>
      <c r="R167" s="141"/>
    </row>
    <row r="168" spans="1:18" s="13" customFormat="1" ht="15.75" x14ac:dyDescent="0.25">
      <c r="A168" s="10"/>
      <c r="B168" s="24" t="s">
        <v>95</v>
      </c>
      <c r="C168" s="1" t="s">
        <v>17</v>
      </c>
      <c r="D168" s="165"/>
      <c r="E168" s="17" t="s">
        <v>20</v>
      </c>
      <c r="F168" s="73" t="s">
        <v>291</v>
      </c>
      <c r="G168" s="11" t="s">
        <v>114</v>
      </c>
      <c r="H168" s="1">
        <v>4</v>
      </c>
      <c r="I168" s="49"/>
      <c r="J168" s="51"/>
      <c r="K168" s="40"/>
      <c r="L168" s="40"/>
      <c r="M168" s="78">
        <f t="shared" si="6"/>
        <v>0</v>
      </c>
      <c r="N168" s="41">
        <v>9</v>
      </c>
      <c r="O168" s="31"/>
      <c r="P168" s="31"/>
      <c r="Q168" s="12">
        <f t="shared" si="5"/>
        <v>0</v>
      </c>
    </row>
    <row r="169" spans="1:18" s="13" customFormat="1" ht="15.75" x14ac:dyDescent="0.25">
      <c r="A169" s="10"/>
      <c r="B169" s="30" t="s">
        <v>96</v>
      </c>
      <c r="C169" s="1" t="s">
        <v>17</v>
      </c>
      <c r="D169" s="165"/>
      <c r="E169" s="17" t="s">
        <v>97</v>
      </c>
      <c r="F169" s="73" t="s">
        <v>405</v>
      </c>
      <c r="G169" s="74" t="s">
        <v>112</v>
      </c>
      <c r="H169" s="75">
        <v>1</v>
      </c>
      <c r="I169" s="76">
        <v>1</v>
      </c>
      <c r="J169" s="96">
        <f>2</f>
        <v>2</v>
      </c>
      <c r="K169" s="77"/>
      <c r="L169" s="77"/>
      <c r="M169" s="38">
        <f t="shared" si="6"/>
        <v>0</v>
      </c>
      <c r="N169" s="103">
        <f>1+2+1</f>
        <v>4</v>
      </c>
      <c r="O169" s="77">
        <f>1742.31</f>
        <v>1742.31</v>
      </c>
      <c r="P169" s="77">
        <f>1742.31</f>
        <v>1742.31</v>
      </c>
      <c r="Q169" s="79">
        <f t="shared" si="5"/>
        <v>0</v>
      </c>
      <c r="R169" s="141"/>
    </row>
    <row r="170" spans="1:18" s="13" customFormat="1" ht="15.75" x14ac:dyDescent="0.25">
      <c r="A170" s="10"/>
      <c r="B170" s="24" t="s">
        <v>96</v>
      </c>
      <c r="C170" s="1" t="s">
        <v>17</v>
      </c>
      <c r="D170" s="165"/>
      <c r="E170" s="17" t="s">
        <v>97</v>
      </c>
      <c r="F170" s="73" t="s">
        <v>468</v>
      </c>
      <c r="G170" s="11" t="s">
        <v>114</v>
      </c>
      <c r="H170" s="1">
        <v>1</v>
      </c>
      <c r="I170" s="49"/>
      <c r="J170" s="51"/>
      <c r="K170" s="40"/>
      <c r="L170" s="40"/>
      <c r="M170" s="78">
        <f t="shared" si="6"/>
        <v>0</v>
      </c>
      <c r="N170" s="41">
        <v>2</v>
      </c>
      <c r="O170" s="31"/>
      <c r="P170" s="31"/>
      <c r="Q170" s="12">
        <f t="shared" si="5"/>
        <v>0</v>
      </c>
    </row>
    <row r="171" spans="1:18" s="13" customFormat="1" ht="15.75" x14ac:dyDescent="0.25">
      <c r="A171" s="10"/>
      <c r="B171" s="30" t="s">
        <v>98</v>
      </c>
      <c r="C171" s="1" t="s">
        <v>17</v>
      </c>
      <c r="D171" s="165"/>
      <c r="E171" s="17" t="s">
        <v>35</v>
      </c>
      <c r="F171" s="73" t="s">
        <v>406</v>
      </c>
      <c r="G171" s="74" t="s">
        <v>112</v>
      </c>
      <c r="H171" s="75">
        <v>20</v>
      </c>
      <c r="I171" s="76">
        <v>5</v>
      </c>
      <c r="J171" s="96">
        <f>1+2+1+1</f>
        <v>5</v>
      </c>
      <c r="K171" s="77">
        <f>845.24+1764.25+8353.03</f>
        <v>10962.52</v>
      </c>
      <c r="L171" s="77"/>
      <c r="M171" s="38">
        <f t="shared" si="6"/>
        <v>10962.52</v>
      </c>
      <c r="N171" s="100">
        <f>9+1+1+4+2+1+2</f>
        <v>20</v>
      </c>
      <c r="O171" s="81">
        <f>17007.01+2697.06+1267.86+31709.38+5331.44-10826.79</f>
        <v>47185.96</v>
      </c>
      <c r="P171" s="81">
        <f>17007.01+10149.24+3964.92</f>
        <v>31121.17</v>
      </c>
      <c r="Q171" s="79">
        <f t="shared" si="5"/>
        <v>16064.79</v>
      </c>
      <c r="R171" s="141"/>
    </row>
    <row r="172" spans="1:18" s="13" customFormat="1" ht="15.75" x14ac:dyDescent="0.25">
      <c r="A172" s="10"/>
      <c r="B172" s="24" t="s">
        <v>98</v>
      </c>
      <c r="C172" s="1" t="s">
        <v>17</v>
      </c>
      <c r="D172" s="165"/>
      <c r="E172" s="17" t="s">
        <v>35</v>
      </c>
      <c r="F172" s="73" t="s">
        <v>435</v>
      </c>
      <c r="G172" s="8" t="s">
        <v>117</v>
      </c>
      <c r="H172" s="1">
        <v>2</v>
      </c>
      <c r="I172" s="49">
        <v>1</v>
      </c>
      <c r="J172" s="46">
        <v>1</v>
      </c>
      <c r="K172" s="40">
        <v>1162.21</v>
      </c>
      <c r="L172" s="40"/>
      <c r="M172" s="78">
        <f t="shared" si="6"/>
        <v>1162.21</v>
      </c>
      <c r="N172" s="41">
        <f>4</f>
        <v>4</v>
      </c>
      <c r="O172" s="40">
        <v>10721.75</v>
      </c>
      <c r="P172" s="40">
        <v>10721.75</v>
      </c>
      <c r="Q172" s="12">
        <f t="shared" si="5"/>
        <v>0</v>
      </c>
    </row>
    <row r="173" spans="1:18" s="13" customFormat="1" ht="15.75" x14ac:dyDescent="0.25">
      <c r="A173" s="10"/>
      <c r="B173" s="24" t="s">
        <v>488</v>
      </c>
      <c r="C173" s="1" t="s">
        <v>17</v>
      </c>
      <c r="D173" s="165"/>
      <c r="E173" s="17" t="s">
        <v>97</v>
      </c>
      <c r="F173" s="73" t="s">
        <v>498</v>
      </c>
      <c r="G173" s="8" t="s">
        <v>112</v>
      </c>
      <c r="H173" s="1">
        <v>5</v>
      </c>
      <c r="I173" s="49">
        <v>4</v>
      </c>
      <c r="J173" s="46">
        <f>4</f>
        <v>4</v>
      </c>
      <c r="K173" s="40"/>
      <c r="L173" s="40"/>
      <c r="M173" s="78"/>
      <c r="N173" s="41"/>
      <c r="O173" s="40"/>
      <c r="P173" s="40"/>
      <c r="Q173" s="12"/>
    </row>
    <row r="174" spans="1:18" s="15" customFormat="1" ht="15.75" x14ac:dyDescent="0.25">
      <c r="A174" s="14"/>
      <c r="B174" s="84" t="s">
        <v>99</v>
      </c>
      <c r="C174" s="1" t="s">
        <v>17</v>
      </c>
      <c r="D174" s="165"/>
      <c r="E174" s="3" t="s">
        <v>32</v>
      </c>
      <c r="F174" s="73" t="s">
        <v>418</v>
      </c>
      <c r="G174" s="74" t="s">
        <v>112</v>
      </c>
      <c r="H174" s="75"/>
      <c r="I174" s="76"/>
      <c r="J174" s="96"/>
      <c r="K174" s="77"/>
      <c r="L174" s="77"/>
      <c r="M174" s="38">
        <f t="shared" si="6"/>
        <v>0</v>
      </c>
      <c r="N174" s="100"/>
      <c r="O174" s="81"/>
      <c r="P174" s="81"/>
      <c r="Q174" s="79">
        <f t="shared" si="5"/>
        <v>0</v>
      </c>
      <c r="R174" s="141"/>
    </row>
    <row r="175" spans="1:18" s="15" customFormat="1" ht="15.75" x14ac:dyDescent="0.25">
      <c r="A175" s="14"/>
      <c r="B175" s="29" t="s">
        <v>99</v>
      </c>
      <c r="C175" s="1" t="s">
        <v>17</v>
      </c>
      <c r="D175" s="165"/>
      <c r="E175" s="3" t="s">
        <v>32</v>
      </c>
      <c r="F175" s="73" t="s">
        <v>423</v>
      </c>
      <c r="G175" s="8" t="s">
        <v>117</v>
      </c>
      <c r="H175" s="1"/>
      <c r="I175" s="49"/>
      <c r="J175" s="51"/>
      <c r="K175" s="40"/>
      <c r="L175" s="40"/>
      <c r="M175" s="78">
        <f t="shared" si="6"/>
        <v>0</v>
      </c>
      <c r="N175" s="39"/>
      <c r="O175" s="40"/>
      <c r="P175" s="40"/>
      <c r="Q175" s="12">
        <f t="shared" si="5"/>
        <v>0</v>
      </c>
    </row>
    <row r="176" spans="1:18" s="15" customFormat="1" ht="31.5" x14ac:dyDescent="0.25">
      <c r="A176" s="14"/>
      <c r="B176" s="30" t="s">
        <v>144</v>
      </c>
      <c r="C176" s="1" t="s">
        <v>304</v>
      </c>
      <c r="D176" s="165" t="s">
        <v>313</v>
      </c>
      <c r="E176" s="17" t="s">
        <v>97</v>
      </c>
      <c r="F176" s="73" t="s">
        <v>407</v>
      </c>
      <c r="G176" s="66" t="s">
        <v>112</v>
      </c>
      <c r="H176" s="75">
        <v>8</v>
      </c>
      <c r="I176" s="76">
        <v>7</v>
      </c>
      <c r="J176" s="98">
        <f>2+2+1+3+1</f>
        <v>9</v>
      </c>
      <c r="K176" s="77">
        <f>950.9+1449.39+2272.32</f>
        <v>4672.6100000000006</v>
      </c>
      <c r="L176" s="77">
        <f>1373.52</f>
        <v>1373.52</v>
      </c>
      <c r="M176" s="38">
        <f t="shared" si="6"/>
        <v>3299.0900000000006</v>
      </c>
      <c r="N176" s="100">
        <f>3+2+1+1</f>
        <v>7</v>
      </c>
      <c r="O176" s="77">
        <f>5020.57+5566.06+2694.94</f>
        <v>13281.570000000002</v>
      </c>
      <c r="P176" s="77">
        <f>5071.44+1449.39</f>
        <v>6520.83</v>
      </c>
      <c r="Q176" s="79">
        <f t="shared" si="5"/>
        <v>6760.7400000000016</v>
      </c>
      <c r="R176" s="141"/>
    </row>
    <row r="177" spans="1:18" s="15" customFormat="1" ht="15.75" x14ac:dyDescent="0.25">
      <c r="A177" s="14"/>
      <c r="B177" s="30" t="s">
        <v>488</v>
      </c>
      <c r="C177" s="1"/>
      <c r="D177" s="165"/>
      <c r="E177" s="17"/>
      <c r="F177" s="73"/>
      <c r="G177" s="66" t="s">
        <v>114</v>
      </c>
      <c r="H177" s="75">
        <v>15</v>
      </c>
      <c r="I177" s="76"/>
      <c r="J177" s="98"/>
      <c r="K177" s="77"/>
      <c r="L177" s="77"/>
      <c r="M177" s="38"/>
      <c r="N177" s="100"/>
      <c r="O177" s="77"/>
      <c r="P177" s="77"/>
      <c r="Q177" s="79"/>
    </row>
    <row r="178" spans="1:18" s="15" customFormat="1" ht="15.75" x14ac:dyDescent="0.25">
      <c r="A178" s="14"/>
      <c r="B178" s="30" t="s">
        <v>488</v>
      </c>
      <c r="C178" s="1"/>
      <c r="D178" s="165"/>
      <c r="E178" s="17"/>
      <c r="F178" s="73"/>
      <c r="G178" s="66" t="s">
        <v>113</v>
      </c>
      <c r="H178" s="75">
        <v>9</v>
      </c>
      <c r="I178" s="76"/>
      <c r="J178" s="98"/>
      <c r="K178" s="77"/>
      <c r="L178" s="77"/>
      <c r="M178" s="38"/>
      <c r="N178" s="100"/>
      <c r="O178" s="77"/>
      <c r="P178" s="77"/>
      <c r="Q178" s="79"/>
    </row>
    <row r="179" spans="1:18" s="15" customFormat="1" ht="31.5" x14ac:dyDescent="0.25">
      <c r="A179" s="14"/>
      <c r="B179" s="34" t="s">
        <v>144</v>
      </c>
      <c r="C179" s="1" t="s">
        <v>446</v>
      </c>
      <c r="D179" s="165" t="s">
        <v>313</v>
      </c>
      <c r="E179" s="3" t="s">
        <v>20</v>
      </c>
      <c r="F179" s="73" t="s">
        <v>485</v>
      </c>
      <c r="G179" s="8" t="s">
        <v>114</v>
      </c>
      <c r="H179" s="1">
        <v>15</v>
      </c>
      <c r="I179" s="53">
        <v>1</v>
      </c>
      <c r="J179" s="52">
        <v>1</v>
      </c>
      <c r="K179" s="40">
        <v>1921</v>
      </c>
      <c r="L179" s="40">
        <v>1921</v>
      </c>
      <c r="M179" s="78">
        <f t="shared" si="6"/>
        <v>0</v>
      </c>
      <c r="N179" s="42">
        <v>15</v>
      </c>
      <c r="O179" s="31">
        <v>23332.2</v>
      </c>
      <c r="P179" s="31">
        <v>23332.2</v>
      </c>
      <c r="Q179" s="12">
        <f t="shared" si="5"/>
        <v>0</v>
      </c>
    </row>
    <row r="180" spans="1:18" s="21" customFormat="1" ht="47.25" x14ac:dyDescent="0.25">
      <c r="A180" s="1"/>
      <c r="B180" s="30" t="s">
        <v>100</v>
      </c>
      <c r="C180" s="1" t="s">
        <v>304</v>
      </c>
      <c r="D180" s="165" t="s">
        <v>416</v>
      </c>
      <c r="E180" s="17" t="s">
        <v>20</v>
      </c>
      <c r="F180" s="73" t="s">
        <v>408</v>
      </c>
      <c r="G180" s="27" t="s">
        <v>112</v>
      </c>
      <c r="H180" s="75">
        <v>10</v>
      </c>
      <c r="I180" s="76">
        <v>6</v>
      </c>
      <c r="J180" s="98">
        <f>5+1</f>
        <v>6</v>
      </c>
      <c r="K180" s="86">
        <f>6524.55</f>
        <v>6524.55</v>
      </c>
      <c r="L180" s="86"/>
      <c r="M180" s="38">
        <f t="shared" si="6"/>
        <v>6524.55</v>
      </c>
      <c r="N180" s="100">
        <f>1+3</f>
        <v>4</v>
      </c>
      <c r="O180" s="87">
        <f>10770.58+2113.01</f>
        <v>12883.59</v>
      </c>
      <c r="P180" s="87">
        <f>10771.58</f>
        <v>10771.58</v>
      </c>
      <c r="Q180" s="79">
        <f t="shared" si="5"/>
        <v>2112.0100000000002</v>
      </c>
      <c r="R180" s="141"/>
    </row>
    <row r="181" spans="1:18" s="21" customFormat="1" ht="47.25" x14ac:dyDescent="0.25">
      <c r="A181" s="1"/>
      <c r="B181" s="24" t="s">
        <v>100</v>
      </c>
      <c r="C181" s="18" t="s">
        <v>125</v>
      </c>
      <c r="D181" s="165" t="s">
        <v>126</v>
      </c>
      <c r="E181" s="17" t="s">
        <v>20</v>
      </c>
      <c r="F181" s="73" t="s">
        <v>486</v>
      </c>
      <c r="G181" s="20" t="s">
        <v>114</v>
      </c>
      <c r="H181" s="1">
        <v>8</v>
      </c>
      <c r="I181" s="53"/>
      <c r="J181" s="52"/>
      <c r="K181" s="55"/>
      <c r="L181" s="55"/>
      <c r="M181" s="78">
        <f t="shared" si="6"/>
        <v>0</v>
      </c>
      <c r="N181" s="41"/>
      <c r="O181" s="54"/>
      <c r="P181" s="54"/>
      <c r="Q181" s="12">
        <f t="shared" si="5"/>
        <v>0</v>
      </c>
    </row>
    <row r="182" spans="1:18" s="13" customFormat="1" ht="15.75" x14ac:dyDescent="0.25">
      <c r="A182" s="10"/>
      <c r="B182" s="62" t="s">
        <v>101</v>
      </c>
      <c r="C182" s="1" t="s">
        <v>17</v>
      </c>
      <c r="D182" s="165"/>
      <c r="E182" s="17" t="s">
        <v>20</v>
      </c>
      <c r="F182" s="73" t="s">
        <v>409</v>
      </c>
      <c r="G182" s="74" t="s">
        <v>112</v>
      </c>
      <c r="H182" s="75">
        <v>8</v>
      </c>
      <c r="I182" s="76">
        <v>5</v>
      </c>
      <c r="J182" s="96">
        <f>1+5+1</f>
        <v>7</v>
      </c>
      <c r="K182" s="77">
        <f>1045.98</f>
        <v>1045.98</v>
      </c>
      <c r="L182" s="77"/>
      <c r="M182" s="38">
        <f t="shared" si="6"/>
        <v>1045.98</v>
      </c>
      <c r="N182" s="100">
        <f>5+2+1</f>
        <v>8</v>
      </c>
      <c r="O182" s="81">
        <f>6288.07+3061.62</f>
        <v>9349.6899999999987</v>
      </c>
      <c r="P182" s="81">
        <f>6289.07</f>
        <v>6289.07</v>
      </c>
      <c r="Q182" s="79">
        <f t="shared" si="5"/>
        <v>3060.619999999999</v>
      </c>
      <c r="R182" s="141"/>
    </row>
    <row r="183" spans="1:18" s="13" customFormat="1" ht="15.75" x14ac:dyDescent="0.25">
      <c r="A183" s="10"/>
      <c r="B183" s="62" t="s">
        <v>146</v>
      </c>
      <c r="C183" s="1" t="s">
        <v>17</v>
      </c>
      <c r="D183" s="165"/>
      <c r="E183" s="17" t="s">
        <v>20</v>
      </c>
      <c r="F183" s="73" t="s">
        <v>410</v>
      </c>
      <c r="G183" s="74" t="s">
        <v>112</v>
      </c>
      <c r="H183" s="75">
        <v>7</v>
      </c>
      <c r="I183" s="76">
        <v>6</v>
      </c>
      <c r="J183" s="96">
        <f>4+1</f>
        <v>5</v>
      </c>
      <c r="K183" s="77">
        <f>4610.77+1568.98</f>
        <v>6179.75</v>
      </c>
      <c r="L183" s="77">
        <f>1287.07</f>
        <v>1287.07</v>
      </c>
      <c r="M183" s="38">
        <f t="shared" si="6"/>
        <v>4892.68</v>
      </c>
      <c r="N183" s="100">
        <f>5+1+1+2</f>
        <v>9</v>
      </c>
      <c r="O183" s="81">
        <f>13579.06+1287.07+2636.18</f>
        <v>17502.309999999998</v>
      </c>
      <c r="P183" s="81">
        <f>13579.06</f>
        <v>13579.06</v>
      </c>
      <c r="Q183" s="12">
        <f t="shared" si="5"/>
        <v>3923.2499999999982</v>
      </c>
      <c r="R183" s="141"/>
    </row>
    <row r="184" spans="1:18" s="13" customFormat="1" ht="15.75" x14ac:dyDescent="0.25">
      <c r="A184" s="10"/>
      <c r="B184" s="22" t="s">
        <v>146</v>
      </c>
      <c r="C184" s="1" t="s">
        <v>17</v>
      </c>
      <c r="D184" s="165"/>
      <c r="E184" s="3" t="s">
        <v>21</v>
      </c>
      <c r="F184" s="73" t="s">
        <v>443</v>
      </c>
      <c r="G184" s="11" t="s">
        <v>118</v>
      </c>
      <c r="H184" s="1">
        <v>4</v>
      </c>
      <c r="I184" s="47"/>
      <c r="J184" s="51"/>
      <c r="K184" s="37"/>
      <c r="L184" s="37"/>
      <c r="M184" s="38">
        <f t="shared" si="6"/>
        <v>0</v>
      </c>
      <c r="N184" s="39">
        <v>3</v>
      </c>
      <c r="O184" s="31">
        <v>3035.18</v>
      </c>
      <c r="P184" s="31">
        <v>3035.18</v>
      </c>
      <c r="Q184" s="79">
        <f t="shared" si="5"/>
        <v>0</v>
      </c>
    </row>
    <row r="185" spans="1:18" s="13" customFormat="1" ht="15.75" x14ac:dyDescent="0.25">
      <c r="A185" s="10"/>
      <c r="B185" s="27" t="s">
        <v>102</v>
      </c>
      <c r="C185" s="1" t="s">
        <v>17</v>
      </c>
      <c r="D185" s="165"/>
      <c r="E185" s="17" t="s">
        <v>20</v>
      </c>
      <c r="F185" s="73" t="s">
        <v>411</v>
      </c>
      <c r="G185" s="74" t="s">
        <v>112</v>
      </c>
      <c r="H185" s="75">
        <v>8</v>
      </c>
      <c r="I185" s="76">
        <v>4</v>
      </c>
      <c r="J185" s="96">
        <f>1+1+2</f>
        <v>4</v>
      </c>
      <c r="K185" s="77">
        <f>845.24+845.24</f>
        <v>1690.48</v>
      </c>
      <c r="L185" s="77">
        <f>845.24</f>
        <v>845.24</v>
      </c>
      <c r="M185" s="38">
        <f t="shared" si="6"/>
        <v>845.24</v>
      </c>
      <c r="N185" s="100">
        <f>3</f>
        <v>3</v>
      </c>
      <c r="O185" s="81">
        <f>7808.21+30833.77</f>
        <v>38641.980000000003</v>
      </c>
      <c r="P185" s="81">
        <f>7808.21</f>
        <v>7808.21</v>
      </c>
      <c r="Q185" s="12">
        <f t="shared" si="5"/>
        <v>30833.770000000004</v>
      </c>
      <c r="R185" s="141"/>
    </row>
    <row r="186" spans="1:18" s="13" customFormat="1" ht="15.75" x14ac:dyDescent="0.25">
      <c r="A186" s="10"/>
      <c r="B186" s="25" t="s">
        <v>102</v>
      </c>
      <c r="C186" s="1" t="s">
        <v>17</v>
      </c>
      <c r="D186" s="165"/>
      <c r="E186" s="17" t="s">
        <v>20</v>
      </c>
      <c r="F186" s="73" t="s">
        <v>469</v>
      </c>
      <c r="G186" s="11" t="s">
        <v>114</v>
      </c>
      <c r="H186" s="1">
        <v>6</v>
      </c>
      <c r="I186" s="58">
        <v>2</v>
      </c>
      <c r="J186" s="51">
        <v>2</v>
      </c>
      <c r="K186" s="40"/>
      <c r="L186" s="40"/>
      <c r="M186" s="38">
        <f t="shared" si="6"/>
        <v>0</v>
      </c>
      <c r="N186" s="41">
        <v>5</v>
      </c>
      <c r="O186" s="31">
        <f>7604.1</f>
        <v>7604.1</v>
      </c>
      <c r="P186" s="31">
        <v>7604.1</v>
      </c>
      <c r="Q186" s="79">
        <f t="shared" si="5"/>
        <v>0</v>
      </c>
    </row>
    <row r="187" spans="1:18" s="13" customFormat="1" ht="15.75" x14ac:dyDescent="0.25">
      <c r="A187" s="10"/>
      <c r="B187" s="27" t="s">
        <v>103</v>
      </c>
      <c r="C187" s="1" t="s">
        <v>17</v>
      </c>
      <c r="D187" s="165"/>
      <c r="E187" s="3" t="s">
        <v>20</v>
      </c>
      <c r="F187" s="73" t="s">
        <v>412</v>
      </c>
      <c r="G187" s="74" t="s">
        <v>112</v>
      </c>
      <c r="H187" s="75">
        <v>8</v>
      </c>
      <c r="I187" s="76">
        <v>5</v>
      </c>
      <c r="J187" s="96">
        <f>4+1</f>
        <v>5</v>
      </c>
      <c r="K187" s="77"/>
      <c r="L187" s="77"/>
      <c r="M187" s="38">
        <f t="shared" si="6"/>
        <v>0</v>
      </c>
      <c r="N187" s="100">
        <f>7+2+1</f>
        <v>10</v>
      </c>
      <c r="O187" s="77">
        <f>20193.14</f>
        <v>20193.14</v>
      </c>
      <c r="P187" s="81">
        <f>20193.14</f>
        <v>20193.14</v>
      </c>
      <c r="Q187" s="12">
        <f t="shared" si="5"/>
        <v>0</v>
      </c>
      <c r="R187" s="141"/>
    </row>
    <row r="188" spans="1:18" s="13" customFormat="1" ht="15.75" x14ac:dyDescent="0.25">
      <c r="A188" s="10"/>
      <c r="B188" s="25" t="s">
        <v>103</v>
      </c>
      <c r="C188" s="1" t="s">
        <v>17</v>
      </c>
      <c r="D188" s="165"/>
      <c r="E188" s="3" t="s">
        <v>20</v>
      </c>
      <c r="F188" s="73" t="s">
        <v>470</v>
      </c>
      <c r="G188" s="11" t="s">
        <v>114</v>
      </c>
      <c r="H188" s="1">
        <v>7</v>
      </c>
      <c r="I188" s="49"/>
      <c r="J188" s="51"/>
      <c r="K188" s="40"/>
      <c r="L188" s="40"/>
      <c r="M188" s="38">
        <f t="shared" si="6"/>
        <v>0</v>
      </c>
      <c r="N188" s="41">
        <v>4</v>
      </c>
      <c r="O188" s="31">
        <f>8510.89</f>
        <v>8510.89</v>
      </c>
      <c r="P188" s="31">
        <v>8510.89</v>
      </c>
      <c r="Q188" s="79">
        <f t="shared" si="5"/>
        <v>0</v>
      </c>
    </row>
    <row r="189" spans="1:18" s="15" customFormat="1" ht="15.75" x14ac:dyDescent="0.25">
      <c r="A189" s="14"/>
      <c r="B189" s="28" t="s">
        <v>104</v>
      </c>
      <c r="C189" s="1" t="s">
        <v>17</v>
      </c>
      <c r="D189" s="165"/>
      <c r="E189" s="3" t="s">
        <v>20</v>
      </c>
      <c r="F189" s="73" t="s">
        <v>413</v>
      </c>
      <c r="G189" s="74" t="s">
        <v>112</v>
      </c>
      <c r="H189" s="75">
        <v>7</v>
      </c>
      <c r="I189" s="76">
        <v>4</v>
      </c>
      <c r="J189" s="96">
        <f>3+1</f>
        <v>4</v>
      </c>
      <c r="K189" s="77">
        <f>5112.82+422.64</f>
        <v>5535.46</v>
      </c>
      <c r="L189" s="77"/>
      <c r="M189" s="38">
        <f t="shared" si="6"/>
        <v>5535.46</v>
      </c>
      <c r="N189" s="100">
        <f>4+1+1+2</f>
        <v>8</v>
      </c>
      <c r="O189" s="81">
        <f>7087.22</f>
        <v>7087.22</v>
      </c>
      <c r="P189" s="81">
        <f>7086.22+5112.82</f>
        <v>12199.04</v>
      </c>
      <c r="Q189" s="12">
        <f t="shared" si="5"/>
        <v>-5111.8200000000006</v>
      </c>
      <c r="R189" s="141"/>
    </row>
    <row r="190" spans="1:18" s="15" customFormat="1" ht="15.75" x14ac:dyDescent="0.25">
      <c r="A190" s="14"/>
      <c r="B190" s="26" t="s">
        <v>104</v>
      </c>
      <c r="C190" s="1" t="s">
        <v>17</v>
      </c>
      <c r="D190" s="165"/>
      <c r="E190" s="3" t="s">
        <v>20</v>
      </c>
      <c r="F190" s="73" t="s">
        <v>471</v>
      </c>
      <c r="G190" s="11" t="s">
        <v>114</v>
      </c>
      <c r="H190" s="1">
        <v>23</v>
      </c>
      <c r="I190" s="49">
        <v>1</v>
      </c>
      <c r="J190" s="51">
        <v>1</v>
      </c>
      <c r="K190" s="40"/>
      <c r="L190" s="40"/>
      <c r="M190" s="38">
        <f t="shared" si="6"/>
        <v>0</v>
      </c>
      <c r="N190" s="39">
        <v>13</v>
      </c>
      <c r="O190" s="31">
        <v>20243.37</v>
      </c>
      <c r="P190" s="31">
        <v>20243.37</v>
      </c>
      <c r="Q190" s="79">
        <f t="shared" si="5"/>
        <v>0</v>
      </c>
    </row>
    <row r="191" spans="1:18" s="13" customFormat="1" ht="15.75" x14ac:dyDescent="0.25">
      <c r="A191" s="10"/>
      <c r="B191" s="30" t="s">
        <v>105</v>
      </c>
      <c r="C191" s="1" t="s">
        <v>17</v>
      </c>
      <c r="D191" s="165"/>
      <c r="E191" s="17" t="s">
        <v>35</v>
      </c>
      <c r="F191" s="73" t="s">
        <v>419</v>
      </c>
      <c r="G191" s="74" t="s">
        <v>112</v>
      </c>
      <c r="H191" s="75"/>
      <c r="I191" s="76"/>
      <c r="J191" s="96"/>
      <c r="K191" s="77"/>
      <c r="L191" s="77"/>
      <c r="M191" s="38">
        <f t="shared" si="6"/>
        <v>0</v>
      </c>
      <c r="N191" s="100"/>
      <c r="O191" s="81"/>
      <c r="P191" s="81"/>
      <c r="Q191" s="12">
        <f t="shared" si="5"/>
        <v>0</v>
      </c>
      <c r="R191" s="141"/>
    </row>
    <row r="192" spans="1:18" s="13" customFormat="1" ht="15.75" x14ac:dyDescent="0.25">
      <c r="A192" s="10"/>
      <c r="B192" s="30" t="s">
        <v>26</v>
      </c>
      <c r="C192" s="1" t="s">
        <v>17</v>
      </c>
      <c r="D192" s="165"/>
      <c r="E192" s="3" t="s">
        <v>32</v>
      </c>
      <c r="F192" s="73" t="s">
        <v>246</v>
      </c>
      <c r="G192" s="74" t="s">
        <v>117</v>
      </c>
      <c r="H192" s="75"/>
      <c r="I192" s="76"/>
      <c r="J192" s="96"/>
      <c r="K192" s="77"/>
      <c r="L192" s="77"/>
      <c r="M192" s="78">
        <f t="shared" si="6"/>
        <v>0</v>
      </c>
      <c r="N192" s="100">
        <v>5</v>
      </c>
      <c r="O192" s="81">
        <v>3774.05</v>
      </c>
      <c r="P192" s="81">
        <v>3774.05</v>
      </c>
      <c r="Q192" s="12">
        <f t="shared" si="5"/>
        <v>0</v>
      </c>
    </row>
    <row r="193" spans="1:18" s="13" customFormat="1" ht="15.75" x14ac:dyDescent="0.25">
      <c r="A193" s="10"/>
      <c r="B193" s="24" t="s">
        <v>105</v>
      </c>
      <c r="C193" s="1" t="s">
        <v>17</v>
      </c>
      <c r="D193" s="165"/>
      <c r="E193" s="17" t="s">
        <v>35</v>
      </c>
      <c r="F193" s="73" t="s">
        <v>436</v>
      </c>
      <c r="G193" s="11" t="s">
        <v>117</v>
      </c>
      <c r="H193" s="1"/>
      <c r="I193" s="47"/>
      <c r="J193" s="46"/>
      <c r="K193" s="40"/>
      <c r="L193" s="40"/>
      <c r="M193" s="38">
        <f t="shared" si="6"/>
        <v>0</v>
      </c>
      <c r="N193" s="41"/>
      <c r="O193" s="31"/>
      <c r="P193" s="31"/>
      <c r="Q193" s="79">
        <f t="shared" si="5"/>
        <v>0</v>
      </c>
    </row>
    <row r="194" spans="1:18" s="13" customFormat="1" ht="15.75" x14ac:dyDescent="0.25">
      <c r="A194" s="10"/>
      <c r="B194" s="62" t="s">
        <v>106</v>
      </c>
      <c r="C194" s="1" t="s">
        <v>17</v>
      </c>
      <c r="D194" s="2"/>
      <c r="E194" s="17" t="s">
        <v>20</v>
      </c>
      <c r="F194" s="73" t="s">
        <v>414</v>
      </c>
      <c r="G194" s="74" t="s">
        <v>112</v>
      </c>
      <c r="H194" s="75">
        <v>7</v>
      </c>
      <c r="I194" s="76"/>
      <c r="J194" s="96">
        <f>1</f>
        <v>1</v>
      </c>
      <c r="K194" s="77"/>
      <c r="L194" s="77"/>
      <c r="M194" s="38">
        <f t="shared" si="6"/>
        <v>0</v>
      </c>
      <c r="N194" s="100">
        <f>3+1</f>
        <v>4</v>
      </c>
      <c r="O194" s="81">
        <f>15956.85</f>
        <v>15956.85</v>
      </c>
      <c r="P194" s="81">
        <f>15956.85</f>
        <v>15956.85</v>
      </c>
      <c r="Q194" s="12">
        <f t="shared" si="5"/>
        <v>0</v>
      </c>
      <c r="R194" s="141"/>
    </row>
    <row r="195" spans="1:18" ht="15.75" x14ac:dyDescent="0.25">
      <c r="A195" s="7"/>
      <c r="B195" s="32"/>
      <c r="C195" s="107"/>
      <c r="D195" s="33"/>
      <c r="E195" s="33"/>
      <c r="F195" s="73"/>
      <c r="G195" s="8" t="s">
        <v>131</v>
      </c>
      <c r="H195" s="106">
        <f t="shared" ref="H195:P195" si="7">SUM(H10:H194)</f>
        <v>1338</v>
      </c>
      <c r="I195" s="59">
        <f t="shared" si="7"/>
        <v>521</v>
      </c>
      <c r="J195" s="43">
        <f t="shared" si="7"/>
        <v>596</v>
      </c>
      <c r="K195" s="56">
        <f t="shared" si="7"/>
        <v>604812.79499999981</v>
      </c>
      <c r="L195" s="56">
        <f t="shared" si="7"/>
        <v>90527.780000000028</v>
      </c>
      <c r="M195" s="44">
        <f>K195-L195</f>
        <v>514285.01499999978</v>
      </c>
      <c r="N195" s="43">
        <f t="shared" si="7"/>
        <v>1391</v>
      </c>
      <c r="O195" s="57">
        <f t="shared" si="7"/>
        <v>3402251.6899999995</v>
      </c>
      <c r="P195" s="57">
        <f t="shared" si="7"/>
        <v>2102237.8600000003</v>
      </c>
      <c r="Q195" s="79">
        <f t="shared" si="5"/>
        <v>1300013.8299999991</v>
      </c>
      <c r="R195" s="129"/>
    </row>
    <row r="196" spans="1:18" x14ac:dyDescent="0.25">
      <c r="K196" s="91" t="s">
        <v>305</v>
      </c>
    </row>
    <row r="197" spans="1:18" ht="45" x14ac:dyDescent="0.25">
      <c r="B197" s="89" t="s">
        <v>316</v>
      </c>
      <c r="F197" s="104" t="s">
        <v>317</v>
      </c>
      <c r="M197" s="142"/>
      <c r="Q197" s="133"/>
    </row>
  </sheetData>
  <mergeCells count="7">
    <mergeCell ref="O1:Q1"/>
    <mergeCell ref="A3:Q3"/>
    <mergeCell ref="A4:Q4"/>
    <mergeCell ref="A5:Q5"/>
    <mergeCell ref="B7:G7"/>
    <mergeCell ref="H7:M7"/>
    <mergeCell ref="N7:Q7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95"/>
  <sheetViews>
    <sheetView topLeftCell="B1" zoomScale="84" zoomScaleNormal="84" workbookViewId="0">
      <selection activeCell="B1" sqref="A1:XFD1048576"/>
    </sheetView>
  </sheetViews>
  <sheetFormatPr defaultRowHeight="15" x14ac:dyDescent="0.25"/>
  <cols>
    <col min="1" max="1" width="1.85546875" style="6" customWidth="1"/>
    <col min="2" max="2" width="38.28515625" style="88" customWidth="1"/>
    <col min="3" max="3" width="6.5703125" style="19" customWidth="1"/>
    <col min="4" max="4" width="17.42578125" style="19" customWidth="1"/>
    <col min="5" max="5" width="19" style="19" customWidth="1"/>
    <col min="6" max="6" width="18.42578125" style="89" customWidth="1"/>
    <col min="7" max="7" width="27.28515625" style="89" customWidth="1"/>
    <col min="8" max="8" width="13" style="90" customWidth="1"/>
    <col min="9" max="9" width="18.42578125" style="90" customWidth="1"/>
    <col min="10" max="10" width="18.42578125" style="99" customWidth="1"/>
    <col min="11" max="13" width="18.42578125" style="91" customWidth="1"/>
    <col min="14" max="14" width="18.42578125" style="99" customWidth="1"/>
    <col min="15" max="15" width="18.42578125" style="92" customWidth="1"/>
    <col min="16" max="16" width="16" style="92" customWidth="1"/>
    <col min="17" max="17" width="14.42578125" style="92" customWidth="1"/>
    <col min="18" max="18" width="11.7109375" style="6" customWidth="1"/>
    <col min="19" max="19" width="9.42578125" style="6" customWidth="1"/>
    <col min="20" max="21" width="9.140625" style="6" customWidth="1"/>
    <col min="22" max="16384" width="9.140625" style="6"/>
  </cols>
  <sheetData>
    <row r="1" spans="1:18" s="105" customFormat="1" x14ac:dyDescent="0.25">
      <c r="B1" s="60"/>
      <c r="C1" s="4"/>
      <c r="D1" s="4"/>
      <c r="E1" s="4"/>
      <c r="F1" s="63"/>
      <c r="G1" s="63"/>
      <c r="H1" s="64"/>
      <c r="I1" s="64"/>
      <c r="J1" s="93"/>
      <c r="K1" s="65"/>
      <c r="L1" s="65"/>
      <c r="M1" s="65"/>
      <c r="N1" s="93"/>
      <c r="O1" s="362" t="s">
        <v>15</v>
      </c>
      <c r="P1" s="362"/>
      <c r="Q1" s="362"/>
    </row>
    <row r="2" spans="1:18" s="105" customFormat="1" x14ac:dyDescent="0.25">
      <c r="A2" s="7"/>
      <c r="B2" s="175"/>
      <c r="C2" s="107"/>
      <c r="D2" s="107"/>
      <c r="E2" s="107"/>
      <c r="F2" s="66"/>
      <c r="G2" s="66"/>
      <c r="H2" s="174"/>
      <c r="I2" s="174"/>
      <c r="J2" s="94"/>
      <c r="K2" s="67"/>
      <c r="L2" s="67"/>
      <c r="M2" s="67"/>
      <c r="N2" s="94"/>
      <c r="O2" s="68"/>
      <c r="P2" s="68"/>
      <c r="Q2" s="68"/>
    </row>
    <row r="3" spans="1:18" s="105" customFormat="1" x14ac:dyDescent="0.25">
      <c r="A3" s="363" t="s">
        <v>318</v>
      </c>
      <c r="B3" s="364"/>
      <c r="C3" s="363"/>
      <c r="D3" s="363"/>
      <c r="E3" s="363"/>
      <c r="F3" s="364"/>
      <c r="G3" s="364"/>
      <c r="H3" s="365"/>
      <c r="I3" s="366"/>
      <c r="J3" s="367"/>
      <c r="K3" s="364"/>
      <c r="L3" s="364"/>
      <c r="M3" s="364"/>
      <c r="N3" s="364"/>
      <c r="O3" s="364"/>
      <c r="P3" s="364"/>
      <c r="Q3" s="364"/>
    </row>
    <row r="4" spans="1:18" s="105" customFormat="1" x14ac:dyDescent="0.25">
      <c r="A4" s="368">
        <v>43619</v>
      </c>
      <c r="B4" s="369"/>
      <c r="C4" s="370"/>
      <c r="D4" s="370"/>
      <c r="E4" s="370"/>
      <c r="F4" s="369"/>
      <c r="G4" s="369"/>
      <c r="H4" s="371"/>
      <c r="I4" s="372"/>
      <c r="J4" s="373"/>
      <c r="K4" s="369"/>
      <c r="L4" s="369"/>
      <c r="M4" s="369"/>
      <c r="N4" s="369"/>
      <c r="O4" s="369"/>
      <c r="P4" s="369"/>
      <c r="Q4" s="369"/>
    </row>
    <row r="5" spans="1:18" s="105" customFormat="1" x14ac:dyDescent="0.25">
      <c r="A5" s="374" t="s">
        <v>14</v>
      </c>
      <c r="B5" s="367"/>
      <c r="C5" s="374"/>
      <c r="D5" s="374"/>
      <c r="E5" s="374"/>
      <c r="F5" s="367"/>
      <c r="G5" s="367"/>
      <c r="H5" s="366"/>
      <c r="I5" s="366"/>
      <c r="J5" s="367"/>
      <c r="K5" s="367"/>
      <c r="L5" s="367"/>
      <c r="M5" s="367"/>
      <c r="N5" s="367"/>
      <c r="O5" s="367"/>
      <c r="P5" s="367"/>
      <c r="Q5" s="367"/>
    </row>
    <row r="6" spans="1:18" s="105" customFormat="1" x14ac:dyDescent="0.25">
      <c r="A6" s="7"/>
      <c r="B6" s="175"/>
      <c r="C6" s="107"/>
      <c r="D6" s="107"/>
      <c r="E6" s="107"/>
      <c r="F6" s="66"/>
      <c r="G6" s="66"/>
      <c r="H6" s="174"/>
      <c r="I6" s="174"/>
      <c r="J6" s="94"/>
      <c r="K6" s="67"/>
      <c r="L6" s="67"/>
      <c r="M6" s="67"/>
      <c r="N6" s="94"/>
      <c r="O6" s="68"/>
      <c r="P6" s="68"/>
      <c r="Q6" s="68"/>
    </row>
    <row r="7" spans="1:18" x14ac:dyDescent="0.25">
      <c r="A7" s="5" t="s">
        <v>0</v>
      </c>
      <c r="B7" s="364" t="s">
        <v>10</v>
      </c>
      <c r="C7" s="375"/>
      <c r="D7" s="375"/>
      <c r="E7" s="375"/>
      <c r="F7" s="364"/>
      <c r="G7" s="364"/>
      <c r="H7" s="365" t="s">
        <v>472</v>
      </c>
      <c r="I7" s="366"/>
      <c r="J7" s="367"/>
      <c r="K7" s="364"/>
      <c r="L7" s="364"/>
      <c r="M7" s="364"/>
      <c r="N7" s="364" t="s">
        <v>132</v>
      </c>
      <c r="O7" s="364"/>
      <c r="P7" s="364"/>
      <c r="Q7" s="364"/>
    </row>
    <row r="8" spans="1:18" ht="180" x14ac:dyDescent="0.25">
      <c r="A8" s="5"/>
      <c r="B8" s="175" t="s">
        <v>4</v>
      </c>
      <c r="C8" s="107" t="s">
        <v>1</v>
      </c>
      <c r="D8" s="107" t="s">
        <v>3</v>
      </c>
      <c r="E8" s="107" t="s">
        <v>2</v>
      </c>
      <c r="F8" s="122" t="s">
        <v>6</v>
      </c>
      <c r="G8" s="66" t="s">
        <v>5</v>
      </c>
      <c r="H8" s="175" t="s">
        <v>7</v>
      </c>
      <c r="I8" s="175" t="s">
        <v>8</v>
      </c>
      <c r="J8" s="94" t="s">
        <v>9</v>
      </c>
      <c r="K8" s="67" t="s">
        <v>11</v>
      </c>
      <c r="L8" s="67" t="s">
        <v>12</v>
      </c>
      <c r="M8" s="67" t="s">
        <v>13</v>
      </c>
      <c r="N8" s="94" t="s">
        <v>9</v>
      </c>
      <c r="O8" s="68" t="s">
        <v>11</v>
      </c>
      <c r="P8" s="68" t="s">
        <v>12</v>
      </c>
      <c r="Q8" s="68" t="s">
        <v>13</v>
      </c>
    </row>
    <row r="9" spans="1:18" x14ac:dyDescent="0.25">
      <c r="A9" s="9">
        <v>1</v>
      </c>
      <c r="B9" s="61">
        <f>A9+1</f>
        <v>2</v>
      </c>
      <c r="C9" s="9">
        <f t="shared" ref="C9:Q9" si="0">B9+1</f>
        <v>3</v>
      </c>
      <c r="D9" s="9">
        <f t="shared" si="0"/>
        <v>4</v>
      </c>
      <c r="E9" s="9">
        <f t="shared" si="0"/>
        <v>5</v>
      </c>
      <c r="F9" s="69">
        <f t="shared" si="0"/>
        <v>6</v>
      </c>
      <c r="G9" s="69">
        <f t="shared" si="0"/>
        <v>7</v>
      </c>
      <c r="H9" s="70">
        <f t="shared" si="0"/>
        <v>8</v>
      </c>
      <c r="I9" s="70">
        <f t="shared" si="0"/>
        <v>9</v>
      </c>
      <c r="J9" s="95">
        <f t="shared" si="0"/>
        <v>10</v>
      </c>
      <c r="K9" s="71">
        <f t="shared" si="0"/>
        <v>11</v>
      </c>
      <c r="L9" s="71">
        <f t="shared" si="0"/>
        <v>12</v>
      </c>
      <c r="M9" s="71">
        <f t="shared" si="0"/>
        <v>13</v>
      </c>
      <c r="N9" s="95">
        <f t="shared" si="0"/>
        <v>14</v>
      </c>
      <c r="O9" s="72">
        <f t="shared" si="0"/>
        <v>15</v>
      </c>
      <c r="P9" s="72">
        <f t="shared" si="0"/>
        <v>16</v>
      </c>
      <c r="Q9" s="72">
        <f t="shared" si="0"/>
        <v>17</v>
      </c>
    </row>
    <row r="10" spans="1:18" s="13" customFormat="1" ht="31.5" x14ac:dyDescent="0.25">
      <c r="A10" s="10"/>
      <c r="B10" s="62" t="s">
        <v>16</v>
      </c>
      <c r="C10" s="1" t="s">
        <v>304</v>
      </c>
      <c r="D10" s="165" t="s">
        <v>315</v>
      </c>
      <c r="E10" s="3" t="s">
        <v>18</v>
      </c>
      <c r="F10" s="73" t="s">
        <v>322</v>
      </c>
      <c r="G10" s="74" t="s">
        <v>112</v>
      </c>
      <c r="H10" s="75">
        <v>11</v>
      </c>
      <c r="I10" s="76">
        <v>6</v>
      </c>
      <c r="J10" s="98">
        <f>2+1+3</f>
        <v>6</v>
      </c>
      <c r="K10" s="77">
        <f>4792.51+1138.19+504.26+11366.06</f>
        <v>17801.02</v>
      </c>
      <c r="L10" s="77">
        <f>4792.51+1138.19+504.26+11366.06</f>
        <v>17801.02</v>
      </c>
      <c r="M10" s="78">
        <f>K10-L10</f>
        <v>0</v>
      </c>
      <c r="N10" s="100">
        <f>2+5+1+2+1</f>
        <v>11</v>
      </c>
      <c r="O10" s="77">
        <f>9108.77+6924.32+11366.06</f>
        <v>27399.15</v>
      </c>
      <c r="P10" s="77">
        <f>9108.77+6924.32+11366.06</f>
        <v>27399.15</v>
      </c>
      <c r="Q10" s="79">
        <f>O10-P10</f>
        <v>0</v>
      </c>
      <c r="R10" s="141"/>
    </row>
    <row r="11" spans="1:18" s="13" customFormat="1" ht="31.5" x14ac:dyDescent="0.25">
      <c r="A11" s="10"/>
      <c r="B11" s="22" t="s">
        <v>16</v>
      </c>
      <c r="C11" s="1" t="s">
        <v>304</v>
      </c>
      <c r="D11" s="165" t="s">
        <v>315</v>
      </c>
      <c r="E11" s="3" t="s">
        <v>18</v>
      </c>
      <c r="F11" s="73" t="s">
        <v>322</v>
      </c>
      <c r="G11" s="11" t="s">
        <v>116</v>
      </c>
      <c r="H11" s="1">
        <v>5</v>
      </c>
      <c r="I11" s="49">
        <v>2</v>
      </c>
      <c r="J11" s="46">
        <v>2</v>
      </c>
      <c r="K11" s="31">
        <v>4534</v>
      </c>
      <c r="L11" s="31">
        <v>4534</v>
      </c>
      <c r="M11" s="38">
        <f t="shared" ref="M11:M84" si="1">K11-L11</f>
        <v>0</v>
      </c>
      <c r="N11" s="41"/>
      <c r="O11" s="31">
        <v>2945</v>
      </c>
      <c r="P11" s="31">
        <v>2945</v>
      </c>
      <c r="Q11" s="12">
        <f t="shared" ref="Q11:Q79" si="2">O11-P11</f>
        <v>0</v>
      </c>
    </row>
    <row r="12" spans="1:18" s="13" customFormat="1" ht="15.75" x14ac:dyDescent="0.25">
      <c r="A12" s="10"/>
      <c r="B12" s="22" t="s">
        <v>490</v>
      </c>
      <c r="C12" s="1"/>
      <c r="D12" s="165"/>
      <c r="E12" s="3"/>
      <c r="F12" s="167" t="s">
        <v>501</v>
      </c>
      <c r="G12" s="11" t="s">
        <v>112</v>
      </c>
      <c r="H12" s="1">
        <v>7</v>
      </c>
      <c r="I12" s="49">
        <v>5</v>
      </c>
      <c r="J12" s="46">
        <f>5+1</f>
        <v>6</v>
      </c>
      <c r="K12" s="31">
        <f>8352.39</f>
        <v>8352.39</v>
      </c>
      <c r="L12" s="31"/>
      <c r="M12" s="38"/>
      <c r="N12" s="41"/>
      <c r="O12" s="31"/>
      <c r="P12" s="31"/>
      <c r="Q12" s="12"/>
    </row>
    <row r="13" spans="1:18" s="15" customFormat="1" ht="15.75" x14ac:dyDescent="0.25">
      <c r="A13" s="14"/>
      <c r="B13" s="80" t="s">
        <v>19</v>
      </c>
      <c r="C13" s="1" t="s">
        <v>17</v>
      </c>
      <c r="D13" s="165"/>
      <c r="E13" s="3" t="s">
        <v>20</v>
      </c>
      <c r="F13" s="73" t="s">
        <v>323</v>
      </c>
      <c r="G13" s="74" t="s">
        <v>112</v>
      </c>
      <c r="H13" s="75">
        <v>9</v>
      </c>
      <c r="I13" s="76">
        <v>7</v>
      </c>
      <c r="J13" s="96">
        <f>1+2+5+2</f>
        <v>10</v>
      </c>
      <c r="K13" s="77">
        <f>422.62+4792.51+1796.14</f>
        <v>7011.27</v>
      </c>
      <c r="L13" s="77">
        <f>422.62+1792.51</f>
        <v>2215.13</v>
      </c>
      <c r="M13" s="78">
        <f t="shared" si="1"/>
        <v>4796.1400000000003</v>
      </c>
      <c r="N13" s="100">
        <f>8+3</f>
        <v>11</v>
      </c>
      <c r="O13" s="81">
        <f>6459.36+7124.45</f>
        <v>13583.81</v>
      </c>
      <c r="P13" s="81">
        <v>6459.36</v>
      </c>
      <c r="Q13" s="79">
        <f t="shared" si="2"/>
        <v>7124.45</v>
      </c>
      <c r="R13" s="141"/>
    </row>
    <row r="14" spans="1:18" s="15" customFormat="1" ht="15.75" x14ac:dyDescent="0.25">
      <c r="A14" s="14"/>
      <c r="B14" s="23" t="s">
        <v>19</v>
      </c>
      <c r="C14" s="1" t="s">
        <v>17</v>
      </c>
      <c r="D14" s="165"/>
      <c r="E14" s="3" t="s">
        <v>20</v>
      </c>
      <c r="F14" s="73" t="s">
        <v>451</v>
      </c>
      <c r="G14" s="11" t="s">
        <v>114</v>
      </c>
      <c r="H14" s="1">
        <v>5</v>
      </c>
      <c r="I14" s="49">
        <v>1</v>
      </c>
      <c r="J14" s="51">
        <v>1</v>
      </c>
      <c r="K14" s="40">
        <v>1267.68</v>
      </c>
      <c r="L14" s="40">
        <v>1267.68</v>
      </c>
      <c r="M14" s="38">
        <f t="shared" si="1"/>
        <v>0</v>
      </c>
      <c r="N14" s="42">
        <v>8</v>
      </c>
      <c r="O14" s="31">
        <v>14767.7</v>
      </c>
      <c r="P14" s="31">
        <v>14767.7</v>
      </c>
      <c r="Q14" s="12">
        <f t="shared" si="2"/>
        <v>0</v>
      </c>
    </row>
    <row r="15" spans="1:18" s="15" customFormat="1" ht="15.75" x14ac:dyDescent="0.25">
      <c r="A15" s="14"/>
      <c r="B15" s="62" t="s">
        <v>153</v>
      </c>
      <c r="C15" s="1" t="s">
        <v>17</v>
      </c>
      <c r="D15" s="165"/>
      <c r="E15" s="3" t="s">
        <v>20</v>
      </c>
      <c r="F15" s="73" t="s">
        <v>324</v>
      </c>
      <c r="G15" s="74" t="s">
        <v>112</v>
      </c>
      <c r="H15" s="75">
        <v>5</v>
      </c>
      <c r="I15" s="82">
        <v>3</v>
      </c>
      <c r="J15" s="96">
        <f>1+1+2+1</f>
        <v>5</v>
      </c>
      <c r="K15" s="77">
        <f>950.9+2451.87+3074.57+845.24</f>
        <v>7322.58</v>
      </c>
      <c r="L15" s="77">
        <f>950.9+2451.87+3074.57</f>
        <v>6477.34</v>
      </c>
      <c r="M15" s="78">
        <f t="shared" si="1"/>
        <v>845.23999999999978</v>
      </c>
      <c r="N15" s="114">
        <f>1+2+1+2+1</f>
        <v>7</v>
      </c>
      <c r="O15" s="81">
        <f>422.62+945.61+2484.69+7964.81+1536.8</f>
        <v>13354.529999999999</v>
      </c>
      <c r="P15" s="81">
        <f>422.62+945.61+2484.69+7964.81</f>
        <v>11817.73</v>
      </c>
      <c r="Q15" s="79">
        <f t="shared" si="2"/>
        <v>1536.7999999999993</v>
      </c>
      <c r="R15" s="141"/>
    </row>
    <row r="16" spans="1:18" s="15" customFormat="1" ht="15.75" x14ac:dyDescent="0.25">
      <c r="A16" s="14"/>
      <c r="B16" s="50" t="s">
        <v>153</v>
      </c>
      <c r="C16" s="1" t="s">
        <v>17</v>
      </c>
      <c r="D16" s="165"/>
      <c r="E16" s="3" t="s">
        <v>20</v>
      </c>
      <c r="F16" s="73" t="s">
        <v>452</v>
      </c>
      <c r="G16" s="11" t="s">
        <v>114</v>
      </c>
      <c r="H16" s="1">
        <v>11</v>
      </c>
      <c r="I16" s="49">
        <v>1</v>
      </c>
      <c r="J16" s="51">
        <v>1</v>
      </c>
      <c r="K16" s="40">
        <v>1267.8599999999999</v>
      </c>
      <c r="L16" s="40">
        <v>1267.8599999999999</v>
      </c>
      <c r="M16" s="38">
        <f t="shared" si="1"/>
        <v>0</v>
      </c>
      <c r="N16" s="42">
        <v>7</v>
      </c>
      <c r="O16" s="31">
        <v>22539.8</v>
      </c>
      <c r="P16" s="31">
        <v>22539.8</v>
      </c>
      <c r="Q16" s="12">
        <f t="shared" si="2"/>
        <v>0</v>
      </c>
    </row>
    <row r="17" spans="1:18" s="13" customFormat="1" ht="15.75" x14ac:dyDescent="0.25">
      <c r="A17" s="10"/>
      <c r="B17" s="30" t="s">
        <v>22</v>
      </c>
      <c r="C17" s="1" t="s">
        <v>17</v>
      </c>
      <c r="D17" s="165"/>
      <c r="E17" s="3" t="s">
        <v>23</v>
      </c>
      <c r="F17" s="73" t="s">
        <v>325</v>
      </c>
      <c r="G17" s="74" t="s">
        <v>112</v>
      </c>
      <c r="H17" s="75">
        <v>15</v>
      </c>
      <c r="I17" s="76">
        <v>3</v>
      </c>
      <c r="J17" s="96">
        <f>1+2</f>
        <v>3</v>
      </c>
      <c r="K17" s="77">
        <f>2698.64+1402.33</f>
        <v>4100.9699999999993</v>
      </c>
      <c r="L17" s="77">
        <f>2698.64+1402.33</f>
        <v>4100.9699999999993</v>
      </c>
      <c r="M17" s="78">
        <f t="shared" si="1"/>
        <v>0</v>
      </c>
      <c r="N17" s="100">
        <f>14+3+7</f>
        <v>24</v>
      </c>
      <c r="O17" s="81">
        <f>22716.4+4171.06+18768.39</f>
        <v>45655.850000000006</v>
      </c>
      <c r="P17" s="81">
        <f>22716.4+4171.06+18768.39</f>
        <v>45655.850000000006</v>
      </c>
      <c r="Q17" s="79">
        <f t="shared" si="2"/>
        <v>0</v>
      </c>
      <c r="R17" s="141"/>
    </row>
    <row r="18" spans="1:18" s="13" customFormat="1" ht="15.75" x14ac:dyDescent="0.25">
      <c r="A18" s="10"/>
      <c r="B18" s="24" t="s">
        <v>154</v>
      </c>
      <c r="C18" s="1" t="s">
        <v>17</v>
      </c>
      <c r="D18" s="165"/>
      <c r="E18" s="3" t="s">
        <v>20</v>
      </c>
      <c r="F18" s="73" t="s">
        <v>453</v>
      </c>
      <c r="G18" s="11" t="s">
        <v>114</v>
      </c>
      <c r="H18" s="1">
        <v>14</v>
      </c>
      <c r="I18" s="47"/>
      <c r="J18" s="51"/>
      <c r="K18" s="37"/>
      <c r="L18" s="37"/>
      <c r="M18" s="38">
        <f t="shared" si="1"/>
        <v>0</v>
      </c>
      <c r="N18" s="39">
        <v>6</v>
      </c>
      <c r="O18" s="31">
        <v>11732.1</v>
      </c>
      <c r="P18" s="31">
        <v>11732.1</v>
      </c>
      <c r="Q18" s="12">
        <f t="shared" si="2"/>
        <v>0</v>
      </c>
    </row>
    <row r="19" spans="1:18" s="13" customFormat="1" ht="15.75" x14ac:dyDescent="0.25">
      <c r="A19" s="10"/>
      <c r="B19" s="30" t="s">
        <v>154</v>
      </c>
      <c r="C19" s="1" t="s">
        <v>17</v>
      </c>
      <c r="D19" s="165"/>
      <c r="E19" s="3" t="s">
        <v>20</v>
      </c>
      <c r="F19" s="73" t="s">
        <v>326</v>
      </c>
      <c r="G19" s="74" t="s">
        <v>112</v>
      </c>
      <c r="H19" s="75">
        <v>15</v>
      </c>
      <c r="I19" s="76">
        <v>7</v>
      </c>
      <c r="J19" s="96">
        <f>1+1+2+2+2</f>
        <v>8</v>
      </c>
      <c r="K19" s="77">
        <f>950.9+864.46+845.24+405.02</f>
        <v>3065.6200000000003</v>
      </c>
      <c r="L19" s="77">
        <f>950.9+272.68+1523.55-86.53</f>
        <v>2660.6</v>
      </c>
      <c r="M19" s="78">
        <f t="shared" si="1"/>
        <v>405.02000000000044</v>
      </c>
      <c r="N19" s="100">
        <f>6+3+1+1+1+2</f>
        <v>14</v>
      </c>
      <c r="O19" s="128">
        <f>6681.33+7017+1523.5</f>
        <v>15221.83</v>
      </c>
      <c r="P19" s="128">
        <f>6681.33+7017+1523.5</f>
        <v>15221.83</v>
      </c>
      <c r="Q19" s="79">
        <f t="shared" si="2"/>
        <v>0</v>
      </c>
      <c r="R19" s="141"/>
    </row>
    <row r="20" spans="1:18" s="13" customFormat="1" ht="15.75" x14ac:dyDescent="0.25">
      <c r="A20" s="10"/>
      <c r="B20" s="62" t="s">
        <v>24</v>
      </c>
      <c r="C20" s="1" t="s">
        <v>17</v>
      </c>
      <c r="D20" s="165"/>
      <c r="E20" s="3" t="s">
        <v>20</v>
      </c>
      <c r="F20" s="73" t="s">
        <v>327</v>
      </c>
      <c r="G20" s="74" t="s">
        <v>112</v>
      </c>
      <c r="H20" s="75">
        <v>6</v>
      </c>
      <c r="I20" s="76">
        <v>3</v>
      </c>
      <c r="J20" s="96">
        <f>3</f>
        <v>3</v>
      </c>
      <c r="K20" s="77"/>
      <c r="L20" s="77"/>
      <c r="M20" s="38">
        <f t="shared" si="1"/>
        <v>0</v>
      </c>
      <c r="N20" s="100">
        <f>1+1</f>
        <v>2</v>
      </c>
      <c r="O20" s="81">
        <f>576.3</f>
        <v>576.29999999999995</v>
      </c>
      <c r="P20" s="81">
        <f>576.3</f>
        <v>576.29999999999995</v>
      </c>
      <c r="Q20" s="12">
        <f t="shared" si="2"/>
        <v>0</v>
      </c>
      <c r="R20" s="141"/>
    </row>
    <row r="21" spans="1:18" s="13" customFormat="1" ht="15.75" x14ac:dyDescent="0.25">
      <c r="A21" s="10"/>
      <c r="B21" s="22" t="s">
        <v>24</v>
      </c>
      <c r="C21" s="1" t="s">
        <v>17</v>
      </c>
      <c r="D21" s="165"/>
      <c r="E21" s="3" t="s">
        <v>20</v>
      </c>
      <c r="F21" s="73" t="s">
        <v>454</v>
      </c>
      <c r="G21" s="11" t="s">
        <v>114</v>
      </c>
      <c r="H21" s="1">
        <v>8</v>
      </c>
      <c r="I21" s="49"/>
      <c r="J21" s="51"/>
      <c r="K21" s="40"/>
      <c r="L21" s="40"/>
      <c r="M21" s="78">
        <f t="shared" si="1"/>
        <v>0</v>
      </c>
      <c r="N21" s="41">
        <v>7</v>
      </c>
      <c r="O21" s="31">
        <v>14635.6</v>
      </c>
      <c r="P21" s="31">
        <v>14635.6</v>
      </c>
      <c r="Q21" s="12">
        <f t="shared" si="2"/>
        <v>0</v>
      </c>
    </row>
    <row r="22" spans="1:18" s="13" customFormat="1" ht="15.75" x14ac:dyDescent="0.25">
      <c r="A22" s="10"/>
      <c r="B22" s="62" t="s">
        <v>25</v>
      </c>
      <c r="C22" s="1" t="s">
        <v>17</v>
      </c>
      <c r="D22" s="165"/>
      <c r="E22" s="3" t="s">
        <v>20</v>
      </c>
      <c r="F22" s="73" t="s">
        <v>328</v>
      </c>
      <c r="G22" s="74" t="s">
        <v>112</v>
      </c>
      <c r="H22" s="75">
        <v>6</v>
      </c>
      <c r="I22" s="76">
        <v>2</v>
      </c>
      <c r="J22" s="96">
        <f>1+1+1</f>
        <v>3</v>
      </c>
      <c r="K22" s="173">
        <f>1743.31+4247.33</f>
        <v>5990.6399999999994</v>
      </c>
      <c r="L22" s="77">
        <f>1743.31</f>
        <v>1743.31</v>
      </c>
      <c r="M22" s="38">
        <f t="shared" si="1"/>
        <v>4247.33</v>
      </c>
      <c r="N22" s="100">
        <f>6+1+2</f>
        <v>9</v>
      </c>
      <c r="O22" s="81">
        <f>14526.7+5595.3</f>
        <v>20122</v>
      </c>
      <c r="P22" s="81">
        <f>14526.7</f>
        <v>14526.7</v>
      </c>
      <c r="Q22" s="12">
        <f t="shared" si="2"/>
        <v>5595.2999999999993</v>
      </c>
      <c r="R22" s="141"/>
    </row>
    <row r="23" spans="1:18" s="13" customFormat="1" ht="15.75" x14ac:dyDescent="0.25">
      <c r="A23" s="10"/>
      <c r="B23" s="22" t="s">
        <v>25</v>
      </c>
      <c r="C23" s="1" t="s">
        <v>17</v>
      </c>
      <c r="D23" s="165"/>
      <c r="E23" s="3" t="s">
        <v>20</v>
      </c>
      <c r="F23" s="73" t="s">
        <v>455</v>
      </c>
      <c r="G23" s="11" t="s">
        <v>114</v>
      </c>
      <c r="H23" s="1">
        <v>2</v>
      </c>
      <c r="I23" s="49"/>
      <c r="J23" s="51"/>
      <c r="K23" s="40"/>
      <c r="L23" s="40"/>
      <c r="M23" s="78">
        <f t="shared" si="1"/>
        <v>0</v>
      </c>
      <c r="N23" s="41">
        <v>2</v>
      </c>
      <c r="O23" s="31">
        <v>4146.2</v>
      </c>
      <c r="P23" s="31">
        <f>4146.2</f>
        <v>4146.2</v>
      </c>
      <c r="Q23" s="12">
        <f t="shared" si="2"/>
        <v>0</v>
      </c>
    </row>
    <row r="24" spans="1:18" s="13" customFormat="1" ht="15.75" x14ac:dyDescent="0.25">
      <c r="A24" s="10"/>
      <c r="B24" s="62" t="s">
        <v>26</v>
      </c>
      <c r="C24" s="1" t="s">
        <v>17</v>
      </c>
      <c r="D24" s="165"/>
      <c r="E24" s="3" t="s">
        <v>27</v>
      </c>
      <c r="F24" s="73" t="s">
        <v>329</v>
      </c>
      <c r="G24" s="74" t="s">
        <v>112</v>
      </c>
      <c r="H24" s="75">
        <v>12</v>
      </c>
      <c r="I24" s="76">
        <v>4</v>
      </c>
      <c r="J24" s="96">
        <f>2+2</f>
        <v>4</v>
      </c>
      <c r="K24" s="77">
        <f>845.24+1056.55</f>
        <v>1901.79</v>
      </c>
      <c r="L24" s="77">
        <f>845.24</f>
        <v>845.24</v>
      </c>
      <c r="M24" s="38">
        <f t="shared" si="1"/>
        <v>1056.55</v>
      </c>
      <c r="N24" s="100">
        <f>6+1+1</f>
        <v>8</v>
      </c>
      <c r="O24" s="81">
        <f>17838.53+2535.75+7238.9</f>
        <v>27613.18</v>
      </c>
      <c r="P24" s="81">
        <f>17838.53+2535.75+7238.9</f>
        <v>27613.18</v>
      </c>
      <c r="Q24" s="12">
        <f t="shared" si="2"/>
        <v>0</v>
      </c>
      <c r="R24" s="141"/>
    </row>
    <row r="25" spans="1:18" s="15" customFormat="1" ht="15.75" x14ac:dyDescent="0.25">
      <c r="A25" s="14"/>
      <c r="B25" s="80" t="s">
        <v>28</v>
      </c>
      <c r="C25" s="1" t="s">
        <v>17</v>
      </c>
      <c r="D25" s="165"/>
      <c r="E25" s="17" t="s">
        <v>29</v>
      </c>
      <c r="F25" s="73" t="s">
        <v>330</v>
      </c>
      <c r="G25" s="74" t="s">
        <v>112</v>
      </c>
      <c r="H25" s="75">
        <v>5</v>
      </c>
      <c r="I25" s="76">
        <v>3</v>
      </c>
      <c r="J25" s="96">
        <f>2+1</f>
        <v>3</v>
      </c>
      <c r="K25" s="77">
        <f>6135.14</f>
        <v>6135.14</v>
      </c>
      <c r="L25" s="77">
        <f>6135.14</f>
        <v>6135.14</v>
      </c>
      <c r="M25" s="38">
        <f t="shared" si="1"/>
        <v>0</v>
      </c>
      <c r="N25" s="100">
        <f>3+2+4+3</f>
        <v>12</v>
      </c>
      <c r="O25" s="81">
        <f>5310.83+4630.52+14679.01+36087.29</f>
        <v>60707.65</v>
      </c>
      <c r="P25" s="81">
        <f>5310.83+4630.52+14679.01+36087.29</f>
        <v>60707.65</v>
      </c>
      <c r="Q25" s="12">
        <f t="shared" si="2"/>
        <v>0</v>
      </c>
      <c r="R25" s="141"/>
    </row>
    <row r="26" spans="1:18" s="15" customFormat="1" ht="15.75" x14ac:dyDescent="0.25">
      <c r="A26" s="14"/>
      <c r="B26" s="23" t="s">
        <v>28</v>
      </c>
      <c r="C26" s="1" t="s">
        <v>17</v>
      </c>
      <c r="D26" s="165"/>
      <c r="E26" s="17" t="s">
        <v>29</v>
      </c>
      <c r="F26" s="73" t="s">
        <v>420</v>
      </c>
      <c r="G26" s="8" t="s">
        <v>117</v>
      </c>
      <c r="H26" s="1">
        <v>1</v>
      </c>
      <c r="I26" s="48"/>
      <c r="J26" s="45"/>
      <c r="K26" s="40"/>
      <c r="L26" s="40"/>
      <c r="M26" s="78">
        <f t="shared" si="1"/>
        <v>0</v>
      </c>
      <c r="N26" s="42">
        <v>2</v>
      </c>
      <c r="O26" s="31">
        <v>2766.24</v>
      </c>
      <c r="P26" s="31">
        <v>2766.24</v>
      </c>
      <c r="Q26" s="79">
        <f t="shared" si="2"/>
        <v>0</v>
      </c>
    </row>
    <row r="27" spans="1:18" s="15" customFormat="1" ht="15.75" x14ac:dyDescent="0.25">
      <c r="A27" s="14"/>
      <c r="B27" s="50" t="s">
        <v>500</v>
      </c>
      <c r="C27" s="1"/>
      <c r="D27" s="165"/>
      <c r="E27" s="17"/>
      <c r="F27" s="73"/>
      <c r="G27" s="8" t="s">
        <v>112</v>
      </c>
      <c r="H27" s="1">
        <v>4</v>
      </c>
      <c r="I27" s="48">
        <v>2</v>
      </c>
      <c r="J27" s="45">
        <f>2</f>
        <v>2</v>
      </c>
      <c r="K27" s="40"/>
      <c r="L27" s="40"/>
      <c r="M27" s="78"/>
      <c r="N27" s="42"/>
      <c r="O27" s="31"/>
      <c r="P27" s="31"/>
      <c r="Q27" s="79"/>
    </row>
    <row r="28" spans="1:18" s="13" customFormat="1" ht="15.75" x14ac:dyDescent="0.25">
      <c r="A28" s="10"/>
      <c r="B28" s="27" t="s">
        <v>30</v>
      </c>
      <c r="C28" s="1" t="s">
        <v>17</v>
      </c>
      <c r="D28" s="165"/>
      <c r="E28" s="17" t="s">
        <v>21</v>
      </c>
      <c r="F28" s="73" t="s">
        <v>333</v>
      </c>
      <c r="G28" s="74" t="s">
        <v>112</v>
      </c>
      <c r="H28" s="75">
        <v>13</v>
      </c>
      <c r="I28" s="76">
        <v>9</v>
      </c>
      <c r="J28" s="96">
        <f>3+1+3+1+4</f>
        <v>12</v>
      </c>
      <c r="K28" s="77">
        <f>2399.78+806.82+6240.86</f>
        <v>9447.4599999999991</v>
      </c>
      <c r="L28" s="77">
        <f>2399.78+806.82+6240.86</f>
        <v>9447.4599999999991</v>
      </c>
      <c r="M28" s="38">
        <f t="shared" si="1"/>
        <v>0</v>
      </c>
      <c r="N28" s="100">
        <f>9+1+3+1+1+1+2</f>
        <v>18</v>
      </c>
      <c r="O28" s="81">
        <f>39871.99+5530.04+5890.35+1728.9+2917.95</f>
        <v>55939.229999999996</v>
      </c>
      <c r="P28" s="81">
        <f>39871.99+5530.04+5890.35+1728.9</f>
        <v>53021.279999999999</v>
      </c>
      <c r="Q28" s="12">
        <f t="shared" si="2"/>
        <v>2917.9499999999971</v>
      </c>
      <c r="R28" s="141"/>
    </row>
    <row r="29" spans="1:18" s="13" customFormat="1" ht="15.75" x14ac:dyDescent="0.25">
      <c r="A29" s="10"/>
      <c r="B29" s="27" t="s">
        <v>491</v>
      </c>
      <c r="C29" s="1" t="s">
        <v>17</v>
      </c>
      <c r="D29" s="165"/>
      <c r="E29" s="3" t="s">
        <v>20</v>
      </c>
      <c r="F29" s="73" t="s">
        <v>495</v>
      </c>
      <c r="G29" s="74" t="s">
        <v>112</v>
      </c>
      <c r="H29" s="75">
        <v>8</v>
      </c>
      <c r="I29" s="76">
        <v>4</v>
      </c>
      <c r="J29" s="96">
        <f>2+2</f>
        <v>4</v>
      </c>
      <c r="K29" s="77">
        <f>1727.9</f>
        <v>1727.9</v>
      </c>
      <c r="L29" s="77"/>
      <c r="M29" s="38"/>
      <c r="N29" s="100"/>
      <c r="O29" s="81"/>
      <c r="P29" s="81"/>
      <c r="Q29" s="12"/>
      <c r="R29" s="141"/>
    </row>
    <row r="30" spans="1:18" s="13" customFormat="1" ht="15.75" x14ac:dyDescent="0.25">
      <c r="A30" s="10"/>
      <c r="B30" s="27" t="s">
        <v>491</v>
      </c>
      <c r="C30" s="1"/>
      <c r="D30" s="165"/>
      <c r="E30" s="3"/>
      <c r="F30" s="73"/>
      <c r="G30" s="74" t="s">
        <v>114</v>
      </c>
      <c r="H30" s="75">
        <v>6</v>
      </c>
      <c r="I30" s="76"/>
      <c r="J30" s="96"/>
      <c r="K30" s="77"/>
      <c r="L30" s="77"/>
      <c r="M30" s="38"/>
      <c r="N30" s="100"/>
      <c r="O30" s="81"/>
      <c r="P30" s="81"/>
      <c r="Q30" s="12">
        <f t="shared" si="2"/>
        <v>0</v>
      </c>
      <c r="R30" s="141"/>
    </row>
    <row r="31" spans="1:18" s="13" customFormat="1" ht="15.75" x14ac:dyDescent="0.25">
      <c r="A31" s="10"/>
      <c r="B31" s="30" t="s">
        <v>31</v>
      </c>
      <c r="C31" s="1" t="s">
        <v>17</v>
      </c>
      <c r="D31" s="165"/>
      <c r="E31" s="3" t="s">
        <v>32</v>
      </c>
      <c r="F31" s="73" t="s">
        <v>331</v>
      </c>
      <c r="G31" s="74" t="s">
        <v>112</v>
      </c>
      <c r="H31" s="75">
        <v>9</v>
      </c>
      <c r="I31" s="76">
        <v>5</v>
      </c>
      <c r="J31" s="96">
        <f>1+2+3+1</f>
        <v>7</v>
      </c>
      <c r="K31" s="77">
        <f>633.93+1045.98+5377.62+950.9</f>
        <v>8008.4299999999994</v>
      </c>
      <c r="L31" s="77">
        <f>633.93+1045.98+5377.62</f>
        <v>7057.53</v>
      </c>
      <c r="M31" s="78">
        <f t="shared" si="1"/>
        <v>950.89999999999964</v>
      </c>
      <c r="N31" s="100">
        <f>1+3+3+1+1</f>
        <v>9</v>
      </c>
      <c r="O31" s="81">
        <f>2299.8+15239.58+6152.75+2720.49+1483.38</f>
        <v>27896.000000000004</v>
      </c>
      <c r="P31" s="81">
        <f>2299.8+15239.58+6152.75+2720.49+1483.38</f>
        <v>27896.000000000004</v>
      </c>
      <c r="Q31" s="79">
        <f t="shared" si="2"/>
        <v>0</v>
      </c>
      <c r="R31" s="141"/>
    </row>
    <row r="32" spans="1:18" s="13" customFormat="1" ht="15.75" x14ac:dyDescent="0.25">
      <c r="A32" s="10"/>
      <c r="B32" s="24" t="s">
        <v>31</v>
      </c>
      <c r="C32" s="1" t="s">
        <v>17</v>
      </c>
      <c r="D32" s="165"/>
      <c r="E32" s="3" t="s">
        <v>32</v>
      </c>
      <c r="F32" s="73" t="s">
        <v>422</v>
      </c>
      <c r="G32" s="8" t="s">
        <v>117</v>
      </c>
      <c r="H32" s="1">
        <v>9</v>
      </c>
      <c r="I32" s="49">
        <v>2</v>
      </c>
      <c r="J32" s="46">
        <v>2</v>
      </c>
      <c r="K32" s="40">
        <v>4073.2</v>
      </c>
      <c r="L32" s="40">
        <v>2344.3000000000002</v>
      </c>
      <c r="M32" s="38">
        <f t="shared" si="1"/>
        <v>1728.8999999999996</v>
      </c>
      <c r="N32" s="41">
        <v>6</v>
      </c>
      <c r="O32" s="40">
        <v>12150.4</v>
      </c>
      <c r="P32" s="40">
        <v>12150.4</v>
      </c>
      <c r="Q32" s="12">
        <f t="shared" si="2"/>
        <v>0</v>
      </c>
    </row>
    <row r="33" spans="1:18" s="15" customFormat="1" ht="15.75" x14ac:dyDescent="0.25">
      <c r="A33" s="14"/>
      <c r="B33" s="80" t="s">
        <v>33</v>
      </c>
      <c r="C33" s="1" t="s">
        <v>17</v>
      </c>
      <c r="D33" s="165"/>
      <c r="E33" s="145" t="s">
        <v>20</v>
      </c>
      <c r="F33" s="73" t="s">
        <v>332</v>
      </c>
      <c r="G33" s="74" t="s">
        <v>112</v>
      </c>
      <c r="H33" s="75">
        <v>7</v>
      </c>
      <c r="I33" s="76">
        <v>3</v>
      </c>
      <c r="J33" s="96">
        <f>1+1+1</f>
        <v>3</v>
      </c>
      <c r="K33" s="77">
        <f>845.245+5363.43+5912.72</f>
        <v>12121.395</v>
      </c>
      <c r="L33" s="77">
        <f>845.245+5363.43</f>
        <v>6208.6750000000002</v>
      </c>
      <c r="M33" s="78">
        <f t="shared" si="1"/>
        <v>5912.72</v>
      </c>
      <c r="N33" s="100">
        <f>2+1+1+1+1+2</f>
        <v>8</v>
      </c>
      <c r="O33" s="81">
        <f>845.24+1613.64+3380.96</f>
        <v>5839.84</v>
      </c>
      <c r="P33" s="81">
        <f>845.24+1613.64+3380.96</f>
        <v>5839.84</v>
      </c>
      <c r="Q33" s="79">
        <f t="shared" si="2"/>
        <v>0</v>
      </c>
      <c r="R33" s="141"/>
    </row>
    <row r="34" spans="1:18" s="15" customFormat="1" ht="15.75" x14ac:dyDescent="0.25">
      <c r="A34" s="14"/>
      <c r="B34" s="23" t="s">
        <v>33</v>
      </c>
      <c r="C34" s="1" t="s">
        <v>17</v>
      </c>
      <c r="D34" s="165"/>
      <c r="E34" s="3" t="s">
        <v>20</v>
      </c>
      <c r="F34" s="73" t="s">
        <v>481</v>
      </c>
      <c r="G34" s="11" t="s">
        <v>114</v>
      </c>
      <c r="H34" s="1">
        <v>4</v>
      </c>
      <c r="I34" s="49"/>
      <c r="J34" s="51"/>
      <c r="K34" s="40"/>
      <c r="L34" s="40"/>
      <c r="M34" s="38">
        <f t="shared" si="1"/>
        <v>0</v>
      </c>
      <c r="N34" s="42">
        <v>13</v>
      </c>
      <c r="O34" s="31">
        <v>25645.14</v>
      </c>
      <c r="P34" s="31">
        <v>25645.14</v>
      </c>
      <c r="Q34" s="12">
        <f t="shared" si="2"/>
        <v>0</v>
      </c>
    </row>
    <row r="35" spans="1:18" s="15" customFormat="1" ht="15.75" x14ac:dyDescent="0.25">
      <c r="A35" s="14"/>
      <c r="B35" s="62" t="s">
        <v>147</v>
      </c>
      <c r="C35" s="1" t="s">
        <v>17</v>
      </c>
      <c r="D35" s="165"/>
      <c r="E35" s="3" t="s">
        <v>29</v>
      </c>
      <c r="F35" s="73" t="s">
        <v>334</v>
      </c>
      <c r="G35" s="74" t="s">
        <v>112</v>
      </c>
      <c r="H35" s="75">
        <v>4</v>
      </c>
      <c r="I35" s="102">
        <v>1</v>
      </c>
      <c r="J35" s="97">
        <f>1+1</f>
        <v>2</v>
      </c>
      <c r="K35" s="77">
        <f>1854.88+2824.48</f>
        <v>4679.3600000000006</v>
      </c>
      <c r="L35" s="77">
        <f>1854.88</f>
        <v>1854.88</v>
      </c>
      <c r="M35" s="78">
        <f t="shared" si="1"/>
        <v>2824.4800000000005</v>
      </c>
      <c r="N35" s="114">
        <f>1+1+1</f>
        <v>3</v>
      </c>
      <c r="O35" s="81">
        <f>1394.65+2473.17+1961.49</f>
        <v>5829.31</v>
      </c>
      <c r="P35" s="81">
        <f>1394.65+2473.17</f>
        <v>3867.82</v>
      </c>
      <c r="Q35" s="79">
        <f t="shared" si="2"/>
        <v>1961.4900000000002</v>
      </c>
      <c r="R35" s="141"/>
    </row>
    <row r="36" spans="1:18" s="15" customFormat="1" ht="15.75" x14ac:dyDescent="0.25">
      <c r="A36" s="14"/>
      <c r="B36" s="50" t="s">
        <v>147</v>
      </c>
      <c r="C36" s="1" t="s">
        <v>17</v>
      </c>
      <c r="D36" s="165"/>
      <c r="E36" s="3" t="s">
        <v>29</v>
      </c>
      <c r="F36" s="73" t="s">
        <v>423</v>
      </c>
      <c r="G36" s="11" t="s">
        <v>117</v>
      </c>
      <c r="H36" s="1">
        <v>3</v>
      </c>
      <c r="I36" s="48">
        <v>3</v>
      </c>
      <c r="J36" s="45">
        <v>3</v>
      </c>
      <c r="K36" s="40">
        <v>5241.5</v>
      </c>
      <c r="L36" s="40">
        <v>5241.5</v>
      </c>
      <c r="M36" s="38">
        <f t="shared" si="1"/>
        <v>0</v>
      </c>
      <c r="N36" s="42">
        <v>4</v>
      </c>
      <c r="O36" s="31">
        <v>4706.45</v>
      </c>
      <c r="P36" s="31">
        <v>3361.75</v>
      </c>
      <c r="Q36" s="12">
        <f t="shared" si="2"/>
        <v>1344.6999999999998</v>
      </c>
    </row>
    <row r="37" spans="1:18" s="13" customFormat="1" ht="15.75" x14ac:dyDescent="0.25">
      <c r="A37" s="10"/>
      <c r="B37" s="62" t="s">
        <v>34</v>
      </c>
      <c r="C37" s="1" t="s">
        <v>17</v>
      </c>
      <c r="D37" s="165"/>
      <c r="E37" s="17" t="s">
        <v>35</v>
      </c>
      <c r="F37" s="73" t="s">
        <v>335</v>
      </c>
      <c r="G37" s="74" t="s">
        <v>112</v>
      </c>
      <c r="H37" s="75">
        <v>17</v>
      </c>
      <c r="I37" s="76">
        <v>11</v>
      </c>
      <c r="J37" s="96">
        <f>4+2+2+7</f>
        <v>15</v>
      </c>
      <c r="K37" s="77">
        <f>8288.4+1267.86+845.24+13964.6</f>
        <v>24366.1</v>
      </c>
      <c r="L37" s="77">
        <f>8288.4+1267.86+845.24+13964.6</f>
        <v>24366.1</v>
      </c>
      <c r="M37" s="78">
        <f t="shared" si="1"/>
        <v>0</v>
      </c>
      <c r="N37" s="100">
        <f>4+4+6+1+3+1+3</f>
        <v>22</v>
      </c>
      <c r="O37" s="81">
        <f>23915.04+21171.88+6399.1+11460.81</f>
        <v>62946.829999999994</v>
      </c>
      <c r="P37" s="81">
        <f>23915.04+21171.88+6399.1+11460.81</f>
        <v>62946.829999999994</v>
      </c>
      <c r="Q37" s="79">
        <f t="shared" si="2"/>
        <v>0</v>
      </c>
      <c r="R37" s="141"/>
    </row>
    <row r="38" spans="1:18" s="13" customFormat="1" ht="15.75" x14ac:dyDescent="0.25">
      <c r="A38" s="10"/>
      <c r="B38" s="22" t="s">
        <v>34</v>
      </c>
      <c r="C38" s="1" t="s">
        <v>17</v>
      </c>
      <c r="D38" s="165"/>
      <c r="E38" s="17" t="s">
        <v>35</v>
      </c>
      <c r="F38" s="73" t="s">
        <v>424</v>
      </c>
      <c r="G38" s="8" t="s">
        <v>117</v>
      </c>
      <c r="H38" s="1">
        <v>2</v>
      </c>
      <c r="I38" s="49">
        <v>1</v>
      </c>
      <c r="J38" s="46">
        <v>2</v>
      </c>
      <c r="K38" s="40">
        <v>3842</v>
      </c>
      <c r="L38" s="40">
        <v>2497.3000000000002</v>
      </c>
      <c r="M38" s="38">
        <f t="shared" si="1"/>
        <v>1344.6999999999998</v>
      </c>
      <c r="N38" s="41">
        <v>3</v>
      </c>
      <c r="O38" s="31">
        <v>9220.7999999999993</v>
      </c>
      <c r="P38" s="31">
        <v>9220.7999999999993</v>
      </c>
      <c r="Q38" s="12">
        <f t="shared" si="2"/>
        <v>0</v>
      </c>
    </row>
    <row r="39" spans="1:18" s="13" customFormat="1" ht="15.75" x14ac:dyDescent="0.25">
      <c r="A39" s="10"/>
      <c r="B39" s="27" t="s">
        <v>36</v>
      </c>
      <c r="C39" s="1" t="s">
        <v>17</v>
      </c>
      <c r="D39" s="165"/>
      <c r="E39" s="17" t="s">
        <v>32</v>
      </c>
      <c r="F39" s="73" t="s">
        <v>336</v>
      </c>
      <c r="G39" s="74" t="s">
        <v>112</v>
      </c>
      <c r="H39" s="75">
        <v>13</v>
      </c>
      <c r="I39" s="76">
        <v>7</v>
      </c>
      <c r="J39" s="96">
        <f>1+3+4</f>
        <v>8</v>
      </c>
      <c r="K39" s="77">
        <f>2091.97+4201.22+3643.94</f>
        <v>9937.130000000001</v>
      </c>
      <c r="L39" s="77">
        <f>2091.97+4201.22</f>
        <v>6293.1900000000005</v>
      </c>
      <c r="M39" s="78">
        <f t="shared" si="1"/>
        <v>3643.9400000000005</v>
      </c>
      <c r="N39" s="100">
        <f>4+2+5+1+1</f>
        <v>13</v>
      </c>
      <c r="O39" s="81">
        <f>26828.22+3116.2+14162+4691</f>
        <v>48797.42</v>
      </c>
      <c r="P39" s="81">
        <f>26828.22+3116.2+14162+4691</f>
        <v>48797.42</v>
      </c>
      <c r="Q39" s="79">
        <f t="shared" si="2"/>
        <v>0</v>
      </c>
      <c r="R39" s="141"/>
    </row>
    <row r="40" spans="1:18" s="13" customFormat="1" ht="15.75" x14ac:dyDescent="0.25">
      <c r="A40" s="10"/>
      <c r="B40" s="27" t="s">
        <v>38</v>
      </c>
      <c r="C40" s="1" t="s">
        <v>17</v>
      </c>
      <c r="D40" s="165"/>
      <c r="E40" s="3" t="s">
        <v>20</v>
      </c>
      <c r="F40" s="73" t="s">
        <v>338</v>
      </c>
      <c r="G40" s="74" t="s">
        <v>112</v>
      </c>
      <c r="H40" s="75">
        <v>28</v>
      </c>
      <c r="I40" s="76">
        <v>19</v>
      </c>
      <c r="J40" s="96">
        <f>5+9+3+4+4+2</f>
        <v>27</v>
      </c>
      <c r="K40" s="77">
        <f>4427.07+14262.52+23391.74</f>
        <v>42081.33</v>
      </c>
      <c r="L40" s="77">
        <f>4427.07+14262.52+23391.74</f>
        <v>42081.33</v>
      </c>
      <c r="M40" s="78">
        <f t="shared" si="1"/>
        <v>0</v>
      </c>
      <c r="N40" s="100">
        <f>1+14+2+2+2</f>
        <v>21</v>
      </c>
      <c r="O40" s="81">
        <f>34449.99+27363.78+23604.86+16739.26</f>
        <v>102157.89</v>
      </c>
      <c r="P40" s="81">
        <f>34449.99+27363.78+23604.86+16739.26</f>
        <v>102157.89</v>
      </c>
      <c r="Q40" s="79">
        <f t="shared" si="2"/>
        <v>0</v>
      </c>
      <c r="R40" s="141"/>
    </row>
    <row r="41" spans="1:18" s="13" customFormat="1" ht="15.75" x14ac:dyDescent="0.25">
      <c r="A41" s="10"/>
      <c r="B41" s="25" t="s">
        <v>38</v>
      </c>
      <c r="C41" s="1" t="s">
        <v>17</v>
      </c>
      <c r="D41" s="165"/>
      <c r="E41" s="3" t="s">
        <v>20</v>
      </c>
      <c r="F41" s="73" t="s">
        <v>268</v>
      </c>
      <c r="G41" s="11" t="s">
        <v>114</v>
      </c>
      <c r="H41" s="1"/>
      <c r="I41" s="49"/>
      <c r="J41" s="51"/>
      <c r="K41" s="40"/>
      <c r="L41" s="40"/>
      <c r="M41" s="38">
        <f t="shared" si="1"/>
        <v>0</v>
      </c>
      <c r="N41" s="41"/>
      <c r="O41" s="31"/>
      <c r="P41" s="31"/>
      <c r="Q41" s="12">
        <f t="shared" si="2"/>
        <v>0</v>
      </c>
    </row>
    <row r="42" spans="1:18" s="13" customFormat="1" ht="15.75" x14ac:dyDescent="0.25">
      <c r="A42" s="10"/>
      <c r="B42" s="25" t="s">
        <v>38</v>
      </c>
      <c r="C42" s="1" t="s">
        <v>17</v>
      </c>
      <c r="D42" s="165"/>
      <c r="E42" s="3" t="s">
        <v>18</v>
      </c>
      <c r="F42" s="73" t="s">
        <v>324</v>
      </c>
      <c r="G42" s="11" t="s">
        <v>116</v>
      </c>
      <c r="H42" s="1">
        <v>3</v>
      </c>
      <c r="I42" s="49">
        <v>6</v>
      </c>
      <c r="J42" s="51">
        <v>6</v>
      </c>
      <c r="K42" s="40"/>
      <c r="L42" s="40"/>
      <c r="M42" s="38">
        <f t="shared" si="1"/>
        <v>0</v>
      </c>
      <c r="N42" s="41">
        <v>12</v>
      </c>
      <c r="O42" s="31"/>
      <c r="P42" s="31"/>
      <c r="Q42" s="12">
        <f t="shared" si="2"/>
        <v>0</v>
      </c>
    </row>
    <row r="43" spans="1:18" s="13" customFormat="1" ht="15.75" x14ac:dyDescent="0.25">
      <c r="A43" s="10"/>
      <c r="B43" s="22" t="s">
        <v>39</v>
      </c>
      <c r="C43" s="1" t="s">
        <v>17</v>
      </c>
      <c r="D43" s="165"/>
      <c r="E43" s="3" t="s">
        <v>20</v>
      </c>
      <c r="F43" s="73" t="s">
        <v>269</v>
      </c>
      <c r="G43" s="11" t="s">
        <v>114</v>
      </c>
      <c r="H43" s="1"/>
      <c r="I43" s="49"/>
      <c r="J43" s="51"/>
      <c r="K43" s="40"/>
      <c r="L43" s="40"/>
      <c r="M43" s="38">
        <f t="shared" si="1"/>
        <v>0</v>
      </c>
      <c r="N43" s="41"/>
      <c r="O43" s="31"/>
      <c r="P43" s="31"/>
      <c r="Q43" s="12">
        <f t="shared" si="2"/>
        <v>0</v>
      </c>
    </row>
    <row r="44" spans="1:18" s="13" customFormat="1" ht="15.75" x14ac:dyDescent="0.25">
      <c r="A44" s="10"/>
      <c r="B44" s="27" t="s">
        <v>40</v>
      </c>
      <c r="C44" s="1" t="s">
        <v>17</v>
      </c>
      <c r="D44" s="165"/>
      <c r="E44" s="17" t="s">
        <v>41</v>
      </c>
      <c r="F44" s="73" t="s">
        <v>339</v>
      </c>
      <c r="G44" s="74" t="s">
        <v>112</v>
      </c>
      <c r="H44" s="75">
        <v>15</v>
      </c>
      <c r="I44" s="76">
        <v>13</v>
      </c>
      <c r="J44" s="96">
        <f>1+1+3+9+4</f>
        <v>18</v>
      </c>
      <c r="K44" s="77">
        <f>1045.98+3271.86+15658.52</f>
        <v>19976.36</v>
      </c>
      <c r="L44" s="77">
        <f>1045.98+3271.86+15658.52</f>
        <v>19976.36</v>
      </c>
      <c r="M44" s="78">
        <f t="shared" si="1"/>
        <v>0</v>
      </c>
      <c r="N44" s="100">
        <f>3+13+6+5+4</f>
        <v>31</v>
      </c>
      <c r="O44" s="81">
        <f>17269.31+39990.78+16582.12+23492.44</f>
        <v>97334.65</v>
      </c>
      <c r="P44" s="81">
        <f>17269.31+39990.78+16582.12+23492.44</f>
        <v>97334.65</v>
      </c>
      <c r="Q44" s="79">
        <f t="shared" si="2"/>
        <v>0</v>
      </c>
      <c r="R44" s="141"/>
    </row>
    <row r="45" spans="1:18" s="13" customFormat="1" ht="15.75" x14ac:dyDescent="0.25">
      <c r="A45" s="10"/>
      <c r="B45" s="25" t="s">
        <v>40</v>
      </c>
      <c r="C45" s="1" t="s">
        <v>17</v>
      </c>
      <c r="D45" s="165"/>
      <c r="E45" s="17" t="s">
        <v>41</v>
      </c>
      <c r="F45" s="73" t="s">
        <v>482</v>
      </c>
      <c r="G45" s="11" t="s">
        <v>114</v>
      </c>
      <c r="H45" s="1"/>
      <c r="I45" s="49"/>
      <c r="J45" s="51"/>
      <c r="K45" s="40"/>
      <c r="L45" s="40"/>
      <c r="M45" s="38">
        <f t="shared" si="1"/>
        <v>0</v>
      </c>
      <c r="N45" s="41">
        <v>1</v>
      </c>
      <c r="O45" s="31">
        <v>3073.6</v>
      </c>
      <c r="P45" s="31">
        <f>3073.6</f>
        <v>3073.6</v>
      </c>
      <c r="Q45" s="12">
        <f t="shared" si="2"/>
        <v>0</v>
      </c>
    </row>
    <row r="46" spans="1:18" s="13" customFormat="1" ht="15.75" x14ac:dyDescent="0.25">
      <c r="A46" s="10"/>
      <c r="B46" s="27" t="s">
        <v>148</v>
      </c>
      <c r="C46" s="1" t="s">
        <v>17</v>
      </c>
      <c r="D46" s="165"/>
      <c r="E46" s="3" t="s">
        <v>20</v>
      </c>
      <c r="F46" s="73" t="s">
        <v>340</v>
      </c>
      <c r="G46" s="74" t="s">
        <v>112</v>
      </c>
      <c r="H46" s="75">
        <v>12</v>
      </c>
      <c r="I46" s="82">
        <v>4</v>
      </c>
      <c r="J46" s="96">
        <f>1+2+1</f>
        <v>4</v>
      </c>
      <c r="K46" s="77">
        <f>537.88+2110.03</f>
        <v>2647.9100000000003</v>
      </c>
      <c r="L46" s="77">
        <f>537.88+2110.03</f>
        <v>2647.9100000000003</v>
      </c>
      <c r="M46" s="78">
        <f t="shared" si="1"/>
        <v>0</v>
      </c>
      <c r="N46" s="100">
        <f>6+5+3+1+1</f>
        <v>16</v>
      </c>
      <c r="O46" s="81">
        <f>9370.6+9456.38+8868.69+5367.27+11572.62</f>
        <v>44635.560000000005</v>
      </c>
      <c r="P46" s="81">
        <f>9370.6+9456.38+8868.69+5367.27+11572.62</f>
        <v>44635.560000000005</v>
      </c>
      <c r="Q46" s="79">
        <f t="shared" si="2"/>
        <v>0</v>
      </c>
      <c r="R46" s="141"/>
    </row>
    <row r="47" spans="1:18" s="13" customFormat="1" ht="15.75" x14ac:dyDescent="0.25">
      <c r="A47" s="10"/>
      <c r="B47" s="25" t="s">
        <v>148</v>
      </c>
      <c r="C47" s="1" t="s">
        <v>17</v>
      </c>
      <c r="D47" s="165"/>
      <c r="E47" s="17" t="s">
        <v>32</v>
      </c>
      <c r="F47" s="73" t="s">
        <v>425</v>
      </c>
      <c r="G47" s="11" t="s">
        <v>117</v>
      </c>
      <c r="H47" s="1">
        <v>5</v>
      </c>
      <c r="I47" s="49">
        <v>1</v>
      </c>
      <c r="J47" s="46">
        <v>1</v>
      </c>
      <c r="K47" s="40">
        <v>1344.7</v>
      </c>
      <c r="L47" s="40">
        <v>1344.7</v>
      </c>
      <c r="M47" s="38">
        <f t="shared" si="1"/>
        <v>0</v>
      </c>
      <c r="N47" s="41">
        <v>4</v>
      </c>
      <c r="O47" s="31">
        <v>12851.49</v>
      </c>
      <c r="P47" s="31">
        <v>12851.49</v>
      </c>
      <c r="Q47" s="12">
        <f t="shared" si="2"/>
        <v>0</v>
      </c>
    </row>
    <row r="48" spans="1:18" s="13" customFormat="1" ht="15.75" x14ac:dyDescent="0.25">
      <c r="A48" s="10"/>
      <c r="B48" s="30" t="s">
        <v>42</v>
      </c>
      <c r="C48" s="1" t="s">
        <v>17</v>
      </c>
      <c r="D48" s="165"/>
      <c r="E48" s="3" t="s">
        <v>23</v>
      </c>
      <c r="F48" s="73" t="s">
        <v>341</v>
      </c>
      <c r="G48" s="74" t="s">
        <v>112</v>
      </c>
      <c r="H48" s="75">
        <v>26</v>
      </c>
      <c r="I48" s="76">
        <v>12</v>
      </c>
      <c r="J48" s="96">
        <f>5+3+5+3</f>
        <v>16</v>
      </c>
      <c r="K48" s="77">
        <f>7156.22+3849.11+8154.25</f>
        <v>19159.580000000002</v>
      </c>
      <c r="L48" s="77">
        <f>7156.22+3849.11+8154.25</f>
        <v>19159.580000000002</v>
      </c>
      <c r="M48" s="78">
        <f t="shared" si="1"/>
        <v>0</v>
      </c>
      <c r="N48" s="100">
        <f>4+6+9+2+4+2+2+3</f>
        <v>32</v>
      </c>
      <c r="O48" s="81">
        <f>5364.2+26170.88+2849.25+18965.6+9565.56</f>
        <v>62915.49</v>
      </c>
      <c r="P48" s="81">
        <f>5364.2+26170.88+2849.25+18965.6+9565.56</f>
        <v>62915.49</v>
      </c>
      <c r="Q48" s="79">
        <f t="shared" si="2"/>
        <v>0</v>
      </c>
      <c r="R48" s="141"/>
    </row>
    <row r="49" spans="1:18" s="13" customFormat="1" ht="15.75" x14ac:dyDescent="0.25">
      <c r="A49" s="10"/>
      <c r="B49" s="24" t="s">
        <v>42</v>
      </c>
      <c r="C49" s="1" t="s">
        <v>17</v>
      </c>
      <c r="D49" s="165"/>
      <c r="E49" s="3" t="s">
        <v>23</v>
      </c>
      <c r="F49" s="73" t="s">
        <v>437</v>
      </c>
      <c r="G49" s="11" t="s">
        <v>118</v>
      </c>
      <c r="H49" s="1">
        <v>2</v>
      </c>
      <c r="I49" s="49"/>
      <c r="J49" s="46"/>
      <c r="K49" s="40"/>
      <c r="L49" s="40"/>
      <c r="M49" s="38">
        <f t="shared" si="1"/>
        <v>0</v>
      </c>
      <c r="N49" s="41">
        <v>1</v>
      </c>
      <c r="O49" s="31">
        <v>7766.4</v>
      </c>
      <c r="P49" s="31">
        <v>4226.2</v>
      </c>
      <c r="Q49" s="12">
        <f t="shared" si="2"/>
        <v>3540.2</v>
      </c>
    </row>
    <row r="50" spans="1:18" s="13" customFormat="1" ht="15.75" x14ac:dyDescent="0.25">
      <c r="A50" s="10"/>
      <c r="B50" s="30" t="s">
        <v>173</v>
      </c>
      <c r="C50" s="1" t="s">
        <v>17</v>
      </c>
      <c r="D50" s="165"/>
      <c r="E50" s="11" t="s">
        <v>118</v>
      </c>
      <c r="F50" s="73" t="s">
        <v>342</v>
      </c>
      <c r="G50" s="74" t="s">
        <v>112</v>
      </c>
      <c r="H50" s="75">
        <v>4</v>
      </c>
      <c r="I50" s="76">
        <v>4</v>
      </c>
      <c r="J50" s="96">
        <f>1+2+1</f>
        <v>4</v>
      </c>
      <c r="K50" s="77">
        <f>6833.76+696.36</f>
        <v>7530.12</v>
      </c>
      <c r="L50" s="77">
        <f>6833.76+696.36</f>
        <v>7530.12</v>
      </c>
      <c r="M50" s="78">
        <f t="shared" si="1"/>
        <v>0</v>
      </c>
      <c r="N50" s="100">
        <f>4+2</f>
        <v>6</v>
      </c>
      <c r="O50" s="81">
        <f>5931.9+4183.92+3158.95</f>
        <v>13274.77</v>
      </c>
      <c r="P50" s="81">
        <f>5931.9+4183.92+3158.95</f>
        <v>13274.77</v>
      </c>
      <c r="Q50" s="79">
        <f t="shared" si="2"/>
        <v>0</v>
      </c>
      <c r="R50" s="141"/>
    </row>
    <row r="51" spans="1:18" s="13" customFormat="1" ht="15.75" x14ac:dyDescent="0.25">
      <c r="A51" s="10"/>
      <c r="B51" s="22" t="s">
        <v>143</v>
      </c>
      <c r="C51" s="1" t="s">
        <v>64</v>
      </c>
      <c r="D51" s="165" t="s">
        <v>444</v>
      </c>
      <c r="E51" s="3" t="s">
        <v>20</v>
      </c>
      <c r="F51" s="73" t="s">
        <v>445</v>
      </c>
      <c r="G51" s="11" t="s">
        <v>114</v>
      </c>
      <c r="H51" s="1">
        <v>11</v>
      </c>
      <c r="I51" s="47"/>
      <c r="J51" s="51"/>
      <c r="K51" s="37"/>
      <c r="L51" s="37"/>
      <c r="M51" s="78">
        <f t="shared" si="1"/>
        <v>0</v>
      </c>
      <c r="N51" s="39">
        <v>15</v>
      </c>
      <c r="O51" s="31">
        <v>24316.799999999999</v>
      </c>
      <c r="P51" s="31">
        <v>24316.799999999999</v>
      </c>
      <c r="Q51" s="12">
        <f t="shared" si="2"/>
        <v>0</v>
      </c>
    </row>
    <row r="52" spans="1:18" s="13" customFormat="1" ht="15.75" x14ac:dyDescent="0.25">
      <c r="A52" s="10"/>
      <c r="B52" s="24" t="s">
        <v>158</v>
      </c>
      <c r="C52" s="1" t="s">
        <v>17</v>
      </c>
      <c r="D52" s="165"/>
      <c r="E52" s="17" t="s">
        <v>32</v>
      </c>
      <c r="F52" s="73" t="s">
        <v>426</v>
      </c>
      <c r="G52" s="11" t="s">
        <v>117</v>
      </c>
      <c r="H52" s="1">
        <v>6</v>
      </c>
      <c r="I52" s="47">
        <v>3</v>
      </c>
      <c r="J52" s="51">
        <v>2</v>
      </c>
      <c r="K52" s="37">
        <v>8452.4</v>
      </c>
      <c r="L52" s="37">
        <v>3649.9</v>
      </c>
      <c r="M52" s="38">
        <f t="shared" si="1"/>
        <v>4802.5</v>
      </c>
      <c r="N52" s="39">
        <v>4</v>
      </c>
      <c r="O52" s="31">
        <v>9789.2000000000007</v>
      </c>
      <c r="P52" s="31">
        <v>9789.2000000000007</v>
      </c>
      <c r="Q52" s="12">
        <f t="shared" si="2"/>
        <v>0</v>
      </c>
    </row>
    <row r="53" spans="1:18" s="15" customFormat="1" ht="15.75" x14ac:dyDescent="0.25">
      <c r="A53" s="14"/>
      <c r="B53" s="80" t="s">
        <v>43</v>
      </c>
      <c r="C53" s="1" t="s">
        <v>17</v>
      </c>
      <c r="D53" s="165"/>
      <c r="E53" s="3" t="s">
        <v>18</v>
      </c>
      <c r="F53" s="73" t="s">
        <v>344</v>
      </c>
      <c r="G53" s="74" t="s">
        <v>112</v>
      </c>
      <c r="H53" s="75">
        <v>17</v>
      </c>
      <c r="I53" s="76">
        <v>14</v>
      </c>
      <c r="J53" s="96">
        <f>1+2+2+5+2+3</f>
        <v>15</v>
      </c>
      <c r="K53" s="77">
        <f>1776.93+926.88</f>
        <v>2703.81</v>
      </c>
      <c r="L53" s="77">
        <f>1776.93+926.88</f>
        <v>2703.81</v>
      </c>
      <c r="M53" s="78">
        <f t="shared" si="1"/>
        <v>0</v>
      </c>
      <c r="N53" s="100">
        <f>1+5+4+1+1+1</f>
        <v>13</v>
      </c>
      <c r="O53" s="81">
        <f>1223.8+3810.29+4959.02+10043.87+2769.48</f>
        <v>22806.460000000003</v>
      </c>
      <c r="P53" s="81">
        <f>1223.8+3810.29+4959.02+10043.87+2769.48</f>
        <v>22806.460000000003</v>
      </c>
      <c r="Q53" s="79">
        <f t="shared" si="2"/>
        <v>0</v>
      </c>
      <c r="R53" s="141"/>
    </row>
    <row r="54" spans="1:18" s="15" customFormat="1" ht="31.5" x14ac:dyDescent="0.25">
      <c r="A54" s="14"/>
      <c r="B54" s="22" t="s">
        <v>43</v>
      </c>
      <c r="C54" s="1" t="s">
        <v>304</v>
      </c>
      <c r="D54" s="165" t="s">
        <v>473</v>
      </c>
      <c r="E54" s="3" t="s">
        <v>18</v>
      </c>
      <c r="F54" s="73" t="s">
        <v>323</v>
      </c>
      <c r="G54" s="11" t="s">
        <v>113</v>
      </c>
      <c r="H54" s="1">
        <v>17</v>
      </c>
      <c r="I54" s="126">
        <v>7</v>
      </c>
      <c r="J54" s="125">
        <v>7</v>
      </c>
      <c r="K54" s="40">
        <v>9720</v>
      </c>
      <c r="L54" s="40">
        <v>9720</v>
      </c>
      <c r="M54" s="38">
        <f>N5410</f>
        <v>0</v>
      </c>
      <c r="N54" s="39">
        <v>12</v>
      </c>
      <c r="O54" s="31">
        <v>26496</v>
      </c>
      <c r="P54" s="31">
        <v>26496</v>
      </c>
      <c r="Q54" s="12">
        <f t="shared" si="2"/>
        <v>0</v>
      </c>
    </row>
    <row r="55" spans="1:18" s="13" customFormat="1" ht="15.75" x14ac:dyDescent="0.25">
      <c r="A55" s="10"/>
      <c r="B55" s="30" t="s">
        <v>44</v>
      </c>
      <c r="C55" s="1" t="s">
        <v>17</v>
      </c>
      <c r="D55" s="165"/>
      <c r="E55" s="3" t="s">
        <v>20</v>
      </c>
      <c r="F55" s="73" t="s">
        <v>345</v>
      </c>
      <c r="G55" s="74" t="s">
        <v>112</v>
      </c>
      <c r="H55" s="75">
        <v>6</v>
      </c>
      <c r="I55" s="76">
        <v>6</v>
      </c>
      <c r="J55" s="96">
        <f>1+1+1+4</f>
        <v>7</v>
      </c>
      <c r="K55" s="77">
        <f>2422.38+1267.86+15410.58</f>
        <v>19100.82</v>
      </c>
      <c r="L55" s="77">
        <f>2422.38+1267.86+15410.58</f>
        <v>19100.82</v>
      </c>
      <c r="M55" s="78">
        <f t="shared" si="1"/>
        <v>0</v>
      </c>
      <c r="N55" s="100">
        <f>1+11</f>
        <v>12</v>
      </c>
      <c r="O55" s="81">
        <f>421.62+4603.39+10559.77+72902.04</f>
        <v>88486.819999999992</v>
      </c>
      <c r="P55" s="81">
        <f>421.62+4603.39+10559.77+72902.04</f>
        <v>88486.819999999992</v>
      </c>
      <c r="Q55" s="79">
        <f t="shared" si="2"/>
        <v>0</v>
      </c>
      <c r="R55" s="141"/>
    </row>
    <row r="56" spans="1:18" s="13" customFormat="1" ht="15.75" x14ac:dyDescent="0.25">
      <c r="A56" s="10"/>
      <c r="B56" s="24" t="s">
        <v>44</v>
      </c>
      <c r="C56" s="1" t="s">
        <v>17</v>
      </c>
      <c r="D56" s="165"/>
      <c r="E56" s="3" t="s">
        <v>20</v>
      </c>
      <c r="F56" s="73" t="s">
        <v>483</v>
      </c>
      <c r="G56" s="11" t="s">
        <v>114</v>
      </c>
      <c r="H56" s="1"/>
      <c r="I56" s="49"/>
      <c r="J56" s="51"/>
      <c r="K56" s="40"/>
      <c r="L56" s="40"/>
      <c r="M56" s="78">
        <f t="shared" si="1"/>
        <v>0</v>
      </c>
      <c r="N56" s="41">
        <v>2</v>
      </c>
      <c r="O56" s="31">
        <v>6723.5</v>
      </c>
      <c r="P56" s="31">
        <v>6723.5</v>
      </c>
      <c r="Q56" s="12">
        <f t="shared" si="2"/>
        <v>0</v>
      </c>
    </row>
    <row r="57" spans="1:18" s="13" customFormat="1" ht="15.75" x14ac:dyDescent="0.25">
      <c r="A57" s="10"/>
      <c r="B57" s="24" t="s">
        <v>492</v>
      </c>
      <c r="C57" s="1" t="s">
        <v>17</v>
      </c>
      <c r="D57" s="165"/>
      <c r="E57" s="3" t="s">
        <v>20</v>
      </c>
      <c r="F57" s="73" t="s">
        <v>499</v>
      </c>
      <c r="G57" s="11" t="s">
        <v>112</v>
      </c>
      <c r="H57" s="1">
        <v>8</v>
      </c>
      <c r="I57" s="49">
        <v>1</v>
      </c>
      <c r="J57" s="51">
        <f>1</f>
        <v>1</v>
      </c>
      <c r="K57" s="40"/>
      <c r="L57" s="40"/>
      <c r="M57" s="78"/>
      <c r="N57" s="41"/>
      <c r="O57" s="31"/>
      <c r="P57" s="31"/>
      <c r="Q57" s="79">
        <f t="shared" si="2"/>
        <v>0</v>
      </c>
    </row>
    <row r="58" spans="1:18" s="13" customFormat="1" ht="15.75" x14ac:dyDescent="0.25">
      <c r="A58" s="10"/>
      <c r="B58" s="27" t="s">
        <v>45</v>
      </c>
      <c r="C58" s="1" t="s">
        <v>17</v>
      </c>
      <c r="D58" s="165"/>
      <c r="E58" s="3" t="s">
        <v>20</v>
      </c>
      <c r="F58" s="73" t="s">
        <v>346</v>
      </c>
      <c r="G58" s="74" t="s">
        <v>112</v>
      </c>
      <c r="H58" s="75"/>
      <c r="I58" s="76"/>
      <c r="J58" s="96"/>
      <c r="K58" s="77"/>
      <c r="L58" s="77"/>
      <c r="M58" s="38">
        <f t="shared" si="1"/>
        <v>0</v>
      </c>
      <c r="N58" s="100">
        <f>1</f>
        <v>1</v>
      </c>
      <c r="O58" s="81">
        <f>17995.91+2729.8</f>
        <v>20725.71</v>
      </c>
      <c r="P58" s="81">
        <f>17995.91+2729.8</f>
        <v>20725.71</v>
      </c>
      <c r="Q58" s="79">
        <f t="shared" si="2"/>
        <v>0</v>
      </c>
      <c r="R58" s="141"/>
    </row>
    <row r="59" spans="1:18" s="13" customFormat="1" ht="15.75" x14ac:dyDescent="0.25">
      <c r="A59" s="10"/>
      <c r="B59" s="25" t="s">
        <v>45</v>
      </c>
      <c r="C59" s="1" t="s">
        <v>17</v>
      </c>
      <c r="D59" s="165"/>
      <c r="E59" s="3" t="s">
        <v>20</v>
      </c>
      <c r="F59" s="73" t="s">
        <v>484</v>
      </c>
      <c r="G59" s="11" t="s">
        <v>114</v>
      </c>
      <c r="H59" s="1"/>
      <c r="I59" s="49"/>
      <c r="J59" s="51"/>
      <c r="K59" s="40"/>
      <c r="L59" s="40"/>
      <c r="M59" s="78">
        <f t="shared" si="1"/>
        <v>0</v>
      </c>
      <c r="N59" s="41"/>
      <c r="O59" s="31"/>
      <c r="P59" s="31"/>
      <c r="Q59" s="12">
        <f t="shared" si="2"/>
        <v>0</v>
      </c>
    </row>
    <row r="60" spans="1:18" s="15" customFormat="1" ht="15.75" x14ac:dyDescent="0.25">
      <c r="A60" s="14"/>
      <c r="B60" s="28" t="s">
        <v>46</v>
      </c>
      <c r="C60" s="1" t="s">
        <v>17</v>
      </c>
      <c r="D60" s="165"/>
      <c r="E60" s="3" t="s">
        <v>20</v>
      </c>
      <c r="F60" s="73" t="s">
        <v>347</v>
      </c>
      <c r="G60" s="74" t="s">
        <v>112</v>
      </c>
      <c r="H60" s="75">
        <v>9</v>
      </c>
      <c r="I60" s="76">
        <v>7</v>
      </c>
      <c r="J60" s="96">
        <f>1+2+3+2+4</f>
        <v>12</v>
      </c>
      <c r="K60" s="77">
        <f>1045.98+1068.08+8157.32+1778.85</f>
        <v>12050.23</v>
      </c>
      <c r="L60" s="77">
        <f>1045.98+1068.08+8157.32</f>
        <v>10271.379999999999</v>
      </c>
      <c r="M60" s="38">
        <f t="shared" si="1"/>
        <v>1778.8500000000004</v>
      </c>
      <c r="N60" s="100">
        <f>4+4+1</f>
        <v>9</v>
      </c>
      <c r="O60" s="81">
        <f>10759.2+10685.34</f>
        <v>21444.54</v>
      </c>
      <c r="P60" s="81">
        <f>10759.2+10685.34</f>
        <v>21444.54</v>
      </c>
      <c r="Q60" s="79">
        <f t="shared" si="2"/>
        <v>0</v>
      </c>
      <c r="R60" s="141"/>
    </row>
    <row r="61" spans="1:18" s="15" customFormat="1" ht="15.75" x14ac:dyDescent="0.25">
      <c r="A61" s="14"/>
      <c r="B61" s="26" t="s">
        <v>46</v>
      </c>
      <c r="C61" s="1" t="s">
        <v>17</v>
      </c>
      <c r="D61" s="165"/>
      <c r="E61" s="3" t="s">
        <v>20</v>
      </c>
      <c r="F61" s="73" t="s">
        <v>273</v>
      </c>
      <c r="G61" s="11" t="s">
        <v>114</v>
      </c>
      <c r="H61" s="1">
        <v>2</v>
      </c>
      <c r="I61" s="49"/>
      <c r="J61" s="51"/>
      <c r="K61" s="40"/>
      <c r="L61" s="40"/>
      <c r="M61" s="78">
        <f t="shared" si="1"/>
        <v>0</v>
      </c>
      <c r="N61" s="42">
        <v>3</v>
      </c>
      <c r="O61" s="31">
        <v>9356.9</v>
      </c>
      <c r="P61" s="31">
        <v>9356.9</v>
      </c>
      <c r="Q61" s="12">
        <f t="shared" si="2"/>
        <v>0</v>
      </c>
    </row>
    <row r="62" spans="1:18" s="13" customFormat="1" ht="47.25" x14ac:dyDescent="0.25">
      <c r="A62" s="10"/>
      <c r="B62" s="30" t="s">
        <v>47</v>
      </c>
      <c r="C62" s="1" t="s">
        <v>304</v>
      </c>
      <c r="D62" s="165" t="s">
        <v>474</v>
      </c>
      <c r="E62" s="3" t="s">
        <v>18</v>
      </c>
      <c r="F62" s="73" t="s">
        <v>348</v>
      </c>
      <c r="G62" s="74" t="s">
        <v>112</v>
      </c>
      <c r="H62" s="75">
        <v>29</v>
      </c>
      <c r="I62" s="76">
        <v>14</v>
      </c>
      <c r="J62" s="98">
        <f>1+1+3+21+7+2+5</f>
        <v>40</v>
      </c>
      <c r="K62" s="154">
        <f>1129.78+866.14+4090.7+2466.18+13383.67</f>
        <v>21936.47</v>
      </c>
      <c r="L62" s="154">
        <f>1129.78+866.14+4090.7+2466.18+13383.67</f>
        <v>21936.47</v>
      </c>
      <c r="M62" s="38">
        <f t="shared" si="1"/>
        <v>0</v>
      </c>
      <c r="N62" s="100">
        <f>7+3+4+10+6+1+2+1+3</f>
        <v>37</v>
      </c>
      <c r="O62" s="81">
        <f>8477.51+15159.83+14079.46+15414.2+17995.91+2065.56+1859.53+9543.86+1728.53</f>
        <v>86324.39</v>
      </c>
      <c r="P62" s="81">
        <f>8477.51+15159.83+14079.46+15414.2+17995.91+2065.56+1859.53+9543.86+1728.53</f>
        <v>86324.39</v>
      </c>
      <c r="Q62" s="79">
        <f t="shared" si="2"/>
        <v>0</v>
      </c>
      <c r="R62" s="141"/>
    </row>
    <row r="63" spans="1:18" s="13" customFormat="1" ht="47.25" x14ac:dyDescent="0.25">
      <c r="A63" s="10"/>
      <c r="B63" s="22" t="s">
        <v>120</v>
      </c>
      <c r="C63" s="1" t="s">
        <v>304</v>
      </c>
      <c r="D63" s="165" t="s">
        <v>474</v>
      </c>
      <c r="E63" s="3" t="s">
        <v>18</v>
      </c>
      <c r="F63" s="73" t="s">
        <v>334</v>
      </c>
      <c r="G63" s="11" t="s">
        <v>116</v>
      </c>
      <c r="H63" s="1">
        <v>19</v>
      </c>
      <c r="I63" s="53">
        <v>7</v>
      </c>
      <c r="J63" s="127">
        <v>8</v>
      </c>
      <c r="K63" s="40">
        <v>10047</v>
      </c>
      <c r="L63" s="40">
        <v>10047</v>
      </c>
      <c r="M63" s="78">
        <f t="shared" si="1"/>
        <v>0</v>
      </c>
      <c r="N63" s="41">
        <v>11</v>
      </c>
      <c r="O63" s="31">
        <v>45904</v>
      </c>
      <c r="P63" s="31">
        <v>45904</v>
      </c>
      <c r="Q63" s="12">
        <f t="shared" si="2"/>
        <v>0</v>
      </c>
    </row>
    <row r="64" spans="1:18" s="13" customFormat="1" ht="15.75" x14ac:dyDescent="0.25">
      <c r="A64" s="10"/>
      <c r="B64" s="30" t="s">
        <v>134</v>
      </c>
      <c r="C64" s="1" t="s">
        <v>17</v>
      </c>
      <c r="D64" s="165"/>
      <c r="E64" s="3" t="s">
        <v>20</v>
      </c>
      <c r="F64" s="73" t="s">
        <v>349</v>
      </c>
      <c r="G64" s="74" t="s">
        <v>112</v>
      </c>
      <c r="H64" s="75">
        <v>10</v>
      </c>
      <c r="I64" s="76">
        <v>7</v>
      </c>
      <c r="J64" s="96">
        <f>1+4+1</f>
        <v>6</v>
      </c>
      <c r="K64" s="77">
        <f>7301.48+1473.89+1911.09+1690.48</f>
        <v>12376.939999999999</v>
      </c>
      <c r="L64" s="77">
        <f>7301.48+1473.89+1911.09+1690.48</f>
        <v>12376.939999999999</v>
      </c>
      <c r="M64" s="38">
        <f t="shared" si="1"/>
        <v>0</v>
      </c>
      <c r="N64" s="100">
        <f>4+1</f>
        <v>5</v>
      </c>
      <c r="O64" s="81">
        <f>5020.05+3215.31+12312.39+4648.82+32425.98</f>
        <v>57622.55</v>
      </c>
      <c r="P64" s="81">
        <f>5020.05+3215.31+12312.39+4648.82+32425.98</f>
        <v>57622.55</v>
      </c>
      <c r="Q64" s="79">
        <f t="shared" si="2"/>
        <v>0</v>
      </c>
      <c r="R64" s="141"/>
    </row>
    <row r="65" spans="1:18" s="13" customFormat="1" ht="15.75" x14ac:dyDescent="0.25">
      <c r="A65" s="10"/>
      <c r="B65" s="24" t="s">
        <v>134</v>
      </c>
      <c r="C65" s="1" t="s">
        <v>17</v>
      </c>
      <c r="D65" s="165"/>
      <c r="E65" s="3" t="s">
        <v>20</v>
      </c>
      <c r="F65" s="73" t="s">
        <v>456</v>
      </c>
      <c r="G65" s="11" t="s">
        <v>114</v>
      </c>
      <c r="H65" s="1">
        <v>13</v>
      </c>
      <c r="I65" s="49">
        <v>2</v>
      </c>
      <c r="J65" s="51">
        <v>2</v>
      </c>
      <c r="K65" s="40">
        <v>2535.7199999999998</v>
      </c>
      <c r="L65" s="40">
        <v>2535.7199999999998</v>
      </c>
      <c r="M65" s="78">
        <f t="shared" si="1"/>
        <v>0</v>
      </c>
      <c r="N65" s="41">
        <v>22</v>
      </c>
      <c r="O65" s="31">
        <v>50888.31</v>
      </c>
      <c r="P65" s="31">
        <v>44933.21</v>
      </c>
      <c r="Q65" s="12">
        <f t="shared" si="2"/>
        <v>5955.0999999999985</v>
      </c>
    </row>
    <row r="66" spans="1:18" s="13" customFormat="1" ht="15.75" x14ac:dyDescent="0.25">
      <c r="A66" s="10"/>
      <c r="B66" s="62" t="s">
        <v>48</v>
      </c>
      <c r="C66" s="1" t="s">
        <v>17</v>
      </c>
      <c r="D66" s="165"/>
      <c r="E66" s="3" t="s">
        <v>20</v>
      </c>
      <c r="F66" s="73" t="s">
        <v>350</v>
      </c>
      <c r="G66" s="74" t="s">
        <v>112</v>
      </c>
      <c r="H66" s="75">
        <v>10</v>
      </c>
      <c r="I66" s="76">
        <v>7</v>
      </c>
      <c r="J66" s="96">
        <f>1+1+2</f>
        <v>4</v>
      </c>
      <c r="K66" s="77">
        <f>4805.96+2585.78+3065.92</f>
        <v>10457.66</v>
      </c>
      <c r="L66" s="77">
        <f>4805.96+2585.78+3065.92</f>
        <v>10457.66</v>
      </c>
      <c r="M66" s="38">
        <f t="shared" si="1"/>
        <v>0</v>
      </c>
      <c r="N66" s="100">
        <f>2+1+2</f>
        <v>5</v>
      </c>
      <c r="O66" s="81">
        <f>23174.33+2535.72+11633.02+6993.42+20756.4</f>
        <v>65092.890000000007</v>
      </c>
      <c r="P66" s="81">
        <f>23174.33+2535.72+11633.02+6993.42+20756.4</f>
        <v>65092.890000000007</v>
      </c>
      <c r="Q66" s="79">
        <f t="shared" si="2"/>
        <v>0</v>
      </c>
      <c r="R66" s="141"/>
    </row>
    <row r="67" spans="1:18" s="13" customFormat="1" ht="15.75" x14ac:dyDescent="0.25">
      <c r="A67" s="10"/>
      <c r="B67" s="62" t="s">
        <v>49</v>
      </c>
      <c r="C67" s="1" t="s">
        <v>17</v>
      </c>
      <c r="D67" s="165"/>
      <c r="E67" s="3" t="s">
        <v>50</v>
      </c>
      <c r="F67" s="73" t="s">
        <v>351</v>
      </c>
      <c r="G67" s="74" t="s">
        <v>112</v>
      </c>
      <c r="H67" s="75">
        <v>17</v>
      </c>
      <c r="I67" s="76">
        <v>5</v>
      </c>
      <c r="J67" s="96">
        <f>1+4</f>
        <v>5</v>
      </c>
      <c r="K67" s="77">
        <f>525.65+1267.86+6544.72</f>
        <v>8338.23</v>
      </c>
      <c r="L67" s="77">
        <f>525.65+1267.86</f>
        <v>1793.5099999999998</v>
      </c>
      <c r="M67" s="78">
        <f t="shared" si="1"/>
        <v>6544.7199999999993</v>
      </c>
      <c r="N67" s="100">
        <f>5+1+3</f>
        <v>9</v>
      </c>
      <c r="O67" s="81">
        <f>7374+1806.93+7275.53+4666.9+2684.03</f>
        <v>23807.39</v>
      </c>
      <c r="P67" s="81">
        <f>7374+1806.93+7275.53+4666.9+2684.03</f>
        <v>23807.39</v>
      </c>
      <c r="Q67" s="12">
        <f t="shared" si="2"/>
        <v>0</v>
      </c>
      <c r="R67" s="141"/>
    </row>
    <row r="68" spans="1:18" s="13" customFormat="1" ht="15.75" x14ac:dyDescent="0.25">
      <c r="A68" s="10"/>
      <c r="B68" s="22" t="s">
        <v>49</v>
      </c>
      <c r="C68" s="1" t="s">
        <v>17</v>
      </c>
      <c r="D68" s="165"/>
      <c r="E68" s="3" t="s">
        <v>50</v>
      </c>
      <c r="F68" s="73" t="s">
        <v>427</v>
      </c>
      <c r="G68" s="11" t="s">
        <v>115</v>
      </c>
      <c r="H68" s="1">
        <v>8</v>
      </c>
      <c r="I68" s="49">
        <v>1</v>
      </c>
      <c r="J68" s="46">
        <v>1</v>
      </c>
      <c r="K68" s="40">
        <v>2408.23</v>
      </c>
      <c r="L68" s="40">
        <v>2408.23</v>
      </c>
      <c r="M68" s="38">
        <f t="shared" si="1"/>
        <v>0</v>
      </c>
      <c r="N68" s="41">
        <v>8</v>
      </c>
      <c r="O68" s="31">
        <v>11237.9</v>
      </c>
      <c r="P68" s="31">
        <v>11237.9</v>
      </c>
      <c r="Q68" s="79">
        <f t="shared" si="2"/>
        <v>0</v>
      </c>
    </row>
    <row r="69" spans="1:18" s="13" customFormat="1" ht="15.75" x14ac:dyDescent="0.25">
      <c r="A69" s="10"/>
      <c r="B69" s="27" t="s">
        <v>51</v>
      </c>
      <c r="C69" s="1" t="s">
        <v>17</v>
      </c>
      <c r="D69" s="165"/>
      <c r="E69" s="3" t="s">
        <v>20</v>
      </c>
      <c r="F69" s="73" t="s">
        <v>186</v>
      </c>
      <c r="G69" s="74" t="s">
        <v>112</v>
      </c>
      <c r="H69" s="75"/>
      <c r="I69" s="76"/>
      <c r="J69" s="96"/>
      <c r="K69" s="77"/>
      <c r="L69" s="77"/>
      <c r="M69" s="78">
        <f t="shared" si="1"/>
        <v>0</v>
      </c>
      <c r="N69" s="100">
        <f>1</f>
        <v>1</v>
      </c>
      <c r="O69" s="81">
        <v>2451.87</v>
      </c>
      <c r="P69" s="81">
        <v>2451.87</v>
      </c>
      <c r="Q69" s="12">
        <f t="shared" si="2"/>
        <v>0</v>
      </c>
      <c r="R69" s="141"/>
    </row>
    <row r="70" spans="1:18" s="13" customFormat="1" ht="15.75" x14ac:dyDescent="0.25">
      <c r="A70" s="10"/>
      <c r="B70" s="27" t="s">
        <v>51</v>
      </c>
      <c r="C70" s="1" t="s">
        <v>17</v>
      </c>
      <c r="D70" s="165"/>
      <c r="E70" s="3" t="s">
        <v>20</v>
      </c>
      <c r="F70" s="73" t="s">
        <v>276</v>
      </c>
      <c r="G70" s="11" t="s">
        <v>114</v>
      </c>
      <c r="H70" s="1"/>
      <c r="I70" s="49"/>
      <c r="J70" s="51"/>
      <c r="K70" s="40"/>
      <c r="L70" s="40"/>
      <c r="M70" s="38">
        <f t="shared" si="1"/>
        <v>0</v>
      </c>
      <c r="N70" s="41">
        <v>3</v>
      </c>
      <c r="O70" s="31">
        <v>6763.6</v>
      </c>
      <c r="P70" s="31">
        <v>6763.6</v>
      </c>
      <c r="Q70" s="12">
        <f t="shared" si="2"/>
        <v>0</v>
      </c>
    </row>
    <row r="71" spans="1:18" s="13" customFormat="1" ht="15.75" x14ac:dyDescent="0.25">
      <c r="A71" s="10"/>
      <c r="B71" s="62" t="s">
        <v>52</v>
      </c>
      <c r="C71" s="1" t="s">
        <v>17</v>
      </c>
      <c r="D71" s="165"/>
      <c r="E71" s="3" t="s">
        <v>20</v>
      </c>
      <c r="F71" s="73" t="s">
        <v>352</v>
      </c>
      <c r="G71" s="74" t="s">
        <v>112</v>
      </c>
      <c r="H71" s="75">
        <v>7</v>
      </c>
      <c r="I71" s="76">
        <v>1</v>
      </c>
      <c r="J71" s="96">
        <f>1+1</f>
        <v>2</v>
      </c>
      <c r="K71" s="77"/>
      <c r="L71" s="77"/>
      <c r="M71" s="78">
        <f t="shared" si="1"/>
        <v>0</v>
      </c>
      <c r="N71" s="100">
        <f>4+3+1+1+2+3</f>
        <v>14</v>
      </c>
      <c r="O71" s="81">
        <f>5977.15+48296.91+7596.86+1061.83+8902.9</f>
        <v>71835.650000000009</v>
      </c>
      <c r="P71" s="81">
        <f>5977.15+48296.91+7596.86+1061.83</f>
        <v>62932.750000000007</v>
      </c>
      <c r="Q71" s="12">
        <f t="shared" si="2"/>
        <v>8902.9000000000015</v>
      </c>
      <c r="R71" s="141"/>
    </row>
    <row r="72" spans="1:18" s="13" customFormat="1" ht="15.75" x14ac:dyDescent="0.25">
      <c r="A72" s="10"/>
      <c r="B72" s="22" t="s">
        <v>52</v>
      </c>
      <c r="C72" s="1" t="s">
        <v>17</v>
      </c>
      <c r="D72" s="165"/>
      <c r="E72" s="3" t="s">
        <v>20</v>
      </c>
      <c r="F72" s="73" t="s">
        <v>457</v>
      </c>
      <c r="G72" s="11" t="s">
        <v>114</v>
      </c>
      <c r="H72" s="1">
        <v>8</v>
      </c>
      <c r="I72" s="49">
        <v>1</v>
      </c>
      <c r="J72" s="51">
        <v>1</v>
      </c>
      <c r="K72" s="40">
        <v>1152.5999999999999</v>
      </c>
      <c r="L72" s="40">
        <v>1152.5999999999999</v>
      </c>
      <c r="M72" s="38">
        <f t="shared" si="1"/>
        <v>0</v>
      </c>
      <c r="N72" s="41">
        <v>15</v>
      </c>
      <c r="O72" s="31">
        <v>27349.86</v>
      </c>
      <c r="P72" s="31">
        <v>27349.86</v>
      </c>
      <c r="Q72" s="12">
        <f t="shared" si="2"/>
        <v>0</v>
      </c>
    </row>
    <row r="73" spans="1:18" s="13" customFormat="1" ht="15.75" x14ac:dyDescent="0.25">
      <c r="A73" s="10"/>
      <c r="B73" s="27" t="s">
        <v>53</v>
      </c>
      <c r="C73" s="1" t="s">
        <v>17</v>
      </c>
      <c r="D73" s="165"/>
      <c r="E73" s="3" t="s">
        <v>20</v>
      </c>
      <c r="F73" s="73" t="s">
        <v>353</v>
      </c>
      <c r="G73" s="74" t="s">
        <v>112</v>
      </c>
      <c r="H73" s="75">
        <v>7</v>
      </c>
      <c r="I73" s="76">
        <v>4</v>
      </c>
      <c r="J73" s="96">
        <f>2+2</f>
        <v>4</v>
      </c>
      <c r="K73" s="77">
        <f>3655.66</f>
        <v>3655.66</v>
      </c>
      <c r="L73" s="77"/>
      <c r="M73" s="78">
        <f>K73-L73</f>
        <v>3655.66</v>
      </c>
      <c r="N73" s="100">
        <f>1+2+2+1</f>
        <v>6</v>
      </c>
      <c r="O73" s="81">
        <f>1743.3+3921.71+422.62</f>
        <v>6087.63</v>
      </c>
      <c r="P73" s="81">
        <f>422.62+1743.3+3921.71</f>
        <v>6087.63</v>
      </c>
      <c r="Q73" s="12">
        <f t="shared" si="2"/>
        <v>0</v>
      </c>
      <c r="R73" s="141"/>
    </row>
    <row r="74" spans="1:18" s="13" customFormat="1" ht="15.75" x14ac:dyDescent="0.25">
      <c r="A74" s="10"/>
      <c r="B74" s="27" t="s">
        <v>149</v>
      </c>
      <c r="C74" s="1" t="s">
        <v>17</v>
      </c>
      <c r="D74" s="165"/>
      <c r="E74" s="3" t="s">
        <v>383</v>
      </c>
      <c r="F74" s="73" t="s">
        <v>354</v>
      </c>
      <c r="G74" s="74" t="s">
        <v>112</v>
      </c>
      <c r="H74" s="75">
        <v>24</v>
      </c>
      <c r="I74" s="76"/>
      <c r="J74" s="96"/>
      <c r="K74" s="77"/>
      <c r="L74" s="77"/>
      <c r="M74" s="38">
        <f t="shared" si="1"/>
        <v>0</v>
      </c>
      <c r="N74" s="100">
        <f>2+2</f>
        <v>4</v>
      </c>
      <c r="O74" s="81">
        <f>3676.8+3431.65</f>
        <v>7108.4500000000007</v>
      </c>
      <c r="P74" s="81">
        <f>3676.8+3431.65</f>
        <v>7108.4500000000007</v>
      </c>
      <c r="Q74" s="79">
        <f t="shared" si="2"/>
        <v>0</v>
      </c>
      <c r="R74" s="141"/>
    </row>
    <row r="75" spans="1:18" s="13" customFormat="1" ht="15.75" x14ac:dyDescent="0.25">
      <c r="A75" s="10"/>
      <c r="B75" s="25" t="s">
        <v>149</v>
      </c>
      <c r="C75" s="1" t="s">
        <v>17</v>
      </c>
      <c r="D75" s="165"/>
      <c r="E75" s="3" t="s">
        <v>383</v>
      </c>
      <c r="F75" s="73" t="s">
        <v>438</v>
      </c>
      <c r="G75" s="11" t="s">
        <v>118</v>
      </c>
      <c r="H75" s="1">
        <v>4</v>
      </c>
      <c r="I75" s="47"/>
      <c r="J75" s="51"/>
      <c r="K75" s="37"/>
      <c r="L75" s="37"/>
      <c r="M75" s="78">
        <f t="shared" si="1"/>
        <v>0</v>
      </c>
      <c r="N75" s="39">
        <v>3</v>
      </c>
      <c r="O75" s="31">
        <v>4994.6000000000004</v>
      </c>
      <c r="P75" s="31">
        <v>4994.6000000000004</v>
      </c>
      <c r="Q75" s="12">
        <f t="shared" si="2"/>
        <v>0</v>
      </c>
    </row>
    <row r="76" spans="1:18" s="13" customFormat="1" ht="15.75" x14ac:dyDescent="0.25">
      <c r="A76" s="10"/>
      <c r="B76" s="62" t="s">
        <v>107</v>
      </c>
      <c r="C76" s="1" t="s">
        <v>17</v>
      </c>
      <c r="D76" s="165"/>
      <c r="E76" s="17" t="s">
        <v>20</v>
      </c>
      <c r="F76" s="73" t="s">
        <v>355</v>
      </c>
      <c r="G76" s="74" t="s">
        <v>112</v>
      </c>
      <c r="H76" s="75">
        <v>8</v>
      </c>
      <c r="I76" s="76">
        <v>2</v>
      </c>
      <c r="J76" s="96">
        <f>1+3</f>
        <v>4</v>
      </c>
      <c r="K76" s="77">
        <f>666.63+7071.2</f>
        <v>7737.83</v>
      </c>
      <c r="L76" s="77">
        <f>666.63</f>
        <v>666.63</v>
      </c>
      <c r="M76" s="38">
        <f t="shared" si="1"/>
        <v>7071.2</v>
      </c>
      <c r="N76" s="100">
        <f>2+6+1+1</f>
        <v>10</v>
      </c>
      <c r="O76" s="81">
        <f>7612.92+18804.48+9163.33+3260.98+6297.63</f>
        <v>45139.340000000004</v>
      </c>
      <c r="P76" s="81">
        <f>7612.92+18804.48+9163.33</f>
        <v>35580.730000000003</v>
      </c>
      <c r="Q76" s="79">
        <f t="shared" si="2"/>
        <v>9558.61</v>
      </c>
      <c r="R76" s="141"/>
    </row>
    <row r="77" spans="1:18" s="13" customFormat="1" ht="15.75" x14ac:dyDescent="0.25">
      <c r="A77" s="10"/>
      <c r="B77" s="30" t="s">
        <v>54</v>
      </c>
      <c r="C77" s="1" t="s">
        <v>17</v>
      </c>
      <c r="D77" s="165"/>
      <c r="E77" s="17" t="s">
        <v>20</v>
      </c>
      <c r="F77" s="73" t="s">
        <v>356</v>
      </c>
      <c r="G77" s="74" t="s">
        <v>112</v>
      </c>
      <c r="H77" s="75"/>
      <c r="I77" s="76"/>
      <c r="J77" s="96"/>
      <c r="K77" s="77"/>
      <c r="L77" s="77"/>
      <c r="M77" s="38">
        <f t="shared" si="1"/>
        <v>0</v>
      </c>
      <c r="N77" s="100">
        <f>4+1+1</f>
        <v>6</v>
      </c>
      <c r="O77" s="81">
        <f>17895.28+17443.73</f>
        <v>35339.009999999995</v>
      </c>
      <c r="P77" s="81">
        <v>17895.28</v>
      </c>
      <c r="Q77" s="79">
        <f t="shared" si="2"/>
        <v>17443.729999999996</v>
      </c>
      <c r="R77" s="141"/>
    </row>
    <row r="78" spans="1:18" s="13" customFormat="1" ht="31.5" x14ac:dyDescent="0.25">
      <c r="A78" s="10"/>
      <c r="B78" s="27" t="s">
        <v>55</v>
      </c>
      <c r="C78" s="1" t="s">
        <v>304</v>
      </c>
      <c r="D78" s="165" t="s">
        <v>387</v>
      </c>
      <c r="E78" s="3" t="s">
        <v>20</v>
      </c>
      <c r="F78" s="73" t="s">
        <v>357</v>
      </c>
      <c r="G78" s="74" t="s">
        <v>112</v>
      </c>
      <c r="H78" s="75">
        <v>12</v>
      </c>
      <c r="I78" s="76">
        <v>8</v>
      </c>
      <c r="J78" s="96">
        <f>3</f>
        <v>3</v>
      </c>
      <c r="K78" s="77">
        <f>1267.86+6667.8+5756.15</f>
        <v>13691.81</v>
      </c>
      <c r="L78" s="77">
        <f>1267.86+6667.8+5756.15</f>
        <v>13691.81</v>
      </c>
      <c r="M78" s="78">
        <f t="shared" si="1"/>
        <v>0</v>
      </c>
      <c r="N78" s="100">
        <f>2+1+2+2+2</f>
        <v>9</v>
      </c>
      <c r="O78" s="81">
        <f>34854.19+2113.1+6430.67+5463.42+39145.22</f>
        <v>88006.6</v>
      </c>
      <c r="P78" s="81">
        <f>34854.19+2113.1+6430.67+5463.42+39145.22</f>
        <v>88006.6</v>
      </c>
      <c r="Q78" s="12">
        <f t="shared" si="2"/>
        <v>0</v>
      </c>
      <c r="R78" s="141"/>
    </row>
    <row r="79" spans="1:18" s="13" customFormat="1" ht="31.5" x14ac:dyDescent="0.25">
      <c r="A79" s="10"/>
      <c r="B79" s="62" t="s">
        <v>56</v>
      </c>
      <c r="C79" s="1" t="s">
        <v>17</v>
      </c>
      <c r="D79" s="165" t="s">
        <v>386</v>
      </c>
      <c r="E79" s="3" t="s">
        <v>18</v>
      </c>
      <c r="F79" s="73" t="s">
        <v>358</v>
      </c>
      <c r="G79" s="74" t="s">
        <v>112</v>
      </c>
      <c r="H79" s="75">
        <v>4</v>
      </c>
      <c r="I79" s="76">
        <v>2</v>
      </c>
      <c r="J79" s="96">
        <f>1+1</f>
        <v>2</v>
      </c>
      <c r="K79" s="77">
        <f>678.11+678.11</f>
        <v>1356.22</v>
      </c>
      <c r="L79" s="77">
        <f>678.11</f>
        <v>678.11</v>
      </c>
      <c r="M79" s="38">
        <f t="shared" si="1"/>
        <v>678.11</v>
      </c>
      <c r="N79" s="100">
        <f>1</f>
        <v>1</v>
      </c>
      <c r="O79" s="81"/>
      <c r="P79" s="81"/>
      <c r="Q79" s="79">
        <f t="shared" si="2"/>
        <v>0</v>
      </c>
      <c r="R79" s="141"/>
    </row>
    <row r="80" spans="1:18" s="13" customFormat="1" ht="31.5" x14ac:dyDescent="0.25">
      <c r="A80" s="10"/>
      <c r="B80" s="22" t="s">
        <v>56</v>
      </c>
      <c r="C80" s="1" t="s">
        <v>304</v>
      </c>
      <c r="D80" s="165" t="s">
        <v>386</v>
      </c>
      <c r="E80" s="3" t="s">
        <v>18</v>
      </c>
      <c r="F80" s="73" t="s">
        <v>476</v>
      </c>
      <c r="G80" s="11" t="s">
        <v>113</v>
      </c>
      <c r="H80" s="1">
        <v>4</v>
      </c>
      <c r="I80" s="49">
        <v>3</v>
      </c>
      <c r="J80" s="46">
        <v>3</v>
      </c>
      <c r="K80" s="40">
        <v>4745</v>
      </c>
      <c r="L80" s="40">
        <v>4745</v>
      </c>
      <c r="M80" s="78">
        <f t="shared" si="1"/>
        <v>0</v>
      </c>
      <c r="N80" s="41"/>
      <c r="O80" s="31">
        <v>7612</v>
      </c>
      <c r="P80" s="31">
        <v>7612</v>
      </c>
      <c r="Q80" s="12">
        <f t="shared" ref="Q80:Q147" si="3">O80-P80</f>
        <v>0</v>
      </c>
    </row>
    <row r="81" spans="1:18" s="13" customFormat="1" ht="15.75" x14ac:dyDescent="0.25">
      <c r="A81" s="10"/>
      <c r="B81" s="62" t="s">
        <v>156</v>
      </c>
      <c r="C81" s="1" t="s">
        <v>304</v>
      </c>
      <c r="D81" s="165"/>
      <c r="E81" s="3" t="s">
        <v>20</v>
      </c>
      <c r="F81" s="73" t="s">
        <v>359</v>
      </c>
      <c r="G81" s="74" t="s">
        <v>112</v>
      </c>
      <c r="H81" s="75">
        <v>3</v>
      </c>
      <c r="I81" s="76">
        <v>2</v>
      </c>
      <c r="J81" s="96">
        <f>2</f>
        <v>2</v>
      </c>
      <c r="K81" s="77">
        <f>1690.48</f>
        <v>1690.48</v>
      </c>
      <c r="L81" s="77">
        <f>1690.48</f>
        <v>1690.48</v>
      </c>
      <c r="M81" s="38">
        <f t="shared" si="1"/>
        <v>0</v>
      </c>
      <c r="N81" s="100">
        <f>3+1</f>
        <v>4</v>
      </c>
      <c r="O81" s="81">
        <f>5488.54+2398.37+422.62</f>
        <v>8309.5300000000007</v>
      </c>
      <c r="P81" s="81">
        <f>5488.54+2398.37+422.62</f>
        <v>8309.5300000000007</v>
      </c>
      <c r="Q81" s="79">
        <f t="shared" si="3"/>
        <v>0</v>
      </c>
      <c r="R81" s="141"/>
    </row>
    <row r="82" spans="1:18" s="15" customFormat="1" ht="15.75" x14ac:dyDescent="0.25">
      <c r="A82" s="14"/>
      <c r="B82" s="80" t="s">
        <v>57</v>
      </c>
      <c r="C82" s="1" t="s">
        <v>17</v>
      </c>
      <c r="D82" s="165"/>
      <c r="E82" s="3" t="s">
        <v>20</v>
      </c>
      <c r="F82" s="73" t="s">
        <v>360</v>
      </c>
      <c r="G82" s="74" t="s">
        <v>112</v>
      </c>
      <c r="H82" s="75">
        <v>6</v>
      </c>
      <c r="I82" s="76">
        <v>4</v>
      </c>
      <c r="J82" s="96">
        <f>2+1+1</f>
        <v>4</v>
      </c>
      <c r="K82" s="77">
        <f>806.82+1728.9</f>
        <v>2535.7200000000003</v>
      </c>
      <c r="L82" s="77">
        <f>806.82</f>
        <v>806.82</v>
      </c>
      <c r="M82" s="78">
        <f t="shared" si="1"/>
        <v>1728.9</v>
      </c>
      <c r="N82" s="100">
        <f>2+1</f>
        <v>3</v>
      </c>
      <c r="O82" s="81">
        <f>2745.3</f>
        <v>2745.3</v>
      </c>
      <c r="P82" s="81">
        <f>2745.3</f>
        <v>2745.3</v>
      </c>
      <c r="Q82" s="12">
        <f t="shared" si="3"/>
        <v>0</v>
      </c>
      <c r="R82" s="141"/>
    </row>
    <row r="83" spans="1:18" s="15" customFormat="1" ht="15.75" x14ac:dyDescent="0.25">
      <c r="A83" s="14"/>
      <c r="B83" s="23" t="s">
        <v>57</v>
      </c>
      <c r="C83" s="1" t="s">
        <v>17</v>
      </c>
      <c r="D83" s="165"/>
      <c r="E83" s="3" t="s">
        <v>20</v>
      </c>
      <c r="F83" s="73" t="s">
        <v>458</v>
      </c>
      <c r="G83" s="11" t="s">
        <v>114</v>
      </c>
      <c r="H83" s="1">
        <v>22</v>
      </c>
      <c r="I83" s="49">
        <v>3</v>
      </c>
      <c r="J83" s="51">
        <v>3</v>
      </c>
      <c r="K83" s="40">
        <v>3765.16</v>
      </c>
      <c r="L83" s="40">
        <v>3765.16</v>
      </c>
      <c r="M83" s="38">
        <f t="shared" si="1"/>
        <v>0</v>
      </c>
      <c r="N83" s="42">
        <v>12</v>
      </c>
      <c r="O83" s="31">
        <v>27563.23</v>
      </c>
      <c r="P83" s="31">
        <v>25642.23</v>
      </c>
      <c r="Q83" s="12">
        <f t="shared" si="3"/>
        <v>1921</v>
      </c>
    </row>
    <row r="84" spans="1:18" s="13" customFormat="1" ht="15.75" x14ac:dyDescent="0.25">
      <c r="A84" s="10"/>
      <c r="B84" s="62" t="s">
        <v>58</v>
      </c>
      <c r="C84" s="1" t="s">
        <v>17</v>
      </c>
      <c r="D84" s="165"/>
      <c r="E84" s="3" t="s">
        <v>20</v>
      </c>
      <c r="F84" s="73" t="s">
        <v>361</v>
      </c>
      <c r="G84" s="74" t="s">
        <v>112</v>
      </c>
      <c r="H84" s="75">
        <v>5</v>
      </c>
      <c r="I84" s="76">
        <v>3</v>
      </c>
      <c r="J84" s="96">
        <f>1+2</f>
        <v>3</v>
      </c>
      <c r="K84" s="77"/>
      <c r="L84" s="77"/>
      <c r="M84" s="78">
        <f t="shared" si="1"/>
        <v>0</v>
      </c>
      <c r="N84" s="100">
        <f>1+1+3</f>
        <v>5</v>
      </c>
      <c r="O84" s="81">
        <f>9196.24+2480.78+2954.11+15214.32</f>
        <v>29845.45</v>
      </c>
      <c r="P84" s="81">
        <f>9196.24+2480.78+2954.11+15214.32</f>
        <v>29845.45</v>
      </c>
      <c r="Q84" s="12">
        <f t="shared" si="3"/>
        <v>0</v>
      </c>
      <c r="R84" s="141"/>
    </row>
    <row r="85" spans="1:18" s="13" customFormat="1" ht="15.75" x14ac:dyDescent="0.25">
      <c r="A85" s="10"/>
      <c r="B85" s="22" t="s">
        <v>58</v>
      </c>
      <c r="C85" s="1" t="s">
        <v>17</v>
      </c>
      <c r="D85" s="165"/>
      <c r="E85" s="3" t="s">
        <v>20</v>
      </c>
      <c r="F85" s="73" t="s">
        <v>478</v>
      </c>
      <c r="G85" s="11" t="s">
        <v>114</v>
      </c>
      <c r="H85" s="1">
        <v>15</v>
      </c>
      <c r="I85" s="49"/>
      <c r="J85" s="51"/>
      <c r="K85" s="40"/>
      <c r="L85" s="40"/>
      <c r="M85" s="38">
        <f t="shared" ref="M85:M158" si="4">K85-L85</f>
        <v>0</v>
      </c>
      <c r="N85" s="41">
        <v>21</v>
      </c>
      <c r="O85" s="31">
        <v>54215.77</v>
      </c>
      <c r="P85" s="31">
        <v>48260.67</v>
      </c>
      <c r="Q85" s="12">
        <f t="shared" si="3"/>
        <v>5955.0999999999985</v>
      </c>
    </row>
    <row r="86" spans="1:18" s="13" customFormat="1" ht="15.75" x14ac:dyDescent="0.25">
      <c r="A86" s="10"/>
      <c r="B86" s="62" t="s">
        <v>59</v>
      </c>
      <c r="C86" s="1" t="s">
        <v>17</v>
      </c>
      <c r="D86" s="165"/>
      <c r="E86" s="3" t="s">
        <v>20</v>
      </c>
      <c r="F86" s="73" t="s">
        <v>362</v>
      </c>
      <c r="G86" s="74" t="s">
        <v>112</v>
      </c>
      <c r="H86" s="75">
        <v>8</v>
      </c>
      <c r="I86" s="76">
        <v>7</v>
      </c>
      <c r="J86" s="96">
        <f>1+1+1+3+1</f>
        <v>7</v>
      </c>
      <c r="K86" s="77">
        <f>403.41+1431.16</f>
        <v>1834.5700000000002</v>
      </c>
      <c r="L86" s="77">
        <f>403.41</f>
        <v>403.41</v>
      </c>
      <c r="M86" s="78">
        <f t="shared" si="4"/>
        <v>1431.16</v>
      </c>
      <c r="N86" s="100">
        <f>1+2+2+1+1</f>
        <v>7</v>
      </c>
      <c r="O86" s="81">
        <f>6646.05+1267.86+979.71</f>
        <v>8893.619999999999</v>
      </c>
      <c r="P86" s="81">
        <f>2353.23+5561.68+978.71</f>
        <v>8893.619999999999</v>
      </c>
      <c r="Q86" s="12">
        <f t="shared" si="3"/>
        <v>0</v>
      </c>
      <c r="R86" s="141"/>
    </row>
    <row r="87" spans="1:18" s="13" customFormat="1" ht="15.75" x14ac:dyDescent="0.25">
      <c r="A87" s="10"/>
      <c r="B87" s="22" t="s">
        <v>59</v>
      </c>
      <c r="C87" s="1" t="s">
        <v>17</v>
      </c>
      <c r="D87" s="165"/>
      <c r="E87" s="3" t="s">
        <v>20</v>
      </c>
      <c r="F87" s="73" t="s">
        <v>128</v>
      </c>
      <c r="G87" s="11" t="s">
        <v>114</v>
      </c>
      <c r="H87" s="1"/>
      <c r="I87" s="49"/>
      <c r="J87" s="51"/>
      <c r="K87" s="40"/>
      <c r="L87" s="40"/>
      <c r="M87" s="38">
        <f t="shared" si="4"/>
        <v>0</v>
      </c>
      <c r="N87" s="41"/>
      <c r="O87" s="31"/>
      <c r="P87" s="31"/>
      <c r="Q87" s="12">
        <f t="shared" si="3"/>
        <v>0</v>
      </c>
    </row>
    <row r="88" spans="1:18" s="13" customFormat="1" ht="15.75" x14ac:dyDescent="0.25">
      <c r="A88" s="10"/>
      <c r="B88" s="27" t="s">
        <v>60</v>
      </c>
      <c r="C88" s="1" t="s">
        <v>17</v>
      </c>
      <c r="D88" s="165"/>
      <c r="E88" s="3" t="s">
        <v>20</v>
      </c>
      <c r="F88" s="73" t="s">
        <v>364</v>
      </c>
      <c r="G88" s="74" t="s">
        <v>112</v>
      </c>
      <c r="H88" s="75">
        <v>10</v>
      </c>
      <c r="I88" s="76">
        <v>3</v>
      </c>
      <c r="J88" s="96">
        <f>1+1+1</f>
        <v>3</v>
      </c>
      <c r="K88" s="77">
        <f>634.93</f>
        <v>634.92999999999995</v>
      </c>
      <c r="L88" s="77">
        <f>633.93</f>
        <v>633.92999999999995</v>
      </c>
      <c r="M88" s="78">
        <f t="shared" si="4"/>
        <v>1</v>
      </c>
      <c r="N88" s="100">
        <f>4+1+3+1</f>
        <v>9</v>
      </c>
      <c r="O88" s="81">
        <f>15124.53+2065.75</f>
        <v>17190.28</v>
      </c>
      <c r="P88" s="81">
        <f>15125.53+2064.75</f>
        <v>17190.28</v>
      </c>
      <c r="Q88" s="12">
        <f t="shared" si="3"/>
        <v>0</v>
      </c>
      <c r="R88" s="141"/>
    </row>
    <row r="89" spans="1:18" s="13" customFormat="1" ht="15.75" x14ac:dyDescent="0.25">
      <c r="A89" s="10"/>
      <c r="B89" s="25" t="s">
        <v>60</v>
      </c>
      <c r="C89" s="1" t="s">
        <v>17</v>
      </c>
      <c r="D89" s="165"/>
      <c r="E89" s="3" t="s">
        <v>20</v>
      </c>
      <c r="F89" s="73" t="s">
        <v>479</v>
      </c>
      <c r="G89" s="11" t="s">
        <v>114</v>
      </c>
      <c r="H89" s="1">
        <v>6</v>
      </c>
      <c r="I89" s="49"/>
      <c r="J89" s="51"/>
      <c r="K89" s="40"/>
      <c r="L89" s="40"/>
      <c r="M89" s="38">
        <f t="shared" si="4"/>
        <v>0</v>
      </c>
      <c r="N89" s="41">
        <v>4</v>
      </c>
      <c r="O89" s="31">
        <v>10293.5</v>
      </c>
      <c r="P89" s="31">
        <v>10293.5</v>
      </c>
      <c r="Q89" s="12">
        <f t="shared" si="3"/>
        <v>0</v>
      </c>
    </row>
    <row r="90" spans="1:18" s="13" customFormat="1" ht="15.75" x14ac:dyDescent="0.25">
      <c r="A90" s="10"/>
      <c r="B90" s="25" t="s">
        <v>493</v>
      </c>
      <c r="C90" s="1" t="s">
        <v>17</v>
      </c>
      <c r="D90" s="165"/>
      <c r="E90" s="3" t="s">
        <v>20</v>
      </c>
      <c r="F90" s="73" t="s">
        <v>496</v>
      </c>
      <c r="G90" s="11" t="s">
        <v>112</v>
      </c>
      <c r="H90" s="1">
        <v>7</v>
      </c>
      <c r="I90" s="49">
        <v>4</v>
      </c>
      <c r="J90" s="51">
        <f>3+2</f>
        <v>5</v>
      </c>
      <c r="K90" s="40">
        <f>3387.04</f>
        <v>3387.04</v>
      </c>
      <c r="L90" s="40"/>
      <c r="M90" s="38"/>
      <c r="N90" s="41"/>
      <c r="O90" s="31"/>
      <c r="P90" s="31"/>
      <c r="Q90" s="79"/>
    </row>
    <row r="91" spans="1:18" s="15" customFormat="1" ht="15.75" x14ac:dyDescent="0.25">
      <c r="A91" s="14"/>
      <c r="B91" s="28" t="s">
        <v>61</v>
      </c>
      <c r="C91" s="1" t="s">
        <v>17</v>
      </c>
      <c r="D91" s="165"/>
      <c r="E91" s="3" t="s">
        <v>20</v>
      </c>
      <c r="F91" s="73" t="s">
        <v>363</v>
      </c>
      <c r="G91" s="74" t="s">
        <v>112</v>
      </c>
      <c r="H91" s="75"/>
      <c r="I91" s="76"/>
      <c r="J91" s="96"/>
      <c r="K91" s="77"/>
      <c r="L91" s="77"/>
      <c r="M91" s="78">
        <f t="shared" si="4"/>
        <v>0</v>
      </c>
      <c r="N91" s="100"/>
      <c r="O91" s="81"/>
      <c r="P91" s="81"/>
      <c r="Q91" s="12">
        <f t="shared" si="3"/>
        <v>0</v>
      </c>
      <c r="R91" s="141"/>
    </row>
    <row r="92" spans="1:18" s="15" customFormat="1" ht="15.75" x14ac:dyDescent="0.25">
      <c r="A92" s="14"/>
      <c r="B92" s="26" t="s">
        <v>61</v>
      </c>
      <c r="C92" s="1" t="s">
        <v>17</v>
      </c>
      <c r="D92" s="165"/>
      <c r="E92" s="3" t="s">
        <v>20</v>
      </c>
      <c r="F92" s="73" t="s">
        <v>121</v>
      </c>
      <c r="G92" s="11" t="s">
        <v>114</v>
      </c>
      <c r="H92" s="1"/>
      <c r="I92" s="49"/>
      <c r="J92" s="51"/>
      <c r="K92" s="40"/>
      <c r="L92" s="40"/>
      <c r="M92" s="38">
        <f t="shared" si="4"/>
        <v>0</v>
      </c>
      <c r="N92" s="42"/>
      <c r="O92" s="31"/>
      <c r="P92" s="31"/>
      <c r="Q92" s="12">
        <f t="shared" si="3"/>
        <v>0</v>
      </c>
    </row>
    <row r="93" spans="1:18" s="15" customFormat="1" ht="15.75" x14ac:dyDescent="0.25">
      <c r="A93" s="14"/>
      <c r="B93" s="20" t="s">
        <v>306</v>
      </c>
      <c r="C93" s="1" t="s">
        <v>17</v>
      </c>
      <c r="D93" s="165"/>
      <c r="E93" s="3" t="s">
        <v>35</v>
      </c>
      <c r="F93" s="73" t="s">
        <v>365</v>
      </c>
      <c r="G93" s="11" t="s">
        <v>112</v>
      </c>
      <c r="H93" s="1">
        <v>23</v>
      </c>
      <c r="I93" s="58">
        <v>15</v>
      </c>
      <c r="J93" s="51">
        <f>1+2+1+3+3+2+3</f>
        <v>15</v>
      </c>
      <c r="K93" s="40">
        <f>1045.98+2658.7+35696.14+4892.46+1024.04+2384.53</f>
        <v>47701.85</v>
      </c>
      <c r="L93" s="40">
        <f>1045.98+2658.7+35696.14+4892.46+1024.04</f>
        <v>45317.32</v>
      </c>
      <c r="M93" s="78">
        <f t="shared" si="4"/>
        <v>2384.5299999999988</v>
      </c>
      <c r="N93" s="39">
        <f>7+2+2+2+1</f>
        <v>14</v>
      </c>
      <c r="O93" s="31">
        <f>2313.84+6162.57+2330.32+1690.48</f>
        <v>12497.21</v>
      </c>
      <c r="P93" s="31">
        <f>2313.84+6162.57+2330.32+1690.48</f>
        <v>12497.21</v>
      </c>
      <c r="Q93" s="12">
        <f t="shared" si="3"/>
        <v>0</v>
      </c>
      <c r="R93" s="141"/>
    </row>
    <row r="94" spans="1:18" s="13" customFormat="1" ht="15.75" x14ac:dyDescent="0.25">
      <c r="A94" s="10"/>
      <c r="B94" s="22" t="s">
        <v>306</v>
      </c>
      <c r="C94" s="1" t="s">
        <v>17</v>
      </c>
      <c r="D94" s="165"/>
      <c r="E94" s="3" t="s">
        <v>27</v>
      </c>
      <c r="F94" s="73" t="s">
        <v>421</v>
      </c>
      <c r="G94" s="11" t="s">
        <v>117</v>
      </c>
      <c r="H94" s="1">
        <v>2</v>
      </c>
      <c r="I94" s="49"/>
      <c r="J94" s="46"/>
      <c r="K94" s="40"/>
      <c r="L94" s="40"/>
      <c r="M94" s="78">
        <f>K94-L94</f>
        <v>0</v>
      </c>
      <c r="N94" s="41"/>
      <c r="O94" s="40"/>
      <c r="P94" s="40"/>
      <c r="Q94" s="79">
        <f>O94-P94</f>
        <v>0</v>
      </c>
    </row>
    <row r="95" spans="1:18" s="13" customFormat="1" ht="15.75" x14ac:dyDescent="0.25">
      <c r="A95" s="10"/>
      <c r="B95" s="27" t="s">
        <v>62</v>
      </c>
      <c r="C95" s="1" t="s">
        <v>17</v>
      </c>
      <c r="D95" s="165"/>
      <c r="E95" s="3" t="s">
        <v>35</v>
      </c>
      <c r="F95" s="73" t="s">
        <v>366</v>
      </c>
      <c r="G95" s="74" t="s">
        <v>112</v>
      </c>
      <c r="H95" s="75">
        <v>11</v>
      </c>
      <c r="I95" s="76">
        <v>8</v>
      </c>
      <c r="J95" s="96">
        <f>1+3+1+1</f>
        <v>6</v>
      </c>
      <c r="K95" s="77">
        <f>3613.4+1872.01+1394.65</f>
        <v>6880.0599999999995</v>
      </c>
      <c r="L95" s="77">
        <f>3613.4+1872.01</f>
        <v>5485.41</v>
      </c>
      <c r="M95" s="38">
        <f t="shared" si="4"/>
        <v>1394.6499999999996</v>
      </c>
      <c r="N95" s="100">
        <f>6+2+1+2+1</f>
        <v>12</v>
      </c>
      <c r="O95" s="81">
        <f>19511.33+1270.93+3979.74+2500.85+8530.18+845.24</f>
        <v>36638.269999999997</v>
      </c>
      <c r="P95" s="81">
        <f>19511.33+1270.93+3979.74+2500.85+8530.18</f>
        <v>35793.03</v>
      </c>
      <c r="Q95" s="79">
        <f t="shared" si="3"/>
        <v>845.23999999999796</v>
      </c>
      <c r="R95" s="141"/>
    </row>
    <row r="96" spans="1:18" s="13" customFormat="1" ht="15.75" x14ac:dyDescent="0.25">
      <c r="A96" s="10"/>
      <c r="B96" s="25" t="s">
        <v>62</v>
      </c>
      <c r="C96" s="1" t="s">
        <v>17</v>
      </c>
      <c r="D96" s="165"/>
      <c r="E96" s="3" t="s">
        <v>35</v>
      </c>
      <c r="F96" s="73" t="s">
        <v>428</v>
      </c>
      <c r="G96" s="11" t="s">
        <v>117</v>
      </c>
      <c r="H96" s="1">
        <v>1</v>
      </c>
      <c r="I96" s="49"/>
      <c r="J96" s="46"/>
      <c r="K96" s="40"/>
      <c r="L96" s="40"/>
      <c r="M96" s="78">
        <f t="shared" si="4"/>
        <v>0</v>
      </c>
      <c r="N96" s="41">
        <v>9</v>
      </c>
      <c r="O96" s="31">
        <v>22788.1</v>
      </c>
      <c r="P96" s="31">
        <v>22788.1</v>
      </c>
      <c r="Q96" s="12">
        <f t="shared" si="3"/>
        <v>0</v>
      </c>
    </row>
    <row r="97" spans="1:19" s="13" customFormat="1" ht="15.75" x14ac:dyDescent="0.25">
      <c r="A97" s="10"/>
      <c r="B97" s="25" t="s">
        <v>63</v>
      </c>
      <c r="C97" s="1" t="s">
        <v>64</v>
      </c>
      <c r="D97" s="165" t="s">
        <v>65</v>
      </c>
      <c r="E97" s="3" t="s">
        <v>20</v>
      </c>
      <c r="F97" s="73" t="s">
        <v>480</v>
      </c>
      <c r="G97" s="11" t="s">
        <v>114</v>
      </c>
      <c r="H97" s="1"/>
      <c r="I97" s="49"/>
      <c r="J97" s="51"/>
      <c r="K97" s="40"/>
      <c r="L97" s="40"/>
      <c r="M97" s="38">
        <f t="shared" si="4"/>
        <v>0</v>
      </c>
      <c r="N97" s="41"/>
      <c r="O97" s="31"/>
      <c r="P97" s="31"/>
      <c r="Q97" s="12">
        <f t="shared" si="3"/>
        <v>0</v>
      </c>
    </row>
    <row r="98" spans="1:19" s="13" customFormat="1" ht="15.75" x14ac:dyDescent="0.25">
      <c r="A98" s="10"/>
      <c r="B98" s="27" t="s">
        <v>155</v>
      </c>
      <c r="C98" s="1" t="s">
        <v>17</v>
      </c>
      <c r="D98" s="165"/>
      <c r="E98" s="3" t="s">
        <v>20</v>
      </c>
      <c r="F98" s="73" t="s">
        <v>367</v>
      </c>
      <c r="G98" s="74" t="s">
        <v>112</v>
      </c>
      <c r="H98" s="75">
        <v>6</v>
      </c>
      <c r="I98" s="82">
        <v>3</v>
      </c>
      <c r="J98" s="96">
        <f>1+2</f>
        <v>3</v>
      </c>
      <c r="K98" s="77">
        <f>3117.56</f>
        <v>3117.56</v>
      </c>
      <c r="L98" s="77">
        <f>3117.56</f>
        <v>3117.56</v>
      </c>
      <c r="M98" s="78">
        <f t="shared" si="4"/>
        <v>0</v>
      </c>
      <c r="N98" s="100">
        <f>1+1+1</f>
        <v>3</v>
      </c>
      <c r="O98" s="81">
        <f>1798.06+2123.67</f>
        <v>3921.73</v>
      </c>
      <c r="P98" s="81">
        <f>1798.06+2123.67</f>
        <v>3921.73</v>
      </c>
      <c r="Q98" s="12">
        <f t="shared" si="3"/>
        <v>0</v>
      </c>
      <c r="R98" s="141"/>
    </row>
    <row r="99" spans="1:19" s="13" customFormat="1" ht="15.75" x14ac:dyDescent="0.25">
      <c r="A99" s="10"/>
      <c r="B99" s="25" t="s">
        <v>155</v>
      </c>
      <c r="C99" s="1" t="s">
        <v>17</v>
      </c>
      <c r="D99" s="165"/>
      <c r="E99" s="3" t="s">
        <v>20</v>
      </c>
      <c r="F99" s="73" t="s">
        <v>459</v>
      </c>
      <c r="G99" s="11" t="s">
        <v>114</v>
      </c>
      <c r="H99" s="1">
        <v>7</v>
      </c>
      <c r="I99" s="49"/>
      <c r="J99" s="51"/>
      <c r="K99" s="40"/>
      <c r="L99" s="40"/>
      <c r="M99" s="38">
        <f t="shared" si="4"/>
        <v>0</v>
      </c>
      <c r="N99" s="41">
        <v>13</v>
      </c>
      <c r="O99" s="31">
        <v>27266.37</v>
      </c>
      <c r="P99" s="31">
        <v>27266.37</v>
      </c>
      <c r="Q99" s="12">
        <f t="shared" si="3"/>
        <v>0</v>
      </c>
    </row>
    <row r="100" spans="1:19" s="13" customFormat="1" ht="15.75" x14ac:dyDescent="0.25">
      <c r="A100" s="10"/>
      <c r="B100" s="30" t="s">
        <v>66</v>
      </c>
      <c r="C100" s="1" t="s">
        <v>17</v>
      </c>
      <c r="D100" s="165"/>
      <c r="E100" s="3" t="s">
        <v>21</v>
      </c>
      <c r="F100" s="73" t="s">
        <v>368</v>
      </c>
      <c r="G100" s="74" t="s">
        <v>112</v>
      </c>
      <c r="H100" s="75">
        <v>15</v>
      </c>
      <c r="I100" s="76">
        <v>11</v>
      </c>
      <c r="J100" s="96">
        <f>1+3+2+3+2+1</f>
        <v>12</v>
      </c>
      <c r="K100" s="77">
        <f>1045.98+4309.04+3820.12+1872.01+4253.49</f>
        <v>15300.64</v>
      </c>
      <c r="L100" s="77">
        <f>1045.98+4309.04+3820.12+1872.01+4253.49</f>
        <v>15300.64</v>
      </c>
      <c r="M100" s="78">
        <f t="shared" si="4"/>
        <v>0</v>
      </c>
      <c r="N100" s="100">
        <f>6+3+8+7+1+1+1+2+1+1</f>
        <v>31</v>
      </c>
      <c r="O100" s="81">
        <f>11911.17+23136+18060.17+1977.84+2091.97+19535.65</f>
        <v>76712.799999999988</v>
      </c>
      <c r="P100" s="81">
        <f>11911.17+23136+18060.17+1977.84+2091.97+19535.65</f>
        <v>76712.799999999988</v>
      </c>
      <c r="Q100" s="12">
        <f t="shared" si="3"/>
        <v>0</v>
      </c>
      <c r="R100" s="141"/>
    </row>
    <row r="101" spans="1:19" s="13" customFormat="1" ht="15.75" x14ac:dyDescent="0.25">
      <c r="A101" s="10"/>
      <c r="B101" s="24" t="s">
        <v>66</v>
      </c>
      <c r="C101" s="1" t="s">
        <v>17</v>
      </c>
      <c r="D101" s="165"/>
      <c r="E101" s="3" t="s">
        <v>21</v>
      </c>
      <c r="F101" s="73" t="s">
        <v>439</v>
      </c>
      <c r="G101" s="11" t="s">
        <v>118</v>
      </c>
      <c r="H101" s="1">
        <v>6</v>
      </c>
      <c r="I101" s="49">
        <v>1</v>
      </c>
      <c r="J101" s="46"/>
      <c r="K101" s="40"/>
      <c r="L101" s="40"/>
      <c r="M101" s="38">
        <f t="shared" si="4"/>
        <v>0</v>
      </c>
      <c r="N101" s="41">
        <v>15</v>
      </c>
      <c r="O101" s="31">
        <v>61492.89</v>
      </c>
      <c r="P101" s="31">
        <v>47417.440000000002</v>
      </c>
      <c r="Q101" s="79">
        <f t="shared" si="3"/>
        <v>14075.449999999997</v>
      </c>
    </row>
    <row r="102" spans="1:19" s="13" customFormat="1" ht="15.75" x14ac:dyDescent="0.25">
      <c r="A102" s="10"/>
      <c r="B102" s="62" t="s">
        <v>137</v>
      </c>
      <c r="C102" s="1" t="s">
        <v>17</v>
      </c>
      <c r="D102" s="165"/>
      <c r="E102" s="17" t="s">
        <v>35</v>
      </c>
      <c r="F102" s="73" t="s">
        <v>369</v>
      </c>
      <c r="G102" s="74" t="s">
        <v>112</v>
      </c>
      <c r="H102" s="75">
        <v>18</v>
      </c>
      <c r="I102" s="76">
        <v>8</v>
      </c>
      <c r="J102" s="96">
        <f>3+3+1</f>
        <v>7</v>
      </c>
      <c r="K102" s="77">
        <f>504.26+845.24+3380.96</f>
        <v>4730.46</v>
      </c>
      <c r="L102" s="77">
        <f>504.26+845.24+3380.96</f>
        <v>4730.46</v>
      </c>
      <c r="M102" s="78">
        <f t="shared" si="4"/>
        <v>0</v>
      </c>
      <c r="N102" s="100">
        <f>5+1+1+2</f>
        <v>9</v>
      </c>
      <c r="O102" s="81">
        <f>2617.36+422.62+3852.18+3380.96</f>
        <v>10273.119999999999</v>
      </c>
      <c r="P102" s="81">
        <f>2617.36+422.62+3852.18+3380.96</f>
        <v>10273.119999999999</v>
      </c>
      <c r="Q102" s="12">
        <f t="shared" si="3"/>
        <v>0</v>
      </c>
      <c r="R102" s="141"/>
    </row>
    <row r="103" spans="1:19" s="13" customFormat="1" ht="15.75" x14ac:dyDescent="0.25">
      <c r="A103" s="10"/>
      <c r="B103" s="22" t="s">
        <v>137</v>
      </c>
      <c r="C103" s="1" t="s">
        <v>17</v>
      </c>
      <c r="D103" s="165"/>
      <c r="E103" s="17" t="s">
        <v>35</v>
      </c>
      <c r="F103" s="73" t="s">
        <v>429</v>
      </c>
      <c r="G103" s="11" t="s">
        <v>117</v>
      </c>
      <c r="H103" s="1">
        <v>2</v>
      </c>
      <c r="I103" s="49">
        <v>1</v>
      </c>
      <c r="J103" s="51">
        <v>1</v>
      </c>
      <c r="K103" s="37">
        <v>1921</v>
      </c>
      <c r="L103" s="37"/>
      <c r="M103" s="78">
        <f t="shared" si="4"/>
        <v>1921</v>
      </c>
      <c r="N103" s="39">
        <v>2</v>
      </c>
      <c r="O103" s="31">
        <v>10565.5</v>
      </c>
      <c r="P103" s="31">
        <v>10565.5</v>
      </c>
      <c r="Q103" s="79">
        <f t="shared" si="3"/>
        <v>0</v>
      </c>
    </row>
    <row r="104" spans="1:19" s="13" customFormat="1" ht="15.75" x14ac:dyDescent="0.25">
      <c r="A104" s="10"/>
      <c r="B104" s="30" t="s">
        <v>67</v>
      </c>
      <c r="C104" s="1" t="s">
        <v>17</v>
      </c>
      <c r="D104" s="165"/>
      <c r="E104" s="17" t="s">
        <v>21</v>
      </c>
      <c r="F104" s="73" t="s">
        <v>370</v>
      </c>
      <c r="G104" s="74" t="s">
        <v>112</v>
      </c>
      <c r="H104" s="75">
        <v>16</v>
      </c>
      <c r="I104" s="76">
        <v>9</v>
      </c>
      <c r="J104" s="96">
        <f>2+1+1+2+1+1+2</f>
        <v>10</v>
      </c>
      <c r="K104" s="77">
        <f>3319.85+1198.9+864.45+7235.32</f>
        <v>12618.52</v>
      </c>
      <c r="L104" s="77">
        <f>3319.85+1198.9+864.45</f>
        <v>5383.2</v>
      </c>
      <c r="M104" s="38">
        <f t="shared" si="4"/>
        <v>7235.3200000000006</v>
      </c>
      <c r="N104" s="100">
        <f>4+9+4+4+1+3+1+3</f>
        <v>29</v>
      </c>
      <c r="O104" s="81">
        <f>29696.65+38129.03+13567.9+20687.05+2022.79+8145.77</f>
        <v>112249.18999999999</v>
      </c>
      <c r="P104" s="81">
        <f>29696.65+38129.03+13567.9+20687.05+2022.79+8145.77</f>
        <v>112249.18999999999</v>
      </c>
      <c r="Q104" s="12">
        <f t="shared" si="3"/>
        <v>0</v>
      </c>
      <c r="R104" s="141"/>
    </row>
    <row r="105" spans="1:19" s="13" customFormat="1" ht="15.75" x14ac:dyDescent="0.25">
      <c r="A105" s="10"/>
      <c r="B105" s="24" t="s">
        <v>67</v>
      </c>
      <c r="C105" s="1" t="s">
        <v>17</v>
      </c>
      <c r="D105" s="165"/>
      <c r="E105" s="17" t="s">
        <v>21</v>
      </c>
      <c r="F105" s="73" t="s">
        <v>440</v>
      </c>
      <c r="G105" s="11" t="s">
        <v>118</v>
      </c>
      <c r="H105" s="1">
        <v>9</v>
      </c>
      <c r="I105" s="49">
        <v>1</v>
      </c>
      <c r="J105" s="46"/>
      <c r="K105" s="40"/>
      <c r="L105" s="40"/>
      <c r="M105" s="78">
        <f t="shared" si="4"/>
        <v>0</v>
      </c>
      <c r="N105" s="41">
        <v>12</v>
      </c>
      <c r="O105" s="31">
        <v>49443.59</v>
      </c>
      <c r="P105" s="31">
        <v>37226.03</v>
      </c>
      <c r="Q105" s="79">
        <f t="shared" si="3"/>
        <v>12217.559999999998</v>
      </c>
    </row>
    <row r="106" spans="1:19" s="13" customFormat="1" ht="15.75" x14ac:dyDescent="0.25">
      <c r="A106" s="10"/>
      <c r="B106" s="30" t="s">
        <v>68</v>
      </c>
      <c r="C106" s="1" t="s">
        <v>17</v>
      </c>
      <c r="D106" s="165"/>
      <c r="E106" s="17" t="s">
        <v>32</v>
      </c>
      <c r="F106" s="73" t="s">
        <v>371</v>
      </c>
      <c r="G106" s="74" t="s">
        <v>112</v>
      </c>
      <c r="H106" s="75">
        <v>14</v>
      </c>
      <c r="I106" s="76">
        <v>5</v>
      </c>
      <c r="J106" s="96">
        <f>2+1+2</f>
        <v>5</v>
      </c>
      <c r="K106" s="77">
        <f>1128.59+422.62+1152.6+4557.81</f>
        <v>7261.6200000000008</v>
      </c>
      <c r="L106" s="77">
        <f>1128.59+422.62+1152.6+4557.81</f>
        <v>7261.6200000000008</v>
      </c>
      <c r="M106" s="38">
        <f t="shared" si="4"/>
        <v>0</v>
      </c>
      <c r="N106" s="100">
        <f>6+5+1+4</f>
        <v>16</v>
      </c>
      <c r="O106" s="81">
        <f>7813.73+8523.5+1452.28+12582.19</f>
        <v>30371.699999999997</v>
      </c>
      <c r="P106" s="81">
        <f>7813.73+8523.5+1452.28+12582.19</f>
        <v>30371.699999999997</v>
      </c>
      <c r="Q106" s="12">
        <f t="shared" si="3"/>
        <v>0</v>
      </c>
      <c r="R106" s="141"/>
    </row>
    <row r="107" spans="1:19" s="13" customFormat="1" ht="15.75" x14ac:dyDescent="0.25">
      <c r="A107" s="10"/>
      <c r="B107" s="24" t="s">
        <v>68</v>
      </c>
      <c r="C107" s="1" t="s">
        <v>17</v>
      </c>
      <c r="D107" s="165"/>
      <c r="E107" s="17" t="s">
        <v>32</v>
      </c>
      <c r="F107" s="73" t="s">
        <v>430</v>
      </c>
      <c r="G107" s="8" t="s">
        <v>117</v>
      </c>
      <c r="H107" s="1">
        <v>1</v>
      </c>
      <c r="I107" s="49"/>
      <c r="J107" s="46"/>
      <c r="K107" s="40"/>
      <c r="L107" s="40"/>
      <c r="M107" s="78">
        <f t="shared" si="4"/>
        <v>0</v>
      </c>
      <c r="N107" s="41"/>
      <c r="O107" s="40"/>
      <c r="P107" s="40"/>
      <c r="Q107" s="79">
        <f t="shared" si="3"/>
        <v>0</v>
      </c>
    </row>
    <row r="108" spans="1:19" s="15" customFormat="1" ht="15.75" x14ac:dyDescent="0.25">
      <c r="A108" s="14"/>
      <c r="B108" s="28" t="s">
        <v>69</v>
      </c>
      <c r="C108" s="1" t="s">
        <v>17</v>
      </c>
      <c r="D108" s="165"/>
      <c r="E108" s="3" t="s">
        <v>20</v>
      </c>
      <c r="F108" s="73" t="s">
        <v>372</v>
      </c>
      <c r="G108" s="74" t="s">
        <v>112</v>
      </c>
      <c r="H108" s="75">
        <v>5</v>
      </c>
      <c r="I108" s="76">
        <v>2</v>
      </c>
      <c r="J108" s="96">
        <f>1+1+1</f>
        <v>3</v>
      </c>
      <c r="K108" s="77">
        <f>422.62+17390.69</f>
        <v>17813.309999999998</v>
      </c>
      <c r="L108" s="77">
        <f>422.62+17390.69</f>
        <v>17813.309999999998</v>
      </c>
      <c r="M108" s="38">
        <f t="shared" si="4"/>
        <v>0</v>
      </c>
      <c r="N108" s="100">
        <f>3+2+1+1+1</f>
        <v>8</v>
      </c>
      <c r="O108" s="77">
        <f>7210.31+3647.96+1306.28+1267.86</f>
        <v>13432.410000000002</v>
      </c>
      <c r="P108" s="77">
        <f>7210.31+3647.96+1306.28+1267.86</f>
        <v>13432.410000000002</v>
      </c>
      <c r="Q108" s="12">
        <f t="shared" si="3"/>
        <v>0</v>
      </c>
      <c r="R108" s="141"/>
    </row>
    <row r="109" spans="1:19" s="15" customFormat="1" ht="15.75" x14ac:dyDescent="0.25">
      <c r="A109" s="14"/>
      <c r="B109" s="170" t="s">
        <v>502</v>
      </c>
      <c r="C109" s="1"/>
      <c r="D109" s="165"/>
      <c r="E109" s="3"/>
      <c r="F109" s="73"/>
      <c r="G109" s="74" t="s">
        <v>112</v>
      </c>
      <c r="H109" s="75">
        <v>2</v>
      </c>
      <c r="I109" s="76"/>
      <c r="J109" s="96"/>
      <c r="K109" s="77"/>
      <c r="L109" s="77"/>
      <c r="M109" s="38"/>
      <c r="N109" s="100"/>
      <c r="O109" s="77"/>
      <c r="P109" s="77"/>
      <c r="Q109" s="12"/>
      <c r="R109" s="141"/>
    </row>
    <row r="110" spans="1:19" s="13" customFormat="1" ht="15.75" x14ac:dyDescent="0.25">
      <c r="A110" s="10"/>
      <c r="B110" s="62" t="s">
        <v>70</v>
      </c>
      <c r="C110" s="1" t="s">
        <v>17</v>
      </c>
      <c r="D110" s="165"/>
      <c r="E110" s="3" t="s">
        <v>20</v>
      </c>
      <c r="F110" s="73" t="s">
        <v>373</v>
      </c>
      <c r="G110" s="74" t="s">
        <v>112</v>
      </c>
      <c r="H110" s="75">
        <v>9</v>
      </c>
      <c r="I110" s="76">
        <v>4</v>
      </c>
      <c r="J110" s="96">
        <f>2+2</f>
        <v>4</v>
      </c>
      <c r="K110" s="77">
        <f>1959.42</f>
        <v>1959.42</v>
      </c>
      <c r="L110" s="77">
        <f>1959.42</f>
        <v>1959.42</v>
      </c>
      <c r="M110" s="78">
        <f t="shared" si="4"/>
        <v>0</v>
      </c>
      <c r="N110" s="100">
        <f>2+3+4+2</f>
        <v>11</v>
      </c>
      <c r="O110" s="81">
        <v>7606.2</v>
      </c>
      <c r="P110" s="81">
        <v>7606.2</v>
      </c>
      <c r="Q110" s="79">
        <f t="shared" si="3"/>
        <v>0</v>
      </c>
      <c r="R110" s="141"/>
    </row>
    <row r="111" spans="1:19" s="13" customFormat="1" ht="15.75" x14ac:dyDescent="0.25">
      <c r="A111" s="10"/>
      <c r="B111" s="22" t="s">
        <v>70</v>
      </c>
      <c r="C111" s="1" t="s">
        <v>17</v>
      </c>
      <c r="D111" s="165"/>
      <c r="E111" s="3" t="s">
        <v>20</v>
      </c>
      <c r="F111" s="73" t="s">
        <v>460</v>
      </c>
      <c r="G111" s="11" t="s">
        <v>114</v>
      </c>
      <c r="H111" s="1">
        <v>25</v>
      </c>
      <c r="I111" s="49">
        <v>1</v>
      </c>
      <c r="J111" s="51">
        <v>1</v>
      </c>
      <c r="K111" s="40">
        <v>1921</v>
      </c>
      <c r="L111" s="40">
        <v>1921</v>
      </c>
      <c r="M111" s="38">
        <f t="shared" si="4"/>
        <v>0</v>
      </c>
      <c r="N111" s="41">
        <v>28</v>
      </c>
      <c r="O111" s="31">
        <v>58683.74</v>
      </c>
      <c r="P111" s="31">
        <v>51960.24</v>
      </c>
      <c r="Q111" s="12">
        <f t="shared" si="3"/>
        <v>6723.5</v>
      </c>
    </row>
    <row r="112" spans="1:19" s="15" customFormat="1" ht="15.75" x14ac:dyDescent="0.25">
      <c r="A112" s="14"/>
      <c r="B112" s="80" t="s">
        <v>71</v>
      </c>
      <c r="C112" s="1" t="s">
        <v>17</v>
      </c>
      <c r="D112" s="165"/>
      <c r="E112" s="3" t="s">
        <v>32</v>
      </c>
      <c r="F112" s="73" t="s">
        <v>374</v>
      </c>
      <c r="G112" s="74" t="s">
        <v>112</v>
      </c>
      <c r="H112" s="75">
        <v>12</v>
      </c>
      <c r="I112" s="76">
        <v>7</v>
      </c>
      <c r="J112" s="96">
        <f>3+1+2+1</f>
        <v>7</v>
      </c>
      <c r="K112" s="77">
        <f>1536.8+461.04+1748.88+633.93</f>
        <v>4380.6500000000005</v>
      </c>
      <c r="L112" s="77">
        <f>1536.8+461.04+1748.88</f>
        <v>3746.7200000000003</v>
      </c>
      <c r="M112" s="78">
        <f t="shared" si="4"/>
        <v>633.93000000000029</v>
      </c>
      <c r="N112" s="100">
        <f>3+2+1+1</f>
        <v>7</v>
      </c>
      <c r="O112" s="81">
        <f>9567.93+3616.67+403.41+14275.52</f>
        <v>27863.53</v>
      </c>
      <c r="P112" s="81">
        <f>9567.93+3616.67+403.41</f>
        <v>13588.01</v>
      </c>
      <c r="Q112" s="79">
        <f t="shared" si="3"/>
        <v>14275.519999999999</v>
      </c>
      <c r="R112" s="141"/>
      <c r="S112" s="36"/>
    </row>
    <row r="113" spans="1:18" s="15" customFormat="1" ht="15.75" x14ac:dyDescent="0.25">
      <c r="A113" s="14"/>
      <c r="B113" s="23" t="s">
        <v>71</v>
      </c>
      <c r="C113" s="1" t="s">
        <v>17</v>
      </c>
      <c r="D113" s="165"/>
      <c r="E113" s="3" t="s">
        <v>32</v>
      </c>
      <c r="F113" s="73" t="s">
        <v>431</v>
      </c>
      <c r="G113" s="11" t="s">
        <v>115</v>
      </c>
      <c r="H113" s="1">
        <v>6</v>
      </c>
      <c r="I113" s="48">
        <v>3</v>
      </c>
      <c r="J113" s="45">
        <v>3</v>
      </c>
      <c r="K113" s="40">
        <v>5570.9</v>
      </c>
      <c r="L113" s="40">
        <v>5570.9</v>
      </c>
      <c r="M113" s="38">
        <f t="shared" si="4"/>
        <v>0</v>
      </c>
      <c r="N113" s="39">
        <f>5</f>
        <v>5</v>
      </c>
      <c r="O113" s="40">
        <v>6595.5</v>
      </c>
      <c r="P113" s="40">
        <v>6595.5</v>
      </c>
      <c r="Q113" s="12">
        <f t="shared" si="3"/>
        <v>0</v>
      </c>
    </row>
    <row r="114" spans="1:18" s="13" customFormat="1" ht="15.75" x14ac:dyDescent="0.25">
      <c r="A114" s="10"/>
      <c r="B114" s="62" t="s">
        <v>319</v>
      </c>
      <c r="C114" s="1" t="s">
        <v>17</v>
      </c>
      <c r="D114" s="165"/>
      <c r="E114" s="3" t="s">
        <v>20</v>
      </c>
      <c r="F114" s="73" t="s">
        <v>375</v>
      </c>
      <c r="G114" s="74" t="s">
        <v>112</v>
      </c>
      <c r="H114" s="75">
        <v>20</v>
      </c>
      <c r="I114" s="76">
        <v>8</v>
      </c>
      <c r="J114" s="96">
        <f>2+1+4+3</f>
        <v>10</v>
      </c>
      <c r="K114" s="77">
        <f>710.77+1523.35+6753.23+7215.52+1437.48</f>
        <v>17640.349999999999</v>
      </c>
      <c r="L114" s="77">
        <f>710.77+1523.35+6753.23+7215.52+1437.48</f>
        <v>17640.349999999999</v>
      </c>
      <c r="M114" s="78">
        <f>K114-L114</f>
        <v>0</v>
      </c>
      <c r="N114" s="100">
        <f>3+1+2+1</f>
        <v>7</v>
      </c>
      <c r="O114" s="77">
        <f>13419.94+726.71+2846.77+3770.56</f>
        <v>20763.980000000003</v>
      </c>
      <c r="P114" s="77">
        <f>13419.94+726.71+2846.77+3770.56</f>
        <v>20763.980000000003</v>
      </c>
      <c r="Q114" s="79">
        <f>O114-P114</f>
        <v>0</v>
      </c>
      <c r="R114" s="141"/>
    </row>
    <row r="115" spans="1:18" s="15" customFormat="1" ht="15.75" x14ac:dyDescent="0.25">
      <c r="A115" s="14"/>
      <c r="B115" s="62" t="s">
        <v>150</v>
      </c>
      <c r="C115" s="1" t="s">
        <v>17</v>
      </c>
      <c r="D115" s="165"/>
      <c r="E115" s="3" t="s">
        <v>35</v>
      </c>
      <c r="F115" s="73" t="s">
        <v>376</v>
      </c>
      <c r="G115" s="74" t="s">
        <v>112</v>
      </c>
      <c r="H115" s="75">
        <v>9</v>
      </c>
      <c r="I115" s="76">
        <v>6</v>
      </c>
      <c r="J115" s="97">
        <f>1+1+2+2</f>
        <v>6</v>
      </c>
      <c r="K115" s="77">
        <f>1343.65+384.2+1690.4</f>
        <v>3418.25</v>
      </c>
      <c r="L115" s="77">
        <f>1343.65+384.2</f>
        <v>1727.8500000000001</v>
      </c>
      <c r="M115" s="78">
        <f t="shared" si="4"/>
        <v>1690.3999999999999</v>
      </c>
      <c r="N115" s="114">
        <f>8+1+1+2+3+1</f>
        <v>16</v>
      </c>
      <c r="O115" s="77">
        <f>5997.32+3719.39+3054.34+13138.17+6578.46</f>
        <v>32487.68</v>
      </c>
      <c r="P115" s="77">
        <f>5997.32+3719.39+3054.34+13138.17</f>
        <v>25909.22</v>
      </c>
      <c r="Q115" s="79">
        <f t="shared" si="3"/>
        <v>6578.4599999999991</v>
      </c>
      <c r="R115" s="141"/>
    </row>
    <row r="116" spans="1:18" s="15" customFormat="1" ht="15.75" x14ac:dyDescent="0.25">
      <c r="A116" s="14"/>
      <c r="B116" s="50" t="s">
        <v>150</v>
      </c>
      <c r="C116" s="1" t="s">
        <v>17</v>
      </c>
      <c r="D116" s="165"/>
      <c r="E116" s="3" t="s">
        <v>32</v>
      </c>
      <c r="F116" s="73" t="s">
        <v>487</v>
      </c>
      <c r="G116" s="11" t="s">
        <v>117</v>
      </c>
      <c r="H116" s="1"/>
      <c r="I116" s="48"/>
      <c r="J116" s="45"/>
      <c r="K116" s="40"/>
      <c r="L116" s="37"/>
      <c r="M116" s="38">
        <f t="shared" si="4"/>
        <v>0</v>
      </c>
      <c r="N116" s="42">
        <v>1</v>
      </c>
      <c r="O116" s="40">
        <v>4226.2</v>
      </c>
      <c r="P116" s="40">
        <v>4226.2</v>
      </c>
      <c r="Q116" s="12">
        <f t="shared" si="3"/>
        <v>0</v>
      </c>
    </row>
    <row r="117" spans="1:18" s="13" customFormat="1" ht="15.75" x14ac:dyDescent="0.25">
      <c r="A117" s="10"/>
      <c r="B117" s="30" t="s">
        <v>72</v>
      </c>
      <c r="C117" s="1" t="s">
        <v>17</v>
      </c>
      <c r="D117" s="165"/>
      <c r="E117" s="3" t="s">
        <v>21</v>
      </c>
      <c r="F117" s="73" t="s">
        <v>377</v>
      </c>
      <c r="G117" s="74" t="s">
        <v>112</v>
      </c>
      <c r="H117" s="75">
        <v>15</v>
      </c>
      <c r="I117" s="76">
        <v>3</v>
      </c>
      <c r="J117" s="96">
        <f>1+1+1+1</f>
        <v>4</v>
      </c>
      <c r="K117" s="77">
        <f>633.93+1415.78+1610.18</f>
        <v>3659.8900000000003</v>
      </c>
      <c r="L117" s="77">
        <f>633.93+1415.78+1610.18</f>
        <v>3659.8900000000003</v>
      </c>
      <c r="M117" s="78">
        <f t="shared" si="4"/>
        <v>0</v>
      </c>
      <c r="N117" s="100">
        <f>1+3+1+1+1+3</f>
        <v>10</v>
      </c>
      <c r="O117" s="81">
        <f>1950.74+10237.13+6595.95+3861.21+1348.53</f>
        <v>23993.559999999998</v>
      </c>
      <c r="P117" s="81">
        <f>1950.74+10237.13+6595.95+3861.21+1348.53</f>
        <v>23993.559999999998</v>
      </c>
      <c r="Q117" s="79">
        <f t="shared" si="3"/>
        <v>0</v>
      </c>
      <c r="R117" s="141"/>
    </row>
    <row r="118" spans="1:18" s="13" customFormat="1" ht="15.75" x14ac:dyDescent="0.25">
      <c r="A118" s="10"/>
      <c r="B118" s="24" t="s">
        <v>72</v>
      </c>
      <c r="C118" s="1" t="s">
        <v>17</v>
      </c>
      <c r="D118" s="165"/>
      <c r="E118" s="3" t="s">
        <v>21</v>
      </c>
      <c r="F118" s="73" t="s">
        <v>441</v>
      </c>
      <c r="G118" s="11" t="s">
        <v>118</v>
      </c>
      <c r="H118" s="1">
        <v>5</v>
      </c>
      <c r="I118" s="49"/>
      <c r="J118" s="46"/>
      <c r="K118" s="40"/>
      <c r="L118" s="40"/>
      <c r="M118" s="38">
        <f t="shared" si="4"/>
        <v>0</v>
      </c>
      <c r="N118" s="41">
        <v>13</v>
      </c>
      <c r="O118" s="31">
        <v>45577.03</v>
      </c>
      <c r="P118" s="31">
        <v>45577.03</v>
      </c>
      <c r="Q118" s="12">
        <f t="shared" si="3"/>
        <v>0</v>
      </c>
    </row>
    <row r="119" spans="1:18" s="15" customFormat="1" ht="15.75" x14ac:dyDescent="0.25">
      <c r="A119" s="14"/>
      <c r="B119" s="84" t="s">
        <v>73</v>
      </c>
      <c r="C119" s="1" t="s">
        <v>17</v>
      </c>
      <c r="D119" s="165"/>
      <c r="E119" s="3" t="s">
        <v>74</v>
      </c>
      <c r="F119" s="73" t="s">
        <v>378</v>
      </c>
      <c r="G119" s="74" t="s">
        <v>112</v>
      </c>
      <c r="H119" s="75">
        <v>17</v>
      </c>
      <c r="I119" s="76">
        <v>15</v>
      </c>
      <c r="J119" s="96">
        <f>9+8+2+2</f>
        <v>21</v>
      </c>
      <c r="K119" s="77">
        <f>6305.33+12574.83</f>
        <v>18880.16</v>
      </c>
      <c r="L119" s="77">
        <f>6305.33</f>
        <v>6305.33</v>
      </c>
      <c r="M119" s="78">
        <f t="shared" si="4"/>
        <v>12574.83</v>
      </c>
      <c r="N119" s="100">
        <f>5+3+3+1</f>
        <v>12</v>
      </c>
      <c r="O119" s="81">
        <f>5416.39+9506.99+12269.39+7610.68</f>
        <v>34803.449999999997</v>
      </c>
      <c r="P119" s="81">
        <f>5416.39+9506.99</f>
        <v>14923.380000000001</v>
      </c>
      <c r="Q119" s="79">
        <f t="shared" si="3"/>
        <v>19880.069999999996</v>
      </c>
      <c r="R119" s="141"/>
    </row>
    <row r="120" spans="1:18" s="15" customFormat="1" ht="15.75" x14ac:dyDescent="0.25">
      <c r="A120" s="14"/>
      <c r="B120" s="29" t="s">
        <v>73</v>
      </c>
      <c r="C120" s="1" t="s">
        <v>17</v>
      </c>
      <c r="D120" s="165"/>
      <c r="E120" s="3" t="s">
        <v>74</v>
      </c>
      <c r="F120" s="73" t="s">
        <v>282</v>
      </c>
      <c r="G120" s="11" t="s">
        <v>114</v>
      </c>
      <c r="H120" s="1"/>
      <c r="I120" s="49"/>
      <c r="J120" s="51"/>
      <c r="K120" s="40"/>
      <c r="L120" s="40"/>
      <c r="M120" s="38">
        <f t="shared" si="4"/>
        <v>0</v>
      </c>
      <c r="N120" s="42">
        <v>1</v>
      </c>
      <c r="O120" s="31">
        <v>19379.400000000001</v>
      </c>
      <c r="P120" s="31">
        <v>19379.400000000001</v>
      </c>
      <c r="Q120" s="12">
        <f t="shared" si="3"/>
        <v>0</v>
      </c>
    </row>
    <row r="121" spans="1:18" s="13" customFormat="1" ht="15.75" x14ac:dyDescent="0.25">
      <c r="A121" s="10"/>
      <c r="B121" s="30" t="s">
        <v>135</v>
      </c>
      <c r="C121" s="1" t="s">
        <v>17</v>
      </c>
      <c r="D121" s="165"/>
      <c r="E121" s="17" t="s">
        <v>35</v>
      </c>
      <c r="F121" s="73" t="s">
        <v>379</v>
      </c>
      <c r="G121" s="74" t="s">
        <v>112</v>
      </c>
      <c r="H121" s="75">
        <v>17</v>
      </c>
      <c r="I121" s="76">
        <v>11</v>
      </c>
      <c r="J121" s="96">
        <f>1+6+5</f>
        <v>12</v>
      </c>
      <c r="K121" s="77">
        <f>697.32+4374.12</f>
        <v>5071.4399999999996</v>
      </c>
      <c r="L121" s="77">
        <f>697.32+4374.12</f>
        <v>5071.4399999999996</v>
      </c>
      <c r="M121" s="38">
        <f t="shared" si="4"/>
        <v>0</v>
      </c>
      <c r="N121" s="100">
        <f>2+5+1+2+2+2</f>
        <v>14</v>
      </c>
      <c r="O121" s="81">
        <f>6432.89+2283.68</f>
        <v>8716.57</v>
      </c>
      <c r="P121" s="81">
        <f>6432.89+2283.68</f>
        <v>8716.57</v>
      </c>
      <c r="Q121" s="12">
        <f t="shared" si="3"/>
        <v>0</v>
      </c>
      <c r="R121" s="141"/>
    </row>
    <row r="122" spans="1:18" s="13" customFormat="1" ht="15.75" x14ac:dyDescent="0.25">
      <c r="A122" s="10"/>
      <c r="B122" s="24" t="s">
        <v>135</v>
      </c>
      <c r="C122" s="1" t="s">
        <v>17</v>
      </c>
      <c r="D122" s="165"/>
      <c r="E122" s="17" t="s">
        <v>35</v>
      </c>
      <c r="F122" s="73" t="s">
        <v>432</v>
      </c>
      <c r="G122" s="11" t="s">
        <v>115</v>
      </c>
      <c r="H122" s="1"/>
      <c r="I122" s="49"/>
      <c r="J122" s="46"/>
      <c r="K122" s="40"/>
      <c r="L122" s="40"/>
      <c r="M122" s="78">
        <f t="shared" si="4"/>
        <v>0</v>
      </c>
      <c r="N122" s="41">
        <v>1</v>
      </c>
      <c r="O122" s="31">
        <v>2689.4</v>
      </c>
      <c r="P122" s="31">
        <v>2689.4</v>
      </c>
      <c r="Q122" s="79">
        <f t="shared" si="3"/>
        <v>0</v>
      </c>
    </row>
    <row r="123" spans="1:18" s="13" customFormat="1" ht="15.75" x14ac:dyDescent="0.25">
      <c r="A123" s="10"/>
      <c r="B123" s="30" t="s">
        <v>145</v>
      </c>
      <c r="C123" s="1" t="s">
        <v>17</v>
      </c>
      <c r="D123" s="165"/>
      <c r="E123" s="17" t="s">
        <v>20</v>
      </c>
      <c r="F123" s="73" t="s">
        <v>380</v>
      </c>
      <c r="G123" s="74" t="s">
        <v>112</v>
      </c>
      <c r="H123" s="75">
        <v>4</v>
      </c>
      <c r="I123" s="82">
        <v>3</v>
      </c>
      <c r="J123" s="96">
        <f>2+1+1</f>
        <v>4</v>
      </c>
      <c r="K123" s="77">
        <f>5169.72+1100+538.84+4293.82</f>
        <v>11102.380000000001</v>
      </c>
      <c r="L123" s="77">
        <f>5169.72+1100+538.84</f>
        <v>6808.56</v>
      </c>
      <c r="M123" s="38">
        <f t="shared" si="4"/>
        <v>4293.8200000000006</v>
      </c>
      <c r="N123" s="100">
        <f>1+1+2+1</f>
        <v>5</v>
      </c>
      <c r="O123" s="81">
        <f>5120.23+3915.15+1114.12</f>
        <v>10149.5</v>
      </c>
      <c r="P123" s="81">
        <f>5120.23+3915.15+1114.12</f>
        <v>10149.5</v>
      </c>
      <c r="Q123" s="12">
        <f t="shared" si="3"/>
        <v>0</v>
      </c>
      <c r="R123" s="141"/>
    </row>
    <row r="124" spans="1:18" s="13" customFormat="1" ht="15.75" x14ac:dyDescent="0.25">
      <c r="A124" s="10"/>
      <c r="B124" s="24" t="s">
        <v>145</v>
      </c>
      <c r="C124" s="1" t="s">
        <v>17</v>
      </c>
      <c r="D124" s="165"/>
      <c r="E124" s="17" t="s">
        <v>20</v>
      </c>
      <c r="F124" s="73" t="s">
        <v>461</v>
      </c>
      <c r="G124" s="11" t="s">
        <v>114</v>
      </c>
      <c r="H124" s="1">
        <v>2</v>
      </c>
      <c r="I124" s="49"/>
      <c r="J124" s="51"/>
      <c r="K124" s="40"/>
      <c r="L124" s="40"/>
      <c r="M124" s="78">
        <f t="shared" si="4"/>
        <v>0</v>
      </c>
      <c r="N124" s="41">
        <v>9</v>
      </c>
      <c r="O124" s="31">
        <v>19379.400000000001</v>
      </c>
      <c r="P124" s="31">
        <v>19379.400000000001</v>
      </c>
      <c r="Q124" s="12">
        <f t="shared" si="3"/>
        <v>0</v>
      </c>
    </row>
    <row r="125" spans="1:18" s="13" customFormat="1" ht="15.75" x14ac:dyDescent="0.25">
      <c r="A125" s="10"/>
      <c r="B125" s="62" t="s">
        <v>76</v>
      </c>
      <c r="C125" s="1" t="s">
        <v>17</v>
      </c>
      <c r="D125" s="165"/>
      <c r="E125" s="3" t="s">
        <v>20</v>
      </c>
      <c r="F125" s="73" t="s">
        <v>381</v>
      </c>
      <c r="G125" s="74" t="s">
        <v>112</v>
      </c>
      <c r="H125" s="75">
        <v>17</v>
      </c>
      <c r="I125" s="76">
        <v>12</v>
      </c>
      <c r="J125" s="96">
        <f>1+6+3+1+3+1</f>
        <v>15</v>
      </c>
      <c r="K125" s="77">
        <f>6556.06+2806.39+2697.06+1267.86+11775.51</f>
        <v>25102.880000000001</v>
      </c>
      <c r="L125" s="77">
        <f>6556.06+2806.39+2697.06+1267.86</f>
        <v>13327.37</v>
      </c>
      <c r="M125" s="38">
        <f t="shared" si="4"/>
        <v>11775.51</v>
      </c>
      <c r="N125" s="100">
        <f>5+6+2+1</f>
        <v>14</v>
      </c>
      <c r="O125" s="81">
        <f>11527.9+19846.52+1011.91+9641+2451.87+10072.83</f>
        <v>54552.030000000006</v>
      </c>
      <c r="P125" s="81">
        <f>11527.9+19846.52+1011.91+9641+2451.87</f>
        <v>44479.200000000004</v>
      </c>
      <c r="Q125" s="12">
        <f t="shared" si="3"/>
        <v>10072.830000000002</v>
      </c>
      <c r="R125" s="141"/>
    </row>
    <row r="126" spans="1:18" s="13" customFormat="1" ht="15.75" x14ac:dyDescent="0.25">
      <c r="A126" s="10"/>
      <c r="B126" s="22" t="s">
        <v>76</v>
      </c>
      <c r="C126" s="1" t="s">
        <v>17</v>
      </c>
      <c r="D126" s="165"/>
      <c r="E126" s="3" t="s">
        <v>20</v>
      </c>
      <c r="F126" s="73" t="s">
        <v>462</v>
      </c>
      <c r="G126" s="11" t="s">
        <v>114</v>
      </c>
      <c r="H126" s="1">
        <v>8</v>
      </c>
      <c r="I126" s="49">
        <v>1</v>
      </c>
      <c r="J126" s="51">
        <v>1</v>
      </c>
      <c r="K126" s="40"/>
      <c r="L126" s="40"/>
      <c r="M126" s="78">
        <f t="shared" si="4"/>
        <v>0</v>
      </c>
      <c r="N126" s="41">
        <v>8</v>
      </c>
      <c r="O126" s="31">
        <v>27398.29</v>
      </c>
      <c r="P126" s="31">
        <v>27398.29</v>
      </c>
      <c r="Q126" s="12">
        <f t="shared" si="3"/>
        <v>0</v>
      </c>
    </row>
    <row r="127" spans="1:18" s="13" customFormat="1" ht="15.75" x14ac:dyDescent="0.25">
      <c r="A127" s="10"/>
      <c r="B127" s="30" t="s">
        <v>77</v>
      </c>
      <c r="C127" s="1" t="s">
        <v>17</v>
      </c>
      <c r="D127" s="165"/>
      <c r="E127" s="3" t="s">
        <v>32</v>
      </c>
      <c r="F127" s="73" t="s">
        <v>388</v>
      </c>
      <c r="G127" s="74" t="s">
        <v>112</v>
      </c>
      <c r="H127" s="75">
        <v>10</v>
      </c>
      <c r="I127" s="76">
        <v>5</v>
      </c>
      <c r="J127" s="96">
        <f>2+2+2</f>
        <v>6</v>
      </c>
      <c r="K127" s="77">
        <f>2440.63+1507.02+2101.48</f>
        <v>6049.13</v>
      </c>
      <c r="L127" s="77">
        <f>2440.63+1507.02</f>
        <v>3947.65</v>
      </c>
      <c r="M127" s="38">
        <f t="shared" si="4"/>
        <v>2101.48</v>
      </c>
      <c r="N127" s="100">
        <f>5+2+3+3+1</f>
        <v>14</v>
      </c>
      <c r="O127" s="81">
        <f>11716.73+6848.82+4046.18+11166.34+8845.95</f>
        <v>42624.020000000004</v>
      </c>
      <c r="P127" s="81">
        <f>11716.73+6848.82+4046.18+11166.34+8845.95</f>
        <v>42624.020000000004</v>
      </c>
      <c r="Q127" s="12">
        <f t="shared" si="3"/>
        <v>0</v>
      </c>
      <c r="R127" s="141"/>
    </row>
    <row r="128" spans="1:18" s="13" customFormat="1" ht="15.75" x14ac:dyDescent="0.25">
      <c r="A128" s="10"/>
      <c r="B128" s="24" t="s">
        <v>77</v>
      </c>
      <c r="C128" s="1" t="s">
        <v>17</v>
      </c>
      <c r="D128" s="165"/>
      <c r="E128" s="3" t="s">
        <v>32</v>
      </c>
      <c r="F128" s="73" t="s">
        <v>433</v>
      </c>
      <c r="G128" s="11" t="s">
        <v>117</v>
      </c>
      <c r="H128" s="1">
        <v>1</v>
      </c>
      <c r="I128" s="49"/>
      <c r="J128" s="46"/>
      <c r="K128" s="40">
        <v>1921</v>
      </c>
      <c r="L128" s="40">
        <v>1212.47</v>
      </c>
      <c r="M128" s="78">
        <f t="shared" si="4"/>
        <v>708.53</v>
      </c>
      <c r="N128" s="41">
        <v>6</v>
      </c>
      <c r="O128" s="31">
        <v>18164.11</v>
      </c>
      <c r="P128" s="31">
        <v>15666.81</v>
      </c>
      <c r="Q128" s="79">
        <f t="shared" si="3"/>
        <v>2497.3000000000011</v>
      </c>
    </row>
    <row r="129" spans="1:18" s="13" customFormat="1" ht="15.75" x14ac:dyDescent="0.25">
      <c r="A129" s="10"/>
      <c r="B129" s="24" t="s">
        <v>321</v>
      </c>
      <c r="C129" s="1" t="s">
        <v>17</v>
      </c>
      <c r="D129" s="165"/>
      <c r="E129" s="3" t="s">
        <v>21</v>
      </c>
      <c r="F129" s="73" t="s">
        <v>489</v>
      </c>
      <c r="G129" s="11" t="s">
        <v>112</v>
      </c>
      <c r="H129" s="1">
        <v>3</v>
      </c>
      <c r="I129" s="49"/>
      <c r="J129" s="46"/>
      <c r="K129" s="40"/>
      <c r="L129" s="40"/>
      <c r="M129" s="78"/>
      <c r="N129" s="41"/>
      <c r="O129" s="31"/>
      <c r="P129" s="31"/>
      <c r="Q129" s="79"/>
      <c r="R129" s="141"/>
    </row>
    <row r="130" spans="1:18" s="13" customFormat="1" ht="31.5" x14ac:dyDescent="0.25">
      <c r="A130" s="10"/>
      <c r="B130" s="62" t="s">
        <v>79</v>
      </c>
      <c r="C130" s="1" t="s">
        <v>304</v>
      </c>
      <c r="D130" s="165" t="s">
        <v>385</v>
      </c>
      <c r="E130" s="3" t="s">
        <v>18</v>
      </c>
      <c r="F130" s="73" t="s">
        <v>389</v>
      </c>
      <c r="G130" s="74" t="s">
        <v>112</v>
      </c>
      <c r="H130" s="75">
        <v>11</v>
      </c>
      <c r="I130" s="76">
        <v>7</v>
      </c>
      <c r="J130" s="96">
        <f>2+5+2</f>
        <v>9</v>
      </c>
      <c r="K130" s="77">
        <f>2091.97+3190.2+5703.08</f>
        <v>10985.25</v>
      </c>
      <c r="L130" s="77">
        <f>2091.97+3190.2</f>
        <v>5282.17</v>
      </c>
      <c r="M130" s="38">
        <f t="shared" si="4"/>
        <v>5703.08</v>
      </c>
      <c r="N130" s="100">
        <f>2+2+1+2+1</f>
        <v>8</v>
      </c>
      <c r="O130" s="81">
        <f>1547.4+4166.12+7835.61+1675.01+4717.63+6039.62</f>
        <v>25981.39</v>
      </c>
      <c r="P130" s="81">
        <f>1547.4+4166.12+7835.61+1675.01+4717.63</f>
        <v>19941.77</v>
      </c>
      <c r="Q130" s="12">
        <f t="shared" si="3"/>
        <v>6039.619999999999</v>
      </c>
      <c r="R130" s="141"/>
    </row>
    <row r="131" spans="1:18" s="13" customFormat="1" ht="31.5" x14ac:dyDescent="0.25">
      <c r="A131" s="10"/>
      <c r="B131" s="22" t="s">
        <v>79</v>
      </c>
      <c r="C131" s="1" t="s">
        <v>304</v>
      </c>
      <c r="D131" s="165" t="s">
        <v>475</v>
      </c>
      <c r="E131" s="3" t="s">
        <v>18</v>
      </c>
      <c r="F131" s="73" t="s">
        <v>329</v>
      </c>
      <c r="G131" s="11" t="s">
        <v>113</v>
      </c>
      <c r="H131" s="1">
        <v>31</v>
      </c>
      <c r="I131" s="53">
        <v>10</v>
      </c>
      <c r="J131" s="127">
        <v>10</v>
      </c>
      <c r="K131" s="31">
        <v>14299</v>
      </c>
      <c r="L131" s="31">
        <v>14299</v>
      </c>
      <c r="M131" s="78">
        <f t="shared" si="4"/>
        <v>0</v>
      </c>
      <c r="N131" s="41">
        <v>10</v>
      </c>
      <c r="O131" s="31">
        <v>39340</v>
      </c>
      <c r="P131" s="31">
        <v>39340</v>
      </c>
      <c r="Q131" s="79">
        <f t="shared" si="3"/>
        <v>0</v>
      </c>
    </row>
    <row r="132" spans="1:18" s="13" customFormat="1" ht="15.75" x14ac:dyDescent="0.25">
      <c r="A132" s="10"/>
      <c r="B132" s="62" t="s">
        <v>151</v>
      </c>
      <c r="C132" s="1" t="s">
        <v>17</v>
      </c>
      <c r="D132" s="165"/>
      <c r="E132" s="3" t="s">
        <v>32</v>
      </c>
      <c r="F132" s="73" t="s">
        <v>390</v>
      </c>
      <c r="G132" s="74" t="s">
        <v>112</v>
      </c>
      <c r="H132" s="75">
        <v>32</v>
      </c>
      <c r="I132" s="82">
        <v>15</v>
      </c>
      <c r="J132" s="96">
        <f>1+3+3+5+3</f>
        <v>15</v>
      </c>
      <c r="K132" s="81">
        <f>2317+4640.19+5864.19+10765</f>
        <v>23586.379999999997</v>
      </c>
      <c r="L132" s="81">
        <f>2317+4640.19+5864.19</f>
        <v>12821.38</v>
      </c>
      <c r="M132" s="38">
        <f t="shared" si="4"/>
        <v>10764.999999999998</v>
      </c>
      <c r="N132" s="100">
        <f>9+3+5+1+4</f>
        <v>22</v>
      </c>
      <c r="O132" s="81">
        <f>10726.94+18822.65+5703.53+12846.53+1320.36+4050.1</f>
        <v>53470.11</v>
      </c>
      <c r="P132" s="81">
        <f>10726.94+18822.65+5703.53+12846.53+1320.36</f>
        <v>49420.01</v>
      </c>
      <c r="Q132" s="12">
        <f t="shared" si="3"/>
        <v>4050.0999999999985</v>
      </c>
      <c r="R132" s="141"/>
    </row>
    <row r="133" spans="1:18" s="13" customFormat="1" ht="15.75" x14ac:dyDescent="0.25">
      <c r="A133" s="10"/>
      <c r="B133" s="22" t="s">
        <v>151</v>
      </c>
      <c r="C133" s="1" t="s">
        <v>17</v>
      </c>
      <c r="D133" s="165"/>
      <c r="E133" s="3" t="s">
        <v>32</v>
      </c>
      <c r="F133" s="73" t="s">
        <v>434</v>
      </c>
      <c r="G133" s="11" t="s">
        <v>117</v>
      </c>
      <c r="H133" s="1">
        <v>6</v>
      </c>
      <c r="I133" s="49"/>
      <c r="J133" s="46"/>
      <c r="K133" s="40"/>
      <c r="L133" s="40"/>
      <c r="M133" s="78">
        <f t="shared" si="4"/>
        <v>0</v>
      </c>
      <c r="N133" s="41">
        <v>12</v>
      </c>
      <c r="O133" s="31">
        <v>22129.3</v>
      </c>
      <c r="P133" s="31">
        <v>22129.3</v>
      </c>
      <c r="Q133" s="79">
        <f t="shared" si="3"/>
        <v>0</v>
      </c>
    </row>
    <row r="134" spans="1:18" s="13" customFormat="1" ht="15.75" x14ac:dyDescent="0.25">
      <c r="A134" s="10"/>
      <c r="B134" s="62" t="s">
        <v>80</v>
      </c>
      <c r="C134" s="1" t="s">
        <v>17</v>
      </c>
      <c r="D134" s="165"/>
      <c r="E134" s="3" t="s">
        <v>81</v>
      </c>
      <c r="F134" s="73" t="s">
        <v>417</v>
      </c>
      <c r="G134" s="74" t="s">
        <v>112</v>
      </c>
      <c r="H134" s="75"/>
      <c r="I134" s="76"/>
      <c r="J134" s="96"/>
      <c r="K134" s="77"/>
      <c r="L134" s="77"/>
      <c r="M134" s="38">
        <f t="shared" si="4"/>
        <v>0</v>
      </c>
      <c r="N134" s="100">
        <f>2+2</f>
        <v>4</v>
      </c>
      <c r="O134" s="81">
        <f>3040.94</f>
        <v>3040.94</v>
      </c>
      <c r="P134" s="81">
        <f>3040.94</f>
        <v>3040.94</v>
      </c>
      <c r="Q134" s="12">
        <f t="shared" si="3"/>
        <v>0</v>
      </c>
      <c r="R134" s="141"/>
    </row>
    <row r="135" spans="1:18" s="13" customFormat="1" ht="15.75" x14ac:dyDescent="0.25">
      <c r="A135" s="10"/>
      <c r="B135" s="22" t="s">
        <v>80</v>
      </c>
      <c r="C135" s="1" t="s">
        <v>17</v>
      </c>
      <c r="D135" s="165"/>
      <c r="E135" s="3" t="s">
        <v>81</v>
      </c>
      <c r="F135" s="73" t="s">
        <v>285</v>
      </c>
      <c r="G135" s="11" t="s">
        <v>114</v>
      </c>
      <c r="H135" s="1"/>
      <c r="I135" s="49"/>
      <c r="J135" s="51"/>
      <c r="K135" s="40">
        <v>2113.1</v>
      </c>
      <c r="L135" s="40">
        <v>2113.1</v>
      </c>
      <c r="M135" s="78">
        <f t="shared" si="4"/>
        <v>0</v>
      </c>
      <c r="N135" s="41">
        <v>22</v>
      </c>
      <c r="O135" s="31">
        <v>44542.14</v>
      </c>
      <c r="P135" s="31">
        <v>34896.06</v>
      </c>
      <c r="Q135" s="12">
        <f t="shared" si="3"/>
        <v>9646.0800000000017</v>
      </c>
    </row>
    <row r="136" spans="1:18" s="13" customFormat="1" ht="15.75" x14ac:dyDescent="0.25">
      <c r="A136" s="10"/>
      <c r="B136" s="30" t="s">
        <v>82</v>
      </c>
      <c r="C136" s="1" t="s">
        <v>17</v>
      </c>
      <c r="D136" s="165"/>
      <c r="E136" s="3" t="s">
        <v>20</v>
      </c>
      <c r="F136" s="73" t="s">
        <v>394</v>
      </c>
      <c r="G136" s="74" t="s">
        <v>112</v>
      </c>
      <c r="H136" s="75">
        <v>7</v>
      </c>
      <c r="I136" s="76">
        <v>4</v>
      </c>
      <c r="J136" s="96">
        <f>4</f>
        <v>4</v>
      </c>
      <c r="K136" s="77">
        <f>7750.47</f>
        <v>7750.47</v>
      </c>
      <c r="L136" s="77"/>
      <c r="M136" s="38">
        <f t="shared" si="4"/>
        <v>7750.47</v>
      </c>
      <c r="N136" s="100">
        <f>3+5+1</f>
        <v>9</v>
      </c>
      <c r="O136" s="81">
        <f>5975.84+23579.15+1426.34</f>
        <v>30981.33</v>
      </c>
      <c r="P136" s="81">
        <f>5975.84+23579.15</f>
        <v>29554.99</v>
      </c>
      <c r="Q136" s="12">
        <f t="shared" si="3"/>
        <v>1426.3400000000001</v>
      </c>
      <c r="R136" s="141"/>
    </row>
    <row r="137" spans="1:18" s="13" customFormat="1" ht="15.75" x14ac:dyDescent="0.25">
      <c r="A137" s="10"/>
      <c r="B137" s="24" t="s">
        <v>82</v>
      </c>
      <c r="C137" s="1" t="s">
        <v>17</v>
      </c>
      <c r="D137" s="165"/>
      <c r="E137" s="3" t="s">
        <v>20</v>
      </c>
      <c r="F137" s="73" t="s">
        <v>463</v>
      </c>
      <c r="G137" s="11" t="s">
        <v>114</v>
      </c>
      <c r="H137" s="1">
        <v>15</v>
      </c>
      <c r="I137" s="49"/>
      <c r="J137" s="51"/>
      <c r="K137" s="40"/>
      <c r="L137" s="40"/>
      <c r="M137" s="78">
        <f t="shared" si="4"/>
        <v>0</v>
      </c>
      <c r="N137" s="41">
        <v>7</v>
      </c>
      <c r="O137" s="31">
        <v>27105.51</v>
      </c>
      <c r="P137" s="31">
        <v>20554.900000000001</v>
      </c>
      <c r="Q137" s="12">
        <f t="shared" si="3"/>
        <v>6550.6099999999969</v>
      </c>
    </row>
    <row r="138" spans="1:18" s="13" customFormat="1" ht="15.75" x14ac:dyDescent="0.25">
      <c r="A138" s="10"/>
      <c r="B138" s="24" t="s">
        <v>309</v>
      </c>
      <c r="C138" s="1"/>
      <c r="D138" s="165"/>
      <c r="E138" s="3" t="s">
        <v>20</v>
      </c>
      <c r="F138" s="73" t="s">
        <v>391</v>
      </c>
      <c r="G138" s="11" t="s">
        <v>112</v>
      </c>
      <c r="H138" s="1">
        <v>10</v>
      </c>
      <c r="I138" s="58">
        <v>5</v>
      </c>
      <c r="J138" s="51">
        <f>1+5</f>
        <v>6</v>
      </c>
      <c r="K138" s="40">
        <f>3606.1</f>
        <v>3606.1</v>
      </c>
      <c r="L138" s="40">
        <f>3606.1</f>
        <v>3606.1</v>
      </c>
      <c r="M138" s="38">
        <f t="shared" si="4"/>
        <v>0</v>
      </c>
      <c r="N138" s="41">
        <f>1+5+1+3</f>
        <v>10</v>
      </c>
      <c r="O138" s="31">
        <f>3088.97+13147.65+1267.86</f>
        <v>17504.48</v>
      </c>
      <c r="P138" s="31">
        <f>3088.97+13147.65+1267.86</f>
        <v>17504.48</v>
      </c>
      <c r="Q138" s="12">
        <f t="shared" si="3"/>
        <v>0</v>
      </c>
      <c r="R138" s="141"/>
    </row>
    <row r="139" spans="1:18" s="13" customFormat="1" ht="15.75" x14ac:dyDescent="0.25">
      <c r="A139" s="10"/>
      <c r="B139" s="30" t="s">
        <v>152</v>
      </c>
      <c r="C139" s="1" t="s">
        <v>17</v>
      </c>
      <c r="D139" s="165"/>
      <c r="E139" s="3" t="s">
        <v>35</v>
      </c>
      <c r="F139" s="73" t="s">
        <v>392</v>
      </c>
      <c r="G139" s="74" t="s">
        <v>112</v>
      </c>
      <c r="H139" s="75">
        <v>7</v>
      </c>
      <c r="I139" s="76">
        <v>5</v>
      </c>
      <c r="J139" s="96">
        <f>1+1+2+1</f>
        <v>5</v>
      </c>
      <c r="K139" s="77">
        <f>403.41+845.24</f>
        <v>1248.6500000000001</v>
      </c>
      <c r="L139" s="77">
        <f>403.41+845.24</f>
        <v>1248.6500000000001</v>
      </c>
      <c r="M139" s="38">
        <f t="shared" si="4"/>
        <v>0</v>
      </c>
      <c r="N139" s="100">
        <f>2+2+2+1+1</f>
        <v>8</v>
      </c>
      <c r="O139" s="81">
        <f>1690.48+3050.26+3661.61+4648.82+1267.86+1690.48+9282.42</f>
        <v>25291.93</v>
      </c>
      <c r="P139" s="81">
        <f>1690.48+3050.26+3661.61+4648.82+1267.86+1690.48+9282.42</f>
        <v>25291.93</v>
      </c>
      <c r="Q139" s="12">
        <f t="shared" si="3"/>
        <v>0</v>
      </c>
      <c r="R139" s="141"/>
    </row>
    <row r="140" spans="1:18" s="13" customFormat="1" ht="15.75" x14ac:dyDescent="0.25">
      <c r="A140" s="10"/>
      <c r="B140" s="24" t="s">
        <v>152</v>
      </c>
      <c r="C140" s="1" t="s">
        <v>17</v>
      </c>
      <c r="D140" s="165"/>
      <c r="E140" s="3" t="s">
        <v>32</v>
      </c>
      <c r="F140" s="73"/>
      <c r="G140" s="11" t="s">
        <v>117</v>
      </c>
      <c r="H140" s="1"/>
      <c r="I140" s="49"/>
      <c r="J140" s="46"/>
      <c r="K140" s="40"/>
      <c r="L140" s="40"/>
      <c r="M140" s="78">
        <f t="shared" si="4"/>
        <v>0</v>
      </c>
      <c r="N140" s="41"/>
      <c r="O140" s="31"/>
      <c r="P140" s="31"/>
      <c r="Q140" s="79">
        <f t="shared" si="3"/>
        <v>0</v>
      </c>
    </row>
    <row r="141" spans="1:18" s="13" customFormat="1" ht="15.75" x14ac:dyDescent="0.25">
      <c r="A141" s="10"/>
      <c r="B141" s="30" t="s">
        <v>83</v>
      </c>
      <c r="C141" s="1" t="s">
        <v>17</v>
      </c>
      <c r="D141" s="165"/>
      <c r="E141" s="3" t="s">
        <v>20</v>
      </c>
      <c r="F141" s="73" t="s">
        <v>393</v>
      </c>
      <c r="G141" s="74" t="s">
        <v>112</v>
      </c>
      <c r="H141" s="75">
        <v>12</v>
      </c>
      <c r="I141" s="76">
        <v>5</v>
      </c>
      <c r="J141" s="96">
        <f>1+1+2+1+1</f>
        <v>6</v>
      </c>
      <c r="K141" s="77">
        <f>768.4+2535.72+845.24</f>
        <v>4149.3599999999997</v>
      </c>
      <c r="L141" s="77">
        <f>768.4+2535.72</f>
        <v>3304.12</v>
      </c>
      <c r="M141" s="38">
        <f t="shared" si="4"/>
        <v>845.23999999999978</v>
      </c>
      <c r="N141" s="100">
        <f>1+2+1+1</f>
        <v>5</v>
      </c>
      <c r="O141" s="81">
        <f>5837.09+1922.92+4288.54</f>
        <v>12048.55</v>
      </c>
      <c r="P141" s="81">
        <f>5837.09+1922.92</f>
        <v>7760.01</v>
      </c>
      <c r="Q141" s="12">
        <f t="shared" si="3"/>
        <v>4288.5399999999991</v>
      </c>
      <c r="R141" s="141"/>
    </row>
    <row r="142" spans="1:18" s="13" customFormat="1" ht="15.75" x14ac:dyDescent="0.25">
      <c r="A142" s="10"/>
      <c r="B142" s="24" t="s">
        <v>83</v>
      </c>
      <c r="C142" s="1" t="s">
        <v>17</v>
      </c>
      <c r="D142" s="165"/>
      <c r="E142" s="3" t="s">
        <v>20</v>
      </c>
      <c r="F142" s="73" t="s">
        <v>464</v>
      </c>
      <c r="G142" s="11" t="s">
        <v>114</v>
      </c>
      <c r="H142" s="1">
        <v>12</v>
      </c>
      <c r="I142" s="49">
        <v>3</v>
      </c>
      <c r="J142" s="51">
        <v>3</v>
      </c>
      <c r="K142" s="40">
        <v>5494.06</v>
      </c>
      <c r="L142" s="40">
        <v>5494.06</v>
      </c>
      <c r="M142" s="78">
        <f t="shared" si="4"/>
        <v>0</v>
      </c>
      <c r="N142" s="41">
        <v>24</v>
      </c>
      <c r="O142" s="31">
        <v>77239.070000000007</v>
      </c>
      <c r="P142" s="31">
        <v>72167.63</v>
      </c>
      <c r="Q142" s="12">
        <f t="shared" si="3"/>
        <v>5071.4400000000023</v>
      </c>
    </row>
    <row r="143" spans="1:18" s="13" customFormat="1" ht="15.75" x14ac:dyDescent="0.25">
      <c r="A143" s="10"/>
      <c r="B143" s="24" t="s">
        <v>310</v>
      </c>
      <c r="C143" s="1"/>
      <c r="D143" s="165"/>
      <c r="E143" s="3" t="s">
        <v>20</v>
      </c>
      <c r="F143" s="73"/>
      <c r="G143" s="11" t="s">
        <v>114</v>
      </c>
      <c r="H143" s="1"/>
      <c r="I143" s="49"/>
      <c r="J143" s="51"/>
      <c r="K143" s="40"/>
      <c r="L143" s="40"/>
      <c r="M143" s="78"/>
      <c r="N143" s="41"/>
      <c r="O143" s="31"/>
      <c r="P143" s="31"/>
      <c r="Q143" s="12">
        <f t="shared" si="3"/>
        <v>0</v>
      </c>
    </row>
    <row r="144" spans="1:18" s="13" customFormat="1" ht="15.75" x14ac:dyDescent="0.25">
      <c r="A144" s="10"/>
      <c r="B144" s="30" t="s">
        <v>84</v>
      </c>
      <c r="C144" s="1"/>
      <c r="D144" s="165"/>
      <c r="E144" s="3" t="s">
        <v>20</v>
      </c>
      <c r="F144" s="73" t="s">
        <v>287</v>
      </c>
      <c r="G144" s="11" t="s">
        <v>114</v>
      </c>
      <c r="H144" s="1"/>
      <c r="I144" s="49"/>
      <c r="J144" s="51"/>
      <c r="K144" s="40"/>
      <c r="L144" s="40"/>
      <c r="M144" s="38">
        <f t="shared" si="4"/>
        <v>0</v>
      </c>
      <c r="N144" s="41"/>
      <c r="O144" s="31"/>
      <c r="P144" s="31"/>
      <c r="Q144" s="12">
        <f t="shared" si="3"/>
        <v>0</v>
      </c>
    </row>
    <row r="145" spans="1:18" s="13" customFormat="1" ht="47.25" x14ac:dyDescent="0.25">
      <c r="A145" s="10"/>
      <c r="B145" s="30" t="s">
        <v>85</v>
      </c>
      <c r="C145" s="1" t="s">
        <v>304</v>
      </c>
      <c r="D145" s="165" t="s">
        <v>415</v>
      </c>
      <c r="E145" s="3" t="s">
        <v>20</v>
      </c>
      <c r="F145" s="73" t="s">
        <v>395</v>
      </c>
      <c r="G145" s="74" t="s">
        <v>112</v>
      </c>
      <c r="H145" s="75">
        <v>8</v>
      </c>
      <c r="I145" s="76">
        <v>4</v>
      </c>
      <c r="J145" s="96"/>
      <c r="K145" s="77">
        <f>4800.58</f>
        <v>4800.58</v>
      </c>
      <c r="L145" s="77"/>
      <c r="M145" s="38">
        <f t="shared" si="4"/>
        <v>4800.58</v>
      </c>
      <c r="N145" s="100"/>
      <c r="O145" s="81">
        <f>3917.73+8936.21</f>
        <v>12853.939999999999</v>
      </c>
      <c r="P145" s="81">
        <f>3917.73</f>
        <v>3917.73</v>
      </c>
      <c r="Q145" s="79">
        <f t="shared" si="3"/>
        <v>8936.2099999999991</v>
      </c>
      <c r="R145" s="141"/>
    </row>
    <row r="146" spans="1:18" s="13" customFormat="1" ht="15.75" x14ac:dyDescent="0.25">
      <c r="A146" s="10"/>
      <c r="B146" s="27" t="s">
        <v>86</v>
      </c>
      <c r="C146" s="1" t="s">
        <v>17</v>
      </c>
      <c r="D146" s="165"/>
      <c r="E146" s="17" t="s">
        <v>20</v>
      </c>
      <c r="F146" s="73" t="s">
        <v>396</v>
      </c>
      <c r="G146" s="74" t="s">
        <v>112</v>
      </c>
      <c r="H146" s="75">
        <v>10</v>
      </c>
      <c r="I146" s="76">
        <v>8</v>
      </c>
      <c r="J146" s="96">
        <f>1+3+1+7</f>
        <v>12</v>
      </c>
      <c r="K146" s="77">
        <f>950.9+5134.06+2091.97</f>
        <v>8176.93</v>
      </c>
      <c r="L146" s="77">
        <f>950.9+5134.06+2091.97</f>
        <v>8176.93</v>
      </c>
      <c r="M146" s="38">
        <f t="shared" si="4"/>
        <v>0</v>
      </c>
      <c r="N146" s="100">
        <f>15+4+2+1</f>
        <v>22</v>
      </c>
      <c r="O146" s="81">
        <f>30236.61+18366.75+8887.09</f>
        <v>57490.45</v>
      </c>
      <c r="P146" s="81">
        <f>30236.61+18366.75+8887.09</f>
        <v>57490.45</v>
      </c>
      <c r="Q146" s="12">
        <f t="shared" si="3"/>
        <v>0</v>
      </c>
      <c r="R146" s="141"/>
    </row>
    <row r="147" spans="1:18" s="13" customFormat="1" ht="15.75" x14ac:dyDescent="0.25">
      <c r="A147" s="10"/>
      <c r="B147" s="25" t="s">
        <v>86</v>
      </c>
      <c r="C147" s="1" t="s">
        <v>17</v>
      </c>
      <c r="D147" s="165"/>
      <c r="E147" s="17" t="s">
        <v>20</v>
      </c>
      <c r="F147" s="73" t="s">
        <v>465</v>
      </c>
      <c r="G147" s="11" t="s">
        <v>114</v>
      </c>
      <c r="H147" s="1">
        <v>2</v>
      </c>
      <c r="I147" s="49"/>
      <c r="J147" s="51"/>
      <c r="K147" s="40"/>
      <c r="L147" s="40"/>
      <c r="M147" s="78">
        <f t="shared" si="4"/>
        <v>0</v>
      </c>
      <c r="N147" s="41">
        <v>9</v>
      </c>
      <c r="O147" s="31">
        <v>15209.53</v>
      </c>
      <c r="P147" s="31">
        <v>15209.53</v>
      </c>
      <c r="Q147" s="12">
        <f t="shared" si="3"/>
        <v>0</v>
      </c>
    </row>
    <row r="148" spans="1:18" s="13" customFormat="1" ht="15.75" x14ac:dyDescent="0.25">
      <c r="A148" s="10"/>
      <c r="B148" s="62" t="s">
        <v>312</v>
      </c>
      <c r="C148" s="1" t="s">
        <v>17</v>
      </c>
      <c r="D148" s="165"/>
      <c r="E148" s="17" t="s">
        <v>20</v>
      </c>
      <c r="F148" s="73" t="s">
        <v>320</v>
      </c>
      <c r="G148" s="74" t="s">
        <v>112</v>
      </c>
      <c r="H148" s="75">
        <v>12</v>
      </c>
      <c r="I148" s="76">
        <v>2</v>
      </c>
      <c r="J148" s="96">
        <f>1+1</f>
        <v>2</v>
      </c>
      <c r="K148" s="77">
        <f>3319.49+845.24</f>
        <v>4164.7299999999996</v>
      </c>
      <c r="L148" s="77">
        <f>3319.49+845.24</f>
        <v>4164.7299999999996</v>
      </c>
      <c r="M148" s="38"/>
      <c r="N148" s="100">
        <f>5+6</f>
        <v>11</v>
      </c>
      <c r="O148" s="81">
        <f>4226.2+6627.45</f>
        <v>10853.65</v>
      </c>
      <c r="P148" s="81">
        <f>4226.2+6627.45</f>
        <v>10853.65</v>
      </c>
      <c r="Q148" s="12"/>
      <c r="R148" s="141"/>
    </row>
    <row r="149" spans="1:18" s="13" customFormat="1" ht="15.75" x14ac:dyDescent="0.25">
      <c r="A149" s="10"/>
      <c r="B149" s="62" t="s">
        <v>494</v>
      </c>
      <c r="C149" s="1" t="s">
        <v>17</v>
      </c>
      <c r="D149" s="165"/>
      <c r="E149" s="17" t="s">
        <v>20</v>
      </c>
      <c r="F149" s="73" t="s">
        <v>497</v>
      </c>
      <c r="G149" s="74" t="s">
        <v>112</v>
      </c>
      <c r="H149" s="75">
        <v>5</v>
      </c>
      <c r="I149" s="76">
        <v>3</v>
      </c>
      <c r="J149" s="96">
        <f>1+1+1</f>
        <v>3</v>
      </c>
      <c r="K149" s="77">
        <v>3379</v>
      </c>
      <c r="L149" s="77">
        <v>3379</v>
      </c>
      <c r="M149" s="38"/>
      <c r="N149" s="100"/>
      <c r="O149" s="81"/>
      <c r="P149" s="81"/>
      <c r="Q149" s="12"/>
      <c r="R149" s="141"/>
    </row>
    <row r="150" spans="1:18" s="13" customFormat="1" ht="15.75" x14ac:dyDescent="0.25">
      <c r="A150" s="10"/>
      <c r="B150" s="62" t="s">
        <v>494</v>
      </c>
      <c r="C150" s="1"/>
      <c r="D150" s="165"/>
      <c r="E150" s="17"/>
      <c r="F150" s="73"/>
      <c r="G150" s="74" t="s">
        <v>114</v>
      </c>
      <c r="H150" s="75">
        <v>17</v>
      </c>
      <c r="I150" s="76"/>
      <c r="J150" s="96"/>
      <c r="K150" s="77"/>
      <c r="L150" s="77"/>
      <c r="M150" s="38"/>
      <c r="N150" s="100"/>
      <c r="O150" s="81"/>
      <c r="P150" s="81"/>
      <c r="Q150" s="12">
        <f t="shared" ref="Q150" si="5">O150-P150</f>
        <v>0</v>
      </c>
      <c r="R150" s="141"/>
    </row>
    <row r="151" spans="1:18" s="13" customFormat="1" ht="15.75" x14ac:dyDescent="0.25">
      <c r="A151" s="10"/>
      <c r="B151" s="30" t="s">
        <v>88</v>
      </c>
      <c r="C151" s="1" t="s">
        <v>17</v>
      </c>
      <c r="D151" s="165"/>
      <c r="E151" s="3" t="s">
        <v>89</v>
      </c>
      <c r="F151" s="73" t="s">
        <v>397</v>
      </c>
      <c r="G151" s="74" t="s">
        <v>112</v>
      </c>
      <c r="H151" s="75">
        <v>5</v>
      </c>
      <c r="I151" s="76">
        <v>5</v>
      </c>
      <c r="J151" s="96">
        <f>1+3+1</f>
        <v>5</v>
      </c>
      <c r="K151" s="77">
        <f>4226.2+2394.91+6485.1+556.71</f>
        <v>13662.919999999998</v>
      </c>
      <c r="L151" s="77">
        <f>4226.2+2394.91+6485.1</f>
        <v>13106.21</v>
      </c>
      <c r="M151" s="38">
        <f t="shared" si="4"/>
        <v>556.70999999999913</v>
      </c>
      <c r="N151" s="100">
        <f>4+1+3+1+2+2+1+1</f>
        <v>15</v>
      </c>
      <c r="O151" s="81">
        <f>11967.83+2831.55+10544.37+9418.99+3799.13+1798.04+2548.4</f>
        <v>42908.31</v>
      </c>
      <c r="P151" s="81">
        <f>11967.83+2831.55+10544.37+9418.99+3799.13+1798.04+2548.4</f>
        <v>42908.31</v>
      </c>
      <c r="Q151" s="79">
        <f t="shared" ref="Q151:Q193" si="6">O151-P151</f>
        <v>0</v>
      </c>
      <c r="R151" s="141"/>
    </row>
    <row r="152" spans="1:18" s="13" customFormat="1" ht="15.75" x14ac:dyDescent="0.25">
      <c r="A152" s="10"/>
      <c r="B152" s="24" t="s">
        <v>88</v>
      </c>
      <c r="C152" s="1" t="s">
        <v>17</v>
      </c>
      <c r="D152" s="165"/>
      <c r="E152" s="3" t="s">
        <v>89</v>
      </c>
      <c r="F152" s="73" t="s">
        <v>442</v>
      </c>
      <c r="G152" s="11" t="s">
        <v>118</v>
      </c>
      <c r="H152" s="1">
        <v>1</v>
      </c>
      <c r="I152" s="49"/>
      <c r="J152" s="46"/>
      <c r="K152" s="40"/>
      <c r="L152" s="40"/>
      <c r="M152" s="38">
        <f t="shared" si="4"/>
        <v>0</v>
      </c>
      <c r="N152" s="41">
        <v>3</v>
      </c>
      <c r="O152" s="31">
        <v>11020.82</v>
      </c>
      <c r="P152" s="31">
        <v>8523.52</v>
      </c>
      <c r="Q152" s="12">
        <f t="shared" si="6"/>
        <v>2497.2999999999993</v>
      </c>
    </row>
    <row r="153" spans="1:18" s="13" customFormat="1" ht="15.75" x14ac:dyDescent="0.25">
      <c r="A153" s="10"/>
      <c r="B153" s="24" t="s">
        <v>88</v>
      </c>
      <c r="C153" s="1"/>
      <c r="D153" s="165"/>
      <c r="E153" s="3"/>
      <c r="F153" s="73"/>
      <c r="G153" s="11" t="s">
        <v>114</v>
      </c>
      <c r="H153" s="1">
        <v>4</v>
      </c>
      <c r="I153" s="49"/>
      <c r="J153" s="46"/>
      <c r="K153" s="40"/>
      <c r="L153" s="40"/>
      <c r="M153" s="38"/>
      <c r="N153" s="41"/>
      <c r="O153" s="31"/>
      <c r="P153" s="31"/>
      <c r="Q153" s="12">
        <f t="shared" si="6"/>
        <v>0</v>
      </c>
    </row>
    <row r="154" spans="1:18" s="13" customFormat="1" ht="15.75" x14ac:dyDescent="0.25">
      <c r="A154" s="10"/>
      <c r="B154" s="30" t="s">
        <v>90</v>
      </c>
      <c r="C154" s="1" t="s">
        <v>17</v>
      </c>
      <c r="D154" s="165"/>
      <c r="E154" s="17" t="s">
        <v>20</v>
      </c>
      <c r="F154" s="73" t="s">
        <v>398</v>
      </c>
      <c r="G154" s="74" t="s">
        <v>112</v>
      </c>
      <c r="H154" s="75">
        <v>6</v>
      </c>
      <c r="I154" s="76">
        <v>3</v>
      </c>
      <c r="J154" s="96">
        <f>1+1+1</f>
        <v>3</v>
      </c>
      <c r="K154" s="77">
        <f>422.62+4662.44</f>
        <v>5085.0599999999995</v>
      </c>
      <c r="L154" s="77">
        <f>422.62</f>
        <v>422.62</v>
      </c>
      <c r="M154" s="38">
        <f t="shared" si="4"/>
        <v>4662.4399999999996</v>
      </c>
      <c r="N154" s="100">
        <f>1+1+1+1</f>
        <v>4</v>
      </c>
      <c r="O154" s="81">
        <f>2122.67+787.61+15453.48</f>
        <v>18363.759999999998</v>
      </c>
      <c r="P154" s="81">
        <f>2122.67+787.61</f>
        <v>2910.28</v>
      </c>
      <c r="Q154" s="79">
        <f t="shared" si="6"/>
        <v>15453.479999999998</v>
      </c>
      <c r="R154" s="141"/>
    </row>
    <row r="155" spans="1:18" s="13" customFormat="1" ht="15.75" x14ac:dyDescent="0.25">
      <c r="A155" s="10"/>
      <c r="B155" s="24" t="s">
        <v>90</v>
      </c>
      <c r="C155" s="1" t="s">
        <v>17</v>
      </c>
      <c r="D155" s="165"/>
      <c r="E155" s="17" t="s">
        <v>20</v>
      </c>
      <c r="F155" s="73" t="s">
        <v>466</v>
      </c>
      <c r="G155" s="11" t="s">
        <v>114</v>
      </c>
      <c r="H155" s="1">
        <v>10</v>
      </c>
      <c r="I155" s="49">
        <v>1</v>
      </c>
      <c r="J155" s="51">
        <v>1</v>
      </c>
      <c r="K155" s="40">
        <v>3265.7</v>
      </c>
      <c r="L155" s="40">
        <v>3265.7</v>
      </c>
      <c r="M155" s="78">
        <f t="shared" si="4"/>
        <v>0</v>
      </c>
      <c r="N155" s="41">
        <v>19</v>
      </c>
      <c r="O155" s="31">
        <v>63873.7</v>
      </c>
      <c r="P155" s="31">
        <v>57342.3</v>
      </c>
      <c r="Q155" s="12">
        <f t="shared" si="6"/>
        <v>6531.3999999999942</v>
      </c>
    </row>
    <row r="156" spans="1:18" s="13" customFormat="1" ht="15.75" x14ac:dyDescent="0.25">
      <c r="A156" s="10"/>
      <c r="B156" s="30" t="s">
        <v>91</v>
      </c>
      <c r="C156" s="1" t="s">
        <v>17</v>
      </c>
      <c r="D156" s="165"/>
      <c r="E156" s="17" t="s">
        <v>20</v>
      </c>
      <c r="F156" s="73" t="s">
        <v>399</v>
      </c>
      <c r="G156" s="74" t="s">
        <v>112</v>
      </c>
      <c r="H156" s="75"/>
      <c r="I156" s="76"/>
      <c r="J156" s="96"/>
      <c r="K156" s="77"/>
      <c r="L156" s="77"/>
      <c r="M156" s="38">
        <f t="shared" si="4"/>
        <v>0</v>
      </c>
      <c r="N156" s="100"/>
      <c r="O156" s="81"/>
      <c r="P156" s="81"/>
      <c r="Q156" s="79">
        <f t="shared" si="6"/>
        <v>0</v>
      </c>
      <c r="R156" s="141"/>
    </row>
    <row r="157" spans="1:18" s="13" customFormat="1" ht="15.75" x14ac:dyDescent="0.25">
      <c r="A157" s="10"/>
      <c r="B157" s="22" t="s">
        <v>138</v>
      </c>
      <c r="C157" s="1" t="s">
        <v>17</v>
      </c>
      <c r="D157" s="165"/>
      <c r="E157" s="17" t="s">
        <v>20</v>
      </c>
      <c r="F157" s="73" t="s">
        <v>467</v>
      </c>
      <c r="G157" s="11" t="s">
        <v>114</v>
      </c>
      <c r="H157" s="1">
        <v>5</v>
      </c>
      <c r="I157" s="49"/>
      <c r="J157" s="51"/>
      <c r="K157" s="37"/>
      <c r="L157" s="37"/>
      <c r="M157" s="78">
        <f t="shared" si="4"/>
        <v>0</v>
      </c>
      <c r="N157" s="39">
        <v>4</v>
      </c>
      <c r="O157" s="31">
        <v>4530.3999999999996</v>
      </c>
      <c r="P157" s="31">
        <v>4530.3999999999996</v>
      </c>
      <c r="Q157" s="12">
        <f t="shared" si="6"/>
        <v>0</v>
      </c>
    </row>
    <row r="158" spans="1:18" s="13" customFormat="1" ht="15.75" x14ac:dyDescent="0.25">
      <c r="A158" s="10"/>
      <c r="B158" s="62" t="s">
        <v>138</v>
      </c>
      <c r="C158" s="1" t="s">
        <v>17</v>
      </c>
      <c r="D158" s="165"/>
      <c r="E158" s="17" t="s">
        <v>20</v>
      </c>
      <c r="F158" s="73" t="s">
        <v>400</v>
      </c>
      <c r="G158" s="74" t="s">
        <v>112</v>
      </c>
      <c r="H158" s="75">
        <v>8</v>
      </c>
      <c r="I158" s="82">
        <v>3</v>
      </c>
      <c r="J158" s="96">
        <f>3</f>
        <v>3</v>
      </c>
      <c r="K158" s="77">
        <f>2224.52</f>
        <v>2224.52</v>
      </c>
      <c r="L158" s="77"/>
      <c r="M158" s="38">
        <f t="shared" si="4"/>
        <v>2224.52</v>
      </c>
      <c r="N158" s="100">
        <f>5+4</f>
        <v>9</v>
      </c>
      <c r="O158" s="81">
        <f>8995.87+8641.99</f>
        <v>17637.86</v>
      </c>
      <c r="P158" s="81">
        <f>8995.87</f>
        <v>8995.8700000000008</v>
      </c>
      <c r="Q158" s="79">
        <f t="shared" si="6"/>
        <v>8641.99</v>
      </c>
      <c r="R158" s="141"/>
    </row>
    <row r="159" spans="1:18" s="13" customFormat="1" ht="15.75" x14ac:dyDescent="0.25">
      <c r="A159" s="10"/>
      <c r="B159" s="62" t="s">
        <v>157</v>
      </c>
      <c r="C159" s="1" t="s">
        <v>17</v>
      </c>
      <c r="D159" s="165"/>
      <c r="E159" s="17" t="s">
        <v>20</v>
      </c>
      <c r="F159" s="73" t="s">
        <v>401</v>
      </c>
      <c r="G159" s="74" t="s">
        <v>112</v>
      </c>
      <c r="H159" s="75">
        <v>7</v>
      </c>
      <c r="I159" s="82"/>
      <c r="J159" s="96"/>
      <c r="K159" s="77"/>
      <c r="L159" s="77"/>
      <c r="M159" s="38">
        <f t="shared" ref="M159:M192" si="7">K159-L159</f>
        <v>0</v>
      </c>
      <c r="N159" s="100"/>
      <c r="O159" s="81"/>
      <c r="P159" s="81"/>
      <c r="Q159" s="12">
        <f t="shared" si="6"/>
        <v>0</v>
      </c>
      <c r="R159" s="141"/>
    </row>
    <row r="160" spans="1:18" s="13" customFormat="1" ht="15.75" x14ac:dyDescent="0.25">
      <c r="A160" s="10"/>
      <c r="B160" s="22" t="s">
        <v>157</v>
      </c>
      <c r="C160" s="1" t="s">
        <v>17</v>
      </c>
      <c r="D160" s="165"/>
      <c r="E160" s="17" t="s">
        <v>20</v>
      </c>
      <c r="F160" s="73"/>
      <c r="G160" s="11" t="s">
        <v>114</v>
      </c>
      <c r="H160" s="1"/>
      <c r="I160" s="49"/>
      <c r="J160" s="51"/>
      <c r="K160" s="37"/>
      <c r="L160" s="37"/>
      <c r="M160" s="38">
        <f t="shared" si="7"/>
        <v>0</v>
      </c>
      <c r="N160" s="39"/>
      <c r="O160" s="31"/>
      <c r="P160" s="31"/>
      <c r="Q160" s="12">
        <f t="shared" si="6"/>
        <v>0</v>
      </c>
    </row>
    <row r="161" spans="1:18" s="15" customFormat="1" ht="15.75" x14ac:dyDescent="0.25">
      <c r="A161" s="14"/>
      <c r="B161" s="80" t="s">
        <v>92</v>
      </c>
      <c r="C161" s="1" t="s">
        <v>17</v>
      </c>
      <c r="D161" s="165"/>
      <c r="E161" s="17" t="s">
        <v>20</v>
      </c>
      <c r="F161" s="73" t="s">
        <v>402</v>
      </c>
      <c r="G161" s="74" t="s">
        <v>112</v>
      </c>
      <c r="H161" s="75">
        <v>5</v>
      </c>
      <c r="I161" s="76">
        <v>3</v>
      </c>
      <c r="J161" s="96">
        <f>1+2</f>
        <v>3</v>
      </c>
      <c r="K161" s="77">
        <f>1951.74</f>
        <v>1951.74</v>
      </c>
      <c r="L161" s="77">
        <f>1951.74</f>
        <v>1951.74</v>
      </c>
      <c r="M161" s="38">
        <f t="shared" si="7"/>
        <v>0</v>
      </c>
      <c r="N161" s="100">
        <f>4+1+1</f>
        <v>6</v>
      </c>
      <c r="O161" s="81">
        <f>12624.74+2697.06+1225.93</f>
        <v>16547.73</v>
      </c>
      <c r="P161" s="81">
        <f>12624.74+2697.06</f>
        <v>15321.8</v>
      </c>
      <c r="Q161" s="12">
        <f t="shared" si="6"/>
        <v>1225.9300000000003</v>
      </c>
      <c r="R161" s="141"/>
    </row>
    <row r="162" spans="1:18" s="15" customFormat="1" ht="15.75" x14ac:dyDescent="0.25">
      <c r="A162" s="14"/>
      <c r="B162" s="23" t="s">
        <v>92</v>
      </c>
      <c r="C162" s="1" t="s">
        <v>17</v>
      </c>
      <c r="D162" s="165"/>
      <c r="E162" s="17" t="s">
        <v>20</v>
      </c>
      <c r="F162" s="73" t="s">
        <v>129</v>
      </c>
      <c r="G162" s="11" t="s">
        <v>114</v>
      </c>
      <c r="H162" s="1"/>
      <c r="I162" s="49"/>
      <c r="J162" s="51"/>
      <c r="K162" s="40"/>
      <c r="L162" s="40"/>
      <c r="M162" s="38">
        <f t="shared" si="7"/>
        <v>0</v>
      </c>
      <c r="N162" s="39"/>
      <c r="O162" s="31"/>
      <c r="P162" s="31"/>
      <c r="Q162" s="12">
        <f t="shared" si="6"/>
        <v>0</v>
      </c>
    </row>
    <row r="163" spans="1:18" s="13" customFormat="1" ht="15.75" x14ac:dyDescent="0.25">
      <c r="A163" s="10"/>
      <c r="B163" s="30" t="s">
        <v>93</v>
      </c>
      <c r="C163" s="1" t="s">
        <v>17</v>
      </c>
      <c r="D163" s="165"/>
      <c r="E163" s="3" t="s">
        <v>94</v>
      </c>
      <c r="F163" s="73" t="s">
        <v>403</v>
      </c>
      <c r="G163" s="74" t="s">
        <v>112</v>
      </c>
      <c r="H163" s="75">
        <v>7</v>
      </c>
      <c r="I163" s="76">
        <v>2</v>
      </c>
      <c r="J163" s="96">
        <f>2</f>
        <v>2</v>
      </c>
      <c r="K163" s="77">
        <f>2362.84</f>
        <v>2362.84</v>
      </c>
      <c r="L163" s="77">
        <f>2362.84</f>
        <v>2362.84</v>
      </c>
      <c r="M163" s="38">
        <f t="shared" si="7"/>
        <v>0</v>
      </c>
      <c r="N163" s="100">
        <f>3+8</f>
        <v>11</v>
      </c>
      <c r="O163" s="81">
        <f>20117.75</f>
        <v>20117.75</v>
      </c>
      <c r="P163" s="81">
        <f>20117.75</f>
        <v>20117.75</v>
      </c>
      <c r="Q163" s="12">
        <f t="shared" si="6"/>
        <v>0</v>
      </c>
      <c r="R163" s="141"/>
    </row>
    <row r="164" spans="1:18" s="13" customFormat="1" ht="15.75" x14ac:dyDescent="0.25">
      <c r="A164" s="10"/>
      <c r="B164" s="24" t="s">
        <v>93</v>
      </c>
      <c r="C164" s="1" t="s">
        <v>17</v>
      </c>
      <c r="D164" s="165"/>
      <c r="E164" s="3" t="s">
        <v>94</v>
      </c>
      <c r="F164" s="73" t="s">
        <v>130</v>
      </c>
      <c r="G164" s="11" t="s">
        <v>114</v>
      </c>
      <c r="H164" s="1"/>
      <c r="I164" s="49"/>
      <c r="J164" s="51"/>
      <c r="K164" s="40"/>
      <c r="L164" s="77"/>
      <c r="M164" s="38">
        <f t="shared" si="7"/>
        <v>0</v>
      </c>
      <c r="N164" s="41"/>
      <c r="O164" s="31"/>
      <c r="P164" s="31"/>
      <c r="Q164" s="12">
        <f t="shared" si="6"/>
        <v>0</v>
      </c>
    </row>
    <row r="165" spans="1:18" s="13" customFormat="1" ht="15.75" x14ac:dyDescent="0.25">
      <c r="A165" s="10"/>
      <c r="B165" s="24" t="s">
        <v>93</v>
      </c>
      <c r="C165" s="1" t="s">
        <v>17</v>
      </c>
      <c r="D165" s="165"/>
      <c r="E165" s="3" t="s">
        <v>94</v>
      </c>
      <c r="F165" s="73" t="s">
        <v>240</v>
      </c>
      <c r="G165" s="11" t="s">
        <v>118</v>
      </c>
      <c r="H165" s="1"/>
      <c r="I165" s="49"/>
      <c r="J165" s="46"/>
      <c r="K165" s="40"/>
      <c r="L165" s="40"/>
      <c r="M165" s="78">
        <f t="shared" si="7"/>
        <v>0</v>
      </c>
      <c r="N165" s="41"/>
      <c r="O165" s="31"/>
      <c r="P165" s="31"/>
      <c r="Q165" s="12">
        <f t="shared" si="6"/>
        <v>0</v>
      </c>
    </row>
    <row r="166" spans="1:18" s="13" customFormat="1" ht="15.75" x14ac:dyDescent="0.25">
      <c r="A166" s="10"/>
      <c r="B166" s="30" t="s">
        <v>95</v>
      </c>
      <c r="C166" s="1" t="s">
        <v>17</v>
      </c>
      <c r="D166" s="165"/>
      <c r="E166" s="17" t="s">
        <v>20</v>
      </c>
      <c r="F166" s="73" t="s">
        <v>404</v>
      </c>
      <c r="G166" s="74" t="s">
        <v>112</v>
      </c>
      <c r="H166" s="75">
        <v>11</v>
      </c>
      <c r="I166" s="76">
        <v>4</v>
      </c>
      <c r="J166" s="96">
        <f>1+4</f>
        <v>5</v>
      </c>
      <c r="K166" s="77">
        <f>1061.35</f>
        <v>1061.3499999999999</v>
      </c>
      <c r="L166" s="77">
        <f>1061.35</f>
        <v>1061.3499999999999</v>
      </c>
      <c r="M166" s="38">
        <f t="shared" si="7"/>
        <v>0</v>
      </c>
      <c r="N166" s="100">
        <f>1+6+1</f>
        <v>8</v>
      </c>
      <c r="O166" s="81">
        <f>11603.82+7559.28</f>
        <v>19163.099999999999</v>
      </c>
      <c r="P166" s="81">
        <f>11603.82+7559.28</f>
        <v>19163.099999999999</v>
      </c>
      <c r="Q166" s="79">
        <f t="shared" si="6"/>
        <v>0</v>
      </c>
      <c r="R166" s="141"/>
    </row>
    <row r="167" spans="1:18" s="13" customFormat="1" ht="15.75" x14ac:dyDescent="0.25">
      <c r="A167" s="10"/>
      <c r="B167" s="24" t="s">
        <v>95</v>
      </c>
      <c r="C167" s="1" t="s">
        <v>17</v>
      </c>
      <c r="D167" s="165"/>
      <c r="E167" s="17" t="s">
        <v>20</v>
      </c>
      <c r="F167" s="73" t="s">
        <v>291</v>
      </c>
      <c r="G167" s="11" t="s">
        <v>114</v>
      </c>
      <c r="H167" s="1">
        <v>7</v>
      </c>
      <c r="I167" s="49"/>
      <c r="J167" s="51"/>
      <c r="K167" s="40"/>
      <c r="L167" s="40"/>
      <c r="M167" s="78">
        <f t="shared" si="7"/>
        <v>0</v>
      </c>
      <c r="N167" s="41">
        <v>9</v>
      </c>
      <c r="O167" s="31">
        <v>23916.45</v>
      </c>
      <c r="P167" s="31">
        <v>8548.4500000000007</v>
      </c>
      <c r="Q167" s="12">
        <f t="shared" si="6"/>
        <v>15368</v>
      </c>
    </row>
    <row r="168" spans="1:18" s="13" customFormat="1" ht="15.75" x14ac:dyDescent="0.25">
      <c r="A168" s="10"/>
      <c r="B168" s="30" t="s">
        <v>96</v>
      </c>
      <c r="C168" s="1" t="s">
        <v>17</v>
      </c>
      <c r="D168" s="165"/>
      <c r="E168" s="17" t="s">
        <v>97</v>
      </c>
      <c r="F168" s="73" t="s">
        <v>405</v>
      </c>
      <c r="G168" s="74" t="s">
        <v>112</v>
      </c>
      <c r="H168" s="75">
        <v>1</v>
      </c>
      <c r="I168" s="76">
        <v>1</v>
      </c>
      <c r="J168" s="96">
        <f>2</f>
        <v>2</v>
      </c>
      <c r="K168" s="77"/>
      <c r="L168" s="77"/>
      <c r="M168" s="38">
        <f t="shared" si="7"/>
        <v>0</v>
      </c>
      <c r="N168" s="103">
        <f>1+2+1</f>
        <v>4</v>
      </c>
      <c r="O168" s="77">
        <f>1742.31</f>
        <v>1742.31</v>
      </c>
      <c r="P168" s="77">
        <f>1742.31</f>
        <v>1742.31</v>
      </c>
      <c r="Q168" s="79">
        <f t="shared" si="6"/>
        <v>0</v>
      </c>
      <c r="R168" s="141"/>
    </row>
    <row r="169" spans="1:18" s="13" customFormat="1" ht="15.75" x14ac:dyDescent="0.25">
      <c r="A169" s="10"/>
      <c r="B169" s="24" t="s">
        <v>96</v>
      </c>
      <c r="C169" s="1" t="s">
        <v>17</v>
      </c>
      <c r="D169" s="165"/>
      <c r="E169" s="17" t="s">
        <v>97</v>
      </c>
      <c r="F169" s="73" t="s">
        <v>468</v>
      </c>
      <c r="G169" s="11" t="s">
        <v>114</v>
      </c>
      <c r="H169" s="1">
        <v>1</v>
      </c>
      <c r="I169" s="49"/>
      <c r="J169" s="51"/>
      <c r="K169" s="40"/>
      <c r="L169" s="40"/>
      <c r="M169" s="78">
        <f t="shared" si="7"/>
        <v>0</v>
      </c>
      <c r="N169" s="41">
        <v>2</v>
      </c>
      <c r="O169" s="31">
        <v>3682</v>
      </c>
      <c r="P169" s="31"/>
      <c r="Q169" s="12">
        <f t="shared" si="6"/>
        <v>3682</v>
      </c>
    </row>
    <row r="170" spans="1:18" s="13" customFormat="1" ht="15.75" x14ac:dyDescent="0.25">
      <c r="A170" s="10"/>
      <c r="B170" s="30" t="s">
        <v>98</v>
      </c>
      <c r="C170" s="1" t="s">
        <v>17</v>
      </c>
      <c r="D170" s="165"/>
      <c r="E170" s="17" t="s">
        <v>35</v>
      </c>
      <c r="F170" s="73" t="s">
        <v>406</v>
      </c>
      <c r="G170" s="74" t="s">
        <v>112</v>
      </c>
      <c r="H170" s="75">
        <v>22</v>
      </c>
      <c r="I170" s="76">
        <v>5</v>
      </c>
      <c r="J170" s="96">
        <f>1+2+1+1</f>
        <v>5</v>
      </c>
      <c r="K170" s="77">
        <f>845.24+1764.25+8353.03+1298.98+7610.68</f>
        <v>19872.18</v>
      </c>
      <c r="L170" s="77">
        <f>845.24+1764.25+8353.03</f>
        <v>10962.52</v>
      </c>
      <c r="M170" s="38">
        <f t="shared" si="7"/>
        <v>8909.66</v>
      </c>
      <c r="N170" s="100">
        <f>9+1+1+4+2+1+2</f>
        <v>20</v>
      </c>
      <c r="O170" s="81">
        <f>17007.01+2697.06+1267.86+31709.38+5331.44-10826.79+21036.17</f>
        <v>68222.13</v>
      </c>
      <c r="P170" s="81">
        <f>17007.01+2697.06+1267.86+31709.38+5331.44-10826.79</f>
        <v>47185.96</v>
      </c>
      <c r="Q170" s="79">
        <f t="shared" si="6"/>
        <v>21036.170000000006</v>
      </c>
      <c r="R170" s="141"/>
    </row>
    <row r="171" spans="1:18" s="13" customFormat="1" ht="15.75" x14ac:dyDescent="0.25">
      <c r="A171" s="10"/>
      <c r="B171" s="24" t="s">
        <v>98</v>
      </c>
      <c r="C171" s="1" t="s">
        <v>17</v>
      </c>
      <c r="D171" s="165"/>
      <c r="E171" s="17" t="s">
        <v>35</v>
      </c>
      <c r="F171" s="73" t="s">
        <v>435</v>
      </c>
      <c r="G171" s="8" t="s">
        <v>117</v>
      </c>
      <c r="H171" s="1">
        <v>2</v>
      </c>
      <c r="I171" s="49">
        <v>1</v>
      </c>
      <c r="J171" s="46">
        <v>1</v>
      </c>
      <c r="K171" s="40">
        <v>1162.21</v>
      </c>
      <c r="L171" s="40">
        <v>1162.21</v>
      </c>
      <c r="M171" s="78">
        <f t="shared" si="7"/>
        <v>0</v>
      </c>
      <c r="N171" s="41">
        <f>4</f>
        <v>4</v>
      </c>
      <c r="O171" s="40">
        <v>10721.75</v>
      </c>
      <c r="P171" s="40">
        <v>10721.75</v>
      </c>
      <c r="Q171" s="12">
        <f t="shared" si="6"/>
        <v>0</v>
      </c>
    </row>
    <row r="172" spans="1:18" s="13" customFormat="1" ht="15.75" x14ac:dyDescent="0.25">
      <c r="A172" s="10"/>
      <c r="B172" s="24" t="s">
        <v>488</v>
      </c>
      <c r="C172" s="1" t="s">
        <v>17</v>
      </c>
      <c r="D172" s="165"/>
      <c r="E172" s="17" t="s">
        <v>97</v>
      </c>
      <c r="F172" s="73" t="s">
        <v>498</v>
      </c>
      <c r="G172" s="8" t="s">
        <v>112</v>
      </c>
      <c r="H172" s="1">
        <v>5</v>
      </c>
      <c r="I172" s="49">
        <v>4</v>
      </c>
      <c r="J172" s="46">
        <f>4</f>
        <v>4</v>
      </c>
      <c r="K172" s="40">
        <v>1535.8</v>
      </c>
      <c r="L172" s="40"/>
      <c r="M172" s="78"/>
      <c r="N172" s="41"/>
      <c r="O172" s="40"/>
      <c r="P172" s="40"/>
      <c r="Q172" s="12"/>
    </row>
    <row r="173" spans="1:18" s="15" customFormat="1" ht="15.75" x14ac:dyDescent="0.25">
      <c r="A173" s="14"/>
      <c r="B173" s="84" t="s">
        <v>99</v>
      </c>
      <c r="C173" s="1" t="s">
        <v>17</v>
      </c>
      <c r="D173" s="165"/>
      <c r="E173" s="3" t="s">
        <v>32</v>
      </c>
      <c r="F173" s="73" t="s">
        <v>418</v>
      </c>
      <c r="G173" s="74" t="s">
        <v>112</v>
      </c>
      <c r="H173" s="75"/>
      <c r="I173" s="76"/>
      <c r="J173" s="96"/>
      <c r="K173" s="77"/>
      <c r="L173" s="77"/>
      <c r="M173" s="38">
        <f t="shared" si="7"/>
        <v>0</v>
      </c>
      <c r="N173" s="100"/>
      <c r="O173" s="81"/>
      <c r="P173" s="81"/>
      <c r="Q173" s="79">
        <f t="shared" si="6"/>
        <v>0</v>
      </c>
      <c r="R173" s="141"/>
    </row>
    <row r="174" spans="1:18" s="15" customFormat="1" ht="15.75" x14ac:dyDescent="0.25">
      <c r="A174" s="14"/>
      <c r="B174" s="29" t="s">
        <v>99</v>
      </c>
      <c r="C174" s="1" t="s">
        <v>17</v>
      </c>
      <c r="D174" s="165"/>
      <c r="E174" s="3" t="s">
        <v>32</v>
      </c>
      <c r="F174" s="73" t="s">
        <v>423</v>
      </c>
      <c r="G174" s="8" t="s">
        <v>117</v>
      </c>
      <c r="H174" s="1"/>
      <c r="I174" s="49"/>
      <c r="J174" s="51"/>
      <c r="K174" s="40"/>
      <c r="L174" s="40"/>
      <c r="M174" s="78">
        <f t="shared" si="7"/>
        <v>0</v>
      </c>
      <c r="N174" s="39"/>
      <c r="O174" s="40"/>
      <c r="P174" s="40"/>
      <c r="Q174" s="12">
        <f t="shared" si="6"/>
        <v>0</v>
      </c>
    </row>
    <row r="175" spans="1:18" s="15" customFormat="1" ht="31.5" x14ac:dyDescent="0.25">
      <c r="A175" s="14"/>
      <c r="B175" s="30" t="s">
        <v>144</v>
      </c>
      <c r="C175" s="1" t="s">
        <v>304</v>
      </c>
      <c r="D175" s="165" t="s">
        <v>313</v>
      </c>
      <c r="E175" s="17" t="s">
        <v>97</v>
      </c>
      <c r="F175" s="73" t="s">
        <v>407</v>
      </c>
      <c r="G175" s="66" t="s">
        <v>112</v>
      </c>
      <c r="H175" s="75">
        <v>8</v>
      </c>
      <c r="I175" s="76">
        <v>8</v>
      </c>
      <c r="J175" s="98">
        <f>2+2+1+3+1+1</f>
        <v>10</v>
      </c>
      <c r="K175" s="77">
        <f>950.9+1449.39+2272.32+2785.92</f>
        <v>7458.5300000000007</v>
      </c>
      <c r="L175" s="77">
        <f>950.9+1449.39+2272.32</f>
        <v>4672.6100000000006</v>
      </c>
      <c r="M175" s="38">
        <f t="shared" si="7"/>
        <v>2785.92</v>
      </c>
      <c r="N175" s="100">
        <f>3+2+1+1</f>
        <v>7</v>
      </c>
      <c r="O175" s="77">
        <f>5020.57+5566.06+2694.94+845.24</f>
        <v>14126.810000000001</v>
      </c>
      <c r="P175" s="77">
        <f>5020.57+5566.06+2694.94</f>
        <v>13281.570000000002</v>
      </c>
      <c r="Q175" s="79">
        <f t="shared" si="6"/>
        <v>845.23999999999978</v>
      </c>
      <c r="R175" s="141"/>
    </row>
    <row r="176" spans="1:18" s="15" customFormat="1" ht="15.75" x14ac:dyDescent="0.25">
      <c r="A176" s="14"/>
      <c r="B176" s="30" t="s">
        <v>488</v>
      </c>
      <c r="C176" s="1"/>
      <c r="D176" s="165"/>
      <c r="E176" s="17"/>
      <c r="F176" s="73"/>
      <c r="G176" s="66" t="s">
        <v>114</v>
      </c>
      <c r="H176" s="75">
        <v>15</v>
      </c>
      <c r="I176" s="76"/>
      <c r="J176" s="98"/>
      <c r="K176" s="77"/>
      <c r="L176" s="77"/>
      <c r="M176" s="38"/>
      <c r="N176" s="100"/>
      <c r="O176" s="77"/>
      <c r="P176" s="77"/>
      <c r="Q176" s="12">
        <f t="shared" si="6"/>
        <v>0</v>
      </c>
    </row>
    <row r="177" spans="1:18" s="15" customFormat="1" ht="15.75" x14ac:dyDescent="0.25">
      <c r="A177" s="14"/>
      <c r="B177" s="30" t="s">
        <v>488</v>
      </c>
      <c r="C177" s="1"/>
      <c r="D177" s="165"/>
      <c r="E177" s="17"/>
      <c r="F177" s="73"/>
      <c r="G177" s="66" t="s">
        <v>113</v>
      </c>
      <c r="H177" s="75">
        <v>10</v>
      </c>
      <c r="I177" s="76">
        <v>1</v>
      </c>
      <c r="J177" s="98">
        <v>1</v>
      </c>
      <c r="K177" s="77">
        <v>2747</v>
      </c>
      <c r="L177" s="77">
        <v>2747</v>
      </c>
      <c r="M177" s="38"/>
      <c r="N177" s="100"/>
      <c r="O177" s="77"/>
      <c r="P177" s="77"/>
      <c r="Q177" s="79"/>
    </row>
    <row r="178" spans="1:18" s="15" customFormat="1" ht="31.5" x14ac:dyDescent="0.25">
      <c r="A178" s="14"/>
      <c r="B178" s="34" t="s">
        <v>144</v>
      </c>
      <c r="C178" s="1" t="s">
        <v>446</v>
      </c>
      <c r="D178" s="165" t="s">
        <v>313</v>
      </c>
      <c r="E178" s="3" t="s">
        <v>20</v>
      </c>
      <c r="F178" s="73" t="s">
        <v>485</v>
      </c>
      <c r="G178" s="8" t="s">
        <v>114</v>
      </c>
      <c r="H178" s="1">
        <v>16</v>
      </c>
      <c r="I178" s="53">
        <v>1</v>
      </c>
      <c r="J178" s="52">
        <v>1</v>
      </c>
      <c r="K178" s="40">
        <v>1921</v>
      </c>
      <c r="L178" s="40">
        <v>1921</v>
      </c>
      <c r="M178" s="78">
        <f t="shared" si="7"/>
        <v>0</v>
      </c>
      <c r="N178" s="42">
        <v>15</v>
      </c>
      <c r="O178" s="31">
        <v>29095.200000000001</v>
      </c>
      <c r="P178" s="31">
        <v>29095.200000000001</v>
      </c>
      <c r="Q178" s="12">
        <f t="shared" ref="Q178" si="8">O178-P178</f>
        <v>0</v>
      </c>
    </row>
    <row r="179" spans="1:18" s="21" customFormat="1" ht="47.25" x14ac:dyDescent="0.25">
      <c r="A179" s="1"/>
      <c r="B179" s="30" t="s">
        <v>100</v>
      </c>
      <c r="C179" s="1" t="s">
        <v>304</v>
      </c>
      <c r="D179" s="165" t="s">
        <v>416</v>
      </c>
      <c r="E179" s="17" t="s">
        <v>20</v>
      </c>
      <c r="F179" s="73" t="s">
        <v>408</v>
      </c>
      <c r="G179" s="27" t="s">
        <v>112</v>
      </c>
      <c r="H179" s="75">
        <v>10</v>
      </c>
      <c r="I179" s="76">
        <v>6</v>
      </c>
      <c r="J179" s="98">
        <f>5+1</f>
        <v>6</v>
      </c>
      <c r="K179" s="86">
        <f>6524.55+600.31</f>
        <v>7124.8600000000006</v>
      </c>
      <c r="L179" s="86">
        <f>6524.55</f>
        <v>6524.55</v>
      </c>
      <c r="M179" s="38">
        <f t="shared" si="7"/>
        <v>600.3100000000004</v>
      </c>
      <c r="N179" s="100">
        <f>1+3</f>
        <v>4</v>
      </c>
      <c r="O179" s="87">
        <f>10770.58+2113.01</f>
        <v>12883.59</v>
      </c>
      <c r="P179" s="87">
        <f>10770.58+2113.01</f>
        <v>12883.59</v>
      </c>
      <c r="Q179" s="79">
        <f t="shared" si="6"/>
        <v>0</v>
      </c>
      <c r="R179" s="141"/>
    </row>
    <row r="180" spans="1:18" s="21" customFormat="1" ht="47.25" x14ac:dyDescent="0.25">
      <c r="A180" s="1"/>
      <c r="B180" s="24" t="s">
        <v>100</v>
      </c>
      <c r="C180" s="18" t="s">
        <v>125</v>
      </c>
      <c r="D180" s="165" t="s">
        <v>126</v>
      </c>
      <c r="E180" s="17" t="s">
        <v>20</v>
      </c>
      <c r="F180" s="73" t="s">
        <v>486</v>
      </c>
      <c r="G180" s="20" t="s">
        <v>114</v>
      </c>
      <c r="H180" s="1">
        <v>8</v>
      </c>
      <c r="I180" s="53"/>
      <c r="J180" s="52"/>
      <c r="K180" s="55"/>
      <c r="L180" s="55"/>
      <c r="M180" s="78">
        <f t="shared" si="7"/>
        <v>0</v>
      </c>
      <c r="N180" s="41"/>
      <c r="O180" s="54"/>
      <c r="P180" s="54"/>
      <c r="Q180" s="12">
        <f t="shared" si="6"/>
        <v>0</v>
      </c>
    </row>
    <row r="181" spans="1:18" s="13" customFormat="1" ht="15.75" x14ac:dyDescent="0.25">
      <c r="A181" s="10"/>
      <c r="B181" s="62" t="s">
        <v>101</v>
      </c>
      <c r="C181" s="1" t="s">
        <v>17</v>
      </c>
      <c r="D181" s="165"/>
      <c r="E181" s="17" t="s">
        <v>20</v>
      </c>
      <c r="F181" s="73" t="s">
        <v>409</v>
      </c>
      <c r="G181" s="74" t="s">
        <v>112</v>
      </c>
      <c r="H181" s="75">
        <v>9</v>
      </c>
      <c r="I181" s="76">
        <v>5</v>
      </c>
      <c r="J181" s="96">
        <f>1+5+1</f>
        <v>7</v>
      </c>
      <c r="K181" s="77">
        <f>1045.98+3354.45</f>
        <v>4400.43</v>
      </c>
      <c r="L181" s="77">
        <f>1045.98</f>
        <v>1045.98</v>
      </c>
      <c r="M181" s="38">
        <f t="shared" si="7"/>
        <v>3354.4500000000003</v>
      </c>
      <c r="N181" s="100">
        <f>5+2+1</f>
        <v>8</v>
      </c>
      <c r="O181" s="81">
        <f>6288.07+3061.62+3426.18</f>
        <v>12775.869999999999</v>
      </c>
      <c r="P181" s="81">
        <f>6288.07+3061.62</f>
        <v>9349.6899999999987</v>
      </c>
      <c r="Q181" s="79">
        <f t="shared" si="6"/>
        <v>3426.1800000000003</v>
      </c>
      <c r="R181" s="141"/>
    </row>
    <row r="182" spans="1:18" s="13" customFormat="1" ht="15.75" x14ac:dyDescent="0.25">
      <c r="A182" s="10"/>
      <c r="B182" s="62" t="s">
        <v>146</v>
      </c>
      <c r="C182" s="1" t="s">
        <v>17</v>
      </c>
      <c r="D182" s="165"/>
      <c r="E182" s="17" t="s">
        <v>20</v>
      </c>
      <c r="F182" s="73" t="s">
        <v>410</v>
      </c>
      <c r="G182" s="74" t="s">
        <v>112</v>
      </c>
      <c r="H182" s="75">
        <v>8</v>
      </c>
      <c r="I182" s="76">
        <v>6</v>
      </c>
      <c r="J182" s="96">
        <f>4+1</f>
        <v>5</v>
      </c>
      <c r="K182" s="77">
        <f>4610.77+1568.98</f>
        <v>6179.75</v>
      </c>
      <c r="L182" s="77">
        <f>4610.77+1568.98</f>
        <v>6179.75</v>
      </c>
      <c r="M182" s="38">
        <f t="shared" si="7"/>
        <v>0</v>
      </c>
      <c r="N182" s="100">
        <f>5+1+1+2</f>
        <v>9</v>
      </c>
      <c r="O182" s="81">
        <f>13579.06+1287.07+2636.18</f>
        <v>17502.309999999998</v>
      </c>
      <c r="P182" s="81">
        <f>13579.06+1287.07+2636.18</f>
        <v>17502.309999999998</v>
      </c>
      <c r="Q182" s="12">
        <f t="shared" si="6"/>
        <v>0</v>
      </c>
      <c r="R182" s="141"/>
    </row>
    <row r="183" spans="1:18" s="13" customFormat="1" ht="15.75" x14ac:dyDescent="0.25">
      <c r="A183" s="10"/>
      <c r="B183" s="22" t="s">
        <v>146</v>
      </c>
      <c r="C183" s="1" t="s">
        <v>17</v>
      </c>
      <c r="D183" s="165"/>
      <c r="E183" s="3" t="s">
        <v>21</v>
      </c>
      <c r="F183" s="73" t="s">
        <v>443</v>
      </c>
      <c r="G183" s="11" t="s">
        <v>118</v>
      </c>
      <c r="H183" s="1">
        <v>4</v>
      </c>
      <c r="I183" s="47"/>
      <c r="J183" s="51"/>
      <c r="K183" s="37"/>
      <c r="L183" s="37"/>
      <c r="M183" s="38">
        <f t="shared" si="7"/>
        <v>0</v>
      </c>
      <c r="N183" s="39">
        <v>4</v>
      </c>
      <c r="O183" s="31">
        <v>4187.78</v>
      </c>
      <c r="P183" s="31">
        <v>3035.18</v>
      </c>
      <c r="Q183" s="79">
        <f t="shared" si="6"/>
        <v>1152.5999999999999</v>
      </c>
    </row>
    <row r="184" spans="1:18" s="13" customFormat="1" ht="15.75" x14ac:dyDescent="0.25">
      <c r="A184" s="10"/>
      <c r="B184" s="27" t="s">
        <v>102</v>
      </c>
      <c r="C184" s="1" t="s">
        <v>17</v>
      </c>
      <c r="D184" s="165"/>
      <c r="E184" s="17" t="s">
        <v>20</v>
      </c>
      <c r="F184" s="73" t="s">
        <v>411</v>
      </c>
      <c r="G184" s="74" t="s">
        <v>112</v>
      </c>
      <c r="H184" s="75">
        <v>10</v>
      </c>
      <c r="I184" s="76">
        <v>5</v>
      </c>
      <c r="J184" s="96">
        <f>1+1+2+1</f>
        <v>5</v>
      </c>
      <c r="K184" s="77">
        <f>845.24+845.24</f>
        <v>1690.48</v>
      </c>
      <c r="L184" s="77">
        <f>845.24+845.24</f>
        <v>1690.48</v>
      </c>
      <c r="M184" s="38">
        <f t="shared" si="7"/>
        <v>0</v>
      </c>
      <c r="N184" s="100">
        <f>3+1</f>
        <v>4</v>
      </c>
      <c r="O184" s="81">
        <f>7808.21+30833.77</f>
        <v>38641.980000000003</v>
      </c>
      <c r="P184" s="81">
        <f>7808.21+30833.77</f>
        <v>38641.980000000003</v>
      </c>
      <c r="Q184" s="12">
        <f t="shared" si="6"/>
        <v>0</v>
      </c>
      <c r="R184" s="141"/>
    </row>
    <row r="185" spans="1:18" s="13" customFormat="1" ht="15.75" x14ac:dyDescent="0.25">
      <c r="A185" s="10"/>
      <c r="B185" s="25" t="s">
        <v>102</v>
      </c>
      <c r="C185" s="1" t="s">
        <v>17</v>
      </c>
      <c r="D185" s="165"/>
      <c r="E185" s="17" t="s">
        <v>20</v>
      </c>
      <c r="F185" s="73" t="s">
        <v>469</v>
      </c>
      <c r="G185" s="11" t="s">
        <v>114</v>
      </c>
      <c r="H185" s="1">
        <v>6</v>
      </c>
      <c r="I185" s="58">
        <v>2</v>
      </c>
      <c r="J185" s="51">
        <v>2</v>
      </c>
      <c r="K185" s="40"/>
      <c r="L185" s="40"/>
      <c r="M185" s="38">
        <f t="shared" si="7"/>
        <v>0</v>
      </c>
      <c r="N185" s="41">
        <v>5</v>
      </c>
      <c r="O185" s="31">
        <v>16479.12</v>
      </c>
      <c r="P185" s="31">
        <v>16479.12</v>
      </c>
      <c r="Q185" s="12">
        <f t="shared" si="6"/>
        <v>0</v>
      </c>
    </row>
    <row r="186" spans="1:18" s="13" customFormat="1" ht="15.75" x14ac:dyDescent="0.25">
      <c r="A186" s="10"/>
      <c r="B186" s="27" t="s">
        <v>103</v>
      </c>
      <c r="C186" s="1" t="s">
        <v>17</v>
      </c>
      <c r="D186" s="165"/>
      <c r="E186" s="3" t="s">
        <v>20</v>
      </c>
      <c r="F186" s="73" t="s">
        <v>412</v>
      </c>
      <c r="G186" s="74" t="s">
        <v>112</v>
      </c>
      <c r="H186" s="75">
        <v>8</v>
      </c>
      <c r="I186" s="76">
        <v>5</v>
      </c>
      <c r="J186" s="96">
        <f>4+1</f>
        <v>5</v>
      </c>
      <c r="K186" s="77"/>
      <c r="L186" s="77"/>
      <c r="M186" s="38">
        <f t="shared" si="7"/>
        <v>0</v>
      </c>
      <c r="N186" s="100">
        <f>7+2+1</f>
        <v>10</v>
      </c>
      <c r="O186" s="77">
        <f>20193.14</f>
        <v>20193.14</v>
      </c>
      <c r="P186" s="77">
        <f>20193.14</f>
        <v>20193.14</v>
      </c>
      <c r="Q186" s="12">
        <f t="shared" si="6"/>
        <v>0</v>
      </c>
      <c r="R186" s="141"/>
    </row>
    <row r="187" spans="1:18" s="13" customFormat="1" ht="15.75" x14ac:dyDescent="0.25">
      <c r="A187" s="10"/>
      <c r="B187" s="25" t="s">
        <v>103</v>
      </c>
      <c r="C187" s="1" t="s">
        <v>17</v>
      </c>
      <c r="D187" s="165"/>
      <c r="E187" s="3" t="s">
        <v>20</v>
      </c>
      <c r="F187" s="73" t="s">
        <v>470</v>
      </c>
      <c r="G187" s="11" t="s">
        <v>114</v>
      </c>
      <c r="H187" s="1">
        <v>7</v>
      </c>
      <c r="I187" s="49"/>
      <c r="J187" s="51"/>
      <c r="K187" s="40"/>
      <c r="L187" s="40"/>
      <c r="M187" s="38">
        <f t="shared" si="7"/>
        <v>0</v>
      </c>
      <c r="N187" s="41">
        <v>4</v>
      </c>
      <c r="O187" s="31">
        <v>10431.89</v>
      </c>
      <c r="P187" s="31">
        <v>10431.89</v>
      </c>
      <c r="Q187" s="12">
        <f t="shared" si="6"/>
        <v>0</v>
      </c>
    </row>
    <row r="188" spans="1:18" s="15" customFormat="1" ht="15.75" x14ac:dyDescent="0.25">
      <c r="A188" s="14"/>
      <c r="B188" s="28" t="s">
        <v>104</v>
      </c>
      <c r="C188" s="1" t="s">
        <v>17</v>
      </c>
      <c r="D188" s="165"/>
      <c r="E188" s="3" t="s">
        <v>20</v>
      </c>
      <c r="F188" s="73" t="s">
        <v>413</v>
      </c>
      <c r="G188" s="74" t="s">
        <v>112</v>
      </c>
      <c r="H188" s="75">
        <v>8</v>
      </c>
      <c r="I188" s="76">
        <v>4</v>
      </c>
      <c r="J188" s="96">
        <f>3+1</f>
        <v>4</v>
      </c>
      <c r="K188" s="77">
        <f>5112.82+422.64</f>
        <v>5535.46</v>
      </c>
      <c r="L188" s="77">
        <f>5112.82+422.64</f>
        <v>5535.46</v>
      </c>
      <c r="M188" s="38">
        <f t="shared" si="7"/>
        <v>0</v>
      </c>
      <c r="N188" s="100">
        <f>4+1+1+2</f>
        <v>8</v>
      </c>
      <c r="O188" s="81">
        <f>7087.22+3426.18</f>
        <v>10513.4</v>
      </c>
      <c r="P188" s="81">
        <f>7087.22</f>
        <v>7087.22</v>
      </c>
      <c r="Q188" s="12">
        <f t="shared" si="6"/>
        <v>3426.1799999999994</v>
      </c>
      <c r="R188" s="141"/>
    </row>
    <row r="189" spans="1:18" s="15" customFormat="1" ht="15.75" x14ac:dyDescent="0.25">
      <c r="A189" s="14"/>
      <c r="B189" s="26" t="s">
        <v>104</v>
      </c>
      <c r="C189" s="1" t="s">
        <v>17</v>
      </c>
      <c r="D189" s="165"/>
      <c r="E189" s="3" t="s">
        <v>20</v>
      </c>
      <c r="F189" s="73" t="s">
        <v>471</v>
      </c>
      <c r="G189" s="11" t="s">
        <v>114</v>
      </c>
      <c r="H189" s="1">
        <v>23</v>
      </c>
      <c r="I189" s="49">
        <v>1</v>
      </c>
      <c r="J189" s="51">
        <v>1</v>
      </c>
      <c r="K189" s="40">
        <v>1267.8599999999999</v>
      </c>
      <c r="L189" s="40">
        <v>1267.8599999999999</v>
      </c>
      <c r="M189" s="38">
        <f t="shared" si="7"/>
        <v>0</v>
      </c>
      <c r="N189" s="39">
        <v>13</v>
      </c>
      <c r="O189" s="31">
        <v>21588.07</v>
      </c>
      <c r="P189" s="31">
        <v>21588.07</v>
      </c>
      <c r="Q189" s="12">
        <f t="shared" si="6"/>
        <v>0</v>
      </c>
    </row>
    <row r="190" spans="1:18" s="13" customFormat="1" ht="15.75" x14ac:dyDescent="0.25">
      <c r="A190" s="10"/>
      <c r="B190" s="30" t="s">
        <v>26</v>
      </c>
      <c r="C190" s="1" t="s">
        <v>17</v>
      </c>
      <c r="D190" s="165"/>
      <c r="E190" s="3" t="s">
        <v>32</v>
      </c>
      <c r="F190" s="73" t="s">
        <v>246</v>
      </c>
      <c r="G190" s="74" t="s">
        <v>117</v>
      </c>
      <c r="H190" s="75"/>
      <c r="I190" s="76"/>
      <c r="J190" s="96"/>
      <c r="K190" s="77"/>
      <c r="L190" s="77"/>
      <c r="M190" s="78">
        <f t="shared" si="7"/>
        <v>0</v>
      </c>
      <c r="N190" s="100">
        <v>5</v>
      </c>
      <c r="O190" s="81">
        <v>7808.15</v>
      </c>
      <c r="P190" s="81">
        <v>7808.15</v>
      </c>
      <c r="Q190" s="12">
        <f t="shared" si="6"/>
        <v>0</v>
      </c>
    </row>
    <row r="191" spans="1:18" s="13" customFormat="1" ht="15.75" x14ac:dyDescent="0.25">
      <c r="A191" s="10"/>
      <c r="B191" s="24" t="s">
        <v>105</v>
      </c>
      <c r="C191" s="1" t="s">
        <v>17</v>
      </c>
      <c r="D191" s="165"/>
      <c r="E191" s="17" t="s">
        <v>35</v>
      </c>
      <c r="F191" s="73" t="s">
        <v>436</v>
      </c>
      <c r="G191" s="11" t="s">
        <v>117</v>
      </c>
      <c r="H191" s="1"/>
      <c r="I191" s="47"/>
      <c r="J191" s="46"/>
      <c r="K191" s="40"/>
      <c r="L191" s="40"/>
      <c r="M191" s="38">
        <f t="shared" si="7"/>
        <v>0</v>
      </c>
      <c r="N191" s="41"/>
      <c r="O191" s="31"/>
      <c r="P191" s="31"/>
      <c r="Q191" s="79">
        <f t="shared" si="6"/>
        <v>0</v>
      </c>
    </row>
    <row r="192" spans="1:18" s="13" customFormat="1" ht="15.75" x14ac:dyDescent="0.25">
      <c r="A192" s="10"/>
      <c r="B192" s="62" t="s">
        <v>106</v>
      </c>
      <c r="C192" s="1" t="s">
        <v>17</v>
      </c>
      <c r="D192" s="2"/>
      <c r="E192" s="17" t="s">
        <v>20</v>
      </c>
      <c r="F192" s="73" t="s">
        <v>414</v>
      </c>
      <c r="G192" s="74" t="s">
        <v>112</v>
      </c>
      <c r="H192" s="75">
        <v>8</v>
      </c>
      <c r="I192" s="76"/>
      <c r="J192" s="96">
        <f>1</f>
        <v>1</v>
      </c>
      <c r="K192" s="77"/>
      <c r="L192" s="77"/>
      <c r="M192" s="38">
        <f t="shared" si="7"/>
        <v>0</v>
      </c>
      <c r="N192" s="100">
        <f>3+1</f>
        <v>4</v>
      </c>
      <c r="O192" s="81">
        <f>15956.85</f>
        <v>15956.85</v>
      </c>
      <c r="P192" s="81">
        <f>15956.85</f>
        <v>15956.85</v>
      </c>
      <c r="Q192" s="12">
        <f t="shared" si="6"/>
        <v>0</v>
      </c>
      <c r="R192" s="141"/>
    </row>
    <row r="193" spans="1:18" ht="15.75" x14ac:dyDescent="0.25">
      <c r="A193" s="7"/>
      <c r="B193" s="32"/>
      <c r="C193" s="107"/>
      <c r="D193" s="33"/>
      <c r="E193" s="33"/>
      <c r="F193" s="73"/>
      <c r="G193" s="8" t="s">
        <v>131</v>
      </c>
      <c r="H193" s="106">
        <f t="shared" ref="H193:P193" si="9">SUM(H10:H192)</f>
        <v>1453</v>
      </c>
      <c r="I193" s="59">
        <f t="shared" si="9"/>
        <v>572</v>
      </c>
      <c r="J193" s="43">
        <f t="shared" si="9"/>
        <v>660</v>
      </c>
      <c r="K193" s="56">
        <f t="shared" si="9"/>
        <v>819535.73499999999</v>
      </c>
      <c r="L193" s="56">
        <f t="shared" si="9"/>
        <v>649412.20499999973</v>
      </c>
      <c r="M193" s="44">
        <f>K193-L193</f>
        <v>170123.53000000026</v>
      </c>
      <c r="N193" s="43">
        <f t="shared" si="9"/>
        <v>1414</v>
      </c>
      <c r="O193" s="57">
        <f t="shared" si="9"/>
        <v>3896537.88</v>
      </c>
      <c r="P193" s="57">
        <f t="shared" si="9"/>
        <v>3606319.21</v>
      </c>
      <c r="Q193" s="79">
        <f t="shared" si="6"/>
        <v>290218.66999999993</v>
      </c>
      <c r="R193" s="129"/>
    </row>
    <row r="194" spans="1:18" x14ac:dyDescent="0.25">
      <c r="K194" s="91" t="s">
        <v>305</v>
      </c>
    </row>
    <row r="195" spans="1:18" ht="45" x14ac:dyDescent="0.25">
      <c r="B195" s="89" t="s">
        <v>316</v>
      </c>
      <c r="F195" s="104" t="s">
        <v>317</v>
      </c>
      <c r="M195" s="142"/>
      <c r="Q195" s="133"/>
    </row>
  </sheetData>
  <mergeCells count="7">
    <mergeCell ref="O1:Q1"/>
    <mergeCell ref="A3:Q3"/>
    <mergeCell ref="A4:Q4"/>
    <mergeCell ref="A5:Q5"/>
    <mergeCell ref="B7:G7"/>
    <mergeCell ref="H7:M7"/>
    <mergeCell ref="N7:Q7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95"/>
  <sheetViews>
    <sheetView zoomScale="89" zoomScaleNormal="89" workbookViewId="0">
      <selection sqref="A1:XFD1048576"/>
    </sheetView>
  </sheetViews>
  <sheetFormatPr defaultRowHeight="15" x14ac:dyDescent="0.25"/>
  <cols>
    <col min="1" max="1" width="1.85546875" style="6" customWidth="1"/>
    <col min="2" max="2" width="38.28515625" style="88" customWidth="1"/>
    <col min="3" max="3" width="6.5703125" style="19" customWidth="1"/>
    <col min="4" max="4" width="17.42578125" style="19" customWidth="1"/>
    <col min="5" max="5" width="19" style="19" customWidth="1"/>
    <col min="6" max="6" width="18.42578125" style="89" customWidth="1"/>
    <col min="7" max="7" width="27.28515625" style="89" customWidth="1"/>
    <col min="8" max="8" width="13" style="90" customWidth="1"/>
    <col min="9" max="9" width="18.42578125" style="90" customWidth="1"/>
    <col min="10" max="10" width="7.140625" style="99" customWidth="1"/>
    <col min="11" max="13" width="18.42578125" style="91" customWidth="1"/>
    <col min="14" max="14" width="18.42578125" style="99" customWidth="1"/>
    <col min="15" max="15" width="18.42578125" style="92" customWidth="1"/>
    <col min="16" max="16" width="16" style="92" customWidth="1"/>
    <col min="17" max="17" width="14.42578125" style="92" customWidth="1"/>
    <col min="18" max="18" width="11.7109375" style="6" customWidth="1"/>
    <col min="19" max="19" width="9.42578125" style="6" customWidth="1"/>
    <col min="20" max="21" width="9.140625" style="6" customWidth="1"/>
    <col min="22" max="16384" width="9.140625" style="6"/>
  </cols>
  <sheetData>
    <row r="1" spans="1:18" s="105" customFormat="1" x14ac:dyDescent="0.25">
      <c r="B1" s="60"/>
      <c r="C1" s="4"/>
      <c r="D1" s="4"/>
      <c r="E1" s="4"/>
      <c r="F1" s="63"/>
      <c r="G1" s="63"/>
      <c r="H1" s="64"/>
      <c r="I1" s="64"/>
      <c r="J1" s="93"/>
      <c r="K1" s="65"/>
      <c r="L1" s="65"/>
      <c r="M1" s="65"/>
      <c r="N1" s="93"/>
      <c r="O1" s="362" t="s">
        <v>15</v>
      </c>
      <c r="P1" s="362"/>
      <c r="Q1" s="362"/>
    </row>
    <row r="2" spans="1:18" s="105" customFormat="1" x14ac:dyDescent="0.25">
      <c r="A2" s="7"/>
      <c r="B2" s="177"/>
      <c r="C2" s="107"/>
      <c r="D2" s="107"/>
      <c r="E2" s="107"/>
      <c r="F2" s="66"/>
      <c r="G2" s="66"/>
      <c r="H2" s="176"/>
      <c r="I2" s="176"/>
      <c r="J2" s="94"/>
      <c r="K2" s="67"/>
      <c r="L2" s="67"/>
      <c r="M2" s="67"/>
      <c r="N2" s="94"/>
      <c r="O2" s="68"/>
      <c r="P2" s="68"/>
      <c r="Q2" s="68"/>
    </row>
    <row r="3" spans="1:18" s="105" customFormat="1" x14ac:dyDescent="0.25">
      <c r="A3" s="363" t="s">
        <v>318</v>
      </c>
      <c r="B3" s="364"/>
      <c r="C3" s="363"/>
      <c r="D3" s="363"/>
      <c r="E3" s="363"/>
      <c r="F3" s="364"/>
      <c r="G3" s="364"/>
      <c r="H3" s="365"/>
      <c r="I3" s="366"/>
      <c r="J3" s="367"/>
      <c r="K3" s="364"/>
      <c r="L3" s="364"/>
      <c r="M3" s="364"/>
      <c r="N3" s="364"/>
      <c r="O3" s="364"/>
      <c r="P3" s="364"/>
      <c r="Q3" s="364"/>
    </row>
    <row r="4" spans="1:18" s="105" customFormat="1" x14ac:dyDescent="0.25">
      <c r="A4" s="368">
        <v>43626</v>
      </c>
      <c r="B4" s="369"/>
      <c r="C4" s="370"/>
      <c r="D4" s="370"/>
      <c r="E4" s="370"/>
      <c r="F4" s="369"/>
      <c r="G4" s="369"/>
      <c r="H4" s="371"/>
      <c r="I4" s="372"/>
      <c r="J4" s="373"/>
      <c r="K4" s="369"/>
      <c r="L4" s="369"/>
      <c r="M4" s="369"/>
      <c r="N4" s="369"/>
      <c r="O4" s="369"/>
      <c r="P4" s="369"/>
      <c r="Q4" s="369"/>
    </row>
    <row r="5" spans="1:18" s="105" customFormat="1" x14ac:dyDescent="0.25">
      <c r="A5" s="374" t="s">
        <v>14</v>
      </c>
      <c r="B5" s="367"/>
      <c r="C5" s="374"/>
      <c r="D5" s="374"/>
      <c r="E5" s="374"/>
      <c r="F5" s="367"/>
      <c r="G5" s="367"/>
      <c r="H5" s="366"/>
      <c r="I5" s="366"/>
      <c r="J5" s="367"/>
      <c r="K5" s="367"/>
      <c r="L5" s="367"/>
      <c r="M5" s="367"/>
      <c r="N5" s="367"/>
      <c r="O5" s="367"/>
      <c r="P5" s="367"/>
      <c r="Q5" s="367"/>
    </row>
    <row r="6" spans="1:18" s="105" customFormat="1" x14ac:dyDescent="0.25">
      <c r="A6" s="7"/>
      <c r="B6" s="177"/>
      <c r="C6" s="107"/>
      <c r="D6" s="107"/>
      <c r="E6" s="107"/>
      <c r="F6" s="66"/>
      <c r="G6" s="66"/>
      <c r="H6" s="176"/>
      <c r="I6" s="176"/>
      <c r="J6" s="94"/>
      <c r="K6" s="67"/>
      <c r="L6" s="67"/>
      <c r="M6" s="67"/>
      <c r="N6" s="94"/>
      <c r="O6" s="68"/>
      <c r="P6" s="68"/>
      <c r="Q6" s="68"/>
    </row>
    <row r="7" spans="1:18" x14ac:dyDescent="0.25">
      <c r="A7" s="5" t="s">
        <v>0</v>
      </c>
      <c r="B7" s="364" t="s">
        <v>10</v>
      </c>
      <c r="C7" s="375"/>
      <c r="D7" s="375"/>
      <c r="E7" s="375"/>
      <c r="F7" s="364"/>
      <c r="G7" s="364"/>
      <c r="H7" s="365" t="s">
        <v>472</v>
      </c>
      <c r="I7" s="366"/>
      <c r="J7" s="367"/>
      <c r="K7" s="364"/>
      <c r="L7" s="364"/>
      <c r="M7" s="364"/>
      <c r="N7" s="364" t="s">
        <v>132</v>
      </c>
      <c r="O7" s="364"/>
      <c r="P7" s="364"/>
      <c r="Q7" s="364"/>
    </row>
    <row r="8" spans="1:18" ht="180" x14ac:dyDescent="0.25">
      <c r="A8" s="5"/>
      <c r="B8" s="177" t="s">
        <v>4</v>
      </c>
      <c r="C8" s="107" t="s">
        <v>1</v>
      </c>
      <c r="D8" s="107" t="s">
        <v>3</v>
      </c>
      <c r="E8" s="107" t="s">
        <v>2</v>
      </c>
      <c r="F8" s="122" t="s">
        <v>6</v>
      </c>
      <c r="G8" s="66" t="s">
        <v>5</v>
      </c>
      <c r="H8" s="177" t="s">
        <v>7</v>
      </c>
      <c r="I8" s="177" t="s">
        <v>8</v>
      </c>
      <c r="J8" s="94" t="s">
        <v>9</v>
      </c>
      <c r="K8" s="67" t="s">
        <v>11</v>
      </c>
      <c r="L8" s="67" t="s">
        <v>12</v>
      </c>
      <c r="M8" s="67" t="s">
        <v>13</v>
      </c>
      <c r="N8" s="94" t="s">
        <v>9</v>
      </c>
      <c r="O8" s="68" t="s">
        <v>11</v>
      </c>
      <c r="P8" s="68" t="s">
        <v>12</v>
      </c>
      <c r="Q8" s="68" t="s">
        <v>13</v>
      </c>
    </row>
    <row r="9" spans="1:18" x14ac:dyDescent="0.25">
      <c r="A9" s="9">
        <v>1</v>
      </c>
      <c r="B9" s="61">
        <f>A9+1</f>
        <v>2</v>
      </c>
      <c r="C9" s="9">
        <f t="shared" ref="C9:Q9" si="0">B9+1</f>
        <v>3</v>
      </c>
      <c r="D9" s="9">
        <f t="shared" si="0"/>
        <v>4</v>
      </c>
      <c r="E9" s="9">
        <f t="shared" si="0"/>
        <v>5</v>
      </c>
      <c r="F9" s="69">
        <f t="shared" si="0"/>
        <v>6</v>
      </c>
      <c r="G9" s="69">
        <f t="shared" si="0"/>
        <v>7</v>
      </c>
      <c r="H9" s="70">
        <f t="shared" si="0"/>
        <v>8</v>
      </c>
      <c r="I9" s="70">
        <f t="shared" si="0"/>
        <v>9</v>
      </c>
      <c r="J9" s="95">
        <f t="shared" si="0"/>
        <v>10</v>
      </c>
      <c r="K9" s="71">
        <f t="shared" si="0"/>
        <v>11</v>
      </c>
      <c r="L9" s="71">
        <f t="shared" si="0"/>
        <v>12</v>
      </c>
      <c r="M9" s="71">
        <f t="shared" si="0"/>
        <v>13</v>
      </c>
      <c r="N9" s="95">
        <f t="shared" si="0"/>
        <v>14</v>
      </c>
      <c r="O9" s="72">
        <f t="shared" si="0"/>
        <v>15</v>
      </c>
      <c r="P9" s="72">
        <f t="shared" si="0"/>
        <v>16</v>
      </c>
      <c r="Q9" s="72">
        <f t="shared" si="0"/>
        <v>17</v>
      </c>
    </row>
    <row r="10" spans="1:18" s="13" customFormat="1" ht="31.5" x14ac:dyDescent="0.25">
      <c r="A10" s="10"/>
      <c r="B10" s="62" t="s">
        <v>16</v>
      </c>
      <c r="C10" s="1" t="s">
        <v>304</v>
      </c>
      <c r="D10" s="165" t="s">
        <v>315</v>
      </c>
      <c r="E10" s="3" t="s">
        <v>18</v>
      </c>
      <c r="F10" s="73" t="s">
        <v>322</v>
      </c>
      <c r="G10" s="74" t="s">
        <v>112</v>
      </c>
      <c r="H10" s="75">
        <v>11</v>
      </c>
      <c r="I10" s="76">
        <v>6</v>
      </c>
      <c r="J10" s="98">
        <f>2+1+3</f>
        <v>6</v>
      </c>
      <c r="K10" s="77">
        <f>4792.51+1138.19+504.26+11366.06+4885.68</f>
        <v>22686.7</v>
      </c>
      <c r="L10" s="77">
        <f>4792.51+1138.19+504.26+11366.06</f>
        <v>17801.02</v>
      </c>
      <c r="M10" s="78">
        <f>K10-L10</f>
        <v>4885.68</v>
      </c>
      <c r="N10" s="100">
        <f>2+5+1+2+1</f>
        <v>11</v>
      </c>
      <c r="O10" s="77">
        <f>9108.77+6924.32+11366.06+8197.52</f>
        <v>35596.67</v>
      </c>
      <c r="P10" s="77">
        <f>9108.77+6924.32+11366.06</f>
        <v>27399.15</v>
      </c>
      <c r="Q10" s="79">
        <f>O10-P10</f>
        <v>8197.5199999999968</v>
      </c>
      <c r="R10" s="141"/>
    </row>
    <row r="11" spans="1:18" s="13" customFormat="1" ht="31.5" x14ac:dyDescent="0.25">
      <c r="A11" s="10"/>
      <c r="B11" s="22" t="s">
        <v>16</v>
      </c>
      <c r="C11" s="1" t="s">
        <v>304</v>
      </c>
      <c r="D11" s="165" t="s">
        <v>315</v>
      </c>
      <c r="E11" s="3" t="s">
        <v>18</v>
      </c>
      <c r="F11" s="73" t="s">
        <v>322</v>
      </c>
      <c r="G11" s="11" t="s">
        <v>116</v>
      </c>
      <c r="H11" s="1">
        <v>5</v>
      </c>
      <c r="I11" s="49">
        <v>2</v>
      </c>
      <c r="J11" s="46">
        <v>2</v>
      </c>
      <c r="K11" s="31">
        <v>4534</v>
      </c>
      <c r="L11" s="31">
        <v>4534</v>
      </c>
      <c r="M11" s="38">
        <f t="shared" ref="M11:M84" si="1">K11-L11</f>
        <v>0</v>
      </c>
      <c r="N11" s="41">
        <v>1</v>
      </c>
      <c r="O11" s="31">
        <v>2945</v>
      </c>
      <c r="P11" s="31">
        <v>2945</v>
      </c>
      <c r="Q11" s="12">
        <f t="shared" ref="Q11:Q79" si="2">O11-P11</f>
        <v>0</v>
      </c>
    </row>
    <row r="12" spans="1:18" s="13" customFormat="1" ht="15.75" x14ac:dyDescent="0.25">
      <c r="A12" s="10"/>
      <c r="B12" s="22" t="s">
        <v>490</v>
      </c>
      <c r="C12" s="1"/>
      <c r="D12" s="165"/>
      <c r="E12" s="3"/>
      <c r="F12" s="167" t="s">
        <v>501</v>
      </c>
      <c r="G12" s="11" t="s">
        <v>112</v>
      </c>
      <c r="H12" s="1">
        <v>7</v>
      </c>
      <c r="I12" s="49">
        <v>5</v>
      </c>
      <c r="J12" s="46">
        <f>5+1</f>
        <v>6</v>
      </c>
      <c r="K12" s="31">
        <f>8352.39+384.2</f>
        <v>8736.59</v>
      </c>
      <c r="L12" s="31"/>
      <c r="M12" s="38"/>
      <c r="N12" s="41"/>
      <c r="O12" s="31"/>
      <c r="P12" s="31"/>
      <c r="Q12" s="12"/>
    </row>
    <row r="13" spans="1:18" s="15" customFormat="1" ht="15.75" x14ac:dyDescent="0.25">
      <c r="A13" s="14"/>
      <c r="B13" s="80" t="s">
        <v>19</v>
      </c>
      <c r="C13" s="1" t="s">
        <v>17</v>
      </c>
      <c r="D13" s="165"/>
      <c r="E13" s="3" t="s">
        <v>20</v>
      </c>
      <c r="F13" s="73" t="s">
        <v>323</v>
      </c>
      <c r="G13" s="74" t="s">
        <v>112</v>
      </c>
      <c r="H13" s="75">
        <v>9</v>
      </c>
      <c r="I13" s="76">
        <v>7</v>
      </c>
      <c r="J13" s="96">
        <f>1+2+5+2+1</f>
        <v>11</v>
      </c>
      <c r="K13" s="77">
        <f>422.62+4792.51+1796.14</f>
        <v>7011.27</v>
      </c>
      <c r="L13" s="77">
        <f>422.62+1792.51</f>
        <v>2215.13</v>
      </c>
      <c r="M13" s="78">
        <f t="shared" si="1"/>
        <v>4796.1400000000003</v>
      </c>
      <c r="N13" s="100">
        <f>8+3+1</f>
        <v>12</v>
      </c>
      <c r="O13" s="81">
        <f>6459.36+7124.45</f>
        <v>13583.81</v>
      </c>
      <c r="P13" s="81">
        <v>6459.36</v>
      </c>
      <c r="Q13" s="79">
        <f t="shared" si="2"/>
        <v>7124.45</v>
      </c>
      <c r="R13" s="141"/>
    </row>
    <row r="14" spans="1:18" s="15" customFormat="1" ht="15.75" x14ac:dyDescent="0.25">
      <c r="A14" s="14"/>
      <c r="B14" s="23" t="s">
        <v>19</v>
      </c>
      <c r="C14" s="1" t="s">
        <v>17</v>
      </c>
      <c r="D14" s="165"/>
      <c r="E14" s="3" t="s">
        <v>20</v>
      </c>
      <c r="F14" s="73" t="s">
        <v>451</v>
      </c>
      <c r="G14" s="11" t="s">
        <v>114</v>
      </c>
      <c r="H14" s="1">
        <v>5</v>
      </c>
      <c r="I14" s="49">
        <v>1</v>
      </c>
      <c r="J14" s="51">
        <v>1</v>
      </c>
      <c r="K14" s="40">
        <v>1267.68</v>
      </c>
      <c r="L14" s="40">
        <v>1267.68</v>
      </c>
      <c r="M14" s="38">
        <f t="shared" si="1"/>
        <v>0</v>
      </c>
      <c r="N14" s="42">
        <v>8</v>
      </c>
      <c r="O14" s="31">
        <v>14767.7</v>
      </c>
      <c r="P14" s="31">
        <v>14767.7</v>
      </c>
      <c r="Q14" s="12">
        <f t="shared" si="2"/>
        <v>0</v>
      </c>
    </row>
    <row r="15" spans="1:18" s="15" customFormat="1" ht="15.75" x14ac:dyDescent="0.25">
      <c r="A15" s="14"/>
      <c r="B15" s="62" t="s">
        <v>153</v>
      </c>
      <c r="C15" s="1" t="s">
        <v>17</v>
      </c>
      <c r="D15" s="165"/>
      <c r="E15" s="3" t="s">
        <v>20</v>
      </c>
      <c r="F15" s="73" t="s">
        <v>324</v>
      </c>
      <c r="G15" s="74" t="s">
        <v>112</v>
      </c>
      <c r="H15" s="75">
        <v>5</v>
      </c>
      <c r="I15" s="82">
        <v>3</v>
      </c>
      <c r="J15" s="96">
        <f>1+1+2+1+1</f>
        <v>6</v>
      </c>
      <c r="K15" s="77">
        <f>950.9+2451.87+3074.57+845.24</f>
        <v>7322.58</v>
      </c>
      <c r="L15" s="77">
        <f>950.9+2451.87+3074.57</f>
        <v>6477.34</v>
      </c>
      <c r="M15" s="78">
        <f t="shared" si="1"/>
        <v>845.23999999999978</v>
      </c>
      <c r="N15" s="114">
        <f>1+2+1+2+1</f>
        <v>7</v>
      </c>
      <c r="O15" s="81">
        <f>422.62+945.61+2484.69+7964.81+1536.8</f>
        <v>13354.529999999999</v>
      </c>
      <c r="P15" s="81">
        <f>422.62+945.61+2484.69+7964.81</f>
        <v>11817.73</v>
      </c>
      <c r="Q15" s="79">
        <f t="shared" si="2"/>
        <v>1536.7999999999993</v>
      </c>
      <c r="R15" s="141"/>
    </row>
    <row r="16" spans="1:18" s="15" customFormat="1" ht="15.75" x14ac:dyDescent="0.25">
      <c r="A16" s="14"/>
      <c r="B16" s="50" t="s">
        <v>153</v>
      </c>
      <c r="C16" s="1" t="s">
        <v>17</v>
      </c>
      <c r="D16" s="165"/>
      <c r="E16" s="3" t="s">
        <v>20</v>
      </c>
      <c r="F16" s="73" t="s">
        <v>452</v>
      </c>
      <c r="G16" s="11" t="s">
        <v>114</v>
      </c>
      <c r="H16" s="1">
        <v>11</v>
      </c>
      <c r="I16" s="49">
        <v>1</v>
      </c>
      <c r="J16" s="51">
        <v>1</v>
      </c>
      <c r="K16" s="40">
        <v>1267.8599999999999</v>
      </c>
      <c r="L16" s="40">
        <v>1267.8599999999999</v>
      </c>
      <c r="M16" s="38">
        <f t="shared" si="1"/>
        <v>0</v>
      </c>
      <c r="N16" s="42">
        <v>7</v>
      </c>
      <c r="O16" s="31">
        <v>22539.8</v>
      </c>
      <c r="P16" s="31">
        <v>22539.8</v>
      </c>
      <c r="Q16" s="12">
        <f t="shared" si="2"/>
        <v>0</v>
      </c>
    </row>
    <row r="17" spans="1:18" s="13" customFormat="1" ht="15.75" x14ac:dyDescent="0.25">
      <c r="A17" s="10"/>
      <c r="B17" s="30" t="s">
        <v>22</v>
      </c>
      <c r="C17" s="1" t="s">
        <v>17</v>
      </c>
      <c r="D17" s="165"/>
      <c r="E17" s="3" t="s">
        <v>23</v>
      </c>
      <c r="F17" s="73" t="s">
        <v>325</v>
      </c>
      <c r="G17" s="74" t="s">
        <v>112</v>
      </c>
      <c r="H17" s="75">
        <v>15</v>
      </c>
      <c r="I17" s="76">
        <v>3</v>
      </c>
      <c r="J17" s="96">
        <f>1+2+1</f>
        <v>4</v>
      </c>
      <c r="K17" s="77">
        <f>2698.64+1402.33</f>
        <v>4100.9699999999993</v>
      </c>
      <c r="L17" s="77">
        <f>2698.64+1402.33</f>
        <v>4100.9699999999993</v>
      </c>
      <c r="M17" s="78">
        <f t="shared" si="1"/>
        <v>0</v>
      </c>
      <c r="N17" s="100">
        <f>14+3+7+1</f>
        <v>25</v>
      </c>
      <c r="O17" s="81">
        <f>22716.4+4171.06+18768.39</f>
        <v>45655.850000000006</v>
      </c>
      <c r="P17" s="81">
        <f>22716.4+4171.06+18768.39</f>
        <v>45655.850000000006</v>
      </c>
      <c r="Q17" s="79">
        <f t="shared" si="2"/>
        <v>0</v>
      </c>
      <c r="R17" s="141"/>
    </row>
    <row r="18" spans="1:18" s="13" customFormat="1" ht="15.75" x14ac:dyDescent="0.25">
      <c r="A18" s="10"/>
      <c r="B18" s="24" t="s">
        <v>154</v>
      </c>
      <c r="C18" s="1" t="s">
        <v>17</v>
      </c>
      <c r="D18" s="165"/>
      <c r="E18" s="3" t="s">
        <v>20</v>
      </c>
      <c r="F18" s="73" t="s">
        <v>453</v>
      </c>
      <c r="G18" s="11" t="s">
        <v>114</v>
      </c>
      <c r="H18" s="1">
        <v>14</v>
      </c>
      <c r="I18" s="47"/>
      <c r="J18" s="51"/>
      <c r="K18" s="37"/>
      <c r="L18" s="37"/>
      <c r="M18" s="38">
        <f t="shared" si="1"/>
        <v>0</v>
      </c>
      <c r="N18" s="39">
        <v>6</v>
      </c>
      <c r="O18" s="31">
        <v>11732.1</v>
      </c>
      <c r="P18" s="31">
        <v>11732.1</v>
      </c>
      <c r="Q18" s="12">
        <f t="shared" si="2"/>
        <v>0</v>
      </c>
    </row>
    <row r="19" spans="1:18" s="13" customFormat="1" ht="15.75" x14ac:dyDescent="0.25">
      <c r="A19" s="10"/>
      <c r="B19" s="30" t="s">
        <v>154</v>
      </c>
      <c r="C19" s="1" t="s">
        <v>17</v>
      </c>
      <c r="D19" s="165"/>
      <c r="E19" s="3" t="s">
        <v>20</v>
      </c>
      <c r="F19" s="73" t="s">
        <v>326</v>
      </c>
      <c r="G19" s="74" t="s">
        <v>112</v>
      </c>
      <c r="H19" s="75">
        <v>15</v>
      </c>
      <c r="I19" s="76">
        <v>7</v>
      </c>
      <c r="J19" s="96">
        <f>1+1+2+2+2</f>
        <v>8</v>
      </c>
      <c r="K19" s="77">
        <f>950.9+864.46+845.24+405.02</f>
        <v>3065.6200000000003</v>
      </c>
      <c r="L19" s="77">
        <f>950.9+272.68+1523.55-86.53</f>
        <v>2660.6</v>
      </c>
      <c r="M19" s="78">
        <f t="shared" si="1"/>
        <v>405.02000000000044</v>
      </c>
      <c r="N19" s="100">
        <f>6+3+1+1+1+2</f>
        <v>14</v>
      </c>
      <c r="O19" s="128">
        <f>6681.33+7017+1523.5</f>
        <v>15221.83</v>
      </c>
      <c r="P19" s="128">
        <f>6681.33+7017+1523.5</f>
        <v>15221.83</v>
      </c>
      <c r="Q19" s="79">
        <f t="shared" si="2"/>
        <v>0</v>
      </c>
      <c r="R19" s="141"/>
    </row>
    <row r="20" spans="1:18" s="13" customFormat="1" ht="15.75" x14ac:dyDescent="0.25">
      <c r="A20" s="10"/>
      <c r="B20" s="62" t="s">
        <v>24</v>
      </c>
      <c r="C20" s="1" t="s">
        <v>17</v>
      </c>
      <c r="D20" s="165"/>
      <c r="E20" s="3" t="s">
        <v>20</v>
      </c>
      <c r="F20" s="73" t="s">
        <v>327</v>
      </c>
      <c r="G20" s="74" t="s">
        <v>112</v>
      </c>
      <c r="H20" s="75">
        <v>6</v>
      </c>
      <c r="I20" s="76">
        <v>3</v>
      </c>
      <c r="J20" s="96">
        <f>3</f>
        <v>3</v>
      </c>
      <c r="K20" s="77">
        <f>1191.02</f>
        <v>1191.02</v>
      </c>
      <c r="L20" s="77"/>
      <c r="M20" s="38">
        <f t="shared" si="1"/>
        <v>1191.02</v>
      </c>
      <c r="N20" s="100">
        <f>1+1</f>
        <v>2</v>
      </c>
      <c r="O20" s="81">
        <f>576.3+1810.93</f>
        <v>2387.23</v>
      </c>
      <c r="P20" s="81">
        <f>576.3</f>
        <v>576.29999999999995</v>
      </c>
      <c r="Q20" s="12">
        <f t="shared" si="2"/>
        <v>1810.93</v>
      </c>
      <c r="R20" s="141"/>
    </row>
    <row r="21" spans="1:18" s="13" customFormat="1" ht="15.75" x14ac:dyDescent="0.25">
      <c r="A21" s="10"/>
      <c r="B21" s="22" t="s">
        <v>24</v>
      </c>
      <c r="C21" s="1" t="s">
        <v>17</v>
      </c>
      <c r="D21" s="165"/>
      <c r="E21" s="3" t="s">
        <v>20</v>
      </c>
      <c r="F21" s="73" t="s">
        <v>454</v>
      </c>
      <c r="G21" s="11" t="s">
        <v>114</v>
      </c>
      <c r="H21" s="1">
        <v>8</v>
      </c>
      <c r="I21" s="49"/>
      <c r="J21" s="51"/>
      <c r="K21" s="40"/>
      <c r="L21" s="40"/>
      <c r="M21" s="78">
        <f t="shared" si="1"/>
        <v>0</v>
      </c>
      <c r="N21" s="41">
        <v>7</v>
      </c>
      <c r="O21" s="31">
        <v>14635.6</v>
      </c>
      <c r="P21" s="31">
        <v>14635.6</v>
      </c>
      <c r="Q21" s="12">
        <f t="shared" si="2"/>
        <v>0</v>
      </c>
    </row>
    <row r="22" spans="1:18" s="13" customFormat="1" ht="15.75" x14ac:dyDescent="0.25">
      <c r="A22" s="10"/>
      <c r="B22" s="62" t="s">
        <v>25</v>
      </c>
      <c r="C22" s="1" t="s">
        <v>17</v>
      </c>
      <c r="D22" s="165"/>
      <c r="E22" s="3" t="s">
        <v>20</v>
      </c>
      <c r="F22" s="73" t="s">
        <v>328</v>
      </c>
      <c r="G22" s="74" t="s">
        <v>112</v>
      </c>
      <c r="H22" s="75">
        <v>6</v>
      </c>
      <c r="I22" s="76">
        <v>2</v>
      </c>
      <c r="J22" s="96">
        <f>1+1+1</f>
        <v>3</v>
      </c>
      <c r="K22" s="173">
        <v>403.41</v>
      </c>
      <c r="L22" s="77"/>
      <c r="M22" s="78">
        <f t="shared" si="1"/>
        <v>403.41</v>
      </c>
      <c r="N22" s="100">
        <f>6+1+2</f>
        <v>9</v>
      </c>
      <c r="O22" s="81">
        <f>14526.7+5595.3+2440.62</f>
        <v>22562.62</v>
      </c>
      <c r="P22" s="81">
        <f>14526.7-1743.31</f>
        <v>12783.390000000001</v>
      </c>
      <c r="Q22" s="12">
        <f t="shared" si="2"/>
        <v>9779.2299999999977</v>
      </c>
      <c r="R22" s="141"/>
    </row>
    <row r="23" spans="1:18" s="13" customFormat="1" ht="15.75" x14ac:dyDescent="0.25">
      <c r="A23" s="10"/>
      <c r="B23" s="22" t="s">
        <v>25</v>
      </c>
      <c r="C23" s="1" t="s">
        <v>17</v>
      </c>
      <c r="D23" s="165"/>
      <c r="E23" s="3" t="s">
        <v>20</v>
      </c>
      <c r="F23" s="73" t="s">
        <v>455</v>
      </c>
      <c r="G23" s="11" t="s">
        <v>114</v>
      </c>
      <c r="H23" s="1">
        <v>2</v>
      </c>
      <c r="I23" s="49"/>
      <c r="J23" s="51"/>
      <c r="K23" s="40"/>
      <c r="L23" s="40"/>
      <c r="M23" s="78">
        <f t="shared" si="1"/>
        <v>0</v>
      </c>
      <c r="N23" s="41">
        <v>2</v>
      </c>
      <c r="O23" s="31">
        <v>4146.2</v>
      </c>
      <c r="P23" s="31">
        <f>4146.2</f>
        <v>4146.2</v>
      </c>
      <c r="Q23" s="12">
        <f t="shared" si="2"/>
        <v>0</v>
      </c>
    </row>
    <row r="24" spans="1:18" s="13" customFormat="1" ht="15.75" x14ac:dyDescent="0.25">
      <c r="A24" s="10"/>
      <c r="B24" s="62" t="s">
        <v>26</v>
      </c>
      <c r="C24" s="1" t="s">
        <v>17</v>
      </c>
      <c r="D24" s="165"/>
      <c r="E24" s="3" t="s">
        <v>27</v>
      </c>
      <c r="F24" s="73" t="s">
        <v>329</v>
      </c>
      <c r="G24" s="74" t="s">
        <v>112</v>
      </c>
      <c r="H24" s="75">
        <v>12</v>
      </c>
      <c r="I24" s="76">
        <v>4</v>
      </c>
      <c r="J24" s="96">
        <f>2+2</f>
        <v>4</v>
      </c>
      <c r="K24" s="77">
        <f>845.24+1056.55</f>
        <v>1901.79</v>
      </c>
      <c r="L24" s="77">
        <f>845.24</f>
        <v>845.24</v>
      </c>
      <c r="M24" s="38">
        <f t="shared" si="1"/>
        <v>1056.55</v>
      </c>
      <c r="N24" s="100">
        <f>6+1+1</f>
        <v>8</v>
      </c>
      <c r="O24" s="81">
        <f>17838.53+2535.75+7238.9</f>
        <v>27613.18</v>
      </c>
      <c r="P24" s="81">
        <f>17838.53+2535.75+7238.9</f>
        <v>27613.18</v>
      </c>
      <c r="Q24" s="12">
        <f t="shared" si="2"/>
        <v>0</v>
      </c>
      <c r="R24" s="141"/>
    </row>
    <row r="25" spans="1:18" s="15" customFormat="1" ht="15.75" x14ac:dyDescent="0.25">
      <c r="A25" s="14"/>
      <c r="B25" s="80" t="s">
        <v>28</v>
      </c>
      <c r="C25" s="1" t="s">
        <v>17</v>
      </c>
      <c r="D25" s="165"/>
      <c r="E25" s="17" t="s">
        <v>29</v>
      </c>
      <c r="F25" s="73" t="s">
        <v>330</v>
      </c>
      <c r="G25" s="74" t="s">
        <v>112</v>
      </c>
      <c r="H25" s="75">
        <v>5</v>
      </c>
      <c r="I25" s="76">
        <v>3</v>
      </c>
      <c r="J25" s="96">
        <f>2+1</f>
        <v>3</v>
      </c>
      <c r="K25" s="77">
        <f>6135.14</f>
        <v>6135.14</v>
      </c>
      <c r="L25" s="77">
        <f>6135.14</f>
        <v>6135.14</v>
      </c>
      <c r="M25" s="38">
        <f t="shared" si="1"/>
        <v>0</v>
      </c>
      <c r="N25" s="100">
        <f>3+2+4+3</f>
        <v>12</v>
      </c>
      <c r="O25" s="81">
        <f>5310.83+4630.52+14679.01+36087.29</f>
        <v>60707.65</v>
      </c>
      <c r="P25" s="81">
        <f>5310.83+4630.52+14679.01+36087.29</f>
        <v>60707.65</v>
      </c>
      <c r="Q25" s="12">
        <f t="shared" si="2"/>
        <v>0</v>
      </c>
      <c r="R25" s="141"/>
    </row>
    <row r="26" spans="1:18" s="15" customFormat="1" ht="15.75" x14ac:dyDescent="0.25">
      <c r="A26" s="14"/>
      <c r="B26" s="23" t="s">
        <v>28</v>
      </c>
      <c r="C26" s="1" t="s">
        <v>17</v>
      </c>
      <c r="D26" s="165"/>
      <c r="E26" s="17" t="s">
        <v>29</v>
      </c>
      <c r="F26" s="73" t="s">
        <v>420</v>
      </c>
      <c r="G26" s="8" t="s">
        <v>117</v>
      </c>
      <c r="H26" s="1">
        <v>1</v>
      </c>
      <c r="I26" s="48"/>
      <c r="J26" s="45"/>
      <c r="K26" s="40"/>
      <c r="L26" s="40"/>
      <c r="M26" s="78">
        <f t="shared" si="1"/>
        <v>0</v>
      </c>
      <c r="N26" s="42">
        <v>2</v>
      </c>
      <c r="O26" s="31">
        <v>2766.24</v>
      </c>
      <c r="P26" s="31">
        <v>2766.24</v>
      </c>
      <c r="Q26" s="79">
        <f t="shared" si="2"/>
        <v>0</v>
      </c>
    </row>
    <row r="27" spans="1:18" s="15" customFormat="1" ht="15.75" x14ac:dyDescent="0.25">
      <c r="A27" s="14"/>
      <c r="B27" s="50" t="s">
        <v>500</v>
      </c>
      <c r="C27" s="1"/>
      <c r="D27" s="165"/>
      <c r="E27" s="17"/>
      <c r="F27" s="73"/>
      <c r="G27" s="8" t="s">
        <v>112</v>
      </c>
      <c r="H27" s="1">
        <v>4</v>
      </c>
      <c r="I27" s="48">
        <v>2</v>
      </c>
      <c r="J27" s="45">
        <f>2</f>
        <v>2</v>
      </c>
      <c r="K27" s="40"/>
      <c r="L27" s="40"/>
      <c r="M27" s="78"/>
      <c r="N27" s="42"/>
      <c r="O27" s="31"/>
      <c r="P27" s="31"/>
      <c r="Q27" s="79"/>
    </row>
    <row r="28" spans="1:18" s="13" customFormat="1" ht="15.75" x14ac:dyDescent="0.25">
      <c r="A28" s="10"/>
      <c r="B28" s="27" t="s">
        <v>30</v>
      </c>
      <c r="C28" s="1" t="s">
        <v>17</v>
      </c>
      <c r="D28" s="165"/>
      <c r="E28" s="17" t="s">
        <v>21</v>
      </c>
      <c r="F28" s="73" t="s">
        <v>333</v>
      </c>
      <c r="G28" s="74" t="s">
        <v>112</v>
      </c>
      <c r="H28" s="75">
        <v>13</v>
      </c>
      <c r="I28" s="76">
        <v>9</v>
      </c>
      <c r="J28" s="96">
        <f>3+1+3+1+4+1</f>
        <v>13</v>
      </c>
      <c r="K28" s="77">
        <f>2399.78+806.82+6240.86+870.21</f>
        <v>10317.669999999998</v>
      </c>
      <c r="L28" s="77">
        <f>2399.78+806.82+6240.86</f>
        <v>9447.4599999999991</v>
      </c>
      <c r="M28" s="38">
        <f t="shared" si="1"/>
        <v>870.20999999999913</v>
      </c>
      <c r="N28" s="100">
        <f>9+1+3+1+1+1+2+1</f>
        <v>19</v>
      </c>
      <c r="O28" s="81">
        <f>39871.99+5530.04+5890.35+1728.9+2917.95+4217.32</f>
        <v>60156.549999999996</v>
      </c>
      <c r="P28" s="81">
        <f>39871.99+5530.04+5890.35+1728.9</f>
        <v>53021.279999999999</v>
      </c>
      <c r="Q28" s="12">
        <f t="shared" si="2"/>
        <v>7135.2699999999968</v>
      </c>
      <c r="R28" s="141"/>
    </row>
    <row r="29" spans="1:18" s="13" customFormat="1" ht="15.75" x14ac:dyDescent="0.25">
      <c r="A29" s="10"/>
      <c r="B29" s="27" t="s">
        <v>491</v>
      </c>
      <c r="C29" s="1" t="s">
        <v>17</v>
      </c>
      <c r="D29" s="165"/>
      <c r="E29" s="3" t="s">
        <v>20</v>
      </c>
      <c r="F29" s="73" t="s">
        <v>495</v>
      </c>
      <c r="G29" s="74" t="s">
        <v>112</v>
      </c>
      <c r="H29" s="75">
        <v>8</v>
      </c>
      <c r="I29" s="76">
        <v>4</v>
      </c>
      <c r="J29" s="96">
        <f>2+2</f>
        <v>4</v>
      </c>
      <c r="K29" s="77">
        <f>1727.9</f>
        <v>1727.9</v>
      </c>
      <c r="L29" s="77"/>
      <c r="M29" s="38"/>
      <c r="N29" s="100"/>
      <c r="O29" s="81"/>
      <c r="P29" s="81"/>
      <c r="Q29" s="12"/>
      <c r="R29" s="141"/>
    </row>
    <row r="30" spans="1:18" s="13" customFormat="1" ht="15.75" x14ac:dyDescent="0.25">
      <c r="A30" s="10"/>
      <c r="B30" s="27" t="s">
        <v>491</v>
      </c>
      <c r="C30" s="1"/>
      <c r="D30" s="165"/>
      <c r="E30" s="3"/>
      <c r="F30" s="73"/>
      <c r="G30" s="74" t="s">
        <v>114</v>
      </c>
      <c r="H30" s="75">
        <v>6</v>
      </c>
      <c r="I30" s="76"/>
      <c r="J30" s="96"/>
      <c r="K30" s="77"/>
      <c r="L30" s="77"/>
      <c r="M30" s="38"/>
      <c r="N30" s="100"/>
      <c r="O30" s="81"/>
      <c r="P30" s="81"/>
      <c r="Q30" s="12">
        <f t="shared" si="2"/>
        <v>0</v>
      </c>
      <c r="R30" s="141"/>
    </row>
    <row r="31" spans="1:18" s="13" customFormat="1" ht="15.75" x14ac:dyDescent="0.25">
      <c r="A31" s="10"/>
      <c r="B31" s="30" t="s">
        <v>31</v>
      </c>
      <c r="C31" s="1" t="s">
        <v>17</v>
      </c>
      <c r="D31" s="165"/>
      <c r="E31" s="3" t="s">
        <v>32</v>
      </c>
      <c r="F31" s="73" t="s">
        <v>331</v>
      </c>
      <c r="G31" s="74" t="s">
        <v>112</v>
      </c>
      <c r="H31" s="75">
        <v>9</v>
      </c>
      <c r="I31" s="76">
        <v>5</v>
      </c>
      <c r="J31" s="96">
        <f>1+2+3+1</f>
        <v>7</v>
      </c>
      <c r="K31" s="77">
        <f>633.93+1045.98+5377.62+950.9</f>
        <v>8008.4299999999994</v>
      </c>
      <c r="L31" s="77">
        <f>633.93+1045.98+5377.62</f>
        <v>7057.53</v>
      </c>
      <c r="M31" s="78">
        <f t="shared" si="1"/>
        <v>950.89999999999964</v>
      </c>
      <c r="N31" s="100">
        <f>1+3+3+1+1</f>
        <v>9</v>
      </c>
      <c r="O31" s="81">
        <f>2299.8+15239.58+6152.75+2720.49+1483.38</f>
        <v>27896.000000000004</v>
      </c>
      <c r="P31" s="81">
        <f>2299.8+15239.58+6152.75+2720.49+1483.38</f>
        <v>27896.000000000004</v>
      </c>
      <c r="Q31" s="79">
        <f t="shared" si="2"/>
        <v>0</v>
      </c>
      <c r="R31" s="141"/>
    </row>
    <row r="32" spans="1:18" s="13" customFormat="1" ht="15.75" x14ac:dyDescent="0.25">
      <c r="A32" s="10"/>
      <c r="B32" s="24" t="s">
        <v>31</v>
      </c>
      <c r="C32" s="1" t="s">
        <v>17</v>
      </c>
      <c r="D32" s="165"/>
      <c r="E32" s="3" t="s">
        <v>32</v>
      </c>
      <c r="F32" s="73" t="s">
        <v>422</v>
      </c>
      <c r="G32" s="8" t="s">
        <v>117</v>
      </c>
      <c r="H32" s="1">
        <v>9</v>
      </c>
      <c r="I32" s="49">
        <v>2</v>
      </c>
      <c r="J32" s="46">
        <v>2</v>
      </c>
      <c r="K32" s="40">
        <v>4073.2</v>
      </c>
      <c r="L32" s="40">
        <v>2344.3000000000002</v>
      </c>
      <c r="M32" s="38">
        <f t="shared" si="1"/>
        <v>1728.8999999999996</v>
      </c>
      <c r="N32" s="41">
        <v>6</v>
      </c>
      <c r="O32" s="40">
        <v>12150.4</v>
      </c>
      <c r="P32" s="40">
        <v>12150.4</v>
      </c>
      <c r="Q32" s="12">
        <f t="shared" si="2"/>
        <v>0</v>
      </c>
    </row>
    <row r="33" spans="1:18" s="15" customFormat="1" ht="15.75" x14ac:dyDescent="0.25">
      <c r="A33" s="14"/>
      <c r="B33" s="80" t="s">
        <v>33</v>
      </c>
      <c r="C33" s="1" t="s">
        <v>17</v>
      </c>
      <c r="D33" s="165"/>
      <c r="E33" s="145" t="s">
        <v>20</v>
      </c>
      <c r="F33" s="73" t="s">
        <v>332</v>
      </c>
      <c r="G33" s="74" t="s">
        <v>112</v>
      </c>
      <c r="H33" s="75">
        <v>7</v>
      </c>
      <c r="I33" s="76">
        <v>3</v>
      </c>
      <c r="J33" s="96">
        <f>1+1+1+1</f>
        <v>4</v>
      </c>
      <c r="K33" s="77">
        <f>845.245+5363.43+5912.72</f>
        <v>12121.395</v>
      </c>
      <c r="L33" s="77">
        <f>845.245+5363.43</f>
        <v>6208.6750000000002</v>
      </c>
      <c r="M33" s="78">
        <f t="shared" si="1"/>
        <v>5912.72</v>
      </c>
      <c r="N33" s="100">
        <f>2+1+1+1+1+2</f>
        <v>8</v>
      </c>
      <c r="O33" s="81">
        <f>845.24+1613.64+3380.96+3639.33</f>
        <v>9479.17</v>
      </c>
      <c r="P33" s="81">
        <f>845.24+1613.64+3380.96</f>
        <v>5839.84</v>
      </c>
      <c r="Q33" s="79">
        <f t="shared" si="2"/>
        <v>3639.33</v>
      </c>
      <c r="R33" s="141"/>
    </row>
    <row r="34" spans="1:18" s="15" customFormat="1" ht="15.75" x14ac:dyDescent="0.25">
      <c r="A34" s="14"/>
      <c r="B34" s="23" t="s">
        <v>33</v>
      </c>
      <c r="C34" s="1" t="s">
        <v>17</v>
      </c>
      <c r="D34" s="165"/>
      <c r="E34" s="3" t="s">
        <v>20</v>
      </c>
      <c r="F34" s="73" t="s">
        <v>481</v>
      </c>
      <c r="G34" s="11" t="s">
        <v>114</v>
      </c>
      <c r="H34" s="1">
        <v>4</v>
      </c>
      <c r="I34" s="49"/>
      <c r="J34" s="51"/>
      <c r="K34" s="40"/>
      <c r="L34" s="40"/>
      <c r="M34" s="38">
        <f t="shared" si="1"/>
        <v>0</v>
      </c>
      <c r="N34" s="42">
        <v>13</v>
      </c>
      <c r="O34" s="31">
        <v>25645.14</v>
      </c>
      <c r="P34" s="31">
        <v>25645.14</v>
      </c>
      <c r="Q34" s="12">
        <f t="shared" si="2"/>
        <v>0</v>
      </c>
    </row>
    <row r="35" spans="1:18" s="15" customFormat="1" ht="15.75" x14ac:dyDescent="0.25">
      <c r="A35" s="14"/>
      <c r="B35" s="62" t="s">
        <v>147</v>
      </c>
      <c r="C35" s="1" t="s">
        <v>17</v>
      </c>
      <c r="D35" s="165"/>
      <c r="E35" s="3" t="s">
        <v>29</v>
      </c>
      <c r="F35" s="73" t="s">
        <v>334</v>
      </c>
      <c r="G35" s="74" t="s">
        <v>112</v>
      </c>
      <c r="H35" s="75">
        <v>4</v>
      </c>
      <c r="I35" s="102">
        <v>1</v>
      </c>
      <c r="J35" s="97">
        <f>1+1</f>
        <v>2</v>
      </c>
      <c r="K35" s="77">
        <f>1854.88+2824.48</f>
        <v>4679.3600000000006</v>
      </c>
      <c r="L35" s="77">
        <f>1854.88</f>
        <v>1854.88</v>
      </c>
      <c r="M35" s="78">
        <f t="shared" si="1"/>
        <v>2824.4800000000005</v>
      </c>
      <c r="N35" s="114">
        <f>1+1+1</f>
        <v>3</v>
      </c>
      <c r="O35" s="81">
        <f>1394.65+2473.17+1961.49</f>
        <v>5829.31</v>
      </c>
      <c r="P35" s="81">
        <f>1394.65+2473.17</f>
        <v>3867.82</v>
      </c>
      <c r="Q35" s="79">
        <f t="shared" si="2"/>
        <v>1961.4900000000002</v>
      </c>
      <c r="R35" s="141"/>
    </row>
    <row r="36" spans="1:18" s="15" customFormat="1" ht="15.75" x14ac:dyDescent="0.25">
      <c r="A36" s="14"/>
      <c r="B36" s="50" t="s">
        <v>147</v>
      </c>
      <c r="C36" s="1" t="s">
        <v>17</v>
      </c>
      <c r="D36" s="165"/>
      <c r="E36" s="3" t="s">
        <v>29</v>
      </c>
      <c r="F36" s="73" t="s">
        <v>423</v>
      </c>
      <c r="G36" s="11" t="s">
        <v>117</v>
      </c>
      <c r="H36" s="1">
        <v>3</v>
      </c>
      <c r="I36" s="48">
        <v>3</v>
      </c>
      <c r="J36" s="45">
        <v>3</v>
      </c>
      <c r="K36" s="40">
        <v>5241.5</v>
      </c>
      <c r="L36" s="40">
        <v>5241.5</v>
      </c>
      <c r="M36" s="38">
        <f t="shared" si="1"/>
        <v>0</v>
      </c>
      <c r="N36" s="42">
        <v>4</v>
      </c>
      <c r="O36" s="31">
        <v>4706.45</v>
      </c>
      <c r="P36" s="31">
        <v>3361.75</v>
      </c>
      <c r="Q36" s="12">
        <f t="shared" si="2"/>
        <v>1344.6999999999998</v>
      </c>
    </row>
    <row r="37" spans="1:18" s="13" customFormat="1" ht="15.75" x14ac:dyDescent="0.25">
      <c r="A37" s="10"/>
      <c r="B37" s="62" t="s">
        <v>34</v>
      </c>
      <c r="C37" s="1" t="s">
        <v>17</v>
      </c>
      <c r="D37" s="165"/>
      <c r="E37" s="17" t="s">
        <v>35</v>
      </c>
      <c r="F37" s="73" t="s">
        <v>335</v>
      </c>
      <c r="G37" s="74" t="s">
        <v>112</v>
      </c>
      <c r="H37" s="75">
        <v>17</v>
      </c>
      <c r="I37" s="76">
        <v>11</v>
      </c>
      <c r="J37" s="96">
        <f>4+2+2+7</f>
        <v>15</v>
      </c>
      <c r="K37" s="77">
        <f>8288.4+1267.86+845.24+13964.6</f>
        <v>24366.1</v>
      </c>
      <c r="L37" s="77">
        <f>8288.4+1267.86+845.24+13964.6</f>
        <v>24366.1</v>
      </c>
      <c r="M37" s="78">
        <f t="shared" si="1"/>
        <v>0</v>
      </c>
      <c r="N37" s="100">
        <f>4+4+6+1+3+1+3</f>
        <v>22</v>
      </c>
      <c r="O37" s="81">
        <f>23915.04+21171.88+6399.1+11460.81</f>
        <v>62946.829999999994</v>
      </c>
      <c r="P37" s="81">
        <f>23915.04+21171.88+6399.1+11460.81</f>
        <v>62946.829999999994</v>
      </c>
      <c r="Q37" s="79">
        <f t="shared" si="2"/>
        <v>0</v>
      </c>
      <c r="R37" s="141"/>
    </row>
    <row r="38" spans="1:18" s="13" customFormat="1" ht="15.75" x14ac:dyDescent="0.25">
      <c r="A38" s="10"/>
      <c r="B38" s="22" t="s">
        <v>34</v>
      </c>
      <c r="C38" s="1" t="s">
        <v>17</v>
      </c>
      <c r="D38" s="165"/>
      <c r="E38" s="17" t="s">
        <v>35</v>
      </c>
      <c r="F38" s="73" t="s">
        <v>424</v>
      </c>
      <c r="G38" s="8" t="s">
        <v>117</v>
      </c>
      <c r="H38" s="1">
        <v>2</v>
      </c>
      <c r="I38" s="49">
        <v>1</v>
      </c>
      <c r="J38" s="46">
        <v>2</v>
      </c>
      <c r="K38" s="40">
        <v>3842</v>
      </c>
      <c r="L38" s="40">
        <v>2497.3000000000002</v>
      </c>
      <c r="M38" s="38">
        <f t="shared" si="1"/>
        <v>1344.6999999999998</v>
      </c>
      <c r="N38" s="41">
        <v>3</v>
      </c>
      <c r="O38" s="31">
        <v>9220.7999999999993</v>
      </c>
      <c r="P38" s="31">
        <v>9220.7999999999993</v>
      </c>
      <c r="Q38" s="12">
        <f t="shared" si="2"/>
        <v>0</v>
      </c>
    </row>
    <row r="39" spans="1:18" s="13" customFormat="1" ht="15.75" x14ac:dyDescent="0.25">
      <c r="A39" s="10"/>
      <c r="B39" s="27" t="s">
        <v>36</v>
      </c>
      <c r="C39" s="1" t="s">
        <v>17</v>
      </c>
      <c r="D39" s="165"/>
      <c r="E39" s="17" t="s">
        <v>32</v>
      </c>
      <c r="F39" s="73" t="s">
        <v>336</v>
      </c>
      <c r="G39" s="74" t="s">
        <v>112</v>
      </c>
      <c r="H39" s="75">
        <v>13</v>
      </c>
      <c r="I39" s="76">
        <v>7</v>
      </c>
      <c r="J39" s="96">
        <f>1+3+4</f>
        <v>8</v>
      </c>
      <c r="K39" s="77">
        <f>2091.97+4201.22+3643.94</f>
        <v>9937.130000000001</v>
      </c>
      <c r="L39" s="77">
        <f>2091.97+4201.22</f>
        <v>6293.1900000000005</v>
      </c>
      <c r="M39" s="78">
        <f t="shared" si="1"/>
        <v>3643.9400000000005</v>
      </c>
      <c r="N39" s="100">
        <f>4+2+5+1+1</f>
        <v>13</v>
      </c>
      <c r="O39" s="81">
        <f>26828.22+3116.2+14162+4691</f>
        <v>48797.42</v>
      </c>
      <c r="P39" s="81">
        <f>26828.22+3116.2+14162+4691</f>
        <v>48797.42</v>
      </c>
      <c r="Q39" s="79">
        <f t="shared" si="2"/>
        <v>0</v>
      </c>
      <c r="R39" s="141"/>
    </row>
    <row r="40" spans="1:18" s="13" customFormat="1" ht="15.75" x14ac:dyDescent="0.25">
      <c r="A40" s="10"/>
      <c r="B40" s="27" t="s">
        <v>38</v>
      </c>
      <c r="C40" s="1" t="s">
        <v>17</v>
      </c>
      <c r="D40" s="165"/>
      <c r="E40" s="3" t="s">
        <v>20</v>
      </c>
      <c r="F40" s="73" t="s">
        <v>338</v>
      </c>
      <c r="G40" s="74" t="s">
        <v>112</v>
      </c>
      <c r="H40" s="75">
        <v>28</v>
      </c>
      <c r="I40" s="76">
        <v>19</v>
      </c>
      <c r="J40" s="96">
        <f>5+9+3+4+4+2</f>
        <v>27</v>
      </c>
      <c r="K40" s="77">
        <f>4427.07+14262.52+23391.74+11108.38</f>
        <v>53189.71</v>
      </c>
      <c r="L40" s="77">
        <f>4427.07+14262.52+23391.74</f>
        <v>42081.33</v>
      </c>
      <c r="M40" s="78">
        <f t="shared" si="1"/>
        <v>11108.379999999997</v>
      </c>
      <c r="N40" s="100">
        <f>1+14+2+2+2</f>
        <v>21</v>
      </c>
      <c r="O40" s="81">
        <f>34449.99+27363.78+23604.86+16739.26+15240.34</f>
        <v>117398.23</v>
      </c>
      <c r="P40" s="81">
        <f>34449.99+27363.78+23604.86+16739.26</f>
        <v>102157.89</v>
      </c>
      <c r="Q40" s="79">
        <f t="shared" si="2"/>
        <v>15240.339999999997</v>
      </c>
      <c r="R40" s="141"/>
    </row>
    <row r="41" spans="1:18" s="13" customFormat="1" ht="15.75" x14ac:dyDescent="0.25">
      <c r="A41" s="10"/>
      <c r="B41" s="25" t="s">
        <v>38</v>
      </c>
      <c r="C41" s="1" t="s">
        <v>17</v>
      </c>
      <c r="D41" s="165"/>
      <c r="E41" s="3" t="s">
        <v>20</v>
      </c>
      <c r="F41" s="73" t="s">
        <v>268</v>
      </c>
      <c r="G41" s="11" t="s">
        <v>114</v>
      </c>
      <c r="H41" s="1"/>
      <c r="I41" s="49"/>
      <c r="J41" s="51"/>
      <c r="K41" s="40"/>
      <c r="L41" s="40"/>
      <c r="M41" s="38">
        <f t="shared" si="1"/>
        <v>0</v>
      </c>
      <c r="N41" s="41"/>
      <c r="O41" s="31"/>
      <c r="P41" s="31"/>
      <c r="Q41" s="12">
        <f t="shared" si="2"/>
        <v>0</v>
      </c>
    </row>
    <row r="42" spans="1:18" s="13" customFormat="1" ht="15.75" x14ac:dyDescent="0.25">
      <c r="A42" s="10"/>
      <c r="B42" s="25" t="s">
        <v>38</v>
      </c>
      <c r="C42" s="1" t="s">
        <v>17</v>
      </c>
      <c r="D42" s="165"/>
      <c r="E42" s="3" t="s">
        <v>18</v>
      </c>
      <c r="F42" s="73" t="s">
        <v>324</v>
      </c>
      <c r="G42" s="11" t="s">
        <v>116</v>
      </c>
      <c r="H42" s="1">
        <v>3</v>
      </c>
      <c r="I42" s="49">
        <v>6</v>
      </c>
      <c r="J42" s="51">
        <v>6</v>
      </c>
      <c r="K42" s="40"/>
      <c r="L42" s="40"/>
      <c r="M42" s="38">
        <f t="shared" si="1"/>
        <v>0</v>
      </c>
      <c r="N42" s="41"/>
      <c r="O42" s="31"/>
      <c r="P42" s="31"/>
      <c r="Q42" s="12">
        <f t="shared" si="2"/>
        <v>0</v>
      </c>
    </row>
    <row r="43" spans="1:18" s="13" customFormat="1" ht="15.75" x14ac:dyDescent="0.25">
      <c r="A43" s="10"/>
      <c r="B43" s="22" t="s">
        <v>39</v>
      </c>
      <c r="C43" s="1" t="s">
        <v>17</v>
      </c>
      <c r="D43" s="165"/>
      <c r="E43" s="3" t="s">
        <v>20</v>
      </c>
      <c r="F43" s="73" t="s">
        <v>269</v>
      </c>
      <c r="G43" s="11" t="s">
        <v>114</v>
      </c>
      <c r="H43" s="1"/>
      <c r="I43" s="49"/>
      <c r="J43" s="51"/>
      <c r="K43" s="40"/>
      <c r="L43" s="40"/>
      <c r="M43" s="38">
        <f t="shared" si="1"/>
        <v>0</v>
      </c>
      <c r="N43" s="41"/>
      <c r="O43" s="31"/>
      <c r="P43" s="31"/>
      <c r="Q43" s="12">
        <f t="shared" si="2"/>
        <v>0</v>
      </c>
    </row>
    <row r="44" spans="1:18" s="13" customFormat="1" ht="15.75" x14ac:dyDescent="0.25">
      <c r="A44" s="10"/>
      <c r="B44" s="27" t="s">
        <v>40</v>
      </c>
      <c r="C44" s="1" t="s">
        <v>17</v>
      </c>
      <c r="D44" s="165"/>
      <c r="E44" s="17" t="s">
        <v>41</v>
      </c>
      <c r="F44" s="73" t="s">
        <v>339</v>
      </c>
      <c r="G44" s="74" t="s">
        <v>112</v>
      </c>
      <c r="H44" s="75">
        <v>15</v>
      </c>
      <c r="I44" s="76">
        <v>13</v>
      </c>
      <c r="J44" s="96">
        <f>1+1+3+9+4</f>
        <v>18</v>
      </c>
      <c r="K44" s="77">
        <f>1045.98+3271.86+15658.52+8166.35</f>
        <v>28142.71</v>
      </c>
      <c r="L44" s="77">
        <f>1045.98+3271.86+15658.52</f>
        <v>19976.36</v>
      </c>
      <c r="M44" s="78">
        <f t="shared" si="1"/>
        <v>8166.3499999999985</v>
      </c>
      <c r="N44" s="100">
        <f>3+13+6+5+4</f>
        <v>31</v>
      </c>
      <c r="O44" s="81">
        <f>17269.31+39990.78+16582.12+23492.44+7068.31</f>
        <v>104402.95999999999</v>
      </c>
      <c r="P44" s="81">
        <f>17269.31+39990.78+16582.12+23492.44</f>
        <v>97334.65</v>
      </c>
      <c r="Q44" s="79">
        <f t="shared" si="2"/>
        <v>7068.3099999999977</v>
      </c>
      <c r="R44" s="141"/>
    </row>
    <row r="45" spans="1:18" s="13" customFormat="1" ht="15.75" x14ac:dyDescent="0.25">
      <c r="A45" s="10"/>
      <c r="B45" s="25" t="s">
        <v>40</v>
      </c>
      <c r="C45" s="1" t="s">
        <v>17</v>
      </c>
      <c r="D45" s="165"/>
      <c r="E45" s="17" t="s">
        <v>41</v>
      </c>
      <c r="F45" s="73" t="s">
        <v>482</v>
      </c>
      <c r="G45" s="11" t="s">
        <v>114</v>
      </c>
      <c r="H45" s="1"/>
      <c r="I45" s="49"/>
      <c r="J45" s="51"/>
      <c r="K45" s="40"/>
      <c r="L45" s="40"/>
      <c r="M45" s="38">
        <f t="shared" si="1"/>
        <v>0</v>
      </c>
      <c r="N45" s="41">
        <v>1</v>
      </c>
      <c r="O45" s="31">
        <v>3073.6</v>
      </c>
      <c r="P45" s="31">
        <f>3073.6</f>
        <v>3073.6</v>
      </c>
      <c r="Q45" s="12">
        <f t="shared" si="2"/>
        <v>0</v>
      </c>
    </row>
    <row r="46" spans="1:18" s="13" customFormat="1" ht="15.75" x14ac:dyDescent="0.25">
      <c r="A46" s="10"/>
      <c r="B46" s="27" t="s">
        <v>148</v>
      </c>
      <c r="C46" s="1" t="s">
        <v>17</v>
      </c>
      <c r="D46" s="165"/>
      <c r="E46" s="3" t="s">
        <v>20</v>
      </c>
      <c r="F46" s="73" t="s">
        <v>340</v>
      </c>
      <c r="G46" s="74" t="s">
        <v>112</v>
      </c>
      <c r="H46" s="75">
        <v>12</v>
      </c>
      <c r="I46" s="82">
        <v>4</v>
      </c>
      <c r="J46" s="96">
        <f>1+2+1</f>
        <v>4</v>
      </c>
      <c r="K46" s="77">
        <f>537.88+2110.03</f>
        <v>2647.9100000000003</v>
      </c>
      <c r="L46" s="77">
        <f>537.88+2110.03</f>
        <v>2647.9100000000003</v>
      </c>
      <c r="M46" s="78">
        <f t="shared" si="1"/>
        <v>0</v>
      </c>
      <c r="N46" s="100">
        <f>6+5+3+1+1</f>
        <v>16</v>
      </c>
      <c r="O46" s="81">
        <f>9370.6+9456.38+8868.69+5367.27+11572.62</f>
        <v>44635.560000000005</v>
      </c>
      <c r="P46" s="81">
        <f>9370.6+9456.38+8868.69+5367.27+11572.62</f>
        <v>44635.560000000005</v>
      </c>
      <c r="Q46" s="79">
        <f t="shared" si="2"/>
        <v>0</v>
      </c>
      <c r="R46" s="141"/>
    </row>
    <row r="47" spans="1:18" s="13" customFormat="1" ht="15.75" x14ac:dyDescent="0.25">
      <c r="A47" s="10"/>
      <c r="B47" s="25" t="s">
        <v>148</v>
      </c>
      <c r="C47" s="1" t="s">
        <v>17</v>
      </c>
      <c r="D47" s="165"/>
      <c r="E47" s="17" t="s">
        <v>32</v>
      </c>
      <c r="F47" s="73" t="s">
        <v>425</v>
      </c>
      <c r="G47" s="11" t="s">
        <v>117</v>
      </c>
      <c r="H47" s="1">
        <v>5</v>
      </c>
      <c r="I47" s="49">
        <v>1</v>
      </c>
      <c r="J47" s="46">
        <v>1</v>
      </c>
      <c r="K47" s="40">
        <v>1344.7</v>
      </c>
      <c r="L47" s="40">
        <v>1344.7</v>
      </c>
      <c r="M47" s="38">
        <f t="shared" si="1"/>
        <v>0</v>
      </c>
      <c r="N47" s="41">
        <v>4</v>
      </c>
      <c r="O47" s="31">
        <v>12851.49</v>
      </c>
      <c r="P47" s="31">
        <v>12851.49</v>
      </c>
      <c r="Q47" s="12">
        <f t="shared" si="2"/>
        <v>0</v>
      </c>
    </row>
    <row r="48" spans="1:18" s="13" customFormat="1" ht="15.75" x14ac:dyDescent="0.25">
      <c r="A48" s="10"/>
      <c r="B48" s="30" t="s">
        <v>42</v>
      </c>
      <c r="C48" s="1" t="s">
        <v>17</v>
      </c>
      <c r="D48" s="165"/>
      <c r="E48" s="3" t="s">
        <v>23</v>
      </c>
      <c r="F48" s="73" t="s">
        <v>341</v>
      </c>
      <c r="G48" s="74" t="s">
        <v>112</v>
      </c>
      <c r="H48" s="75">
        <v>26</v>
      </c>
      <c r="I48" s="76">
        <v>12</v>
      </c>
      <c r="J48" s="96">
        <f>5+3+5+3+8</f>
        <v>24</v>
      </c>
      <c r="K48" s="77">
        <f>7156.22+3849.11+8154.25+4149.36</f>
        <v>23308.940000000002</v>
      </c>
      <c r="L48" s="77">
        <f>7156.22+3849.11+8154.25</f>
        <v>19159.580000000002</v>
      </c>
      <c r="M48" s="78">
        <f t="shared" si="1"/>
        <v>4149.3600000000006</v>
      </c>
      <c r="N48" s="100">
        <f>4+6+9+2+4+2+2+3</f>
        <v>32</v>
      </c>
      <c r="O48" s="81">
        <f>5364.2+26170.88+2849.25+18965.6+9565.56+9423.5</f>
        <v>72338.989999999991</v>
      </c>
      <c r="P48" s="81">
        <f>5364.2+26170.88+2849.25+18965.6+9565.56</f>
        <v>62915.49</v>
      </c>
      <c r="Q48" s="79">
        <f t="shared" si="2"/>
        <v>9423.4999999999927</v>
      </c>
      <c r="R48" s="141"/>
    </row>
    <row r="49" spans="1:18" s="13" customFormat="1" ht="15.75" x14ac:dyDescent="0.25">
      <c r="A49" s="10"/>
      <c r="B49" s="24" t="s">
        <v>42</v>
      </c>
      <c r="C49" s="1" t="s">
        <v>17</v>
      </c>
      <c r="D49" s="165"/>
      <c r="E49" s="3" t="s">
        <v>23</v>
      </c>
      <c r="F49" s="73" t="s">
        <v>437</v>
      </c>
      <c r="G49" s="11" t="s">
        <v>118</v>
      </c>
      <c r="H49" s="1">
        <v>2</v>
      </c>
      <c r="I49" s="49"/>
      <c r="J49" s="46"/>
      <c r="K49" s="40"/>
      <c r="L49" s="40"/>
      <c r="M49" s="38">
        <f t="shared" si="1"/>
        <v>0</v>
      </c>
      <c r="N49" s="41">
        <v>1</v>
      </c>
      <c r="O49" s="31">
        <v>7766.4</v>
      </c>
      <c r="P49" s="31">
        <v>4226.2</v>
      </c>
      <c r="Q49" s="12">
        <f t="shared" si="2"/>
        <v>3540.2</v>
      </c>
    </row>
    <row r="50" spans="1:18" s="13" customFormat="1" ht="15.75" x14ac:dyDescent="0.25">
      <c r="A50" s="10"/>
      <c r="B50" s="30" t="s">
        <v>173</v>
      </c>
      <c r="C50" s="1" t="s">
        <v>17</v>
      </c>
      <c r="D50" s="165"/>
      <c r="E50" s="11" t="s">
        <v>118</v>
      </c>
      <c r="F50" s="73" t="s">
        <v>342</v>
      </c>
      <c r="G50" s="74" t="s">
        <v>112</v>
      </c>
      <c r="H50" s="75">
        <v>4</v>
      </c>
      <c r="I50" s="76">
        <v>4</v>
      </c>
      <c r="J50" s="96">
        <f>1+2+1</f>
        <v>4</v>
      </c>
      <c r="K50" s="77">
        <f>6833.76+696.36</f>
        <v>7530.12</v>
      </c>
      <c r="L50" s="77">
        <f>6833.76+696.36</f>
        <v>7530.12</v>
      </c>
      <c r="M50" s="78">
        <f t="shared" si="1"/>
        <v>0</v>
      </c>
      <c r="N50" s="100">
        <f>4+2</f>
        <v>6</v>
      </c>
      <c r="O50" s="81">
        <f>5931.9+4183.92+3158.95</f>
        <v>13274.77</v>
      </c>
      <c r="P50" s="81">
        <f>5931.9+4183.92+3158.95</f>
        <v>13274.77</v>
      </c>
      <c r="Q50" s="79">
        <f t="shared" si="2"/>
        <v>0</v>
      </c>
      <c r="R50" s="141"/>
    </row>
    <row r="51" spans="1:18" s="13" customFormat="1" ht="15.75" x14ac:dyDescent="0.25">
      <c r="A51" s="10"/>
      <c r="B51" s="22" t="s">
        <v>143</v>
      </c>
      <c r="C51" s="1" t="s">
        <v>64</v>
      </c>
      <c r="D51" s="165" t="s">
        <v>444</v>
      </c>
      <c r="E51" s="3" t="s">
        <v>20</v>
      </c>
      <c r="F51" s="73" t="s">
        <v>445</v>
      </c>
      <c r="G51" s="11" t="s">
        <v>114</v>
      </c>
      <c r="H51" s="1">
        <v>11</v>
      </c>
      <c r="I51" s="47"/>
      <c r="J51" s="51"/>
      <c r="K51" s="37"/>
      <c r="L51" s="37"/>
      <c r="M51" s="78">
        <f t="shared" si="1"/>
        <v>0</v>
      </c>
      <c r="N51" s="39">
        <v>15</v>
      </c>
      <c r="O51" s="31">
        <v>24316.799999999999</v>
      </c>
      <c r="P51" s="31">
        <v>24316.799999999999</v>
      </c>
      <c r="Q51" s="12">
        <f t="shared" si="2"/>
        <v>0</v>
      </c>
    </row>
    <row r="52" spans="1:18" s="13" customFormat="1" ht="15.75" x14ac:dyDescent="0.25">
      <c r="A52" s="10"/>
      <c r="B52" s="24" t="s">
        <v>158</v>
      </c>
      <c r="C52" s="1" t="s">
        <v>17</v>
      </c>
      <c r="D52" s="165"/>
      <c r="E52" s="17" t="s">
        <v>32</v>
      </c>
      <c r="F52" s="73" t="s">
        <v>426</v>
      </c>
      <c r="G52" s="11" t="s">
        <v>117</v>
      </c>
      <c r="H52" s="1">
        <v>6</v>
      </c>
      <c r="I52" s="47">
        <v>3</v>
      </c>
      <c r="J52" s="51">
        <v>2</v>
      </c>
      <c r="K52" s="37">
        <v>8452.4</v>
      </c>
      <c r="L52" s="37">
        <v>3649.9</v>
      </c>
      <c r="M52" s="38">
        <f t="shared" si="1"/>
        <v>4802.5</v>
      </c>
      <c r="N52" s="39">
        <v>4</v>
      </c>
      <c r="O52" s="31">
        <v>9789.2000000000007</v>
      </c>
      <c r="P52" s="31">
        <v>9789.2000000000007</v>
      </c>
      <c r="Q52" s="12">
        <f t="shared" si="2"/>
        <v>0</v>
      </c>
    </row>
    <row r="53" spans="1:18" s="15" customFormat="1" ht="15.75" x14ac:dyDescent="0.25">
      <c r="A53" s="14"/>
      <c r="B53" s="80" t="s">
        <v>43</v>
      </c>
      <c r="C53" s="1" t="s">
        <v>17</v>
      </c>
      <c r="D53" s="165"/>
      <c r="E53" s="3" t="s">
        <v>18</v>
      </c>
      <c r="F53" s="73" t="s">
        <v>344</v>
      </c>
      <c r="G53" s="74" t="s">
        <v>112</v>
      </c>
      <c r="H53" s="75">
        <v>17</v>
      </c>
      <c r="I53" s="76">
        <v>14</v>
      </c>
      <c r="J53" s="96">
        <f>1+2+2+5+2+3</f>
        <v>15</v>
      </c>
      <c r="K53" s="77">
        <f>1776.93+926.88+3328.29</f>
        <v>6032.1</v>
      </c>
      <c r="L53" s="77">
        <f>1776.93+926.88</f>
        <v>2703.81</v>
      </c>
      <c r="M53" s="78">
        <f t="shared" si="1"/>
        <v>3328.2900000000004</v>
      </c>
      <c r="N53" s="100">
        <f>1+5+4+1+1+1</f>
        <v>13</v>
      </c>
      <c r="O53" s="81">
        <f>1223.8+3810.29+4959.02+10043.87+2769.48</f>
        <v>22806.460000000003</v>
      </c>
      <c r="P53" s="81">
        <f>1223.8+3810.29+4959.02+10043.87+2769.48</f>
        <v>22806.460000000003</v>
      </c>
      <c r="Q53" s="79">
        <f t="shared" si="2"/>
        <v>0</v>
      </c>
      <c r="R53" s="141"/>
    </row>
    <row r="54" spans="1:18" s="15" customFormat="1" ht="31.5" x14ac:dyDescent="0.25">
      <c r="A54" s="14"/>
      <c r="B54" s="22" t="s">
        <v>43</v>
      </c>
      <c r="C54" s="1" t="s">
        <v>304</v>
      </c>
      <c r="D54" s="165" t="s">
        <v>473</v>
      </c>
      <c r="E54" s="3" t="s">
        <v>18</v>
      </c>
      <c r="F54" s="73" t="s">
        <v>323</v>
      </c>
      <c r="G54" s="11" t="s">
        <v>113</v>
      </c>
      <c r="H54" s="1">
        <v>17</v>
      </c>
      <c r="I54" s="126">
        <v>7</v>
      </c>
      <c r="J54" s="125">
        <v>7</v>
      </c>
      <c r="K54" s="40">
        <v>9720</v>
      </c>
      <c r="L54" s="40">
        <v>9720</v>
      </c>
      <c r="M54" s="38">
        <f>N5410</f>
        <v>0</v>
      </c>
      <c r="N54" s="39">
        <v>12</v>
      </c>
      <c r="O54" s="31">
        <v>26496</v>
      </c>
      <c r="P54" s="31">
        <v>26496</v>
      </c>
      <c r="Q54" s="12">
        <f t="shared" si="2"/>
        <v>0</v>
      </c>
    </row>
    <row r="55" spans="1:18" s="13" customFormat="1" ht="15.75" x14ac:dyDescent="0.25">
      <c r="A55" s="10"/>
      <c r="B55" s="30" t="s">
        <v>44</v>
      </c>
      <c r="C55" s="1" t="s">
        <v>17</v>
      </c>
      <c r="D55" s="165"/>
      <c r="E55" s="3" t="s">
        <v>20</v>
      </c>
      <c r="F55" s="73" t="s">
        <v>345</v>
      </c>
      <c r="G55" s="74" t="s">
        <v>112</v>
      </c>
      <c r="H55" s="75">
        <v>6</v>
      </c>
      <c r="I55" s="76">
        <v>6</v>
      </c>
      <c r="J55" s="96">
        <f>1+1+1+4</f>
        <v>7</v>
      </c>
      <c r="K55" s="77">
        <f>2422.38+1267.86+15410.58</f>
        <v>19100.82</v>
      </c>
      <c r="L55" s="77">
        <f>2422.38+1267.86+15410.58</f>
        <v>19100.82</v>
      </c>
      <c r="M55" s="78">
        <f t="shared" si="1"/>
        <v>0</v>
      </c>
      <c r="N55" s="100">
        <f>1+11</f>
        <v>12</v>
      </c>
      <c r="O55" s="81">
        <f>421.62+4603.39+10559.77+72902.04</f>
        <v>88486.819999999992</v>
      </c>
      <c r="P55" s="81">
        <f>421.62+4603.39+10559.77+72902.04</f>
        <v>88486.819999999992</v>
      </c>
      <c r="Q55" s="79">
        <f t="shared" si="2"/>
        <v>0</v>
      </c>
      <c r="R55" s="141"/>
    </row>
    <row r="56" spans="1:18" s="13" customFormat="1" ht="15.75" x14ac:dyDescent="0.25">
      <c r="A56" s="10"/>
      <c r="B56" s="24" t="s">
        <v>44</v>
      </c>
      <c r="C56" s="1" t="s">
        <v>17</v>
      </c>
      <c r="D56" s="165"/>
      <c r="E56" s="3" t="s">
        <v>20</v>
      </c>
      <c r="F56" s="73" t="s">
        <v>483</v>
      </c>
      <c r="G56" s="11" t="s">
        <v>114</v>
      </c>
      <c r="H56" s="1"/>
      <c r="I56" s="49"/>
      <c r="J56" s="51"/>
      <c r="K56" s="40"/>
      <c r="L56" s="40"/>
      <c r="M56" s="78">
        <f t="shared" si="1"/>
        <v>0</v>
      </c>
      <c r="N56" s="41">
        <v>2</v>
      </c>
      <c r="O56" s="31">
        <v>6723.5</v>
      </c>
      <c r="P56" s="31">
        <v>6723.5</v>
      </c>
      <c r="Q56" s="12">
        <f t="shared" si="2"/>
        <v>0</v>
      </c>
    </row>
    <row r="57" spans="1:18" s="13" customFormat="1" ht="15.75" x14ac:dyDescent="0.25">
      <c r="A57" s="10"/>
      <c r="B57" s="24" t="s">
        <v>492</v>
      </c>
      <c r="C57" s="1" t="s">
        <v>17</v>
      </c>
      <c r="D57" s="165"/>
      <c r="E57" s="3" t="s">
        <v>20</v>
      </c>
      <c r="F57" s="73" t="s">
        <v>499</v>
      </c>
      <c r="G57" s="11" t="s">
        <v>112</v>
      </c>
      <c r="H57" s="1">
        <v>8</v>
      </c>
      <c r="I57" s="49">
        <v>1</v>
      </c>
      <c r="J57" s="51">
        <f>1</f>
        <v>1</v>
      </c>
      <c r="K57" s="40"/>
      <c r="L57" s="40"/>
      <c r="M57" s="78"/>
      <c r="N57" s="41"/>
      <c r="O57" s="31"/>
      <c r="P57" s="31"/>
      <c r="Q57" s="79">
        <f t="shared" si="2"/>
        <v>0</v>
      </c>
    </row>
    <row r="58" spans="1:18" s="13" customFormat="1" ht="15.75" x14ac:dyDescent="0.25">
      <c r="A58" s="10"/>
      <c r="B58" s="27" t="s">
        <v>45</v>
      </c>
      <c r="C58" s="1" t="s">
        <v>17</v>
      </c>
      <c r="D58" s="165"/>
      <c r="E58" s="3" t="s">
        <v>20</v>
      </c>
      <c r="F58" s="73" t="s">
        <v>346</v>
      </c>
      <c r="G58" s="74" t="s">
        <v>112</v>
      </c>
      <c r="H58" s="75"/>
      <c r="I58" s="76"/>
      <c r="J58" s="96"/>
      <c r="K58" s="77"/>
      <c r="L58" s="77"/>
      <c r="M58" s="38">
        <f t="shared" si="1"/>
        <v>0</v>
      </c>
      <c r="N58" s="100">
        <f>1</f>
        <v>1</v>
      </c>
      <c r="O58" s="81">
        <f>17995.91+2729.8</f>
        <v>20725.71</v>
      </c>
      <c r="P58" s="81">
        <f>17995.91+2729.8</f>
        <v>20725.71</v>
      </c>
      <c r="Q58" s="79">
        <f t="shared" si="2"/>
        <v>0</v>
      </c>
      <c r="R58" s="141"/>
    </row>
    <row r="59" spans="1:18" s="13" customFormat="1" ht="15.75" x14ac:dyDescent="0.25">
      <c r="A59" s="10"/>
      <c r="B59" s="25" t="s">
        <v>45</v>
      </c>
      <c r="C59" s="1" t="s">
        <v>17</v>
      </c>
      <c r="D59" s="165"/>
      <c r="E59" s="3" t="s">
        <v>20</v>
      </c>
      <c r="F59" s="73" t="s">
        <v>484</v>
      </c>
      <c r="G59" s="11" t="s">
        <v>114</v>
      </c>
      <c r="H59" s="1"/>
      <c r="I59" s="49"/>
      <c r="J59" s="51"/>
      <c r="K59" s="40"/>
      <c r="L59" s="40"/>
      <c r="M59" s="78">
        <f t="shared" si="1"/>
        <v>0</v>
      </c>
      <c r="N59" s="41"/>
      <c r="O59" s="31"/>
      <c r="P59" s="31"/>
      <c r="Q59" s="12">
        <f t="shared" si="2"/>
        <v>0</v>
      </c>
    </row>
    <row r="60" spans="1:18" s="15" customFormat="1" ht="15.75" x14ac:dyDescent="0.25">
      <c r="A60" s="14"/>
      <c r="B60" s="28" t="s">
        <v>46</v>
      </c>
      <c r="C60" s="1" t="s">
        <v>17</v>
      </c>
      <c r="D60" s="165"/>
      <c r="E60" s="3" t="s">
        <v>20</v>
      </c>
      <c r="F60" s="73" t="s">
        <v>347</v>
      </c>
      <c r="G60" s="74" t="s">
        <v>112</v>
      </c>
      <c r="H60" s="75">
        <v>9</v>
      </c>
      <c r="I60" s="76">
        <v>7</v>
      </c>
      <c r="J60" s="96">
        <f>1+2+3+2+4</f>
        <v>12</v>
      </c>
      <c r="K60" s="77">
        <f>1045.98+1068.08+8157.32+1778.85+9152.67</f>
        <v>21202.9</v>
      </c>
      <c r="L60" s="77">
        <f>1045.98+1068.08+8157.32</f>
        <v>10271.379999999999</v>
      </c>
      <c r="M60" s="38">
        <f t="shared" si="1"/>
        <v>10931.520000000002</v>
      </c>
      <c r="N60" s="100">
        <f>4+4+1</f>
        <v>9</v>
      </c>
      <c r="O60" s="81">
        <f>10759.2+10685.34</f>
        <v>21444.54</v>
      </c>
      <c r="P60" s="81">
        <f>10759.2+10685.34</f>
        <v>21444.54</v>
      </c>
      <c r="Q60" s="79">
        <f t="shared" si="2"/>
        <v>0</v>
      </c>
      <c r="R60" s="141"/>
    </row>
    <row r="61" spans="1:18" s="15" customFormat="1" ht="15.75" x14ac:dyDescent="0.25">
      <c r="A61" s="14"/>
      <c r="B61" s="26" t="s">
        <v>46</v>
      </c>
      <c r="C61" s="1" t="s">
        <v>17</v>
      </c>
      <c r="D61" s="165"/>
      <c r="E61" s="3" t="s">
        <v>20</v>
      </c>
      <c r="F61" s="73" t="s">
        <v>273</v>
      </c>
      <c r="G61" s="11" t="s">
        <v>114</v>
      </c>
      <c r="H61" s="1">
        <v>2</v>
      </c>
      <c r="I61" s="49"/>
      <c r="J61" s="51"/>
      <c r="K61" s="40"/>
      <c r="L61" s="40"/>
      <c r="M61" s="78">
        <f t="shared" si="1"/>
        <v>0</v>
      </c>
      <c r="N61" s="42">
        <v>3</v>
      </c>
      <c r="O61" s="31">
        <v>9356.9</v>
      </c>
      <c r="P61" s="31">
        <v>9356.9</v>
      </c>
      <c r="Q61" s="12">
        <f t="shared" si="2"/>
        <v>0</v>
      </c>
    </row>
    <row r="62" spans="1:18" s="13" customFormat="1" ht="47.25" x14ac:dyDescent="0.25">
      <c r="A62" s="10"/>
      <c r="B62" s="30" t="s">
        <v>47</v>
      </c>
      <c r="C62" s="1" t="s">
        <v>304</v>
      </c>
      <c r="D62" s="165" t="s">
        <v>474</v>
      </c>
      <c r="E62" s="3" t="s">
        <v>18</v>
      </c>
      <c r="F62" s="73" t="s">
        <v>348</v>
      </c>
      <c r="G62" s="74" t="s">
        <v>112</v>
      </c>
      <c r="H62" s="75">
        <v>29</v>
      </c>
      <c r="I62" s="76">
        <v>14</v>
      </c>
      <c r="J62" s="98">
        <f>1+1+3+21+7+2+5</f>
        <v>40</v>
      </c>
      <c r="K62" s="154">
        <f>1129.78+866.14+4090.7+2466.18+13383.67+8156.38</f>
        <v>30092.850000000002</v>
      </c>
      <c r="L62" s="154">
        <f>1129.78+866.14+4090.7+2466.18+13383.67</f>
        <v>21936.47</v>
      </c>
      <c r="M62" s="38">
        <f t="shared" si="1"/>
        <v>8156.380000000001</v>
      </c>
      <c r="N62" s="100">
        <f>7+3+4+10+6+1+2+1+3</f>
        <v>37</v>
      </c>
      <c r="O62" s="81">
        <f>8477.51+15159.83+14079.46+15414.2+17995.91+2065.56+1859.53+9543.86+1728.53+14526.84</f>
        <v>100851.23</v>
      </c>
      <c r="P62" s="81">
        <f>8477.51+15159.83+14079.46+15414.2+17995.91+2065.56+1859.53+9543.86+1728.53</f>
        <v>86324.39</v>
      </c>
      <c r="Q62" s="79">
        <f t="shared" si="2"/>
        <v>14526.839999999997</v>
      </c>
      <c r="R62" s="141"/>
    </row>
    <row r="63" spans="1:18" s="13" customFormat="1" ht="47.25" x14ac:dyDescent="0.25">
      <c r="A63" s="10"/>
      <c r="B63" s="22" t="s">
        <v>120</v>
      </c>
      <c r="C63" s="1" t="s">
        <v>304</v>
      </c>
      <c r="D63" s="165" t="s">
        <v>474</v>
      </c>
      <c r="E63" s="3" t="s">
        <v>18</v>
      </c>
      <c r="F63" s="73" t="s">
        <v>334</v>
      </c>
      <c r="G63" s="11" t="s">
        <v>116</v>
      </c>
      <c r="H63" s="1">
        <v>19</v>
      </c>
      <c r="I63" s="53">
        <v>7</v>
      </c>
      <c r="J63" s="127">
        <v>8</v>
      </c>
      <c r="K63" s="40">
        <v>10047</v>
      </c>
      <c r="L63" s="40">
        <v>10047</v>
      </c>
      <c r="M63" s="78">
        <f t="shared" si="1"/>
        <v>0</v>
      </c>
      <c r="N63" s="41">
        <v>11</v>
      </c>
      <c r="O63" s="31">
        <v>45904</v>
      </c>
      <c r="P63" s="31">
        <v>45904</v>
      </c>
      <c r="Q63" s="12">
        <f t="shared" si="2"/>
        <v>0</v>
      </c>
    </row>
    <row r="64" spans="1:18" s="13" customFormat="1" ht="15.75" x14ac:dyDescent="0.25">
      <c r="A64" s="10"/>
      <c r="B64" s="30" t="s">
        <v>134</v>
      </c>
      <c r="C64" s="1" t="s">
        <v>17</v>
      </c>
      <c r="D64" s="165"/>
      <c r="E64" s="3" t="s">
        <v>20</v>
      </c>
      <c r="F64" s="73" t="s">
        <v>349</v>
      </c>
      <c r="G64" s="74" t="s">
        <v>112</v>
      </c>
      <c r="H64" s="75">
        <v>10</v>
      </c>
      <c r="I64" s="76">
        <v>7</v>
      </c>
      <c r="J64" s="96">
        <f>1+4+1+1</f>
        <v>7</v>
      </c>
      <c r="K64" s="77">
        <f>7301.48+1473.89+1911.09+1690.48</f>
        <v>12376.939999999999</v>
      </c>
      <c r="L64" s="77">
        <f>7301.48+1473.89+1911.09+1690.48</f>
        <v>12376.939999999999</v>
      </c>
      <c r="M64" s="38">
        <f t="shared" si="1"/>
        <v>0</v>
      </c>
      <c r="N64" s="100">
        <f>4+1+1</f>
        <v>6</v>
      </c>
      <c r="O64" s="81">
        <f>5020.05+3215.31+12312.39+4648.82+32425.98</f>
        <v>57622.55</v>
      </c>
      <c r="P64" s="81">
        <f>5020.05+3215.31+12312.39+4648.82+32425.98</f>
        <v>57622.55</v>
      </c>
      <c r="Q64" s="79">
        <f t="shared" si="2"/>
        <v>0</v>
      </c>
      <c r="R64" s="141"/>
    </row>
    <row r="65" spans="1:18" s="13" customFormat="1" ht="15.75" x14ac:dyDescent="0.25">
      <c r="A65" s="10"/>
      <c r="B65" s="24" t="s">
        <v>134</v>
      </c>
      <c r="C65" s="1" t="s">
        <v>17</v>
      </c>
      <c r="D65" s="165"/>
      <c r="E65" s="3" t="s">
        <v>20</v>
      </c>
      <c r="F65" s="73" t="s">
        <v>456</v>
      </c>
      <c r="G65" s="11" t="s">
        <v>114</v>
      </c>
      <c r="H65" s="1">
        <v>13</v>
      </c>
      <c r="I65" s="49">
        <v>2</v>
      </c>
      <c r="J65" s="51">
        <v>2</v>
      </c>
      <c r="K65" s="40">
        <v>2535.7199999999998</v>
      </c>
      <c r="L65" s="40">
        <v>2535.7199999999998</v>
      </c>
      <c r="M65" s="78">
        <f t="shared" si="1"/>
        <v>0</v>
      </c>
      <c r="N65" s="41">
        <v>22</v>
      </c>
      <c r="O65" s="31">
        <v>50888.31</v>
      </c>
      <c r="P65" s="31">
        <v>44933.21</v>
      </c>
      <c r="Q65" s="12">
        <f t="shared" si="2"/>
        <v>5955.0999999999985</v>
      </c>
    </row>
    <row r="66" spans="1:18" s="13" customFormat="1" ht="15.75" x14ac:dyDescent="0.25">
      <c r="A66" s="10"/>
      <c r="B66" s="62" t="s">
        <v>48</v>
      </c>
      <c r="C66" s="1" t="s">
        <v>17</v>
      </c>
      <c r="D66" s="165"/>
      <c r="E66" s="3" t="s">
        <v>20</v>
      </c>
      <c r="F66" s="73" t="s">
        <v>350</v>
      </c>
      <c r="G66" s="74" t="s">
        <v>112</v>
      </c>
      <c r="H66" s="75">
        <v>10</v>
      </c>
      <c r="I66" s="76">
        <v>7</v>
      </c>
      <c r="J66" s="96">
        <f>1+1+2</f>
        <v>4</v>
      </c>
      <c r="K66" s="77">
        <f>4805.96+2585.78+3065.92+2588.55</f>
        <v>13046.21</v>
      </c>
      <c r="L66" s="77">
        <f>4805.96+2585.78+3065.92</f>
        <v>10457.66</v>
      </c>
      <c r="M66" s="38">
        <f t="shared" si="1"/>
        <v>2588.5499999999993</v>
      </c>
      <c r="N66" s="100">
        <f>2+1+2</f>
        <v>5</v>
      </c>
      <c r="O66" s="81">
        <f>23174.33+2535.72+11633.02+6993.42+20756.4</f>
        <v>65092.890000000007</v>
      </c>
      <c r="P66" s="81">
        <f>23174.33+2535.72+11633.02+6993.42+20756.4</f>
        <v>65092.890000000007</v>
      </c>
      <c r="Q66" s="79">
        <f t="shared" si="2"/>
        <v>0</v>
      </c>
      <c r="R66" s="141"/>
    </row>
    <row r="67" spans="1:18" s="13" customFormat="1" ht="15.75" x14ac:dyDescent="0.25">
      <c r="A67" s="10"/>
      <c r="B67" s="62" t="s">
        <v>49</v>
      </c>
      <c r="C67" s="1" t="s">
        <v>17</v>
      </c>
      <c r="D67" s="165"/>
      <c r="E67" s="3" t="s">
        <v>50</v>
      </c>
      <c r="F67" s="73" t="s">
        <v>351</v>
      </c>
      <c r="G67" s="74" t="s">
        <v>112</v>
      </c>
      <c r="H67" s="75">
        <v>17</v>
      </c>
      <c r="I67" s="76">
        <v>5</v>
      </c>
      <c r="J67" s="96">
        <f>1+4</f>
        <v>5</v>
      </c>
      <c r="K67" s="77">
        <f>525.65+1267.86+6544.72</f>
        <v>8338.23</v>
      </c>
      <c r="L67" s="77">
        <f>525.65+1267.86</f>
        <v>1793.5099999999998</v>
      </c>
      <c r="M67" s="78">
        <f t="shared" si="1"/>
        <v>6544.7199999999993</v>
      </c>
      <c r="N67" s="100">
        <f>5+1+3</f>
        <v>9</v>
      </c>
      <c r="O67" s="81">
        <f>7374+1806.93+7275.53+4666.9+2684.03</f>
        <v>23807.39</v>
      </c>
      <c r="P67" s="81">
        <f>7374+1806.93+7275.53+4666.9+2684.03</f>
        <v>23807.39</v>
      </c>
      <c r="Q67" s="12">
        <f t="shared" si="2"/>
        <v>0</v>
      </c>
      <c r="R67" s="141"/>
    </row>
    <row r="68" spans="1:18" s="13" customFormat="1" ht="15.75" x14ac:dyDescent="0.25">
      <c r="A68" s="10"/>
      <c r="B68" s="22" t="s">
        <v>49</v>
      </c>
      <c r="C68" s="1" t="s">
        <v>17</v>
      </c>
      <c r="D68" s="165"/>
      <c r="E68" s="3" t="s">
        <v>50</v>
      </c>
      <c r="F68" s="73" t="s">
        <v>427</v>
      </c>
      <c r="G68" s="11" t="s">
        <v>115</v>
      </c>
      <c r="H68" s="1">
        <v>8</v>
      </c>
      <c r="I68" s="49">
        <v>1</v>
      </c>
      <c r="J68" s="46">
        <v>1</v>
      </c>
      <c r="K68" s="40">
        <v>2408.23</v>
      </c>
      <c r="L68" s="40">
        <v>2408.23</v>
      </c>
      <c r="M68" s="38">
        <f t="shared" si="1"/>
        <v>0</v>
      </c>
      <c r="N68" s="41">
        <v>8</v>
      </c>
      <c r="O68" s="31">
        <v>11237.9</v>
      </c>
      <c r="P68" s="31">
        <v>11237.9</v>
      </c>
      <c r="Q68" s="79">
        <f t="shared" si="2"/>
        <v>0</v>
      </c>
    </row>
    <row r="69" spans="1:18" s="13" customFormat="1" ht="15.75" x14ac:dyDescent="0.25">
      <c r="A69" s="10"/>
      <c r="B69" s="27" t="s">
        <v>51</v>
      </c>
      <c r="C69" s="1" t="s">
        <v>17</v>
      </c>
      <c r="D69" s="165"/>
      <c r="E69" s="3" t="s">
        <v>20</v>
      </c>
      <c r="F69" s="73" t="s">
        <v>186</v>
      </c>
      <c r="G69" s="74" t="s">
        <v>112</v>
      </c>
      <c r="H69" s="75"/>
      <c r="I69" s="76"/>
      <c r="J69" s="96"/>
      <c r="K69" s="77"/>
      <c r="L69" s="77"/>
      <c r="M69" s="78">
        <f t="shared" si="1"/>
        <v>0</v>
      </c>
      <c r="N69" s="100">
        <f>1</f>
        <v>1</v>
      </c>
      <c r="O69" s="81">
        <v>2451.87</v>
      </c>
      <c r="P69" s="81">
        <v>2451.87</v>
      </c>
      <c r="Q69" s="12">
        <f t="shared" si="2"/>
        <v>0</v>
      </c>
      <c r="R69" s="141"/>
    </row>
    <row r="70" spans="1:18" s="13" customFormat="1" ht="15.75" x14ac:dyDescent="0.25">
      <c r="A70" s="10"/>
      <c r="B70" s="27" t="s">
        <v>51</v>
      </c>
      <c r="C70" s="1" t="s">
        <v>17</v>
      </c>
      <c r="D70" s="165"/>
      <c r="E70" s="3" t="s">
        <v>20</v>
      </c>
      <c r="F70" s="73" t="s">
        <v>276</v>
      </c>
      <c r="G70" s="11" t="s">
        <v>114</v>
      </c>
      <c r="H70" s="1"/>
      <c r="I70" s="49"/>
      <c r="J70" s="51"/>
      <c r="K70" s="40"/>
      <c r="L70" s="40"/>
      <c r="M70" s="38">
        <f t="shared" si="1"/>
        <v>0</v>
      </c>
      <c r="N70" s="41">
        <v>3</v>
      </c>
      <c r="O70" s="31">
        <v>6763.6</v>
      </c>
      <c r="P70" s="31">
        <v>6763.6</v>
      </c>
      <c r="Q70" s="12">
        <f t="shared" si="2"/>
        <v>0</v>
      </c>
    </row>
    <row r="71" spans="1:18" s="13" customFormat="1" ht="15.75" x14ac:dyDescent="0.25">
      <c r="A71" s="10"/>
      <c r="B71" s="62" t="s">
        <v>52</v>
      </c>
      <c r="C71" s="1" t="s">
        <v>17</v>
      </c>
      <c r="D71" s="165"/>
      <c r="E71" s="3" t="s">
        <v>20</v>
      </c>
      <c r="F71" s="73" t="s">
        <v>352</v>
      </c>
      <c r="G71" s="74" t="s">
        <v>112</v>
      </c>
      <c r="H71" s="75">
        <v>7</v>
      </c>
      <c r="I71" s="76">
        <v>1</v>
      </c>
      <c r="J71" s="96">
        <f>1+1+1</f>
        <v>3</v>
      </c>
      <c r="K71" s="77">
        <f>10714.2</f>
        <v>10714.2</v>
      </c>
      <c r="L71" s="77"/>
      <c r="M71" s="78">
        <f t="shared" si="1"/>
        <v>10714.2</v>
      </c>
      <c r="N71" s="100">
        <f>4+3+1+1+2+3</f>
        <v>14</v>
      </c>
      <c r="O71" s="81">
        <f>5977.15+48296.91+7596.86+1061.83+8902.9</f>
        <v>71835.650000000009</v>
      </c>
      <c r="P71" s="81">
        <f>5977.15+48296.91+7596.86+1061.83</f>
        <v>62932.750000000007</v>
      </c>
      <c r="Q71" s="12">
        <f t="shared" si="2"/>
        <v>8902.9000000000015</v>
      </c>
      <c r="R71" s="141"/>
    </row>
    <row r="72" spans="1:18" s="13" customFormat="1" ht="15.75" x14ac:dyDescent="0.25">
      <c r="A72" s="10"/>
      <c r="B72" s="22" t="s">
        <v>52</v>
      </c>
      <c r="C72" s="1" t="s">
        <v>17</v>
      </c>
      <c r="D72" s="165"/>
      <c r="E72" s="3" t="s">
        <v>20</v>
      </c>
      <c r="F72" s="73" t="s">
        <v>457</v>
      </c>
      <c r="G72" s="11" t="s">
        <v>114</v>
      </c>
      <c r="H72" s="1">
        <v>8</v>
      </c>
      <c r="I72" s="49">
        <v>1</v>
      </c>
      <c r="J72" s="51">
        <v>1</v>
      </c>
      <c r="K72" s="40">
        <v>1152.5999999999999</v>
      </c>
      <c r="L72" s="40">
        <v>1152.5999999999999</v>
      </c>
      <c r="M72" s="38">
        <f t="shared" si="1"/>
        <v>0</v>
      </c>
      <c r="N72" s="41">
        <v>15</v>
      </c>
      <c r="O72" s="31">
        <v>27349.86</v>
      </c>
      <c r="P72" s="31">
        <v>27349.86</v>
      </c>
      <c r="Q72" s="12">
        <f t="shared" si="2"/>
        <v>0</v>
      </c>
    </row>
    <row r="73" spans="1:18" s="13" customFormat="1" ht="15.75" x14ac:dyDescent="0.25">
      <c r="A73" s="10"/>
      <c r="B73" s="27" t="s">
        <v>53</v>
      </c>
      <c r="C73" s="1" t="s">
        <v>17</v>
      </c>
      <c r="D73" s="165"/>
      <c r="E73" s="3" t="s">
        <v>20</v>
      </c>
      <c r="F73" s="73" t="s">
        <v>353</v>
      </c>
      <c r="G73" s="74" t="s">
        <v>112</v>
      </c>
      <c r="H73" s="75">
        <v>7</v>
      </c>
      <c r="I73" s="76">
        <v>4</v>
      </c>
      <c r="J73" s="96">
        <f>2+2</f>
        <v>4</v>
      </c>
      <c r="K73" s="77">
        <f>3655.66</f>
        <v>3655.66</v>
      </c>
      <c r="L73" s="77"/>
      <c r="M73" s="78">
        <f>K73-L73</f>
        <v>3655.66</v>
      </c>
      <c r="N73" s="100">
        <f>1+2+2+1</f>
        <v>6</v>
      </c>
      <c r="O73" s="81">
        <f>1743.3+3921.71+422.62</f>
        <v>6087.63</v>
      </c>
      <c r="P73" s="81">
        <f>422.62+1743.3+3921.71</f>
        <v>6087.63</v>
      </c>
      <c r="Q73" s="12">
        <f t="shared" si="2"/>
        <v>0</v>
      </c>
      <c r="R73" s="141"/>
    </row>
    <row r="74" spans="1:18" s="13" customFormat="1" ht="15.75" x14ac:dyDescent="0.25">
      <c r="A74" s="10"/>
      <c r="B74" s="27" t="s">
        <v>149</v>
      </c>
      <c r="C74" s="1" t="s">
        <v>17</v>
      </c>
      <c r="D74" s="165"/>
      <c r="E74" s="3" t="s">
        <v>383</v>
      </c>
      <c r="F74" s="73" t="s">
        <v>354</v>
      </c>
      <c r="G74" s="74" t="s">
        <v>112</v>
      </c>
      <c r="H74" s="75">
        <v>24</v>
      </c>
      <c r="I74" s="76"/>
      <c r="J74" s="96"/>
      <c r="K74" s="77"/>
      <c r="L74" s="77"/>
      <c r="M74" s="38">
        <f t="shared" si="1"/>
        <v>0</v>
      </c>
      <c r="N74" s="100">
        <f>2+2</f>
        <v>4</v>
      </c>
      <c r="O74" s="81">
        <f>3676.8+3431.65</f>
        <v>7108.4500000000007</v>
      </c>
      <c r="P74" s="81">
        <f>3676.8+3431.65</f>
        <v>7108.4500000000007</v>
      </c>
      <c r="Q74" s="79">
        <f t="shared" si="2"/>
        <v>0</v>
      </c>
      <c r="R74" s="141"/>
    </row>
    <row r="75" spans="1:18" s="13" customFormat="1" ht="15.75" x14ac:dyDescent="0.25">
      <c r="A75" s="10"/>
      <c r="B75" s="25" t="s">
        <v>149</v>
      </c>
      <c r="C75" s="1" t="s">
        <v>17</v>
      </c>
      <c r="D75" s="165"/>
      <c r="E75" s="3" t="s">
        <v>383</v>
      </c>
      <c r="F75" s="73" t="s">
        <v>438</v>
      </c>
      <c r="G75" s="11" t="s">
        <v>118</v>
      </c>
      <c r="H75" s="1">
        <v>4</v>
      </c>
      <c r="I75" s="47"/>
      <c r="J75" s="51"/>
      <c r="K75" s="37"/>
      <c r="L75" s="37"/>
      <c r="M75" s="78">
        <f t="shared" si="1"/>
        <v>0</v>
      </c>
      <c r="N75" s="39">
        <v>7</v>
      </c>
      <c r="O75" s="31">
        <v>9835.52</v>
      </c>
      <c r="P75" s="31">
        <v>4994.6000000000004</v>
      </c>
      <c r="Q75" s="12">
        <f t="shared" si="2"/>
        <v>4840.92</v>
      </c>
    </row>
    <row r="76" spans="1:18" s="13" customFormat="1" ht="15.75" x14ac:dyDescent="0.25">
      <c r="A76" s="10"/>
      <c r="B76" s="62" t="s">
        <v>107</v>
      </c>
      <c r="C76" s="1" t="s">
        <v>17</v>
      </c>
      <c r="D76" s="165"/>
      <c r="E76" s="17" t="s">
        <v>20</v>
      </c>
      <c r="F76" s="73" t="s">
        <v>355</v>
      </c>
      <c r="G76" s="74" t="s">
        <v>112</v>
      </c>
      <c r="H76" s="75">
        <v>8</v>
      </c>
      <c r="I76" s="76">
        <v>2</v>
      </c>
      <c r="J76" s="96">
        <f>1+3</f>
        <v>4</v>
      </c>
      <c r="K76" s="77">
        <f>666.63+7071.2</f>
        <v>7737.83</v>
      </c>
      <c r="L76" s="77">
        <f>666.63</f>
        <v>666.63</v>
      </c>
      <c r="M76" s="38">
        <f t="shared" si="1"/>
        <v>7071.2</v>
      </c>
      <c r="N76" s="100">
        <f>2+6+1+1</f>
        <v>10</v>
      </c>
      <c r="O76" s="81">
        <f>7612.92+18804.48+9163.33+3260.98+6297.63</f>
        <v>45139.340000000004</v>
      </c>
      <c r="P76" s="81">
        <f>7612.92+18804.48+9163.33</f>
        <v>35580.730000000003</v>
      </c>
      <c r="Q76" s="79">
        <f t="shared" si="2"/>
        <v>9558.61</v>
      </c>
      <c r="R76" s="141"/>
    </row>
    <row r="77" spans="1:18" s="13" customFormat="1" ht="15.75" x14ac:dyDescent="0.25">
      <c r="A77" s="10"/>
      <c r="B77" s="30" t="s">
        <v>54</v>
      </c>
      <c r="C77" s="1" t="s">
        <v>17</v>
      </c>
      <c r="D77" s="165"/>
      <c r="E77" s="17" t="s">
        <v>20</v>
      </c>
      <c r="F77" s="73" t="s">
        <v>356</v>
      </c>
      <c r="G77" s="74" t="s">
        <v>112</v>
      </c>
      <c r="H77" s="75"/>
      <c r="I77" s="76"/>
      <c r="J77" s="96"/>
      <c r="K77" s="77"/>
      <c r="L77" s="77"/>
      <c r="M77" s="38">
        <f t="shared" si="1"/>
        <v>0</v>
      </c>
      <c r="N77" s="100">
        <f>4+1+1</f>
        <v>6</v>
      </c>
      <c r="O77" s="81">
        <f>17895.28+17443.73+5473.41</f>
        <v>40812.42</v>
      </c>
      <c r="P77" s="81">
        <v>17895.28</v>
      </c>
      <c r="Q77" s="79">
        <f t="shared" si="2"/>
        <v>22917.14</v>
      </c>
      <c r="R77" s="141"/>
    </row>
    <row r="78" spans="1:18" s="13" customFormat="1" ht="31.5" x14ac:dyDescent="0.25">
      <c r="A78" s="10"/>
      <c r="B78" s="27" t="s">
        <v>55</v>
      </c>
      <c r="C78" s="1" t="s">
        <v>304</v>
      </c>
      <c r="D78" s="165" t="s">
        <v>387</v>
      </c>
      <c r="E78" s="3" t="s">
        <v>20</v>
      </c>
      <c r="F78" s="73" t="s">
        <v>357</v>
      </c>
      <c r="G78" s="74" t="s">
        <v>112</v>
      </c>
      <c r="H78" s="75">
        <v>12</v>
      </c>
      <c r="I78" s="76">
        <v>8</v>
      </c>
      <c r="J78" s="96">
        <f>3</f>
        <v>3</v>
      </c>
      <c r="K78" s="77">
        <f>1267.86+6667.8+5756.15</f>
        <v>13691.81</v>
      </c>
      <c r="L78" s="77">
        <f>1267.86+6667.8+5756.15</f>
        <v>13691.81</v>
      </c>
      <c r="M78" s="78">
        <f t="shared" si="1"/>
        <v>0</v>
      </c>
      <c r="N78" s="100">
        <f>2+1+2+2+2</f>
        <v>9</v>
      </c>
      <c r="O78" s="81">
        <f>34854.19+2113.1+6430.67+5463.42+39145.22+2535.72</f>
        <v>90542.32</v>
      </c>
      <c r="P78" s="81">
        <f>34854.19+2113.1+6430.67+5463.42+39145.22</f>
        <v>88006.6</v>
      </c>
      <c r="Q78" s="12">
        <f t="shared" si="2"/>
        <v>2535.7200000000012</v>
      </c>
      <c r="R78" s="141"/>
    </row>
    <row r="79" spans="1:18" s="13" customFormat="1" ht="31.5" x14ac:dyDescent="0.25">
      <c r="A79" s="10"/>
      <c r="B79" s="62" t="s">
        <v>56</v>
      </c>
      <c r="C79" s="1" t="s">
        <v>17</v>
      </c>
      <c r="D79" s="165" t="s">
        <v>386</v>
      </c>
      <c r="E79" s="3" t="s">
        <v>18</v>
      </c>
      <c r="F79" s="73" t="s">
        <v>358</v>
      </c>
      <c r="G79" s="74" t="s">
        <v>112</v>
      </c>
      <c r="H79" s="75">
        <v>4</v>
      </c>
      <c r="I79" s="76">
        <v>2</v>
      </c>
      <c r="J79" s="96">
        <f>1+1</f>
        <v>2</v>
      </c>
      <c r="K79" s="77">
        <f>678.11+678.11</f>
        <v>1356.22</v>
      </c>
      <c r="L79" s="77">
        <f>678.11</f>
        <v>678.11</v>
      </c>
      <c r="M79" s="38">
        <f t="shared" si="1"/>
        <v>678.11</v>
      </c>
      <c r="N79" s="100">
        <f>1</f>
        <v>1</v>
      </c>
      <c r="O79" s="81"/>
      <c r="P79" s="81"/>
      <c r="Q79" s="79">
        <f t="shared" si="2"/>
        <v>0</v>
      </c>
      <c r="R79" s="141"/>
    </row>
    <row r="80" spans="1:18" s="13" customFormat="1" ht="31.5" x14ac:dyDescent="0.25">
      <c r="A80" s="10"/>
      <c r="B80" s="22" t="s">
        <v>56</v>
      </c>
      <c r="C80" s="1" t="s">
        <v>304</v>
      </c>
      <c r="D80" s="165" t="s">
        <v>386</v>
      </c>
      <c r="E80" s="3" t="s">
        <v>18</v>
      </c>
      <c r="F80" s="73" t="s">
        <v>476</v>
      </c>
      <c r="G80" s="11" t="s">
        <v>113</v>
      </c>
      <c r="H80" s="1">
        <v>4</v>
      </c>
      <c r="I80" s="49">
        <v>3</v>
      </c>
      <c r="J80" s="46">
        <v>3</v>
      </c>
      <c r="K80" s="40">
        <v>4745</v>
      </c>
      <c r="L80" s="40">
        <v>4745</v>
      </c>
      <c r="M80" s="78">
        <f t="shared" si="1"/>
        <v>0</v>
      </c>
      <c r="N80" s="41"/>
      <c r="O80" s="31">
        <v>7612</v>
      </c>
      <c r="P80" s="31">
        <v>7612</v>
      </c>
      <c r="Q80" s="12">
        <f t="shared" ref="Q80:Q147" si="3">O80-P80</f>
        <v>0</v>
      </c>
    </row>
    <row r="81" spans="1:18" s="13" customFormat="1" ht="15.75" x14ac:dyDescent="0.25">
      <c r="A81" s="10"/>
      <c r="B81" s="62" t="s">
        <v>156</v>
      </c>
      <c r="C81" s="1" t="s">
        <v>304</v>
      </c>
      <c r="D81" s="165"/>
      <c r="E81" s="3" t="s">
        <v>20</v>
      </c>
      <c r="F81" s="73" t="s">
        <v>359</v>
      </c>
      <c r="G81" s="74" t="s">
        <v>112</v>
      </c>
      <c r="H81" s="75">
        <v>3</v>
      </c>
      <c r="I81" s="76">
        <v>2</v>
      </c>
      <c r="J81" s="96">
        <f>2</f>
        <v>2</v>
      </c>
      <c r="K81" s="77">
        <f>1690.48</f>
        <v>1690.48</v>
      </c>
      <c r="L81" s="77">
        <f>1690.48</f>
        <v>1690.48</v>
      </c>
      <c r="M81" s="38">
        <f t="shared" si="1"/>
        <v>0</v>
      </c>
      <c r="N81" s="100">
        <f>3+1</f>
        <v>4</v>
      </c>
      <c r="O81" s="81">
        <f>5488.54+2398.37+422.62</f>
        <v>8309.5300000000007</v>
      </c>
      <c r="P81" s="81">
        <f>5488.54+2398.37+422.62</f>
        <v>8309.5300000000007</v>
      </c>
      <c r="Q81" s="79">
        <f t="shared" si="3"/>
        <v>0</v>
      </c>
      <c r="R81" s="141"/>
    </row>
    <row r="82" spans="1:18" s="15" customFormat="1" ht="15.75" x14ac:dyDescent="0.25">
      <c r="A82" s="14"/>
      <c r="B82" s="80" t="s">
        <v>57</v>
      </c>
      <c r="C82" s="1" t="s">
        <v>17</v>
      </c>
      <c r="D82" s="165"/>
      <c r="E82" s="3" t="s">
        <v>20</v>
      </c>
      <c r="F82" s="73" t="s">
        <v>360</v>
      </c>
      <c r="G82" s="74" t="s">
        <v>112</v>
      </c>
      <c r="H82" s="75">
        <v>6</v>
      </c>
      <c r="I82" s="76">
        <v>4</v>
      </c>
      <c r="J82" s="96">
        <f>2+1+1+2</f>
        <v>6</v>
      </c>
      <c r="K82" s="77">
        <f>806.82+1728.9</f>
        <v>2535.7200000000003</v>
      </c>
      <c r="L82" s="77">
        <f>806.82</f>
        <v>806.82</v>
      </c>
      <c r="M82" s="78">
        <f t="shared" si="1"/>
        <v>1728.9</v>
      </c>
      <c r="N82" s="100">
        <f>2+1</f>
        <v>3</v>
      </c>
      <c r="O82" s="81">
        <f>2745.3</f>
        <v>2745.3</v>
      </c>
      <c r="P82" s="81">
        <f>2745.3</f>
        <v>2745.3</v>
      </c>
      <c r="Q82" s="12">
        <f t="shared" si="3"/>
        <v>0</v>
      </c>
      <c r="R82" s="141"/>
    </row>
    <row r="83" spans="1:18" s="15" customFormat="1" ht="15.75" x14ac:dyDescent="0.25">
      <c r="A83" s="14"/>
      <c r="B83" s="23" t="s">
        <v>57</v>
      </c>
      <c r="C83" s="1" t="s">
        <v>17</v>
      </c>
      <c r="D83" s="165"/>
      <c r="E83" s="3" t="s">
        <v>20</v>
      </c>
      <c r="F83" s="73" t="s">
        <v>458</v>
      </c>
      <c r="G83" s="11" t="s">
        <v>114</v>
      </c>
      <c r="H83" s="1">
        <v>22</v>
      </c>
      <c r="I83" s="49">
        <v>3</v>
      </c>
      <c r="J83" s="51">
        <v>3</v>
      </c>
      <c r="K83" s="40">
        <v>3765.16</v>
      </c>
      <c r="L83" s="40">
        <v>3765.16</v>
      </c>
      <c r="M83" s="38">
        <f t="shared" si="1"/>
        <v>0</v>
      </c>
      <c r="N83" s="42">
        <v>12</v>
      </c>
      <c r="O83" s="31">
        <v>27563.23</v>
      </c>
      <c r="P83" s="31">
        <v>25642.23</v>
      </c>
      <c r="Q83" s="12">
        <f t="shared" si="3"/>
        <v>1921</v>
      </c>
    </row>
    <row r="84" spans="1:18" s="13" customFormat="1" ht="15.75" x14ac:dyDescent="0.25">
      <c r="A84" s="10"/>
      <c r="B84" s="62" t="s">
        <v>58</v>
      </c>
      <c r="C84" s="1" t="s">
        <v>17</v>
      </c>
      <c r="D84" s="165"/>
      <c r="E84" s="3" t="s">
        <v>20</v>
      </c>
      <c r="F84" s="73" t="s">
        <v>361</v>
      </c>
      <c r="G84" s="74" t="s">
        <v>112</v>
      </c>
      <c r="H84" s="75">
        <v>5</v>
      </c>
      <c r="I84" s="76">
        <v>3</v>
      </c>
      <c r="J84" s="96">
        <f>1+2</f>
        <v>3</v>
      </c>
      <c r="K84" s="77">
        <f>1892.47</f>
        <v>1892.47</v>
      </c>
      <c r="L84" s="77"/>
      <c r="M84" s="78">
        <f t="shared" si="1"/>
        <v>1892.47</v>
      </c>
      <c r="N84" s="100">
        <f>1+1+3</f>
        <v>5</v>
      </c>
      <c r="O84" s="81">
        <f>9196.24+2480.78+2954.11+15214.32</f>
        <v>29845.45</v>
      </c>
      <c r="P84" s="81">
        <f>9196.24+2480.78+2954.11+15214.32</f>
        <v>29845.45</v>
      </c>
      <c r="Q84" s="12">
        <f t="shared" si="3"/>
        <v>0</v>
      </c>
      <c r="R84" s="141"/>
    </row>
    <row r="85" spans="1:18" s="13" customFormat="1" ht="15.75" x14ac:dyDescent="0.25">
      <c r="A85" s="10"/>
      <c r="B85" s="22" t="s">
        <v>58</v>
      </c>
      <c r="C85" s="1" t="s">
        <v>17</v>
      </c>
      <c r="D85" s="165"/>
      <c r="E85" s="3" t="s">
        <v>20</v>
      </c>
      <c r="F85" s="73" t="s">
        <v>478</v>
      </c>
      <c r="G85" s="11" t="s">
        <v>114</v>
      </c>
      <c r="H85" s="1">
        <v>15</v>
      </c>
      <c r="I85" s="49"/>
      <c r="J85" s="51"/>
      <c r="K85" s="40"/>
      <c r="L85" s="40"/>
      <c r="M85" s="38">
        <f t="shared" ref="M85:M158" si="4">K85-L85</f>
        <v>0</v>
      </c>
      <c r="N85" s="41">
        <v>21</v>
      </c>
      <c r="O85" s="31">
        <v>54215.77</v>
      </c>
      <c r="P85" s="31">
        <v>48260.67</v>
      </c>
      <c r="Q85" s="12">
        <f t="shared" si="3"/>
        <v>5955.0999999999985</v>
      </c>
    </row>
    <row r="86" spans="1:18" s="13" customFormat="1" ht="15.75" x14ac:dyDescent="0.25">
      <c r="A86" s="10"/>
      <c r="B86" s="62" t="s">
        <v>59</v>
      </c>
      <c r="C86" s="1" t="s">
        <v>17</v>
      </c>
      <c r="D86" s="165"/>
      <c r="E86" s="3" t="s">
        <v>20</v>
      </c>
      <c r="F86" s="73" t="s">
        <v>362</v>
      </c>
      <c r="G86" s="74" t="s">
        <v>112</v>
      </c>
      <c r="H86" s="75">
        <v>8</v>
      </c>
      <c r="I86" s="76">
        <v>7</v>
      </c>
      <c r="J86" s="96">
        <f>1+1+1+3+1</f>
        <v>7</v>
      </c>
      <c r="K86" s="77">
        <f>403.41+1431.16</f>
        <v>1834.5700000000002</v>
      </c>
      <c r="L86" s="77">
        <f>403.41</f>
        <v>403.41</v>
      </c>
      <c r="M86" s="78">
        <f t="shared" si="4"/>
        <v>1431.16</v>
      </c>
      <c r="N86" s="100">
        <f>1+2+2+1+1</f>
        <v>7</v>
      </c>
      <c r="O86" s="81">
        <f>6646.05+1267.86+979.71</f>
        <v>8893.619999999999</v>
      </c>
      <c r="P86" s="81">
        <f>2353.23+5561.68+978.71</f>
        <v>8893.619999999999</v>
      </c>
      <c r="Q86" s="12">
        <f t="shared" si="3"/>
        <v>0</v>
      </c>
      <c r="R86" s="141"/>
    </row>
    <row r="87" spans="1:18" s="13" customFormat="1" ht="15.75" x14ac:dyDescent="0.25">
      <c r="A87" s="10"/>
      <c r="B87" s="22" t="s">
        <v>59</v>
      </c>
      <c r="C87" s="1" t="s">
        <v>17</v>
      </c>
      <c r="D87" s="165"/>
      <c r="E87" s="3" t="s">
        <v>20</v>
      </c>
      <c r="F87" s="73" t="s">
        <v>128</v>
      </c>
      <c r="G87" s="11" t="s">
        <v>114</v>
      </c>
      <c r="H87" s="1"/>
      <c r="I87" s="49"/>
      <c r="J87" s="51"/>
      <c r="K87" s="40"/>
      <c r="L87" s="40"/>
      <c r="M87" s="38">
        <f t="shared" si="4"/>
        <v>0</v>
      </c>
      <c r="N87" s="41"/>
      <c r="O87" s="31"/>
      <c r="P87" s="31"/>
      <c r="Q87" s="12">
        <f t="shared" si="3"/>
        <v>0</v>
      </c>
    </row>
    <row r="88" spans="1:18" s="13" customFormat="1" ht="15.75" x14ac:dyDescent="0.25">
      <c r="A88" s="10"/>
      <c r="B88" s="27" t="s">
        <v>60</v>
      </c>
      <c r="C88" s="1" t="s">
        <v>17</v>
      </c>
      <c r="D88" s="165"/>
      <c r="E88" s="3" t="s">
        <v>20</v>
      </c>
      <c r="F88" s="73" t="s">
        <v>364</v>
      </c>
      <c r="G88" s="74" t="s">
        <v>112</v>
      </c>
      <c r="H88" s="75">
        <v>10</v>
      </c>
      <c r="I88" s="76">
        <v>3</v>
      </c>
      <c r="J88" s="96">
        <f>1+1+1</f>
        <v>3</v>
      </c>
      <c r="K88" s="77">
        <f>634.93+893.27</f>
        <v>1528.1999999999998</v>
      </c>
      <c r="L88" s="77">
        <f>633.93</f>
        <v>633.92999999999995</v>
      </c>
      <c r="M88" s="78">
        <f t="shared" si="4"/>
        <v>894.26999999999987</v>
      </c>
      <c r="N88" s="100">
        <f>4+1+3+1</f>
        <v>9</v>
      </c>
      <c r="O88" s="81">
        <f>15124.53+2065.75+8492.52</f>
        <v>25682.799999999999</v>
      </c>
      <c r="P88" s="81">
        <f>15125.53+2064.75</f>
        <v>17190.28</v>
      </c>
      <c r="Q88" s="12">
        <f t="shared" si="3"/>
        <v>8492.52</v>
      </c>
      <c r="R88" s="141"/>
    </row>
    <row r="89" spans="1:18" s="13" customFormat="1" ht="15.75" x14ac:dyDescent="0.25">
      <c r="A89" s="10"/>
      <c r="B89" s="25" t="s">
        <v>60</v>
      </c>
      <c r="C89" s="1" t="s">
        <v>17</v>
      </c>
      <c r="D89" s="165"/>
      <c r="E89" s="3" t="s">
        <v>20</v>
      </c>
      <c r="F89" s="73" t="s">
        <v>479</v>
      </c>
      <c r="G89" s="11" t="s">
        <v>114</v>
      </c>
      <c r="H89" s="1">
        <v>6</v>
      </c>
      <c r="I89" s="49"/>
      <c r="J89" s="51"/>
      <c r="K89" s="40"/>
      <c r="L89" s="40"/>
      <c r="M89" s="38">
        <f t="shared" si="4"/>
        <v>0</v>
      </c>
      <c r="N89" s="41">
        <v>4</v>
      </c>
      <c r="O89" s="31">
        <v>10293.5</v>
      </c>
      <c r="P89" s="31">
        <v>10293.5</v>
      </c>
      <c r="Q89" s="12">
        <f t="shared" si="3"/>
        <v>0</v>
      </c>
    </row>
    <row r="90" spans="1:18" s="13" customFormat="1" ht="15.75" x14ac:dyDescent="0.25">
      <c r="A90" s="10"/>
      <c r="B90" s="25" t="s">
        <v>493</v>
      </c>
      <c r="C90" s="1" t="s">
        <v>17</v>
      </c>
      <c r="D90" s="165"/>
      <c r="E90" s="3" t="s">
        <v>20</v>
      </c>
      <c r="F90" s="73" t="s">
        <v>496</v>
      </c>
      <c r="G90" s="11" t="s">
        <v>112</v>
      </c>
      <c r="H90" s="1">
        <v>7</v>
      </c>
      <c r="I90" s="49">
        <v>4</v>
      </c>
      <c r="J90" s="51">
        <f>3+2</f>
        <v>5</v>
      </c>
      <c r="K90" s="40">
        <f>3387.04+3467.41</f>
        <v>6854.45</v>
      </c>
      <c r="L90" s="40"/>
      <c r="M90" s="38"/>
      <c r="N90" s="41"/>
      <c r="O90" s="31"/>
      <c r="P90" s="31"/>
      <c r="Q90" s="79"/>
    </row>
    <row r="91" spans="1:18" s="15" customFormat="1" ht="15.75" x14ac:dyDescent="0.25">
      <c r="A91" s="14"/>
      <c r="B91" s="28" t="s">
        <v>61</v>
      </c>
      <c r="C91" s="1" t="s">
        <v>17</v>
      </c>
      <c r="D91" s="165"/>
      <c r="E91" s="3" t="s">
        <v>20</v>
      </c>
      <c r="F91" s="73" t="s">
        <v>363</v>
      </c>
      <c r="G91" s="74" t="s">
        <v>112</v>
      </c>
      <c r="H91" s="75"/>
      <c r="I91" s="76"/>
      <c r="J91" s="96"/>
      <c r="K91" s="77"/>
      <c r="L91" s="77"/>
      <c r="M91" s="78">
        <f t="shared" si="4"/>
        <v>0</v>
      </c>
      <c r="N91" s="100"/>
      <c r="O91" s="81"/>
      <c r="P91" s="81"/>
      <c r="Q91" s="12">
        <f t="shared" si="3"/>
        <v>0</v>
      </c>
      <c r="R91" s="141"/>
    </row>
    <row r="92" spans="1:18" s="15" customFormat="1" ht="15.75" x14ac:dyDescent="0.25">
      <c r="A92" s="14"/>
      <c r="B92" s="26" t="s">
        <v>61</v>
      </c>
      <c r="C92" s="1" t="s">
        <v>17</v>
      </c>
      <c r="D92" s="165"/>
      <c r="E92" s="3" t="s">
        <v>20</v>
      </c>
      <c r="F92" s="73" t="s">
        <v>121</v>
      </c>
      <c r="G92" s="11" t="s">
        <v>114</v>
      </c>
      <c r="H92" s="1"/>
      <c r="I92" s="49"/>
      <c r="J92" s="51"/>
      <c r="K92" s="40"/>
      <c r="L92" s="40"/>
      <c r="M92" s="38">
        <f t="shared" si="4"/>
        <v>0</v>
      </c>
      <c r="N92" s="42"/>
      <c r="O92" s="31"/>
      <c r="P92" s="31"/>
      <c r="Q92" s="12">
        <f t="shared" si="3"/>
        <v>0</v>
      </c>
    </row>
    <row r="93" spans="1:18" s="15" customFormat="1" ht="15.75" x14ac:dyDescent="0.25">
      <c r="A93" s="14"/>
      <c r="B93" s="20" t="s">
        <v>306</v>
      </c>
      <c r="C93" s="1" t="s">
        <v>17</v>
      </c>
      <c r="D93" s="165"/>
      <c r="E93" s="3" t="s">
        <v>35</v>
      </c>
      <c r="F93" s="73" t="s">
        <v>365</v>
      </c>
      <c r="G93" s="11" t="s">
        <v>112</v>
      </c>
      <c r="H93" s="1">
        <v>23</v>
      </c>
      <c r="I93" s="58">
        <v>15</v>
      </c>
      <c r="J93" s="51">
        <f>1+2+1+3+3+2+3</f>
        <v>15</v>
      </c>
      <c r="K93" s="40">
        <f>1045.98+2658.7+35696.14+4892.46+1024.04+2384.53+10793.24</f>
        <v>58495.09</v>
      </c>
      <c r="L93" s="40">
        <f>1045.98+2658.7+35696.14+4892.46+1024.04</f>
        <v>45317.32</v>
      </c>
      <c r="M93" s="78">
        <f t="shared" si="4"/>
        <v>13177.769999999997</v>
      </c>
      <c r="N93" s="39">
        <f>7+2+2+2+1</f>
        <v>14</v>
      </c>
      <c r="O93" s="31">
        <f>2313.84+6162.57+2330.32+1690.48+3706.14</f>
        <v>16203.349999999999</v>
      </c>
      <c r="P93" s="31">
        <f>2313.84+6162.57+2330.32+1690.48</f>
        <v>12497.21</v>
      </c>
      <c r="Q93" s="12">
        <f t="shared" si="3"/>
        <v>3706.1399999999994</v>
      </c>
      <c r="R93" s="141"/>
    </row>
    <row r="94" spans="1:18" s="13" customFormat="1" ht="15.75" x14ac:dyDescent="0.25">
      <c r="A94" s="10"/>
      <c r="B94" s="22" t="s">
        <v>306</v>
      </c>
      <c r="C94" s="1" t="s">
        <v>17</v>
      </c>
      <c r="D94" s="165"/>
      <c r="E94" s="3" t="s">
        <v>27</v>
      </c>
      <c r="F94" s="73" t="s">
        <v>421</v>
      </c>
      <c r="G94" s="11" t="s">
        <v>117</v>
      </c>
      <c r="H94" s="1">
        <v>2</v>
      </c>
      <c r="I94" s="49"/>
      <c r="J94" s="46"/>
      <c r="K94" s="40"/>
      <c r="L94" s="40"/>
      <c r="M94" s="78">
        <f>K94-L94</f>
        <v>0</v>
      </c>
      <c r="N94" s="41"/>
      <c r="O94" s="40"/>
      <c r="P94" s="40"/>
      <c r="Q94" s="79">
        <f>O94-P94</f>
        <v>0</v>
      </c>
    </row>
    <row r="95" spans="1:18" s="13" customFormat="1" ht="15.75" x14ac:dyDescent="0.25">
      <c r="A95" s="10"/>
      <c r="B95" s="27" t="s">
        <v>62</v>
      </c>
      <c r="C95" s="1" t="s">
        <v>17</v>
      </c>
      <c r="D95" s="165"/>
      <c r="E95" s="3" t="s">
        <v>35</v>
      </c>
      <c r="F95" s="73" t="s">
        <v>366</v>
      </c>
      <c r="G95" s="74" t="s">
        <v>112</v>
      </c>
      <c r="H95" s="75">
        <v>11</v>
      </c>
      <c r="I95" s="76">
        <v>8</v>
      </c>
      <c r="J95" s="96">
        <f>1+3+1+1</f>
        <v>6</v>
      </c>
      <c r="K95" s="77">
        <f>3613.4+1872.01+1394.65</f>
        <v>6880.0599999999995</v>
      </c>
      <c r="L95" s="77">
        <f>3613.4+1872.01</f>
        <v>5485.41</v>
      </c>
      <c r="M95" s="38">
        <f t="shared" si="4"/>
        <v>1394.6499999999996</v>
      </c>
      <c r="N95" s="100">
        <f>6+2+1+2+1</f>
        <v>12</v>
      </c>
      <c r="O95" s="81">
        <f>19511.33+1270.93+3979.74+2500.85+8530.18+845.24</f>
        <v>36638.269999999997</v>
      </c>
      <c r="P95" s="81">
        <f>19511.33+1270.93+3979.74+2500.85+8530.18</f>
        <v>35793.03</v>
      </c>
      <c r="Q95" s="79">
        <f t="shared" si="3"/>
        <v>845.23999999999796</v>
      </c>
      <c r="R95" s="141"/>
    </row>
    <row r="96" spans="1:18" s="13" customFormat="1" ht="15.75" x14ac:dyDescent="0.25">
      <c r="A96" s="10"/>
      <c r="B96" s="25" t="s">
        <v>62</v>
      </c>
      <c r="C96" s="1" t="s">
        <v>17</v>
      </c>
      <c r="D96" s="165"/>
      <c r="E96" s="3" t="s">
        <v>35</v>
      </c>
      <c r="F96" s="73" t="s">
        <v>428</v>
      </c>
      <c r="G96" s="11" t="s">
        <v>117</v>
      </c>
      <c r="H96" s="1">
        <v>1</v>
      </c>
      <c r="I96" s="49"/>
      <c r="J96" s="46"/>
      <c r="K96" s="40"/>
      <c r="L96" s="40"/>
      <c r="M96" s="78">
        <f t="shared" si="4"/>
        <v>0</v>
      </c>
      <c r="N96" s="41">
        <v>9</v>
      </c>
      <c r="O96" s="31">
        <v>22788.1</v>
      </c>
      <c r="P96" s="31">
        <v>22788.1</v>
      </c>
      <c r="Q96" s="12">
        <f t="shared" si="3"/>
        <v>0</v>
      </c>
    </row>
    <row r="97" spans="1:19" s="13" customFormat="1" ht="15.75" x14ac:dyDescent="0.25">
      <c r="A97" s="10"/>
      <c r="B97" s="25" t="s">
        <v>63</v>
      </c>
      <c r="C97" s="1" t="s">
        <v>64</v>
      </c>
      <c r="D97" s="165" t="s">
        <v>65</v>
      </c>
      <c r="E97" s="3" t="s">
        <v>20</v>
      </c>
      <c r="F97" s="73" t="s">
        <v>480</v>
      </c>
      <c r="G97" s="11" t="s">
        <v>114</v>
      </c>
      <c r="H97" s="1"/>
      <c r="I97" s="49"/>
      <c r="J97" s="51"/>
      <c r="K97" s="40"/>
      <c r="L97" s="40"/>
      <c r="M97" s="38">
        <f t="shared" si="4"/>
        <v>0</v>
      </c>
      <c r="N97" s="41"/>
      <c r="O97" s="31"/>
      <c r="P97" s="31"/>
      <c r="Q97" s="12">
        <f t="shared" si="3"/>
        <v>0</v>
      </c>
    </row>
    <row r="98" spans="1:19" s="13" customFormat="1" ht="15.75" x14ac:dyDescent="0.25">
      <c r="A98" s="10"/>
      <c r="B98" s="27" t="s">
        <v>155</v>
      </c>
      <c r="C98" s="1" t="s">
        <v>17</v>
      </c>
      <c r="D98" s="165"/>
      <c r="E98" s="3" t="s">
        <v>20</v>
      </c>
      <c r="F98" s="73" t="s">
        <v>367</v>
      </c>
      <c r="G98" s="74" t="s">
        <v>112</v>
      </c>
      <c r="H98" s="75">
        <v>6</v>
      </c>
      <c r="I98" s="82">
        <v>3</v>
      </c>
      <c r="J98" s="96">
        <f>1+2</f>
        <v>3</v>
      </c>
      <c r="K98" s="77">
        <f>3117.56+2266.78</f>
        <v>5384.34</v>
      </c>
      <c r="L98" s="77">
        <f>3117.56</f>
        <v>3117.56</v>
      </c>
      <c r="M98" s="78">
        <f t="shared" si="4"/>
        <v>2266.7800000000002</v>
      </c>
      <c r="N98" s="100">
        <f>1+1+1</f>
        <v>3</v>
      </c>
      <c r="O98" s="81">
        <f>1798.06+2123.67</f>
        <v>3921.73</v>
      </c>
      <c r="P98" s="81">
        <f>1798.06+2123.67</f>
        <v>3921.73</v>
      </c>
      <c r="Q98" s="12">
        <f t="shared" si="3"/>
        <v>0</v>
      </c>
      <c r="R98" s="141"/>
    </row>
    <row r="99" spans="1:19" s="13" customFormat="1" ht="15.75" x14ac:dyDescent="0.25">
      <c r="A99" s="10"/>
      <c r="B99" s="25" t="s">
        <v>155</v>
      </c>
      <c r="C99" s="1" t="s">
        <v>17</v>
      </c>
      <c r="D99" s="165"/>
      <c r="E99" s="3" t="s">
        <v>20</v>
      </c>
      <c r="F99" s="73" t="s">
        <v>459</v>
      </c>
      <c r="G99" s="11" t="s">
        <v>114</v>
      </c>
      <c r="H99" s="1">
        <v>7</v>
      </c>
      <c r="I99" s="49"/>
      <c r="J99" s="51"/>
      <c r="K99" s="40"/>
      <c r="L99" s="40"/>
      <c r="M99" s="38">
        <f t="shared" si="4"/>
        <v>0</v>
      </c>
      <c r="N99" s="41">
        <v>13</v>
      </c>
      <c r="O99" s="31">
        <v>27266.37</v>
      </c>
      <c r="P99" s="31">
        <v>27266.37</v>
      </c>
      <c r="Q99" s="12">
        <f t="shared" si="3"/>
        <v>0</v>
      </c>
    </row>
    <row r="100" spans="1:19" s="13" customFormat="1" ht="15.75" x14ac:dyDescent="0.25">
      <c r="A100" s="10"/>
      <c r="B100" s="30" t="s">
        <v>66</v>
      </c>
      <c r="C100" s="1" t="s">
        <v>17</v>
      </c>
      <c r="D100" s="165"/>
      <c r="E100" s="3" t="s">
        <v>21</v>
      </c>
      <c r="F100" s="73" t="s">
        <v>368</v>
      </c>
      <c r="G100" s="74" t="s">
        <v>112</v>
      </c>
      <c r="H100" s="75">
        <v>15</v>
      </c>
      <c r="I100" s="76">
        <v>11</v>
      </c>
      <c r="J100" s="96">
        <f>1+3+2+3+2+1+2</f>
        <v>14</v>
      </c>
      <c r="K100" s="77">
        <f>1045.98+4309.04+3820.12+1872.01+4253.49+3044.79</f>
        <v>18345.43</v>
      </c>
      <c r="L100" s="77">
        <f>1045.98+4309.04+3820.12+1872.01+4253.49</f>
        <v>15300.64</v>
      </c>
      <c r="M100" s="78">
        <f t="shared" si="4"/>
        <v>3044.7900000000009</v>
      </c>
      <c r="N100" s="100">
        <f>6+3+8+7+1+1+1+2+1+1+1</f>
        <v>32</v>
      </c>
      <c r="O100" s="81">
        <f>11911.17+23136+18060.17+1977.84+2091.97+19535.65+19124.11</f>
        <v>95836.909999999989</v>
      </c>
      <c r="P100" s="81">
        <f>11911.17+23136+18060.17+1977.84+2091.97+19535.65</f>
        <v>76712.799999999988</v>
      </c>
      <c r="Q100" s="12">
        <f t="shared" si="3"/>
        <v>19124.11</v>
      </c>
      <c r="R100" s="141"/>
    </row>
    <row r="101" spans="1:19" s="13" customFormat="1" ht="15.75" x14ac:dyDescent="0.25">
      <c r="A101" s="10"/>
      <c r="B101" s="24" t="s">
        <v>66</v>
      </c>
      <c r="C101" s="1" t="s">
        <v>17</v>
      </c>
      <c r="D101" s="165"/>
      <c r="E101" s="3" t="s">
        <v>21</v>
      </c>
      <c r="F101" s="73" t="s">
        <v>439</v>
      </c>
      <c r="G101" s="11" t="s">
        <v>118</v>
      </c>
      <c r="H101" s="1">
        <v>6</v>
      </c>
      <c r="I101" s="49">
        <v>1</v>
      </c>
      <c r="J101" s="46">
        <v>1</v>
      </c>
      <c r="K101" s="40">
        <v>1152.5999999999999</v>
      </c>
      <c r="L101" s="40"/>
      <c r="M101" s="38">
        <f t="shared" si="4"/>
        <v>1152.5999999999999</v>
      </c>
      <c r="N101" s="41">
        <v>15</v>
      </c>
      <c r="O101" s="31">
        <v>66871.69</v>
      </c>
      <c r="P101" s="31">
        <v>47417.440000000002</v>
      </c>
      <c r="Q101" s="79">
        <f t="shared" si="3"/>
        <v>19454.25</v>
      </c>
    </row>
    <row r="102" spans="1:19" s="13" customFormat="1" ht="15.75" x14ac:dyDescent="0.25">
      <c r="A102" s="10"/>
      <c r="B102" s="62" t="s">
        <v>137</v>
      </c>
      <c r="C102" s="1" t="s">
        <v>17</v>
      </c>
      <c r="D102" s="165"/>
      <c r="E102" s="17" t="s">
        <v>35</v>
      </c>
      <c r="F102" s="73" t="s">
        <v>369</v>
      </c>
      <c r="G102" s="74" t="s">
        <v>112</v>
      </c>
      <c r="H102" s="75">
        <v>18</v>
      </c>
      <c r="I102" s="76">
        <v>8</v>
      </c>
      <c r="J102" s="96">
        <f>3+3+1+4</f>
        <v>11</v>
      </c>
      <c r="K102" s="77">
        <f>504.26+845.24+3380.96+422.62</f>
        <v>5153.08</v>
      </c>
      <c r="L102" s="77">
        <f>504.26+845.24+3380.96</f>
        <v>4730.46</v>
      </c>
      <c r="M102" s="78">
        <f t="shared" si="4"/>
        <v>422.61999999999989</v>
      </c>
      <c r="N102" s="100">
        <f>5+1+1+2+1</f>
        <v>10</v>
      </c>
      <c r="O102" s="81">
        <f>2617.36+422.62+3852.18+3380.96</f>
        <v>10273.119999999999</v>
      </c>
      <c r="P102" s="81">
        <f>2617.36+422.62+3852.18+3380.96</f>
        <v>10273.119999999999</v>
      </c>
      <c r="Q102" s="12">
        <f t="shared" si="3"/>
        <v>0</v>
      </c>
      <c r="R102" s="141"/>
    </row>
    <row r="103" spans="1:19" s="13" customFormat="1" ht="15.75" x14ac:dyDescent="0.25">
      <c r="A103" s="10"/>
      <c r="B103" s="22" t="s">
        <v>137</v>
      </c>
      <c r="C103" s="1" t="s">
        <v>17</v>
      </c>
      <c r="D103" s="165"/>
      <c r="E103" s="17" t="s">
        <v>35</v>
      </c>
      <c r="F103" s="73" t="s">
        <v>429</v>
      </c>
      <c r="G103" s="11" t="s">
        <v>117</v>
      </c>
      <c r="H103" s="1">
        <v>2</v>
      </c>
      <c r="I103" s="49">
        <v>1</v>
      </c>
      <c r="J103" s="51">
        <v>1</v>
      </c>
      <c r="K103" s="37">
        <v>1921</v>
      </c>
      <c r="L103" s="37"/>
      <c r="M103" s="78">
        <f t="shared" si="4"/>
        <v>1921</v>
      </c>
      <c r="N103" s="39">
        <v>2</v>
      </c>
      <c r="O103" s="31">
        <v>10565.5</v>
      </c>
      <c r="P103" s="31">
        <v>10565.5</v>
      </c>
      <c r="Q103" s="79">
        <f t="shared" si="3"/>
        <v>0</v>
      </c>
    </row>
    <row r="104" spans="1:19" s="13" customFormat="1" ht="15.75" x14ac:dyDescent="0.25">
      <c r="A104" s="10"/>
      <c r="B104" s="30" t="s">
        <v>67</v>
      </c>
      <c r="C104" s="1" t="s">
        <v>17</v>
      </c>
      <c r="D104" s="165"/>
      <c r="E104" s="17" t="s">
        <v>21</v>
      </c>
      <c r="F104" s="73" t="s">
        <v>370</v>
      </c>
      <c r="G104" s="74" t="s">
        <v>112</v>
      </c>
      <c r="H104" s="75">
        <v>16</v>
      </c>
      <c r="I104" s="76">
        <v>9</v>
      </c>
      <c r="J104" s="96">
        <f>2+1+1+2+1+1+2+2</f>
        <v>12</v>
      </c>
      <c r="K104" s="77">
        <f>3319.85+1198.9+864.45+7235.32+1947.89</f>
        <v>14566.41</v>
      </c>
      <c r="L104" s="77">
        <f>3319.85+1198.9+864.45</f>
        <v>5383.2</v>
      </c>
      <c r="M104" s="38">
        <f t="shared" si="4"/>
        <v>9183.2099999999991</v>
      </c>
      <c r="N104" s="100">
        <f>4+9+4+4+1+3+1+3+1</f>
        <v>30</v>
      </c>
      <c r="O104" s="81">
        <f>29696.65+38129.03+13567.9+20687.05+2022.79+8145.77+17250.05</f>
        <v>129499.23999999999</v>
      </c>
      <c r="P104" s="81">
        <f>29696.65+38129.03+13567.9+20687.05+2022.79+8145.77</f>
        <v>112249.18999999999</v>
      </c>
      <c r="Q104" s="12">
        <f t="shared" si="3"/>
        <v>17250.050000000003</v>
      </c>
      <c r="R104" s="141"/>
    </row>
    <row r="105" spans="1:19" s="13" customFormat="1" ht="15.75" x14ac:dyDescent="0.25">
      <c r="A105" s="10"/>
      <c r="B105" s="24" t="s">
        <v>67</v>
      </c>
      <c r="C105" s="1" t="s">
        <v>17</v>
      </c>
      <c r="D105" s="165"/>
      <c r="E105" s="17" t="s">
        <v>21</v>
      </c>
      <c r="F105" s="73" t="s">
        <v>440</v>
      </c>
      <c r="G105" s="11" t="s">
        <v>118</v>
      </c>
      <c r="H105" s="1">
        <v>9</v>
      </c>
      <c r="I105" s="49">
        <v>1</v>
      </c>
      <c r="J105" s="46">
        <v>1</v>
      </c>
      <c r="K105" s="40">
        <v>3476.24</v>
      </c>
      <c r="L105" s="40"/>
      <c r="M105" s="78">
        <f t="shared" si="4"/>
        <v>3476.24</v>
      </c>
      <c r="N105" s="41">
        <v>12</v>
      </c>
      <c r="O105" s="31">
        <v>49443.59</v>
      </c>
      <c r="P105" s="31">
        <v>37226.03</v>
      </c>
      <c r="Q105" s="79">
        <f t="shared" si="3"/>
        <v>12217.559999999998</v>
      </c>
    </row>
    <row r="106" spans="1:19" s="13" customFormat="1" ht="15.75" x14ac:dyDescent="0.25">
      <c r="A106" s="10"/>
      <c r="B106" s="30" t="s">
        <v>68</v>
      </c>
      <c r="C106" s="1" t="s">
        <v>17</v>
      </c>
      <c r="D106" s="165"/>
      <c r="E106" s="17" t="s">
        <v>32</v>
      </c>
      <c r="F106" s="73" t="s">
        <v>371</v>
      </c>
      <c r="G106" s="74" t="s">
        <v>112</v>
      </c>
      <c r="H106" s="75">
        <v>14</v>
      </c>
      <c r="I106" s="76">
        <v>5</v>
      </c>
      <c r="J106" s="96">
        <f>2+1+2</f>
        <v>5</v>
      </c>
      <c r="K106" s="77">
        <f>1128.59+422.62+1152.6+4557.81</f>
        <v>7261.6200000000008</v>
      </c>
      <c r="L106" s="77">
        <f>1128.59+422.62+1152.6+4557.81</f>
        <v>7261.6200000000008</v>
      </c>
      <c r="M106" s="38">
        <f t="shared" si="4"/>
        <v>0</v>
      </c>
      <c r="N106" s="100">
        <f>6+5+1+4</f>
        <v>16</v>
      </c>
      <c r="O106" s="81">
        <f>7813.73+8523.5+1452.28+12582.19</f>
        <v>30371.699999999997</v>
      </c>
      <c r="P106" s="81">
        <f>7813.73+8523.5+1452.28+12582.19</f>
        <v>30371.699999999997</v>
      </c>
      <c r="Q106" s="12">
        <f t="shared" si="3"/>
        <v>0</v>
      </c>
      <c r="R106" s="141"/>
    </row>
    <row r="107" spans="1:19" s="13" customFormat="1" ht="15.75" x14ac:dyDescent="0.25">
      <c r="A107" s="10"/>
      <c r="B107" s="24" t="s">
        <v>68</v>
      </c>
      <c r="C107" s="1" t="s">
        <v>17</v>
      </c>
      <c r="D107" s="165"/>
      <c r="E107" s="17" t="s">
        <v>32</v>
      </c>
      <c r="F107" s="73" t="s">
        <v>430</v>
      </c>
      <c r="G107" s="8" t="s">
        <v>117</v>
      </c>
      <c r="H107" s="1">
        <v>1</v>
      </c>
      <c r="I107" s="49"/>
      <c r="J107" s="46"/>
      <c r="K107" s="40"/>
      <c r="L107" s="40"/>
      <c r="M107" s="78">
        <f t="shared" si="4"/>
        <v>0</v>
      </c>
      <c r="N107" s="41"/>
      <c r="O107" s="40"/>
      <c r="P107" s="40"/>
      <c r="Q107" s="79">
        <f t="shared" si="3"/>
        <v>0</v>
      </c>
    </row>
    <row r="108" spans="1:19" s="15" customFormat="1" ht="15.75" x14ac:dyDescent="0.25">
      <c r="A108" s="14"/>
      <c r="B108" s="28" t="s">
        <v>69</v>
      </c>
      <c r="C108" s="1" t="s">
        <v>17</v>
      </c>
      <c r="D108" s="165"/>
      <c r="E108" s="3" t="s">
        <v>20</v>
      </c>
      <c r="F108" s="73" t="s">
        <v>372</v>
      </c>
      <c r="G108" s="74" t="s">
        <v>112</v>
      </c>
      <c r="H108" s="75">
        <v>5</v>
      </c>
      <c r="I108" s="76">
        <v>2</v>
      </c>
      <c r="J108" s="96">
        <f>1+1+1+1</f>
        <v>4</v>
      </c>
      <c r="K108" s="77">
        <f>422.62+17390.69+3114.71</f>
        <v>20928.019999999997</v>
      </c>
      <c r="L108" s="77">
        <f>422.62+17390.69</f>
        <v>17813.309999999998</v>
      </c>
      <c r="M108" s="38">
        <f t="shared" si="4"/>
        <v>3114.7099999999991</v>
      </c>
      <c r="N108" s="100">
        <f>3+2+1+1+1</f>
        <v>8</v>
      </c>
      <c r="O108" s="77">
        <f>7210.31+3647.96+1306.28+1267.86+2697.06</f>
        <v>16129.470000000001</v>
      </c>
      <c r="P108" s="77">
        <f>7210.31+3647.96+1306.28+1267.86</f>
        <v>13432.410000000002</v>
      </c>
      <c r="Q108" s="12">
        <f t="shared" si="3"/>
        <v>2697.0599999999995</v>
      </c>
      <c r="R108" s="141"/>
    </row>
    <row r="109" spans="1:19" s="15" customFormat="1" ht="15.75" x14ac:dyDescent="0.25">
      <c r="A109" s="14"/>
      <c r="B109" s="170" t="s">
        <v>502</v>
      </c>
      <c r="C109" s="1"/>
      <c r="D109" s="165"/>
      <c r="E109" s="3"/>
      <c r="F109" s="73"/>
      <c r="G109" s="74" t="s">
        <v>112</v>
      </c>
      <c r="H109" s="75">
        <v>2</v>
      </c>
      <c r="I109" s="76"/>
      <c r="J109" s="96"/>
      <c r="K109" s="77"/>
      <c r="L109" s="77"/>
      <c r="M109" s="38"/>
      <c r="N109" s="100"/>
      <c r="O109" s="77"/>
      <c r="P109" s="77"/>
      <c r="Q109" s="12"/>
      <c r="R109" s="141"/>
    </row>
    <row r="110" spans="1:19" s="13" customFormat="1" ht="15.75" x14ac:dyDescent="0.25">
      <c r="A110" s="10"/>
      <c r="B110" s="62" t="s">
        <v>70</v>
      </c>
      <c r="C110" s="1" t="s">
        <v>17</v>
      </c>
      <c r="D110" s="165"/>
      <c r="E110" s="3" t="s">
        <v>20</v>
      </c>
      <c r="F110" s="73" t="s">
        <v>373</v>
      </c>
      <c r="G110" s="74" t="s">
        <v>112</v>
      </c>
      <c r="H110" s="75">
        <v>9</v>
      </c>
      <c r="I110" s="76">
        <v>4</v>
      </c>
      <c r="J110" s="96">
        <f>2+2</f>
        <v>4</v>
      </c>
      <c r="K110" s="77">
        <v>19498</v>
      </c>
      <c r="L110" s="77">
        <f>1959.42</f>
        <v>1959.42</v>
      </c>
      <c r="M110" s="78">
        <f t="shared" si="4"/>
        <v>17538.580000000002</v>
      </c>
      <c r="N110" s="100">
        <f>2+3+4+2</f>
        <v>11</v>
      </c>
      <c r="O110" s="128">
        <f>7606.2+16795.84</f>
        <v>24402.04</v>
      </c>
      <c r="P110" s="81">
        <v>7606.2</v>
      </c>
      <c r="Q110" s="79">
        <f t="shared" si="3"/>
        <v>16795.84</v>
      </c>
      <c r="R110" s="141"/>
    </row>
    <row r="111" spans="1:19" s="13" customFormat="1" ht="15.75" x14ac:dyDescent="0.25">
      <c r="A111" s="10"/>
      <c r="B111" s="22" t="s">
        <v>70</v>
      </c>
      <c r="C111" s="1" t="s">
        <v>17</v>
      </c>
      <c r="D111" s="165"/>
      <c r="E111" s="3" t="s">
        <v>20</v>
      </c>
      <c r="F111" s="73" t="s">
        <v>460</v>
      </c>
      <c r="G111" s="11" t="s">
        <v>114</v>
      </c>
      <c r="H111" s="1">
        <v>25</v>
      </c>
      <c r="I111" s="49">
        <v>1</v>
      </c>
      <c r="J111" s="51">
        <v>1</v>
      </c>
      <c r="K111" s="40">
        <v>1921</v>
      </c>
      <c r="L111" s="40">
        <v>1921</v>
      </c>
      <c r="M111" s="38">
        <f t="shared" si="4"/>
        <v>0</v>
      </c>
      <c r="N111" s="41">
        <v>28</v>
      </c>
      <c r="O111" s="31">
        <v>58683.74</v>
      </c>
      <c r="P111" s="31">
        <v>51960.24</v>
      </c>
      <c r="Q111" s="12">
        <f t="shared" si="3"/>
        <v>6723.5</v>
      </c>
    </row>
    <row r="112" spans="1:19" s="15" customFormat="1" ht="15.75" x14ac:dyDescent="0.25">
      <c r="A112" s="14"/>
      <c r="B112" s="80" t="s">
        <v>71</v>
      </c>
      <c r="C112" s="1" t="s">
        <v>17</v>
      </c>
      <c r="D112" s="165"/>
      <c r="E112" s="3" t="s">
        <v>32</v>
      </c>
      <c r="F112" s="73" t="s">
        <v>374</v>
      </c>
      <c r="G112" s="74" t="s">
        <v>112</v>
      </c>
      <c r="H112" s="75">
        <v>12</v>
      </c>
      <c r="I112" s="76">
        <v>7</v>
      </c>
      <c r="J112" s="96">
        <f>3+1+2+1</f>
        <v>7</v>
      </c>
      <c r="K112" s="77">
        <f>1536.8+461.04+1748.88+633.93</f>
        <v>4380.6500000000005</v>
      </c>
      <c r="L112" s="77">
        <f>1536.8+461.04+1748.88</f>
        <v>3746.7200000000003</v>
      </c>
      <c r="M112" s="78">
        <f t="shared" si="4"/>
        <v>633.93000000000029</v>
      </c>
      <c r="N112" s="100">
        <f>3+2+1+1</f>
        <v>7</v>
      </c>
      <c r="O112" s="81">
        <f>9567.93+3616.67+403.41+14275.52</f>
        <v>27863.53</v>
      </c>
      <c r="P112" s="81">
        <f>9567.93+3616.67+403.41</f>
        <v>13588.01</v>
      </c>
      <c r="Q112" s="79">
        <f t="shared" si="3"/>
        <v>14275.519999999999</v>
      </c>
      <c r="R112" s="141"/>
      <c r="S112" s="36"/>
    </row>
    <row r="113" spans="1:18" s="15" customFormat="1" ht="15.75" x14ac:dyDescent="0.25">
      <c r="A113" s="14"/>
      <c r="B113" s="23" t="s">
        <v>71</v>
      </c>
      <c r="C113" s="1" t="s">
        <v>17</v>
      </c>
      <c r="D113" s="165"/>
      <c r="E113" s="3" t="s">
        <v>32</v>
      </c>
      <c r="F113" s="73" t="s">
        <v>431</v>
      </c>
      <c r="G113" s="11" t="s">
        <v>115</v>
      </c>
      <c r="H113" s="1">
        <v>6</v>
      </c>
      <c r="I113" s="48">
        <v>3</v>
      </c>
      <c r="J113" s="45">
        <v>3</v>
      </c>
      <c r="K113" s="40">
        <v>5570.9</v>
      </c>
      <c r="L113" s="40">
        <v>5570.9</v>
      </c>
      <c r="M113" s="38">
        <f t="shared" si="4"/>
        <v>0</v>
      </c>
      <c r="N113" s="39">
        <f>5</f>
        <v>5</v>
      </c>
      <c r="O113" s="40">
        <v>6595.5</v>
      </c>
      <c r="P113" s="40">
        <v>6595.5</v>
      </c>
      <c r="Q113" s="12">
        <f t="shared" si="3"/>
        <v>0</v>
      </c>
    </row>
    <row r="114" spans="1:18" s="13" customFormat="1" ht="15.75" x14ac:dyDescent="0.25">
      <c r="A114" s="10"/>
      <c r="B114" s="62" t="s">
        <v>319</v>
      </c>
      <c r="C114" s="1" t="s">
        <v>17</v>
      </c>
      <c r="D114" s="165"/>
      <c r="E114" s="3" t="s">
        <v>20</v>
      </c>
      <c r="F114" s="73" t="s">
        <v>375</v>
      </c>
      <c r="G114" s="74" t="s">
        <v>112</v>
      </c>
      <c r="H114" s="75">
        <v>20</v>
      </c>
      <c r="I114" s="76">
        <v>8</v>
      </c>
      <c r="J114" s="96">
        <f>2+1+4+3</f>
        <v>10</v>
      </c>
      <c r="K114" s="77">
        <f>710.77+1523.35+6753.23+7215.52+1437.48</f>
        <v>17640.349999999999</v>
      </c>
      <c r="L114" s="77">
        <f>710.77+1523.35+6753.23+7215.52+1437.48</f>
        <v>17640.349999999999</v>
      </c>
      <c r="M114" s="78">
        <f>K114-L114</f>
        <v>0</v>
      </c>
      <c r="N114" s="100">
        <f>3+1+2+1</f>
        <v>7</v>
      </c>
      <c r="O114" s="77">
        <f>13419.94+726.71+2846.77+3770.56</f>
        <v>20763.980000000003</v>
      </c>
      <c r="P114" s="77">
        <f>13419.94+726.71+2846.77+3770.56</f>
        <v>20763.980000000003</v>
      </c>
      <c r="Q114" s="79">
        <f>O114-P114</f>
        <v>0</v>
      </c>
      <c r="R114" s="141"/>
    </row>
    <row r="115" spans="1:18" s="15" customFormat="1" ht="15.75" x14ac:dyDescent="0.25">
      <c r="A115" s="14"/>
      <c r="B115" s="62" t="s">
        <v>150</v>
      </c>
      <c r="C115" s="1" t="s">
        <v>17</v>
      </c>
      <c r="D115" s="165"/>
      <c r="E115" s="3" t="s">
        <v>35</v>
      </c>
      <c r="F115" s="73" t="s">
        <v>376</v>
      </c>
      <c r="G115" s="74" t="s">
        <v>112</v>
      </c>
      <c r="H115" s="75">
        <v>9</v>
      </c>
      <c r="I115" s="76">
        <v>6</v>
      </c>
      <c r="J115" s="97">
        <f>1+1+2+2</f>
        <v>6</v>
      </c>
      <c r="K115" s="77">
        <f>1343.65+384.2+1690.4+4889.84</f>
        <v>8308.09</v>
      </c>
      <c r="L115" s="77">
        <f>1343.65+384.2</f>
        <v>1727.8500000000001</v>
      </c>
      <c r="M115" s="78">
        <f t="shared" si="4"/>
        <v>6580.24</v>
      </c>
      <c r="N115" s="114">
        <f>8+1+1+2+3+1+1</f>
        <v>17</v>
      </c>
      <c r="O115" s="77">
        <f>5997.32+3719.39+3054.34+13138.17+6578.46</f>
        <v>32487.68</v>
      </c>
      <c r="P115" s="77">
        <f>5997.32+3719.39+3054.34+13138.17</f>
        <v>25909.22</v>
      </c>
      <c r="Q115" s="79">
        <f t="shared" si="3"/>
        <v>6578.4599999999991</v>
      </c>
      <c r="R115" s="141"/>
    </row>
    <row r="116" spans="1:18" s="15" customFormat="1" ht="15.75" x14ac:dyDescent="0.25">
      <c r="A116" s="14"/>
      <c r="B116" s="50" t="s">
        <v>150</v>
      </c>
      <c r="C116" s="1" t="s">
        <v>17</v>
      </c>
      <c r="D116" s="165"/>
      <c r="E116" s="3" t="s">
        <v>32</v>
      </c>
      <c r="F116" s="73" t="s">
        <v>487</v>
      </c>
      <c r="G116" s="11" t="s">
        <v>117</v>
      </c>
      <c r="H116" s="1"/>
      <c r="I116" s="48"/>
      <c r="J116" s="45"/>
      <c r="K116" s="40"/>
      <c r="L116" s="37"/>
      <c r="M116" s="38">
        <f t="shared" si="4"/>
        <v>0</v>
      </c>
      <c r="N116" s="42">
        <v>1</v>
      </c>
      <c r="O116" s="40">
        <v>4226.2</v>
      </c>
      <c r="P116" s="40">
        <v>4226.2</v>
      </c>
      <c r="Q116" s="12">
        <f t="shared" si="3"/>
        <v>0</v>
      </c>
    </row>
    <row r="117" spans="1:18" s="13" customFormat="1" ht="15.75" x14ac:dyDescent="0.25">
      <c r="A117" s="10"/>
      <c r="B117" s="30" t="s">
        <v>72</v>
      </c>
      <c r="C117" s="1" t="s">
        <v>17</v>
      </c>
      <c r="D117" s="165"/>
      <c r="E117" s="3" t="s">
        <v>21</v>
      </c>
      <c r="F117" s="73" t="s">
        <v>377</v>
      </c>
      <c r="G117" s="74" t="s">
        <v>112</v>
      </c>
      <c r="H117" s="75">
        <v>15</v>
      </c>
      <c r="I117" s="76">
        <v>3</v>
      </c>
      <c r="J117" s="96">
        <f>1+1+1+1</f>
        <v>4</v>
      </c>
      <c r="K117" s="77">
        <f>633.93+1415.78+1610.18+1394.65</f>
        <v>5054.5400000000009</v>
      </c>
      <c r="L117" s="77">
        <f>633.93+1415.78+1610.18</f>
        <v>3659.8900000000003</v>
      </c>
      <c r="M117" s="78">
        <f t="shared" si="4"/>
        <v>1394.6500000000005</v>
      </c>
      <c r="N117" s="100">
        <f>1+3+1+1+1+3+1</f>
        <v>11</v>
      </c>
      <c r="O117" s="81">
        <f>1950.74+10237.13+6595.95+3861.21+1348.53+10328.94</f>
        <v>34322.5</v>
      </c>
      <c r="P117" s="81">
        <f>1950.74+10237.13+6595.95+3861.21+1348.53</f>
        <v>23993.559999999998</v>
      </c>
      <c r="Q117" s="79">
        <f t="shared" si="3"/>
        <v>10328.940000000002</v>
      </c>
      <c r="R117" s="141"/>
    </row>
    <row r="118" spans="1:18" s="13" customFormat="1" ht="15.75" x14ac:dyDescent="0.25">
      <c r="A118" s="10"/>
      <c r="B118" s="24" t="s">
        <v>72</v>
      </c>
      <c r="C118" s="1" t="s">
        <v>17</v>
      </c>
      <c r="D118" s="165"/>
      <c r="E118" s="3" t="s">
        <v>21</v>
      </c>
      <c r="F118" s="73" t="s">
        <v>441</v>
      </c>
      <c r="G118" s="11" t="s">
        <v>118</v>
      </c>
      <c r="H118" s="1">
        <v>5</v>
      </c>
      <c r="I118" s="49"/>
      <c r="J118" s="46"/>
      <c r="K118" s="40"/>
      <c r="L118" s="40"/>
      <c r="M118" s="38">
        <f t="shared" si="4"/>
        <v>0</v>
      </c>
      <c r="N118" s="41">
        <v>13</v>
      </c>
      <c r="O118" s="31">
        <v>45577.03</v>
      </c>
      <c r="P118" s="31">
        <v>45577.03</v>
      </c>
      <c r="Q118" s="12">
        <f t="shared" si="3"/>
        <v>0</v>
      </c>
    </row>
    <row r="119" spans="1:18" s="15" customFormat="1" ht="15.75" x14ac:dyDescent="0.25">
      <c r="A119" s="14"/>
      <c r="B119" s="84" t="s">
        <v>73</v>
      </c>
      <c r="C119" s="1" t="s">
        <v>17</v>
      </c>
      <c r="D119" s="165"/>
      <c r="E119" s="3" t="s">
        <v>74</v>
      </c>
      <c r="F119" s="73" t="s">
        <v>378</v>
      </c>
      <c r="G119" s="74" t="s">
        <v>112</v>
      </c>
      <c r="H119" s="75">
        <v>17</v>
      </c>
      <c r="I119" s="76">
        <v>15</v>
      </c>
      <c r="J119" s="96">
        <f>9+8+2+2</f>
        <v>21</v>
      </c>
      <c r="K119" s="77">
        <f>6305.33+12574.83+4899.84</f>
        <v>23780</v>
      </c>
      <c r="L119" s="77">
        <f>6305.33+12574.83+4899.84</f>
        <v>23780</v>
      </c>
      <c r="M119" s="78">
        <f t="shared" si="4"/>
        <v>0</v>
      </c>
      <c r="N119" s="100">
        <f>5+3+3+1</f>
        <v>12</v>
      </c>
      <c r="O119" s="81">
        <f>5416.39+9506.99+12269.39+7610.68+1928.68</f>
        <v>36732.129999999997</v>
      </c>
      <c r="P119" s="81">
        <f>5416.39+9506.99</f>
        <v>14923.380000000001</v>
      </c>
      <c r="Q119" s="79">
        <f t="shared" si="3"/>
        <v>21808.749999999996</v>
      </c>
      <c r="R119" s="141"/>
    </row>
    <row r="120" spans="1:18" s="15" customFormat="1" ht="15.75" x14ac:dyDescent="0.25">
      <c r="A120" s="14"/>
      <c r="B120" s="29" t="s">
        <v>73</v>
      </c>
      <c r="C120" s="1" t="s">
        <v>17</v>
      </c>
      <c r="D120" s="165"/>
      <c r="E120" s="3" t="s">
        <v>74</v>
      </c>
      <c r="F120" s="73" t="s">
        <v>282</v>
      </c>
      <c r="G120" s="11" t="s">
        <v>114</v>
      </c>
      <c r="H120" s="1"/>
      <c r="I120" s="49"/>
      <c r="J120" s="51"/>
      <c r="K120" s="40"/>
      <c r="L120" s="40"/>
      <c r="M120" s="38">
        <f t="shared" si="4"/>
        <v>0</v>
      </c>
      <c r="N120" s="42">
        <v>1</v>
      </c>
      <c r="O120" s="31">
        <v>19379.400000000001</v>
      </c>
      <c r="P120" s="31">
        <v>19379.400000000001</v>
      </c>
      <c r="Q120" s="12">
        <f t="shared" si="3"/>
        <v>0</v>
      </c>
    </row>
    <row r="121" spans="1:18" s="13" customFormat="1" ht="15.75" x14ac:dyDescent="0.25">
      <c r="A121" s="10"/>
      <c r="B121" s="30" t="s">
        <v>135</v>
      </c>
      <c r="C121" s="1" t="s">
        <v>17</v>
      </c>
      <c r="D121" s="165"/>
      <c r="E121" s="17" t="s">
        <v>35</v>
      </c>
      <c r="F121" s="73" t="s">
        <v>379</v>
      </c>
      <c r="G121" s="74" t="s">
        <v>112</v>
      </c>
      <c r="H121" s="75">
        <v>17</v>
      </c>
      <c r="I121" s="76">
        <v>11</v>
      </c>
      <c r="J121" s="96">
        <f>1+6+5+3</f>
        <v>15</v>
      </c>
      <c r="K121" s="77">
        <f>697.32+4374.12+5747.44</f>
        <v>10818.88</v>
      </c>
      <c r="L121" s="77">
        <f>697.32+4374.12</f>
        <v>5071.4399999999996</v>
      </c>
      <c r="M121" s="38">
        <f t="shared" si="4"/>
        <v>5747.44</v>
      </c>
      <c r="N121" s="100">
        <f>2+5+1+2+2+2</f>
        <v>14</v>
      </c>
      <c r="O121" s="81">
        <f>6432.89+2283.68+4932.13</f>
        <v>13648.7</v>
      </c>
      <c r="P121" s="81">
        <f>6432.89+2283.68</f>
        <v>8716.57</v>
      </c>
      <c r="Q121" s="12">
        <f t="shared" si="3"/>
        <v>4932.130000000001</v>
      </c>
      <c r="R121" s="141"/>
    </row>
    <row r="122" spans="1:18" s="13" customFormat="1" ht="15.75" x14ac:dyDescent="0.25">
      <c r="A122" s="10"/>
      <c r="B122" s="24" t="s">
        <v>135</v>
      </c>
      <c r="C122" s="1" t="s">
        <v>17</v>
      </c>
      <c r="D122" s="165"/>
      <c r="E122" s="17" t="s">
        <v>35</v>
      </c>
      <c r="F122" s="73" t="s">
        <v>432</v>
      </c>
      <c r="G122" s="11" t="s">
        <v>115</v>
      </c>
      <c r="H122" s="1"/>
      <c r="I122" s="49"/>
      <c r="J122" s="46"/>
      <c r="K122" s="40"/>
      <c r="L122" s="40"/>
      <c r="M122" s="78">
        <f t="shared" si="4"/>
        <v>0</v>
      </c>
      <c r="N122" s="41">
        <v>1</v>
      </c>
      <c r="O122" s="31">
        <v>2689.4</v>
      </c>
      <c r="P122" s="31">
        <v>2689.4</v>
      </c>
      <c r="Q122" s="79">
        <f t="shared" si="3"/>
        <v>0</v>
      </c>
    </row>
    <row r="123" spans="1:18" s="13" customFormat="1" ht="15.75" x14ac:dyDescent="0.25">
      <c r="A123" s="10"/>
      <c r="B123" s="30" t="s">
        <v>145</v>
      </c>
      <c r="C123" s="1" t="s">
        <v>17</v>
      </c>
      <c r="D123" s="165"/>
      <c r="E123" s="17" t="s">
        <v>20</v>
      </c>
      <c r="F123" s="73" t="s">
        <v>380</v>
      </c>
      <c r="G123" s="74" t="s">
        <v>112</v>
      </c>
      <c r="H123" s="75">
        <v>4</v>
      </c>
      <c r="I123" s="82">
        <v>3</v>
      </c>
      <c r="J123" s="96">
        <f>2+1+1+2</f>
        <v>6</v>
      </c>
      <c r="K123" s="77">
        <f>5169.72+1100+538.84+4293.82</f>
        <v>11102.380000000001</v>
      </c>
      <c r="L123" s="77">
        <f>5169.72+1100+538.84</f>
        <v>6808.56</v>
      </c>
      <c r="M123" s="38">
        <f t="shared" si="4"/>
        <v>4293.8200000000006</v>
      </c>
      <c r="N123" s="100">
        <f>1+1+2+1</f>
        <v>5</v>
      </c>
      <c r="O123" s="81">
        <f>5120.23+3915.15+1114.12</f>
        <v>10149.5</v>
      </c>
      <c r="P123" s="81">
        <f>5120.23+3915.15+1114.12</f>
        <v>10149.5</v>
      </c>
      <c r="Q123" s="12">
        <f t="shared" si="3"/>
        <v>0</v>
      </c>
      <c r="R123" s="141"/>
    </row>
    <row r="124" spans="1:18" s="13" customFormat="1" ht="15.75" x14ac:dyDescent="0.25">
      <c r="A124" s="10"/>
      <c r="B124" s="24" t="s">
        <v>145</v>
      </c>
      <c r="C124" s="1" t="s">
        <v>17</v>
      </c>
      <c r="D124" s="165"/>
      <c r="E124" s="17" t="s">
        <v>20</v>
      </c>
      <c r="F124" s="73" t="s">
        <v>461</v>
      </c>
      <c r="G124" s="11" t="s">
        <v>114</v>
      </c>
      <c r="H124" s="1">
        <v>2</v>
      </c>
      <c r="I124" s="49"/>
      <c r="J124" s="51"/>
      <c r="K124" s="40"/>
      <c r="L124" s="40"/>
      <c r="M124" s="78">
        <f t="shared" si="4"/>
        <v>0</v>
      </c>
      <c r="N124" s="41">
        <v>9</v>
      </c>
      <c r="O124" s="31">
        <v>19379.400000000001</v>
      </c>
      <c r="P124" s="31">
        <v>19379.400000000001</v>
      </c>
      <c r="Q124" s="12">
        <f t="shared" si="3"/>
        <v>0</v>
      </c>
    </row>
    <row r="125" spans="1:18" s="13" customFormat="1" ht="15.75" x14ac:dyDescent="0.25">
      <c r="A125" s="10"/>
      <c r="B125" s="62" t="s">
        <v>76</v>
      </c>
      <c r="C125" s="1" t="s">
        <v>17</v>
      </c>
      <c r="D125" s="165"/>
      <c r="E125" s="3" t="s">
        <v>20</v>
      </c>
      <c r="F125" s="73" t="s">
        <v>381</v>
      </c>
      <c r="G125" s="74" t="s">
        <v>112</v>
      </c>
      <c r="H125" s="75">
        <v>17</v>
      </c>
      <c r="I125" s="76">
        <v>12</v>
      </c>
      <c r="J125" s="96">
        <f>1+6+3+1+3+1</f>
        <v>15</v>
      </c>
      <c r="K125" s="77">
        <f>6556.06+2806.39+2697.06+1267.86+11775.51</f>
        <v>25102.880000000001</v>
      </c>
      <c r="L125" s="77">
        <f>6556.06+2806.39+2697.06+1267.86</f>
        <v>13327.37</v>
      </c>
      <c r="M125" s="38">
        <f t="shared" si="4"/>
        <v>11775.51</v>
      </c>
      <c r="N125" s="100">
        <f>5+6+2+1</f>
        <v>14</v>
      </c>
      <c r="O125" s="81">
        <f>11527.9+19846.52+1011.91+9641+2451.87+10072.83</f>
        <v>54552.030000000006</v>
      </c>
      <c r="P125" s="81">
        <f>11527.9+19846.52+1011.91+9641+2451.87</f>
        <v>44479.200000000004</v>
      </c>
      <c r="Q125" s="12">
        <f t="shared" si="3"/>
        <v>10072.830000000002</v>
      </c>
      <c r="R125" s="141"/>
    </row>
    <row r="126" spans="1:18" s="13" customFormat="1" ht="15.75" x14ac:dyDescent="0.25">
      <c r="A126" s="10"/>
      <c r="B126" s="22" t="s">
        <v>76</v>
      </c>
      <c r="C126" s="1" t="s">
        <v>17</v>
      </c>
      <c r="D126" s="165"/>
      <c r="E126" s="3" t="s">
        <v>20</v>
      </c>
      <c r="F126" s="73" t="s">
        <v>462</v>
      </c>
      <c r="G126" s="11" t="s">
        <v>114</v>
      </c>
      <c r="H126" s="1">
        <v>8</v>
      </c>
      <c r="I126" s="49">
        <v>1</v>
      </c>
      <c r="J126" s="51">
        <v>1</v>
      </c>
      <c r="K126" s="40"/>
      <c r="L126" s="40"/>
      <c r="M126" s="78">
        <f t="shared" si="4"/>
        <v>0</v>
      </c>
      <c r="N126" s="41">
        <v>8</v>
      </c>
      <c r="O126" s="31">
        <v>27398.29</v>
      </c>
      <c r="P126" s="31">
        <v>27398.29</v>
      </c>
      <c r="Q126" s="12">
        <f t="shared" si="3"/>
        <v>0</v>
      </c>
    </row>
    <row r="127" spans="1:18" s="13" customFormat="1" ht="15.75" x14ac:dyDescent="0.25">
      <c r="A127" s="10"/>
      <c r="B127" s="30" t="s">
        <v>77</v>
      </c>
      <c r="C127" s="1" t="s">
        <v>17</v>
      </c>
      <c r="D127" s="165"/>
      <c r="E127" s="3" t="s">
        <v>32</v>
      </c>
      <c r="F127" s="73" t="s">
        <v>388</v>
      </c>
      <c r="G127" s="74" t="s">
        <v>112</v>
      </c>
      <c r="H127" s="75">
        <v>10</v>
      </c>
      <c r="I127" s="76">
        <v>5</v>
      </c>
      <c r="J127" s="96">
        <f>2+2+2</f>
        <v>6</v>
      </c>
      <c r="K127" s="77">
        <f>2440.63+1507.02+2101.48</f>
        <v>6049.13</v>
      </c>
      <c r="L127" s="77">
        <f>2440.63+1507.02</f>
        <v>3947.65</v>
      </c>
      <c r="M127" s="38">
        <f t="shared" si="4"/>
        <v>2101.48</v>
      </c>
      <c r="N127" s="100">
        <f>5+2+3+3+1</f>
        <v>14</v>
      </c>
      <c r="O127" s="81">
        <f>11716.73+6848.82+4046.18+11166.34+8845.95</f>
        <v>42624.020000000004</v>
      </c>
      <c r="P127" s="81">
        <f>11716.73+6848.82+4046.18+11166.34+8845.95</f>
        <v>42624.020000000004</v>
      </c>
      <c r="Q127" s="12">
        <f t="shared" si="3"/>
        <v>0</v>
      </c>
      <c r="R127" s="141"/>
    </row>
    <row r="128" spans="1:18" s="13" customFormat="1" ht="15.75" x14ac:dyDescent="0.25">
      <c r="A128" s="10"/>
      <c r="B128" s="24" t="s">
        <v>77</v>
      </c>
      <c r="C128" s="1" t="s">
        <v>17</v>
      </c>
      <c r="D128" s="165"/>
      <c r="E128" s="3" t="s">
        <v>32</v>
      </c>
      <c r="F128" s="73" t="s">
        <v>433</v>
      </c>
      <c r="G128" s="11" t="s">
        <v>117</v>
      </c>
      <c r="H128" s="1">
        <v>1</v>
      </c>
      <c r="I128" s="49"/>
      <c r="J128" s="46">
        <v>2</v>
      </c>
      <c r="K128" s="40">
        <v>1921</v>
      </c>
      <c r="L128" s="40">
        <v>1212.47</v>
      </c>
      <c r="M128" s="78">
        <f t="shared" si="4"/>
        <v>708.53</v>
      </c>
      <c r="N128" s="41">
        <v>6</v>
      </c>
      <c r="O128" s="31">
        <v>18164.11</v>
      </c>
      <c r="P128" s="31">
        <v>15666.81</v>
      </c>
      <c r="Q128" s="79">
        <f t="shared" si="3"/>
        <v>2497.3000000000011</v>
      </c>
    </row>
    <row r="129" spans="1:18" s="13" customFormat="1" ht="15.75" x14ac:dyDescent="0.25">
      <c r="A129" s="10"/>
      <c r="B129" s="24" t="s">
        <v>321</v>
      </c>
      <c r="C129" s="1" t="s">
        <v>17</v>
      </c>
      <c r="D129" s="165"/>
      <c r="E129" s="3" t="s">
        <v>21</v>
      </c>
      <c r="F129" s="73" t="s">
        <v>489</v>
      </c>
      <c r="G129" s="11" t="s">
        <v>112</v>
      </c>
      <c r="H129" s="1">
        <v>3</v>
      </c>
      <c r="I129" s="49"/>
      <c r="J129" s="46"/>
      <c r="K129" s="40"/>
      <c r="L129" s="40"/>
      <c r="M129" s="78"/>
      <c r="N129" s="41"/>
      <c r="O129" s="31"/>
      <c r="P129" s="31"/>
      <c r="Q129" s="79"/>
      <c r="R129" s="141"/>
    </row>
    <row r="130" spans="1:18" s="13" customFormat="1" ht="31.5" x14ac:dyDescent="0.25">
      <c r="A130" s="10"/>
      <c r="B130" s="62" t="s">
        <v>79</v>
      </c>
      <c r="C130" s="1" t="s">
        <v>304</v>
      </c>
      <c r="D130" s="165" t="s">
        <v>385</v>
      </c>
      <c r="E130" s="3" t="s">
        <v>18</v>
      </c>
      <c r="F130" s="73" t="s">
        <v>389</v>
      </c>
      <c r="G130" s="74" t="s">
        <v>112</v>
      </c>
      <c r="H130" s="75">
        <v>11</v>
      </c>
      <c r="I130" s="76">
        <v>7</v>
      </c>
      <c r="J130" s="96">
        <f>2+5+2</f>
        <v>9</v>
      </c>
      <c r="K130" s="77">
        <f>2091.97+3190.2+5703.08+6368.88</f>
        <v>17354.13</v>
      </c>
      <c r="L130" s="77">
        <f>2091.97+3190.2</f>
        <v>5282.17</v>
      </c>
      <c r="M130" s="38">
        <f t="shared" si="4"/>
        <v>12071.960000000001</v>
      </c>
      <c r="N130" s="100">
        <f>2+2+1+2+1</f>
        <v>8</v>
      </c>
      <c r="O130" s="81">
        <f>1547.4+4166.12+7835.61+1675.01+4717.63+6039.62</f>
        <v>25981.39</v>
      </c>
      <c r="P130" s="81">
        <f>1547.4+4166.12+7835.61+1675.01+4717.63</f>
        <v>19941.77</v>
      </c>
      <c r="Q130" s="12">
        <f t="shared" si="3"/>
        <v>6039.619999999999</v>
      </c>
      <c r="R130" s="141"/>
    </row>
    <row r="131" spans="1:18" s="13" customFormat="1" ht="31.5" x14ac:dyDescent="0.25">
      <c r="A131" s="10"/>
      <c r="B131" s="22" t="s">
        <v>79</v>
      </c>
      <c r="C131" s="1" t="s">
        <v>304</v>
      </c>
      <c r="D131" s="165" t="s">
        <v>475</v>
      </c>
      <c r="E131" s="3" t="s">
        <v>18</v>
      </c>
      <c r="F131" s="73" t="s">
        <v>329</v>
      </c>
      <c r="G131" s="11" t="s">
        <v>113</v>
      </c>
      <c r="H131" s="1">
        <v>31</v>
      </c>
      <c r="I131" s="53">
        <v>10</v>
      </c>
      <c r="J131" s="127">
        <v>10</v>
      </c>
      <c r="K131" s="31">
        <v>14299</v>
      </c>
      <c r="L131" s="31">
        <v>14299</v>
      </c>
      <c r="M131" s="78">
        <f t="shared" si="4"/>
        <v>0</v>
      </c>
      <c r="N131" s="41">
        <v>10</v>
      </c>
      <c r="O131" s="31">
        <v>39340</v>
      </c>
      <c r="P131" s="31">
        <v>39340</v>
      </c>
      <c r="Q131" s="79">
        <f t="shared" si="3"/>
        <v>0</v>
      </c>
    </row>
    <row r="132" spans="1:18" s="13" customFormat="1" ht="15.75" x14ac:dyDescent="0.25">
      <c r="A132" s="10"/>
      <c r="B132" s="62" t="s">
        <v>151</v>
      </c>
      <c r="C132" s="1" t="s">
        <v>17</v>
      </c>
      <c r="D132" s="165"/>
      <c r="E132" s="3" t="s">
        <v>32</v>
      </c>
      <c r="F132" s="73" t="s">
        <v>390</v>
      </c>
      <c r="G132" s="74" t="s">
        <v>112</v>
      </c>
      <c r="H132" s="75">
        <v>32</v>
      </c>
      <c r="I132" s="82">
        <v>15</v>
      </c>
      <c r="J132" s="96">
        <f>1+3+3+5+3</f>
        <v>15</v>
      </c>
      <c r="K132" s="81">
        <f>2317+4640.19+5864.19+10765</f>
        <v>23586.379999999997</v>
      </c>
      <c r="L132" s="81">
        <f>2317+4640.19+5864.19</f>
        <v>12821.38</v>
      </c>
      <c r="M132" s="38">
        <f t="shared" si="4"/>
        <v>10764.999999999998</v>
      </c>
      <c r="N132" s="100">
        <f>9+3+5+1+4</f>
        <v>22</v>
      </c>
      <c r="O132" s="81">
        <f>10726.94+18822.65+5703.53+12846.53+1320.36+4050.1</f>
        <v>53470.11</v>
      </c>
      <c r="P132" s="81">
        <f>10726.94+18822.65+5703.53+12846.53+1320.36</f>
        <v>49420.01</v>
      </c>
      <c r="Q132" s="12">
        <f t="shared" si="3"/>
        <v>4050.0999999999985</v>
      </c>
      <c r="R132" s="141"/>
    </row>
    <row r="133" spans="1:18" s="13" customFormat="1" ht="15.75" x14ac:dyDescent="0.25">
      <c r="A133" s="10"/>
      <c r="B133" s="22" t="s">
        <v>151</v>
      </c>
      <c r="C133" s="1" t="s">
        <v>17</v>
      </c>
      <c r="D133" s="165"/>
      <c r="E133" s="3" t="s">
        <v>32</v>
      </c>
      <c r="F133" s="73" t="s">
        <v>434</v>
      </c>
      <c r="G133" s="11" t="s">
        <v>117</v>
      </c>
      <c r="H133" s="1">
        <v>6</v>
      </c>
      <c r="I133" s="49"/>
      <c r="J133" s="46"/>
      <c r="K133" s="40"/>
      <c r="L133" s="40"/>
      <c r="M133" s="78">
        <f t="shared" si="4"/>
        <v>0</v>
      </c>
      <c r="N133" s="41">
        <v>12</v>
      </c>
      <c r="O133" s="31">
        <v>22129.3</v>
      </c>
      <c r="P133" s="31">
        <v>22129.3</v>
      </c>
      <c r="Q133" s="79">
        <f t="shared" si="3"/>
        <v>0</v>
      </c>
    </row>
    <row r="134" spans="1:18" s="13" customFormat="1" ht="15.75" x14ac:dyDescent="0.25">
      <c r="A134" s="10"/>
      <c r="B134" s="62" t="s">
        <v>80</v>
      </c>
      <c r="C134" s="1" t="s">
        <v>17</v>
      </c>
      <c r="D134" s="165"/>
      <c r="E134" s="3" t="s">
        <v>81</v>
      </c>
      <c r="F134" s="73" t="s">
        <v>417</v>
      </c>
      <c r="G134" s="74" t="s">
        <v>112</v>
      </c>
      <c r="H134" s="75"/>
      <c r="I134" s="76"/>
      <c r="J134" s="96"/>
      <c r="K134" s="77">
        <f>749.19</f>
        <v>749.19</v>
      </c>
      <c r="L134" s="77"/>
      <c r="M134" s="38">
        <f t="shared" si="4"/>
        <v>749.19</v>
      </c>
      <c r="N134" s="100">
        <f>2+2</f>
        <v>4</v>
      </c>
      <c r="O134" s="81">
        <f>3040.94</f>
        <v>3040.94</v>
      </c>
      <c r="P134" s="81">
        <f>3040.94</f>
        <v>3040.94</v>
      </c>
      <c r="Q134" s="12">
        <f t="shared" si="3"/>
        <v>0</v>
      </c>
      <c r="R134" s="141"/>
    </row>
    <row r="135" spans="1:18" s="13" customFormat="1" ht="15.75" x14ac:dyDescent="0.25">
      <c r="A135" s="10"/>
      <c r="B135" s="22" t="s">
        <v>80</v>
      </c>
      <c r="C135" s="1" t="s">
        <v>17</v>
      </c>
      <c r="D135" s="165"/>
      <c r="E135" s="3" t="s">
        <v>81</v>
      </c>
      <c r="F135" s="73" t="s">
        <v>285</v>
      </c>
      <c r="G135" s="11" t="s">
        <v>114</v>
      </c>
      <c r="H135" s="1"/>
      <c r="I135" s="49"/>
      <c r="J135" s="51"/>
      <c r="K135" s="40">
        <v>2113.1</v>
      </c>
      <c r="L135" s="40">
        <v>2113.1</v>
      </c>
      <c r="M135" s="78">
        <f t="shared" si="4"/>
        <v>0</v>
      </c>
      <c r="N135" s="41">
        <v>22</v>
      </c>
      <c r="O135" s="31">
        <v>44542.14</v>
      </c>
      <c r="P135" s="31">
        <v>34896.06</v>
      </c>
      <c r="Q135" s="12">
        <f t="shared" si="3"/>
        <v>9646.0800000000017</v>
      </c>
    </row>
    <row r="136" spans="1:18" s="13" customFormat="1" ht="15.75" x14ac:dyDescent="0.25">
      <c r="A136" s="10"/>
      <c r="B136" s="30" t="s">
        <v>82</v>
      </c>
      <c r="C136" s="1" t="s">
        <v>17</v>
      </c>
      <c r="D136" s="165"/>
      <c r="E136" s="3" t="s">
        <v>20</v>
      </c>
      <c r="F136" s="73" t="s">
        <v>394</v>
      </c>
      <c r="G136" s="74" t="s">
        <v>112</v>
      </c>
      <c r="H136" s="75">
        <v>7</v>
      </c>
      <c r="I136" s="76">
        <v>4</v>
      </c>
      <c r="J136" s="96">
        <f>4</f>
        <v>4</v>
      </c>
      <c r="K136" s="77">
        <f>7750.47</f>
        <v>7750.47</v>
      </c>
      <c r="L136" s="77"/>
      <c r="M136" s="38">
        <f t="shared" si="4"/>
        <v>7750.47</v>
      </c>
      <c r="N136" s="100">
        <f>3+5+1</f>
        <v>9</v>
      </c>
      <c r="O136" s="81">
        <f>5975.84+23579.15+1426.34</f>
        <v>30981.33</v>
      </c>
      <c r="P136" s="81">
        <f>5975.84+23579.15</f>
        <v>29554.99</v>
      </c>
      <c r="Q136" s="12">
        <f t="shared" si="3"/>
        <v>1426.3400000000001</v>
      </c>
      <c r="R136" s="141"/>
    </row>
    <row r="137" spans="1:18" s="13" customFormat="1" ht="15.75" x14ac:dyDescent="0.25">
      <c r="A137" s="10"/>
      <c r="B137" s="24" t="s">
        <v>82</v>
      </c>
      <c r="C137" s="1" t="s">
        <v>17</v>
      </c>
      <c r="D137" s="165"/>
      <c r="E137" s="3" t="s">
        <v>20</v>
      </c>
      <c r="F137" s="73" t="s">
        <v>463</v>
      </c>
      <c r="G137" s="11" t="s">
        <v>114</v>
      </c>
      <c r="H137" s="1">
        <v>15</v>
      </c>
      <c r="I137" s="49"/>
      <c r="J137" s="51"/>
      <c r="K137" s="40"/>
      <c r="L137" s="40"/>
      <c r="M137" s="78">
        <f t="shared" si="4"/>
        <v>0</v>
      </c>
      <c r="N137" s="41">
        <v>7</v>
      </c>
      <c r="O137" s="31">
        <v>27105.51</v>
      </c>
      <c r="P137" s="31">
        <v>20554.900000000001</v>
      </c>
      <c r="Q137" s="12">
        <f t="shared" si="3"/>
        <v>6550.6099999999969</v>
      </c>
    </row>
    <row r="138" spans="1:18" s="13" customFormat="1" ht="15.75" x14ac:dyDescent="0.25">
      <c r="A138" s="10"/>
      <c r="B138" s="24" t="s">
        <v>309</v>
      </c>
      <c r="C138" s="1"/>
      <c r="D138" s="165"/>
      <c r="E138" s="3" t="s">
        <v>20</v>
      </c>
      <c r="F138" s="73" t="s">
        <v>391</v>
      </c>
      <c r="G138" s="11" t="s">
        <v>112</v>
      </c>
      <c r="H138" s="1">
        <v>10</v>
      </c>
      <c r="I138" s="58">
        <v>5</v>
      </c>
      <c r="J138" s="51">
        <f>1+5</f>
        <v>6</v>
      </c>
      <c r="K138" s="40">
        <f>3606.1+3402.77</f>
        <v>7008.87</v>
      </c>
      <c r="L138" s="40">
        <f>3606.1</f>
        <v>3606.1</v>
      </c>
      <c r="M138" s="38">
        <f t="shared" si="4"/>
        <v>3402.77</v>
      </c>
      <c r="N138" s="41">
        <f>1+5+1+3</f>
        <v>10</v>
      </c>
      <c r="O138" s="31">
        <f>3088.97+13147.65+1267.86+5955.71</f>
        <v>23460.19</v>
      </c>
      <c r="P138" s="31">
        <f>3088.97+13147.65+1267.86</f>
        <v>17504.48</v>
      </c>
      <c r="Q138" s="12">
        <f t="shared" si="3"/>
        <v>5955.7099999999991</v>
      </c>
      <c r="R138" s="141"/>
    </row>
    <row r="139" spans="1:18" s="13" customFormat="1" ht="15.75" x14ac:dyDescent="0.25">
      <c r="A139" s="10"/>
      <c r="B139" s="30" t="s">
        <v>152</v>
      </c>
      <c r="C139" s="1" t="s">
        <v>17</v>
      </c>
      <c r="D139" s="165"/>
      <c r="E139" s="3" t="s">
        <v>35</v>
      </c>
      <c r="F139" s="73" t="s">
        <v>392</v>
      </c>
      <c r="G139" s="74" t="s">
        <v>112</v>
      </c>
      <c r="H139" s="75">
        <v>7</v>
      </c>
      <c r="I139" s="76">
        <v>5</v>
      </c>
      <c r="J139" s="96">
        <f>1+1+2+1+1</f>
        <v>6</v>
      </c>
      <c r="K139" s="77">
        <f>403.41+845.24</f>
        <v>1248.6500000000001</v>
      </c>
      <c r="L139" s="77">
        <f>403.41+845.24</f>
        <v>1248.6500000000001</v>
      </c>
      <c r="M139" s="38">
        <f t="shared" si="4"/>
        <v>0</v>
      </c>
      <c r="N139" s="100">
        <f>2+2+2+1+1+1</f>
        <v>9</v>
      </c>
      <c r="O139" s="81">
        <f>1690.48+3050.26+3661.61+4648.82+1267.86+1690.48+9282.42</f>
        <v>25291.93</v>
      </c>
      <c r="P139" s="81">
        <f>1690.48+3050.26+3661.61+4648.82+1267.86+1690.48+9282.42</f>
        <v>25291.93</v>
      </c>
      <c r="Q139" s="12">
        <f t="shared" si="3"/>
        <v>0</v>
      </c>
      <c r="R139" s="141"/>
    </row>
    <row r="140" spans="1:18" s="13" customFormat="1" ht="15.75" x14ac:dyDescent="0.25">
      <c r="A140" s="10"/>
      <c r="B140" s="24" t="s">
        <v>152</v>
      </c>
      <c r="C140" s="1" t="s">
        <v>17</v>
      </c>
      <c r="D140" s="165"/>
      <c r="E140" s="3" t="s">
        <v>32</v>
      </c>
      <c r="F140" s="73"/>
      <c r="G140" s="11" t="s">
        <v>117</v>
      </c>
      <c r="H140" s="1"/>
      <c r="I140" s="49"/>
      <c r="J140" s="46"/>
      <c r="K140" s="40"/>
      <c r="L140" s="40"/>
      <c r="M140" s="78">
        <f t="shared" si="4"/>
        <v>0</v>
      </c>
      <c r="N140" s="41"/>
      <c r="O140" s="31"/>
      <c r="P140" s="31"/>
      <c r="Q140" s="79">
        <f t="shared" si="3"/>
        <v>0</v>
      </c>
    </row>
    <row r="141" spans="1:18" s="13" customFormat="1" ht="15.75" x14ac:dyDescent="0.25">
      <c r="A141" s="10"/>
      <c r="B141" s="30" t="s">
        <v>83</v>
      </c>
      <c r="C141" s="1" t="s">
        <v>17</v>
      </c>
      <c r="D141" s="165"/>
      <c r="E141" s="3" t="s">
        <v>20</v>
      </c>
      <c r="F141" s="73" t="s">
        <v>393</v>
      </c>
      <c r="G141" s="74" t="s">
        <v>112</v>
      </c>
      <c r="H141" s="75">
        <v>12</v>
      </c>
      <c r="I141" s="76">
        <v>5</v>
      </c>
      <c r="J141" s="96">
        <f>1+1+2+1+1</f>
        <v>6</v>
      </c>
      <c r="K141" s="77">
        <f>768.4+2535.72+845.24+14407.5</f>
        <v>18556.86</v>
      </c>
      <c r="L141" s="77">
        <f>768.4+2535.72</f>
        <v>3304.12</v>
      </c>
      <c r="M141" s="38">
        <f t="shared" si="4"/>
        <v>15252.740000000002</v>
      </c>
      <c r="N141" s="100">
        <f>1+2+1+1+1</f>
        <v>6</v>
      </c>
      <c r="O141" s="81">
        <f>5837.09+1922.92+4288.54</f>
        <v>12048.55</v>
      </c>
      <c r="P141" s="81">
        <f>5837.09+1922.92</f>
        <v>7760.01</v>
      </c>
      <c r="Q141" s="12">
        <f t="shared" si="3"/>
        <v>4288.5399999999991</v>
      </c>
      <c r="R141" s="141"/>
    </row>
    <row r="142" spans="1:18" s="13" customFormat="1" ht="15.75" x14ac:dyDescent="0.25">
      <c r="A142" s="10"/>
      <c r="B142" s="24" t="s">
        <v>83</v>
      </c>
      <c r="C142" s="1" t="s">
        <v>17</v>
      </c>
      <c r="D142" s="165"/>
      <c r="E142" s="3" t="s">
        <v>20</v>
      </c>
      <c r="F142" s="73" t="s">
        <v>464</v>
      </c>
      <c r="G142" s="11" t="s">
        <v>114</v>
      </c>
      <c r="H142" s="1">
        <v>12</v>
      </c>
      <c r="I142" s="49">
        <v>3</v>
      </c>
      <c r="J142" s="51">
        <v>3</v>
      </c>
      <c r="K142" s="40">
        <v>5494.06</v>
      </c>
      <c r="L142" s="40">
        <v>5494.06</v>
      </c>
      <c r="M142" s="78">
        <f t="shared" si="4"/>
        <v>0</v>
      </c>
      <c r="N142" s="41">
        <v>24</v>
      </c>
      <c r="O142" s="31">
        <v>77239.070000000007</v>
      </c>
      <c r="P142" s="31">
        <v>72167.63</v>
      </c>
      <c r="Q142" s="12">
        <f t="shared" si="3"/>
        <v>5071.4400000000023</v>
      </c>
    </row>
    <row r="143" spans="1:18" s="13" customFormat="1" ht="15.75" x14ac:dyDescent="0.25">
      <c r="A143" s="10"/>
      <c r="B143" s="24" t="s">
        <v>310</v>
      </c>
      <c r="C143" s="1"/>
      <c r="D143" s="165"/>
      <c r="E143" s="3" t="s">
        <v>20</v>
      </c>
      <c r="F143" s="73"/>
      <c r="G143" s="11" t="s">
        <v>114</v>
      </c>
      <c r="H143" s="1"/>
      <c r="I143" s="49"/>
      <c r="J143" s="51"/>
      <c r="K143" s="40"/>
      <c r="L143" s="40"/>
      <c r="M143" s="78"/>
      <c r="N143" s="41"/>
      <c r="O143" s="31"/>
      <c r="P143" s="31"/>
      <c r="Q143" s="12">
        <f t="shared" si="3"/>
        <v>0</v>
      </c>
    </row>
    <row r="144" spans="1:18" s="13" customFormat="1" ht="15.75" x14ac:dyDescent="0.25">
      <c r="A144" s="10"/>
      <c r="B144" s="30" t="s">
        <v>84</v>
      </c>
      <c r="C144" s="1"/>
      <c r="D144" s="165"/>
      <c r="E144" s="3" t="s">
        <v>20</v>
      </c>
      <c r="F144" s="73" t="s">
        <v>287</v>
      </c>
      <c r="G144" s="11" t="s">
        <v>114</v>
      </c>
      <c r="H144" s="1"/>
      <c r="I144" s="49"/>
      <c r="J144" s="51"/>
      <c r="K144" s="40"/>
      <c r="L144" s="40"/>
      <c r="M144" s="38">
        <f t="shared" si="4"/>
        <v>0</v>
      </c>
      <c r="N144" s="41"/>
      <c r="O144" s="31"/>
      <c r="P144" s="31"/>
      <c r="Q144" s="12">
        <f t="shared" si="3"/>
        <v>0</v>
      </c>
    </row>
    <row r="145" spans="1:18" s="13" customFormat="1" ht="47.25" x14ac:dyDescent="0.25">
      <c r="A145" s="10"/>
      <c r="B145" s="30" t="s">
        <v>85</v>
      </c>
      <c r="C145" s="1" t="s">
        <v>304</v>
      </c>
      <c r="D145" s="165" t="s">
        <v>415</v>
      </c>
      <c r="E145" s="3" t="s">
        <v>20</v>
      </c>
      <c r="F145" s="73" t="s">
        <v>395</v>
      </c>
      <c r="G145" s="74" t="s">
        <v>112</v>
      </c>
      <c r="H145" s="75">
        <v>8</v>
      </c>
      <c r="I145" s="76">
        <v>4</v>
      </c>
      <c r="J145" s="96"/>
      <c r="K145" s="77">
        <f>4800.58</f>
        <v>4800.58</v>
      </c>
      <c r="L145" s="77"/>
      <c r="M145" s="38">
        <f t="shared" si="4"/>
        <v>4800.58</v>
      </c>
      <c r="N145" s="100"/>
      <c r="O145" s="81">
        <f>3917.73+8936.21</f>
        <v>12853.939999999999</v>
      </c>
      <c r="P145" s="81">
        <f>3917.73</f>
        <v>3917.73</v>
      </c>
      <c r="Q145" s="79">
        <f t="shared" si="3"/>
        <v>8936.2099999999991</v>
      </c>
      <c r="R145" s="141"/>
    </row>
    <row r="146" spans="1:18" s="13" customFormat="1" ht="15.75" x14ac:dyDescent="0.25">
      <c r="A146" s="10"/>
      <c r="B146" s="27" t="s">
        <v>86</v>
      </c>
      <c r="C146" s="1" t="s">
        <v>17</v>
      </c>
      <c r="D146" s="165"/>
      <c r="E146" s="17" t="s">
        <v>20</v>
      </c>
      <c r="F146" s="73" t="s">
        <v>396</v>
      </c>
      <c r="G146" s="74" t="s">
        <v>112</v>
      </c>
      <c r="H146" s="75">
        <v>10</v>
      </c>
      <c r="I146" s="76">
        <v>8</v>
      </c>
      <c r="J146" s="96">
        <f>1+3+1+7+2</f>
        <v>14</v>
      </c>
      <c r="K146" s="77">
        <f>950.9+5134.06+2091.97+528.03</f>
        <v>8704.9600000000009</v>
      </c>
      <c r="L146" s="77">
        <f>950.9+5134.06+2091.97</f>
        <v>8176.93</v>
      </c>
      <c r="M146" s="38">
        <f t="shared" si="4"/>
        <v>528.03000000000065</v>
      </c>
      <c r="N146" s="100">
        <f>15+4+2+1+2</f>
        <v>24</v>
      </c>
      <c r="O146" s="81">
        <f>30236.61+18366.75+8887.09</f>
        <v>57490.45</v>
      </c>
      <c r="P146" s="81">
        <f>30236.61+18366.75+8887.09</f>
        <v>57490.45</v>
      </c>
      <c r="Q146" s="12">
        <f t="shared" si="3"/>
        <v>0</v>
      </c>
      <c r="R146" s="141"/>
    </row>
    <row r="147" spans="1:18" s="13" customFormat="1" ht="15.75" x14ac:dyDescent="0.25">
      <c r="A147" s="10"/>
      <c r="B147" s="25" t="s">
        <v>86</v>
      </c>
      <c r="C147" s="1" t="s">
        <v>17</v>
      </c>
      <c r="D147" s="165"/>
      <c r="E147" s="17" t="s">
        <v>20</v>
      </c>
      <c r="F147" s="73" t="s">
        <v>465</v>
      </c>
      <c r="G147" s="11" t="s">
        <v>114</v>
      </c>
      <c r="H147" s="1">
        <v>2</v>
      </c>
      <c r="I147" s="49"/>
      <c r="J147" s="51"/>
      <c r="K147" s="40"/>
      <c r="L147" s="40"/>
      <c r="M147" s="78">
        <f t="shared" si="4"/>
        <v>0</v>
      </c>
      <c r="N147" s="41">
        <v>9</v>
      </c>
      <c r="O147" s="31">
        <v>15209.53</v>
      </c>
      <c r="P147" s="31">
        <v>15209.53</v>
      </c>
      <c r="Q147" s="12">
        <f t="shared" si="3"/>
        <v>0</v>
      </c>
    </row>
    <row r="148" spans="1:18" s="13" customFormat="1" ht="15.75" x14ac:dyDescent="0.25">
      <c r="A148" s="10"/>
      <c r="B148" s="62" t="s">
        <v>312</v>
      </c>
      <c r="C148" s="1" t="s">
        <v>17</v>
      </c>
      <c r="D148" s="165"/>
      <c r="E148" s="17" t="s">
        <v>20</v>
      </c>
      <c r="F148" s="73" t="s">
        <v>320</v>
      </c>
      <c r="G148" s="74" t="s">
        <v>112</v>
      </c>
      <c r="H148" s="75">
        <v>12</v>
      </c>
      <c r="I148" s="76">
        <v>2</v>
      </c>
      <c r="J148" s="96">
        <f>1+1</f>
        <v>2</v>
      </c>
      <c r="K148" s="77">
        <f>3319.49+845.24</f>
        <v>4164.7299999999996</v>
      </c>
      <c r="L148" s="77">
        <f>3319.49+845.24</f>
        <v>4164.7299999999996</v>
      </c>
      <c r="M148" s="38"/>
      <c r="N148" s="100">
        <f>5+6</f>
        <v>11</v>
      </c>
      <c r="O148" s="81">
        <f>4226.2+6627.45</f>
        <v>10853.65</v>
      </c>
      <c r="P148" s="81">
        <f>4226.2+6627.45</f>
        <v>10853.65</v>
      </c>
      <c r="Q148" s="12"/>
      <c r="R148" s="141"/>
    </row>
    <row r="149" spans="1:18" s="13" customFormat="1" ht="15.75" x14ac:dyDescent="0.25">
      <c r="A149" s="10"/>
      <c r="B149" s="62" t="s">
        <v>494</v>
      </c>
      <c r="C149" s="1" t="s">
        <v>17</v>
      </c>
      <c r="D149" s="165"/>
      <c r="E149" s="17" t="s">
        <v>20</v>
      </c>
      <c r="F149" s="73" t="s">
        <v>497</v>
      </c>
      <c r="G149" s="74" t="s">
        <v>112</v>
      </c>
      <c r="H149" s="75">
        <v>5</v>
      </c>
      <c r="I149" s="76">
        <v>3</v>
      </c>
      <c r="J149" s="96">
        <f>1+1+1</f>
        <v>3</v>
      </c>
      <c r="K149" s="77">
        <v>3379</v>
      </c>
      <c r="L149" s="77">
        <v>3379</v>
      </c>
      <c r="M149" s="38"/>
      <c r="N149" s="100"/>
      <c r="O149" s="81"/>
      <c r="P149" s="81"/>
      <c r="Q149" s="12"/>
      <c r="R149" s="141"/>
    </row>
    <row r="150" spans="1:18" s="13" customFormat="1" ht="15.75" x14ac:dyDescent="0.25">
      <c r="A150" s="10"/>
      <c r="B150" s="62" t="s">
        <v>494</v>
      </c>
      <c r="C150" s="1"/>
      <c r="D150" s="165"/>
      <c r="E150" s="17"/>
      <c r="F150" s="73"/>
      <c r="G150" s="74" t="s">
        <v>114</v>
      </c>
      <c r="H150" s="75">
        <v>17</v>
      </c>
      <c r="I150" s="76"/>
      <c r="J150" s="96"/>
      <c r="K150" s="77"/>
      <c r="L150" s="77"/>
      <c r="M150" s="38"/>
      <c r="N150" s="100"/>
      <c r="O150" s="81"/>
      <c r="P150" s="81"/>
      <c r="Q150" s="12">
        <f t="shared" ref="Q150:Q193" si="5">O150-P150</f>
        <v>0</v>
      </c>
      <c r="R150" s="141"/>
    </row>
    <row r="151" spans="1:18" s="13" customFormat="1" ht="15.75" x14ac:dyDescent="0.25">
      <c r="A151" s="10"/>
      <c r="B151" s="30" t="s">
        <v>88</v>
      </c>
      <c r="C151" s="1" t="s">
        <v>17</v>
      </c>
      <c r="D151" s="165"/>
      <c r="E151" s="3" t="s">
        <v>89</v>
      </c>
      <c r="F151" s="73" t="s">
        <v>397</v>
      </c>
      <c r="G151" s="74" t="s">
        <v>112</v>
      </c>
      <c r="H151" s="75">
        <v>5</v>
      </c>
      <c r="I151" s="76">
        <v>5</v>
      </c>
      <c r="J151" s="96">
        <f>1+3+1</f>
        <v>5</v>
      </c>
      <c r="K151" s="77">
        <f>4226.2+2394.91+6485.1+556.71</f>
        <v>13662.919999999998</v>
      </c>
      <c r="L151" s="77">
        <f>4226.2+2394.91+6485.1</f>
        <v>13106.21</v>
      </c>
      <c r="M151" s="38">
        <f t="shared" si="4"/>
        <v>556.70999999999913</v>
      </c>
      <c r="N151" s="100">
        <f>4+1+3+1+2+2+1+1</f>
        <v>15</v>
      </c>
      <c r="O151" s="81">
        <f>11967.83+2831.55+10544.37+9418.99+3799.13+1798.04+2548.4-12193.52</f>
        <v>30714.789999999997</v>
      </c>
      <c r="P151" s="81">
        <f>11967.83+2831.55+10544.37+9418.99+3799.13+1798.04+2548.4-12193.52</f>
        <v>30714.789999999997</v>
      </c>
      <c r="Q151" s="79">
        <f t="shared" si="5"/>
        <v>0</v>
      </c>
      <c r="R151" s="141"/>
    </row>
    <row r="152" spans="1:18" s="13" customFormat="1" ht="15.75" x14ac:dyDescent="0.25">
      <c r="A152" s="10"/>
      <c r="B152" s="24" t="s">
        <v>88</v>
      </c>
      <c r="C152" s="1" t="s">
        <v>17</v>
      </c>
      <c r="D152" s="165"/>
      <c r="E152" s="3" t="s">
        <v>89</v>
      </c>
      <c r="F152" s="73" t="s">
        <v>442</v>
      </c>
      <c r="G152" s="11" t="s">
        <v>118</v>
      </c>
      <c r="H152" s="1">
        <v>1</v>
      </c>
      <c r="I152" s="49"/>
      <c r="J152" s="46"/>
      <c r="K152" s="40"/>
      <c r="L152" s="40"/>
      <c r="M152" s="38">
        <f t="shared" si="4"/>
        <v>0</v>
      </c>
      <c r="N152" s="41">
        <v>3</v>
      </c>
      <c r="O152" s="31">
        <v>11020.82</v>
      </c>
      <c r="P152" s="31">
        <v>8523.52</v>
      </c>
      <c r="Q152" s="12">
        <f t="shared" si="5"/>
        <v>2497.2999999999993</v>
      </c>
    </row>
    <row r="153" spans="1:18" s="13" customFormat="1" ht="15.75" x14ac:dyDescent="0.25">
      <c r="A153" s="10"/>
      <c r="B153" s="24" t="s">
        <v>88</v>
      </c>
      <c r="C153" s="1"/>
      <c r="D153" s="165"/>
      <c r="E153" s="3"/>
      <c r="F153" s="73"/>
      <c r="G153" s="11" t="s">
        <v>114</v>
      </c>
      <c r="H153" s="1">
        <v>4</v>
      </c>
      <c r="I153" s="49"/>
      <c r="J153" s="46"/>
      <c r="K153" s="40"/>
      <c r="L153" s="40"/>
      <c r="M153" s="38"/>
      <c r="N153" s="41"/>
      <c r="O153" s="31"/>
      <c r="P153" s="31"/>
      <c r="Q153" s="12">
        <f t="shared" si="5"/>
        <v>0</v>
      </c>
    </row>
    <row r="154" spans="1:18" s="13" customFormat="1" ht="15.75" x14ac:dyDescent="0.25">
      <c r="A154" s="10"/>
      <c r="B154" s="30" t="s">
        <v>90</v>
      </c>
      <c r="C154" s="1" t="s">
        <v>17</v>
      </c>
      <c r="D154" s="165"/>
      <c r="E154" s="17" t="s">
        <v>20</v>
      </c>
      <c r="F154" s="73" t="s">
        <v>398</v>
      </c>
      <c r="G154" s="74" t="s">
        <v>112</v>
      </c>
      <c r="H154" s="75">
        <v>6</v>
      </c>
      <c r="I154" s="76">
        <v>3</v>
      </c>
      <c r="J154" s="96">
        <f>1+1+1</f>
        <v>3</v>
      </c>
      <c r="K154" s="77">
        <f>422.62+4662.44</f>
        <v>5085.0599999999995</v>
      </c>
      <c r="L154" s="77">
        <f>422.62</f>
        <v>422.62</v>
      </c>
      <c r="M154" s="38">
        <f t="shared" si="4"/>
        <v>4662.4399999999996</v>
      </c>
      <c r="N154" s="100">
        <f>1+1+1+1</f>
        <v>4</v>
      </c>
      <c r="O154" s="81">
        <f>2122.67+787.61+15453.48</f>
        <v>18363.759999999998</v>
      </c>
      <c r="P154" s="81">
        <f>2122.67+787.61</f>
        <v>2910.28</v>
      </c>
      <c r="Q154" s="79">
        <f t="shared" si="5"/>
        <v>15453.479999999998</v>
      </c>
      <c r="R154" s="141"/>
    </row>
    <row r="155" spans="1:18" s="13" customFormat="1" ht="15.75" x14ac:dyDescent="0.25">
      <c r="A155" s="10"/>
      <c r="B155" s="24" t="s">
        <v>90</v>
      </c>
      <c r="C155" s="1" t="s">
        <v>17</v>
      </c>
      <c r="D155" s="165"/>
      <c r="E155" s="17" t="s">
        <v>20</v>
      </c>
      <c r="F155" s="73" t="s">
        <v>466</v>
      </c>
      <c r="G155" s="11" t="s">
        <v>114</v>
      </c>
      <c r="H155" s="1">
        <v>10</v>
      </c>
      <c r="I155" s="49">
        <v>1</v>
      </c>
      <c r="J155" s="51">
        <v>1</v>
      </c>
      <c r="K155" s="40">
        <v>3265.7</v>
      </c>
      <c r="L155" s="40">
        <v>3265.7</v>
      </c>
      <c r="M155" s="78">
        <f t="shared" si="4"/>
        <v>0</v>
      </c>
      <c r="N155" s="41">
        <v>19</v>
      </c>
      <c r="O155" s="31">
        <v>63873.7</v>
      </c>
      <c r="P155" s="31">
        <v>57342.3</v>
      </c>
      <c r="Q155" s="12">
        <f t="shared" si="5"/>
        <v>6531.3999999999942</v>
      </c>
    </row>
    <row r="156" spans="1:18" s="13" customFormat="1" ht="15.75" x14ac:dyDescent="0.25">
      <c r="A156" s="10"/>
      <c r="B156" s="30" t="s">
        <v>91</v>
      </c>
      <c r="C156" s="1" t="s">
        <v>17</v>
      </c>
      <c r="D156" s="165"/>
      <c r="E156" s="17" t="s">
        <v>20</v>
      </c>
      <c r="F156" s="73" t="s">
        <v>399</v>
      </c>
      <c r="G156" s="74" t="s">
        <v>112</v>
      </c>
      <c r="H156" s="75"/>
      <c r="I156" s="76"/>
      <c r="J156" s="96"/>
      <c r="K156" s="77"/>
      <c r="L156" s="77"/>
      <c r="M156" s="38">
        <f t="shared" si="4"/>
        <v>0</v>
      </c>
      <c r="N156" s="100"/>
      <c r="O156" s="81"/>
      <c r="P156" s="81"/>
      <c r="Q156" s="79">
        <f t="shared" si="5"/>
        <v>0</v>
      </c>
      <c r="R156" s="141"/>
    </row>
    <row r="157" spans="1:18" s="13" customFormat="1" ht="15.75" x14ac:dyDescent="0.25">
      <c r="A157" s="10"/>
      <c r="B157" s="22" t="s">
        <v>138</v>
      </c>
      <c r="C157" s="1" t="s">
        <v>17</v>
      </c>
      <c r="D157" s="165"/>
      <c r="E157" s="17" t="s">
        <v>20</v>
      </c>
      <c r="F157" s="73" t="s">
        <v>467</v>
      </c>
      <c r="G157" s="11" t="s">
        <v>114</v>
      </c>
      <c r="H157" s="1">
        <v>5</v>
      </c>
      <c r="I157" s="49"/>
      <c r="J157" s="51"/>
      <c r="K157" s="37"/>
      <c r="L157" s="37"/>
      <c r="M157" s="78">
        <f t="shared" si="4"/>
        <v>0</v>
      </c>
      <c r="N157" s="39">
        <v>4</v>
      </c>
      <c r="O157" s="31">
        <v>4530.3999999999996</v>
      </c>
      <c r="P157" s="31">
        <v>4530.3999999999996</v>
      </c>
      <c r="Q157" s="12">
        <f t="shared" si="5"/>
        <v>0</v>
      </c>
    </row>
    <row r="158" spans="1:18" s="13" customFormat="1" ht="15.75" x14ac:dyDescent="0.25">
      <c r="A158" s="10"/>
      <c r="B158" s="62" t="s">
        <v>138</v>
      </c>
      <c r="C158" s="1" t="s">
        <v>17</v>
      </c>
      <c r="D158" s="165"/>
      <c r="E158" s="17" t="s">
        <v>20</v>
      </c>
      <c r="F158" s="73" t="s">
        <v>400</v>
      </c>
      <c r="G158" s="74" t="s">
        <v>112</v>
      </c>
      <c r="H158" s="75">
        <v>8</v>
      </c>
      <c r="I158" s="82">
        <v>3</v>
      </c>
      <c r="J158" s="96">
        <f>3</f>
        <v>3</v>
      </c>
      <c r="K158" s="77">
        <f>2224.52</f>
        <v>2224.52</v>
      </c>
      <c r="L158" s="77"/>
      <c r="M158" s="38">
        <f t="shared" si="4"/>
        <v>2224.52</v>
      </c>
      <c r="N158" s="100">
        <f>5+4</f>
        <v>9</v>
      </c>
      <c r="O158" s="81">
        <f>8995.87+8641.99</f>
        <v>17637.86</v>
      </c>
      <c r="P158" s="81">
        <f>8995.87</f>
        <v>8995.8700000000008</v>
      </c>
      <c r="Q158" s="79">
        <f t="shared" si="5"/>
        <v>8641.99</v>
      </c>
      <c r="R158" s="141"/>
    </row>
    <row r="159" spans="1:18" s="13" customFormat="1" ht="15.75" x14ac:dyDescent="0.25">
      <c r="A159" s="10"/>
      <c r="B159" s="62" t="s">
        <v>157</v>
      </c>
      <c r="C159" s="1" t="s">
        <v>17</v>
      </c>
      <c r="D159" s="165"/>
      <c r="E159" s="17" t="s">
        <v>20</v>
      </c>
      <c r="F159" s="73" t="s">
        <v>401</v>
      </c>
      <c r="G159" s="74" t="s">
        <v>112</v>
      </c>
      <c r="H159" s="75">
        <v>7</v>
      </c>
      <c r="I159" s="82"/>
      <c r="J159" s="96"/>
      <c r="K159" s="77"/>
      <c r="L159" s="77"/>
      <c r="M159" s="38">
        <f t="shared" ref="M159:M192" si="6">K159-L159</f>
        <v>0</v>
      </c>
      <c r="N159" s="100"/>
      <c r="O159" s="81"/>
      <c r="P159" s="81"/>
      <c r="Q159" s="12">
        <f t="shared" si="5"/>
        <v>0</v>
      </c>
      <c r="R159" s="141"/>
    </row>
    <row r="160" spans="1:18" s="13" customFormat="1" ht="15.75" x14ac:dyDescent="0.25">
      <c r="A160" s="10"/>
      <c r="B160" s="22" t="s">
        <v>157</v>
      </c>
      <c r="C160" s="1" t="s">
        <v>17</v>
      </c>
      <c r="D160" s="165"/>
      <c r="E160" s="17" t="s">
        <v>20</v>
      </c>
      <c r="F160" s="73"/>
      <c r="G160" s="11" t="s">
        <v>114</v>
      </c>
      <c r="H160" s="1"/>
      <c r="I160" s="49"/>
      <c r="J160" s="51"/>
      <c r="K160" s="37"/>
      <c r="L160" s="37"/>
      <c r="M160" s="38">
        <f t="shared" si="6"/>
        <v>0</v>
      </c>
      <c r="N160" s="39"/>
      <c r="O160" s="31"/>
      <c r="P160" s="31"/>
      <c r="Q160" s="12">
        <f t="shared" si="5"/>
        <v>0</v>
      </c>
    </row>
    <row r="161" spans="1:18" s="15" customFormat="1" ht="15.75" x14ac:dyDescent="0.25">
      <c r="A161" s="14"/>
      <c r="B161" s="80" t="s">
        <v>92</v>
      </c>
      <c r="C161" s="1" t="s">
        <v>17</v>
      </c>
      <c r="D161" s="165"/>
      <c r="E161" s="17" t="s">
        <v>20</v>
      </c>
      <c r="F161" s="73" t="s">
        <v>402</v>
      </c>
      <c r="G161" s="74" t="s">
        <v>112</v>
      </c>
      <c r="H161" s="75">
        <v>5</v>
      </c>
      <c r="I161" s="76">
        <v>3</v>
      </c>
      <c r="J161" s="96">
        <f>1+2</f>
        <v>3</v>
      </c>
      <c r="K161" s="77">
        <f>1951.74</f>
        <v>1951.74</v>
      </c>
      <c r="L161" s="77">
        <f>1951.74</f>
        <v>1951.74</v>
      </c>
      <c r="M161" s="38">
        <f t="shared" si="6"/>
        <v>0</v>
      </c>
      <c r="N161" s="100">
        <f>4+1+1</f>
        <v>6</v>
      </c>
      <c r="O161" s="81">
        <f>12624.74+2697.06+1225.93</f>
        <v>16547.73</v>
      </c>
      <c r="P161" s="81">
        <f>12624.74+2697.06</f>
        <v>15321.8</v>
      </c>
      <c r="Q161" s="12">
        <f t="shared" si="5"/>
        <v>1225.9300000000003</v>
      </c>
      <c r="R161" s="141"/>
    </row>
    <row r="162" spans="1:18" s="15" customFormat="1" ht="15.75" x14ac:dyDescent="0.25">
      <c r="A162" s="14"/>
      <c r="B162" s="23" t="s">
        <v>92</v>
      </c>
      <c r="C162" s="1" t="s">
        <v>17</v>
      </c>
      <c r="D162" s="165"/>
      <c r="E162" s="17" t="s">
        <v>20</v>
      </c>
      <c r="F162" s="73" t="s">
        <v>129</v>
      </c>
      <c r="G162" s="11" t="s">
        <v>114</v>
      </c>
      <c r="H162" s="1"/>
      <c r="I162" s="49"/>
      <c r="J162" s="51"/>
      <c r="K162" s="40"/>
      <c r="L162" s="40"/>
      <c r="M162" s="38">
        <f t="shared" si="6"/>
        <v>0</v>
      </c>
      <c r="N162" s="39"/>
      <c r="O162" s="31"/>
      <c r="P162" s="31"/>
      <c r="Q162" s="12">
        <f t="shared" si="5"/>
        <v>0</v>
      </c>
    </row>
    <row r="163" spans="1:18" s="13" customFormat="1" ht="15.75" x14ac:dyDescent="0.25">
      <c r="A163" s="10"/>
      <c r="B163" s="30" t="s">
        <v>93</v>
      </c>
      <c r="C163" s="1" t="s">
        <v>17</v>
      </c>
      <c r="D163" s="165"/>
      <c r="E163" s="3" t="s">
        <v>94</v>
      </c>
      <c r="F163" s="73" t="s">
        <v>403</v>
      </c>
      <c r="G163" s="74" t="s">
        <v>112</v>
      </c>
      <c r="H163" s="75">
        <v>7</v>
      </c>
      <c r="I163" s="76">
        <v>2</v>
      </c>
      <c r="J163" s="96">
        <f>2</f>
        <v>2</v>
      </c>
      <c r="K163" s="77">
        <f>2336.84</f>
        <v>2336.84</v>
      </c>
      <c r="L163" s="77">
        <f>2336.84</f>
        <v>2336.84</v>
      </c>
      <c r="M163" s="38">
        <f t="shared" si="6"/>
        <v>0</v>
      </c>
      <c r="N163" s="100">
        <f>3+8</f>
        <v>11</v>
      </c>
      <c r="O163" s="81">
        <f>20117.75</f>
        <v>20117.75</v>
      </c>
      <c r="P163" s="81">
        <f>20117.75</f>
        <v>20117.75</v>
      </c>
      <c r="Q163" s="12">
        <f t="shared" si="5"/>
        <v>0</v>
      </c>
      <c r="R163" s="141"/>
    </row>
    <row r="164" spans="1:18" s="13" customFormat="1" ht="15.75" x14ac:dyDescent="0.25">
      <c r="A164" s="10"/>
      <c r="B164" s="24" t="s">
        <v>93</v>
      </c>
      <c r="C164" s="1" t="s">
        <v>17</v>
      </c>
      <c r="D164" s="165"/>
      <c r="E164" s="3" t="s">
        <v>94</v>
      </c>
      <c r="F164" s="73" t="s">
        <v>130</v>
      </c>
      <c r="G164" s="11" t="s">
        <v>114</v>
      </c>
      <c r="H164" s="1"/>
      <c r="I164" s="49"/>
      <c r="J164" s="51"/>
      <c r="K164" s="40"/>
      <c r="L164" s="77"/>
      <c r="M164" s="38">
        <f t="shared" si="6"/>
        <v>0</v>
      </c>
      <c r="N164" s="41"/>
      <c r="O164" s="31"/>
      <c r="P164" s="31"/>
      <c r="Q164" s="12">
        <f t="shared" si="5"/>
        <v>0</v>
      </c>
    </row>
    <row r="165" spans="1:18" s="13" customFormat="1" ht="15.75" x14ac:dyDescent="0.25">
      <c r="A165" s="10"/>
      <c r="B165" s="24" t="s">
        <v>93</v>
      </c>
      <c r="C165" s="1" t="s">
        <v>17</v>
      </c>
      <c r="D165" s="165"/>
      <c r="E165" s="3" t="s">
        <v>94</v>
      </c>
      <c r="F165" s="73" t="s">
        <v>240</v>
      </c>
      <c r="G165" s="11" t="s">
        <v>118</v>
      </c>
      <c r="H165" s="1"/>
      <c r="I165" s="49"/>
      <c r="J165" s="46"/>
      <c r="K165" s="40"/>
      <c r="L165" s="40"/>
      <c r="M165" s="78">
        <f t="shared" si="6"/>
        <v>0</v>
      </c>
      <c r="N165" s="41"/>
      <c r="O165" s="31"/>
      <c r="P165" s="31"/>
      <c r="Q165" s="12">
        <f t="shared" si="5"/>
        <v>0</v>
      </c>
    </row>
    <row r="166" spans="1:18" s="13" customFormat="1" ht="15.75" x14ac:dyDescent="0.25">
      <c r="A166" s="10"/>
      <c r="B166" s="30" t="s">
        <v>95</v>
      </c>
      <c r="C166" s="1" t="s">
        <v>17</v>
      </c>
      <c r="D166" s="165"/>
      <c r="E166" s="17" t="s">
        <v>20</v>
      </c>
      <c r="F166" s="73" t="s">
        <v>404</v>
      </c>
      <c r="G166" s="74" t="s">
        <v>112</v>
      </c>
      <c r="H166" s="75">
        <v>11</v>
      </c>
      <c r="I166" s="76">
        <v>4</v>
      </c>
      <c r="J166" s="96">
        <f>1+4+4</f>
        <v>9</v>
      </c>
      <c r="K166" s="77">
        <f>1061.35+5770.05</f>
        <v>6831.4</v>
      </c>
      <c r="L166" s="77">
        <f>1061.35</f>
        <v>1061.3499999999999</v>
      </c>
      <c r="M166" s="38">
        <f t="shared" si="6"/>
        <v>5770.0499999999993</v>
      </c>
      <c r="N166" s="100">
        <f>1+6+1+4</f>
        <v>12</v>
      </c>
      <c r="O166" s="81">
        <f>11603.82+7559.28+6777.29</f>
        <v>25940.39</v>
      </c>
      <c r="P166" s="81">
        <f>11603.82+7559.28</f>
        <v>19163.099999999999</v>
      </c>
      <c r="Q166" s="79">
        <f t="shared" si="5"/>
        <v>6777.2900000000009</v>
      </c>
      <c r="R166" s="141"/>
    </row>
    <row r="167" spans="1:18" s="13" customFormat="1" ht="15.75" x14ac:dyDescent="0.25">
      <c r="A167" s="10"/>
      <c r="B167" s="24" t="s">
        <v>95</v>
      </c>
      <c r="C167" s="1" t="s">
        <v>17</v>
      </c>
      <c r="D167" s="165"/>
      <c r="E167" s="17" t="s">
        <v>20</v>
      </c>
      <c r="F167" s="73" t="s">
        <v>291</v>
      </c>
      <c r="G167" s="11" t="s">
        <v>114</v>
      </c>
      <c r="H167" s="1">
        <v>7</v>
      </c>
      <c r="I167" s="49"/>
      <c r="J167" s="51"/>
      <c r="K167" s="40"/>
      <c r="L167" s="40"/>
      <c r="M167" s="78">
        <f t="shared" si="6"/>
        <v>0</v>
      </c>
      <c r="N167" s="41">
        <v>9</v>
      </c>
      <c r="O167" s="31">
        <v>23916.45</v>
      </c>
      <c r="P167" s="31">
        <v>8548.4500000000007</v>
      </c>
      <c r="Q167" s="12">
        <f t="shared" si="5"/>
        <v>15368</v>
      </c>
    </row>
    <row r="168" spans="1:18" s="13" customFormat="1" ht="15.75" x14ac:dyDescent="0.25">
      <c r="A168" s="10"/>
      <c r="B168" s="30" t="s">
        <v>96</v>
      </c>
      <c r="C168" s="1" t="s">
        <v>17</v>
      </c>
      <c r="D168" s="165"/>
      <c r="E168" s="17" t="s">
        <v>97</v>
      </c>
      <c r="F168" s="73" t="s">
        <v>405</v>
      </c>
      <c r="G168" s="74" t="s">
        <v>112</v>
      </c>
      <c r="H168" s="75">
        <v>1</v>
      </c>
      <c r="I168" s="76">
        <v>1</v>
      </c>
      <c r="J168" s="96">
        <f>2</f>
        <v>2</v>
      </c>
      <c r="K168" s="77"/>
      <c r="L168" s="77"/>
      <c r="M168" s="38">
        <f t="shared" si="6"/>
        <v>0</v>
      </c>
      <c r="N168" s="103">
        <f>1+2+1</f>
        <v>4</v>
      </c>
      <c r="O168" s="77">
        <f>1742.31+9358.48</f>
        <v>11100.789999999999</v>
      </c>
      <c r="P168" s="77">
        <f>1742.31</f>
        <v>1742.31</v>
      </c>
      <c r="Q168" s="79">
        <f t="shared" si="5"/>
        <v>9358.48</v>
      </c>
      <c r="R168" s="141"/>
    </row>
    <row r="169" spans="1:18" s="13" customFormat="1" ht="15.75" x14ac:dyDescent="0.25">
      <c r="A169" s="10"/>
      <c r="B169" s="24" t="s">
        <v>96</v>
      </c>
      <c r="C169" s="1" t="s">
        <v>17</v>
      </c>
      <c r="D169" s="165"/>
      <c r="E169" s="17" t="s">
        <v>97</v>
      </c>
      <c r="F169" s="73" t="s">
        <v>468</v>
      </c>
      <c r="G169" s="11" t="s">
        <v>114</v>
      </c>
      <c r="H169" s="1">
        <v>1</v>
      </c>
      <c r="I169" s="49"/>
      <c r="J169" s="51"/>
      <c r="K169" s="40"/>
      <c r="L169" s="40"/>
      <c r="M169" s="78">
        <f t="shared" si="6"/>
        <v>0</v>
      </c>
      <c r="N169" s="41">
        <v>2</v>
      </c>
      <c r="O169" s="31">
        <v>3682</v>
      </c>
      <c r="P169" s="31"/>
      <c r="Q169" s="12">
        <f t="shared" si="5"/>
        <v>3682</v>
      </c>
    </row>
    <row r="170" spans="1:18" s="13" customFormat="1" ht="15.75" x14ac:dyDescent="0.25">
      <c r="A170" s="10"/>
      <c r="B170" s="30" t="s">
        <v>98</v>
      </c>
      <c r="C170" s="1" t="s">
        <v>17</v>
      </c>
      <c r="D170" s="165"/>
      <c r="E170" s="17" t="s">
        <v>35</v>
      </c>
      <c r="F170" s="73" t="s">
        <v>406</v>
      </c>
      <c r="G170" s="74" t="s">
        <v>112</v>
      </c>
      <c r="H170" s="75">
        <v>22</v>
      </c>
      <c r="I170" s="76">
        <v>5</v>
      </c>
      <c r="J170" s="96">
        <f>1+2+1+1</f>
        <v>5</v>
      </c>
      <c r="K170" s="77">
        <f>845.24+1764.25+8353.03+1298.98+7610.68</f>
        <v>19872.18</v>
      </c>
      <c r="L170" s="77">
        <f>845.24+1764.25+8353.03</f>
        <v>10962.52</v>
      </c>
      <c r="M170" s="38">
        <f t="shared" si="6"/>
        <v>8909.66</v>
      </c>
      <c r="N170" s="100">
        <f>9+1+1+4+2+1+2</f>
        <v>20</v>
      </c>
      <c r="O170" s="81">
        <f>17007.01+2697.06+1267.86+31709.38+5331.44-10826.79+21036.17</f>
        <v>68222.13</v>
      </c>
      <c r="P170" s="81">
        <f>17007.01+2697.06+1267.86+31709.38+5331.44-10826.79</f>
        <v>47185.96</v>
      </c>
      <c r="Q170" s="79">
        <f t="shared" si="5"/>
        <v>21036.170000000006</v>
      </c>
      <c r="R170" s="141"/>
    </row>
    <row r="171" spans="1:18" s="13" customFormat="1" ht="15.75" x14ac:dyDescent="0.25">
      <c r="A171" s="10"/>
      <c r="B171" s="24" t="s">
        <v>98</v>
      </c>
      <c r="C171" s="1" t="s">
        <v>17</v>
      </c>
      <c r="D171" s="165"/>
      <c r="E171" s="17" t="s">
        <v>35</v>
      </c>
      <c r="F171" s="73" t="s">
        <v>435</v>
      </c>
      <c r="G171" s="8" t="s">
        <v>117</v>
      </c>
      <c r="H171" s="1">
        <v>2</v>
      </c>
      <c r="I171" s="49">
        <v>1</v>
      </c>
      <c r="J171" s="46">
        <v>1</v>
      </c>
      <c r="K171" s="40">
        <v>1162.21</v>
      </c>
      <c r="L171" s="40">
        <v>1162.21</v>
      </c>
      <c r="M171" s="78">
        <f t="shared" si="6"/>
        <v>0</v>
      </c>
      <c r="N171" s="41">
        <f>4</f>
        <v>4</v>
      </c>
      <c r="O171" s="40">
        <v>10721.75</v>
      </c>
      <c r="P171" s="40">
        <v>10721.75</v>
      </c>
      <c r="Q171" s="12">
        <f t="shared" si="5"/>
        <v>0</v>
      </c>
    </row>
    <row r="172" spans="1:18" s="13" customFormat="1" ht="15.75" x14ac:dyDescent="0.25">
      <c r="A172" s="10"/>
      <c r="B172" s="24" t="s">
        <v>488</v>
      </c>
      <c r="C172" s="1" t="s">
        <v>17</v>
      </c>
      <c r="D172" s="165"/>
      <c r="E172" s="17" t="s">
        <v>97</v>
      </c>
      <c r="F172" s="73" t="s">
        <v>498</v>
      </c>
      <c r="G172" s="8" t="s">
        <v>112</v>
      </c>
      <c r="H172" s="1">
        <v>5</v>
      </c>
      <c r="I172" s="49">
        <v>4</v>
      </c>
      <c r="J172" s="46">
        <f>4</f>
        <v>4</v>
      </c>
      <c r="K172" s="40">
        <v>1535.8</v>
      </c>
      <c r="L172" s="40"/>
      <c r="M172" s="78"/>
      <c r="N172" s="41"/>
      <c r="O172" s="40"/>
      <c r="P172" s="40"/>
      <c r="Q172" s="12"/>
    </row>
    <row r="173" spans="1:18" s="15" customFormat="1" ht="15.75" x14ac:dyDescent="0.25">
      <c r="A173" s="14"/>
      <c r="B173" s="84" t="s">
        <v>99</v>
      </c>
      <c r="C173" s="1" t="s">
        <v>17</v>
      </c>
      <c r="D173" s="165"/>
      <c r="E173" s="3" t="s">
        <v>32</v>
      </c>
      <c r="F173" s="73" t="s">
        <v>418</v>
      </c>
      <c r="G173" s="74" t="s">
        <v>112</v>
      </c>
      <c r="H173" s="75"/>
      <c r="I173" s="76"/>
      <c r="J173" s="96"/>
      <c r="K173" s="77"/>
      <c r="L173" s="77"/>
      <c r="M173" s="38">
        <f t="shared" si="6"/>
        <v>0</v>
      </c>
      <c r="N173" s="100"/>
      <c r="O173" s="81"/>
      <c r="P173" s="81"/>
      <c r="Q173" s="79">
        <f t="shared" si="5"/>
        <v>0</v>
      </c>
      <c r="R173" s="141"/>
    </row>
    <row r="174" spans="1:18" s="15" customFormat="1" ht="15.75" x14ac:dyDescent="0.25">
      <c r="A174" s="14"/>
      <c r="B174" s="29" t="s">
        <v>99</v>
      </c>
      <c r="C174" s="1" t="s">
        <v>17</v>
      </c>
      <c r="D174" s="165"/>
      <c r="E174" s="3" t="s">
        <v>32</v>
      </c>
      <c r="F174" s="73" t="s">
        <v>423</v>
      </c>
      <c r="G174" s="8" t="s">
        <v>117</v>
      </c>
      <c r="H174" s="1"/>
      <c r="I174" s="49"/>
      <c r="J174" s="51"/>
      <c r="K174" s="40"/>
      <c r="L174" s="40"/>
      <c r="M174" s="78">
        <f t="shared" si="6"/>
        <v>0</v>
      </c>
      <c r="N174" s="39"/>
      <c r="O174" s="40"/>
      <c r="P174" s="40"/>
      <c r="Q174" s="12">
        <f t="shared" si="5"/>
        <v>0</v>
      </c>
    </row>
    <row r="175" spans="1:18" s="15" customFormat="1" ht="31.5" x14ac:dyDescent="0.25">
      <c r="A175" s="14"/>
      <c r="B175" s="30" t="s">
        <v>144</v>
      </c>
      <c r="C175" s="1" t="s">
        <v>304</v>
      </c>
      <c r="D175" s="165" t="s">
        <v>313</v>
      </c>
      <c r="E175" s="17" t="s">
        <v>97</v>
      </c>
      <c r="F175" s="73" t="s">
        <v>407</v>
      </c>
      <c r="G175" s="66" t="s">
        <v>112</v>
      </c>
      <c r="H175" s="75">
        <v>8</v>
      </c>
      <c r="I175" s="76">
        <v>8</v>
      </c>
      <c r="J175" s="98">
        <f>2+2+1+3+1+1</f>
        <v>10</v>
      </c>
      <c r="K175" s="77">
        <f>950.9+1449.39+2272.32+2785.92</f>
        <v>7458.5300000000007</v>
      </c>
      <c r="L175" s="77">
        <f>950.9+1449.39+2272.32</f>
        <v>4672.6100000000006</v>
      </c>
      <c r="M175" s="38">
        <f t="shared" si="6"/>
        <v>2785.92</v>
      </c>
      <c r="N175" s="100">
        <f>3+2+1+1</f>
        <v>7</v>
      </c>
      <c r="O175" s="77">
        <f>5020.57+5566.06+2694.94+845.24</f>
        <v>14126.810000000001</v>
      </c>
      <c r="P175" s="77">
        <f>5020.57+5566.06+2694.94</f>
        <v>13281.570000000002</v>
      </c>
      <c r="Q175" s="79">
        <f t="shared" si="5"/>
        <v>845.23999999999978</v>
      </c>
      <c r="R175" s="141"/>
    </row>
    <row r="176" spans="1:18" s="15" customFormat="1" ht="15.75" x14ac:dyDescent="0.25">
      <c r="A176" s="14"/>
      <c r="B176" s="30" t="s">
        <v>488</v>
      </c>
      <c r="C176" s="1"/>
      <c r="D176" s="165"/>
      <c r="E176" s="17"/>
      <c r="F176" s="73"/>
      <c r="G176" s="66" t="s">
        <v>114</v>
      </c>
      <c r="H176" s="75">
        <v>15</v>
      </c>
      <c r="I176" s="76"/>
      <c r="J176" s="98"/>
      <c r="K176" s="77"/>
      <c r="L176" s="77"/>
      <c r="M176" s="38"/>
      <c r="N176" s="100"/>
      <c r="O176" s="77"/>
      <c r="P176" s="77"/>
      <c r="Q176" s="12">
        <f t="shared" si="5"/>
        <v>0</v>
      </c>
    </row>
    <row r="177" spans="1:18" s="15" customFormat="1" ht="15.75" x14ac:dyDescent="0.25">
      <c r="A177" s="14"/>
      <c r="B177" s="30" t="s">
        <v>488</v>
      </c>
      <c r="C177" s="1"/>
      <c r="D177" s="165"/>
      <c r="E177" s="17"/>
      <c r="F177" s="73"/>
      <c r="G177" s="66" t="s">
        <v>113</v>
      </c>
      <c r="H177" s="75">
        <v>10</v>
      </c>
      <c r="I177" s="76">
        <v>1</v>
      </c>
      <c r="J177" s="98">
        <v>1</v>
      </c>
      <c r="K177" s="77">
        <v>2747</v>
      </c>
      <c r="L177" s="77">
        <v>2747</v>
      </c>
      <c r="M177" s="38"/>
      <c r="N177" s="100"/>
      <c r="O177" s="77"/>
      <c r="P177" s="77"/>
      <c r="Q177" s="79"/>
    </row>
    <row r="178" spans="1:18" s="15" customFormat="1" ht="31.5" x14ac:dyDescent="0.25">
      <c r="A178" s="14"/>
      <c r="B178" s="34" t="s">
        <v>144</v>
      </c>
      <c r="C178" s="1" t="s">
        <v>446</v>
      </c>
      <c r="D178" s="165" t="s">
        <v>313</v>
      </c>
      <c r="E178" s="3" t="s">
        <v>20</v>
      </c>
      <c r="F178" s="73" t="s">
        <v>485</v>
      </c>
      <c r="G178" s="8" t="s">
        <v>114</v>
      </c>
      <c r="H178" s="1">
        <v>16</v>
      </c>
      <c r="I178" s="53">
        <v>1</v>
      </c>
      <c r="J178" s="52">
        <v>1</v>
      </c>
      <c r="K178" s="40">
        <v>1921</v>
      </c>
      <c r="L178" s="40">
        <v>1921</v>
      </c>
      <c r="M178" s="78">
        <f t="shared" si="6"/>
        <v>0</v>
      </c>
      <c r="N178" s="42">
        <v>15</v>
      </c>
      <c r="O178" s="31">
        <v>29095.200000000001</v>
      </c>
      <c r="P178" s="31">
        <v>29095.200000000001</v>
      </c>
      <c r="Q178" s="12">
        <f t="shared" ref="Q178" si="7">O178-P178</f>
        <v>0</v>
      </c>
    </row>
    <row r="179" spans="1:18" s="21" customFormat="1" ht="47.25" x14ac:dyDescent="0.25">
      <c r="A179" s="1"/>
      <c r="B179" s="30" t="s">
        <v>100</v>
      </c>
      <c r="C179" s="1" t="s">
        <v>304</v>
      </c>
      <c r="D179" s="165" t="s">
        <v>416</v>
      </c>
      <c r="E179" s="17" t="s">
        <v>20</v>
      </c>
      <c r="F179" s="73" t="s">
        <v>408</v>
      </c>
      <c r="G179" s="27" t="s">
        <v>112</v>
      </c>
      <c r="H179" s="75">
        <v>10</v>
      </c>
      <c r="I179" s="76">
        <v>6</v>
      </c>
      <c r="J179" s="98">
        <f>5+1</f>
        <v>6</v>
      </c>
      <c r="K179" s="86">
        <f>6524.55+600.31</f>
        <v>7124.8600000000006</v>
      </c>
      <c r="L179" s="86">
        <f>6524.55</f>
        <v>6524.55</v>
      </c>
      <c r="M179" s="38">
        <f t="shared" si="6"/>
        <v>600.3100000000004</v>
      </c>
      <c r="N179" s="100">
        <f>1+3</f>
        <v>4</v>
      </c>
      <c r="O179" s="87">
        <f>10770.58+2113.01</f>
        <v>12883.59</v>
      </c>
      <c r="P179" s="87">
        <f>10770.58+2113.01</f>
        <v>12883.59</v>
      </c>
      <c r="Q179" s="79">
        <f t="shared" si="5"/>
        <v>0</v>
      </c>
      <c r="R179" s="141"/>
    </row>
    <row r="180" spans="1:18" s="21" customFormat="1" ht="47.25" x14ac:dyDescent="0.25">
      <c r="A180" s="1"/>
      <c r="B180" s="24" t="s">
        <v>100</v>
      </c>
      <c r="C180" s="18" t="s">
        <v>125</v>
      </c>
      <c r="D180" s="165" t="s">
        <v>126</v>
      </c>
      <c r="E180" s="17" t="s">
        <v>20</v>
      </c>
      <c r="F180" s="73" t="s">
        <v>486</v>
      </c>
      <c r="G180" s="20" t="s">
        <v>114</v>
      </c>
      <c r="H180" s="1">
        <v>8</v>
      </c>
      <c r="I180" s="53"/>
      <c r="J180" s="52"/>
      <c r="K180" s="55"/>
      <c r="L180" s="55"/>
      <c r="M180" s="78">
        <f t="shared" si="6"/>
        <v>0</v>
      </c>
      <c r="N180" s="41"/>
      <c r="O180" s="54"/>
      <c r="P180" s="54"/>
      <c r="Q180" s="12">
        <f t="shared" si="5"/>
        <v>0</v>
      </c>
    </row>
    <row r="181" spans="1:18" s="13" customFormat="1" ht="15.75" x14ac:dyDescent="0.25">
      <c r="A181" s="10"/>
      <c r="B181" s="62" t="s">
        <v>101</v>
      </c>
      <c r="C181" s="1" t="s">
        <v>17</v>
      </c>
      <c r="D181" s="165"/>
      <c r="E181" s="17" t="s">
        <v>20</v>
      </c>
      <c r="F181" s="73" t="s">
        <v>409</v>
      </c>
      <c r="G181" s="74" t="s">
        <v>112</v>
      </c>
      <c r="H181" s="75">
        <v>9</v>
      </c>
      <c r="I181" s="76">
        <v>5</v>
      </c>
      <c r="J181" s="96">
        <f>1+5+1+1</f>
        <v>8</v>
      </c>
      <c r="K181" s="77">
        <f>1045.98+3354.45+1225.93</f>
        <v>5626.3600000000006</v>
      </c>
      <c r="L181" s="77">
        <f>1045.98</f>
        <v>1045.98</v>
      </c>
      <c r="M181" s="38">
        <f t="shared" si="6"/>
        <v>4580.380000000001</v>
      </c>
      <c r="N181" s="100">
        <f>5+2+1</f>
        <v>8</v>
      </c>
      <c r="O181" s="81">
        <f>6288.07+3061.62+3426.18</f>
        <v>12775.869999999999</v>
      </c>
      <c r="P181" s="81">
        <f>6288.07+3061.62</f>
        <v>9349.6899999999987</v>
      </c>
      <c r="Q181" s="79">
        <f t="shared" si="5"/>
        <v>3426.1800000000003</v>
      </c>
      <c r="R181" s="141"/>
    </row>
    <row r="182" spans="1:18" s="13" customFormat="1" ht="15.75" x14ac:dyDescent="0.25">
      <c r="A182" s="10"/>
      <c r="B182" s="62" t="s">
        <v>146</v>
      </c>
      <c r="C182" s="1" t="s">
        <v>17</v>
      </c>
      <c r="D182" s="165"/>
      <c r="E182" s="17" t="s">
        <v>20</v>
      </c>
      <c r="F182" s="73" t="s">
        <v>410</v>
      </c>
      <c r="G182" s="74" t="s">
        <v>112</v>
      </c>
      <c r="H182" s="75">
        <v>8</v>
      </c>
      <c r="I182" s="76">
        <v>6</v>
      </c>
      <c r="J182" s="96">
        <f>4+1</f>
        <v>5</v>
      </c>
      <c r="K182" s="77">
        <f>4610.77+1568.98</f>
        <v>6179.75</v>
      </c>
      <c r="L182" s="77">
        <f>4610.77+1568.98</f>
        <v>6179.75</v>
      </c>
      <c r="M182" s="38">
        <f t="shared" si="6"/>
        <v>0</v>
      </c>
      <c r="N182" s="100">
        <f>5+1+1+2</f>
        <v>9</v>
      </c>
      <c r="O182" s="81">
        <f>13579.06+1287.07+2636.18+26196.83</f>
        <v>43699.14</v>
      </c>
      <c r="P182" s="81">
        <f>13579.06+1287.07+2636.18</f>
        <v>17502.309999999998</v>
      </c>
      <c r="Q182" s="12">
        <f t="shared" si="5"/>
        <v>26196.83</v>
      </c>
      <c r="R182" s="141"/>
    </row>
    <row r="183" spans="1:18" s="13" customFormat="1" ht="15.75" x14ac:dyDescent="0.25">
      <c r="A183" s="10"/>
      <c r="B183" s="22" t="s">
        <v>146</v>
      </c>
      <c r="C183" s="1" t="s">
        <v>17</v>
      </c>
      <c r="D183" s="165"/>
      <c r="E183" s="3" t="s">
        <v>21</v>
      </c>
      <c r="F183" s="73" t="s">
        <v>443</v>
      </c>
      <c r="G183" s="11" t="s">
        <v>118</v>
      </c>
      <c r="H183" s="1">
        <v>4</v>
      </c>
      <c r="I183" s="47"/>
      <c r="J183" s="51"/>
      <c r="K183" s="37"/>
      <c r="L183" s="37"/>
      <c r="M183" s="38">
        <f t="shared" si="6"/>
        <v>0</v>
      </c>
      <c r="N183" s="39">
        <v>5</v>
      </c>
      <c r="O183" s="31">
        <v>5349.99</v>
      </c>
      <c r="P183" s="31">
        <v>3035.18</v>
      </c>
      <c r="Q183" s="79">
        <f t="shared" si="5"/>
        <v>2314.81</v>
      </c>
    </row>
    <row r="184" spans="1:18" s="13" customFormat="1" ht="15.75" x14ac:dyDescent="0.25">
      <c r="A184" s="10"/>
      <c r="B184" s="27" t="s">
        <v>102</v>
      </c>
      <c r="C184" s="1" t="s">
        <v>17</v>
      </c>
      <c r="D184" s="165"/>
      <c r="E184" s="17" t="s">
        <v>20</v>
      </c>
      <c r="F184" s="73" t="s">
        <v>411</v>
      </c>
      <c r="G184" s="74" t="s">
        <v>112</v>
      </c>
      <c r="H184" s="75">
        <v>10</v>
      </c>
      <c r="I184" s="76">
        <v>5</v>
      </c>
      <c r="J184" s="96">
        <f>1+1+2+1</f>
        <v>5</v>
      </c>
      <c r="K184" s="77">
        <f>845.24+845.24+1690.48</f>
        <v>3380.96</v>
      </c>
      <c r="L184" s="77">
        <f>845.24+845.24</f>
        <v>1690.48</v>
      </c>
      <c r="M184" s="38">
        <f t="shared" si="6"/>
        <v>1690.48</v>
      </c>
      <c r="N184" s="100">
        <f>3+1</f>
        <v>4</v>
      </c>
      <c r="O184" s="81">
        <f>7808.21+30833.77-12193.52</f>
        <v>26448.460000000003</v>
      </c>
      <c r="P184" s="81">
        <f>7808.21+30833.77-12193.52</f>
        <v>26448.460000000003</v>
      </c>
      <c r="Q184" s="12">
        <f t="shared" si="5"/>
        <v>0</v>
      </c>
      <c r="R184" s="141"/>
    </row>
    <row r="185" spans="1:18" s="13" customFormat="1" ht="15.75" x14ac:dyDescent="0.25">
      <c r="A185" s="10"/>
      <c r="B185" s="25" t="s">
        <v>102</v>
      </c>
      <c r="C185" s="1" t="s">
        <v>17</v>
      </c>
      <c r="D185" s="165"/>
      <c r="E185" s="17" t="s">
        <v>20</v>
      </c>
      <c r="F185" s="73" t="s">
        <v>469</v>
      </c>
      <c r="G185" s="11" t="s">
        <v>114</v>
      </c>
      <c r="H185" s="1">
        <v>6</v>
      </c>
      <c r="I185" s="58">
        <v>2</v>
      </c>
      <c r="J185" s="51">
        <v>2</v>
      </c>
      <c r="K185" s="40"/>
      <c r="L185" s="40"/>
      <c r="M185" s="38">
        <f t="shared" si="6"/>
        <v>0</v>
      </c>
      <c r="N185" s="41">
        <v>5</v>
      </c>
      <c r="O185" s="31">
        <v>16479.12</v>
      </c>
      <c r="P185" s="31">
        <v>16479.12</v>
      </c>
      <c r="Q185" s="12">
        <f t="shared" si="5"/>
        <v>0</v>
      </c>
    </row>
    <row r="186" spans="1:18" s="13" customFormat="1" ht="15.75" x14ac:dyDescent="0.25">
      <c r="A186" s="10"/>
      <c r="B186" s="27" t="s">
        <v>103</v>
      </c>
      <c r="C186" s="1" t="s">
        <v>17</v>
      </c>
      <c r="D186" s="165"/>
      <c r="E186" s="3" t="s">
        <v>20</v>
      </c>
      <c r="F186" s="73" t="s">
        <v>412</v>
      </c>
      <c r="G186" s="74" t="s">
        <v>112</v>
      </c>
      <c r="H186" s="75">
        <v>8</v>
      </c>
      <c r="I186" s="76">
        <v>5</v>
      </c>
      <c r="J186" s="96">
        <f>4+1</f>
        <v>5</v>
      </c>
      <c r="K186" s="77">
        <f>16248.67</f>
        <v>16248.67</v>
      </c>
      <c r="L186" s="77"/>
      <c r="M186" s="38">
        <f t="shared" si="6"/>
        <v>16248.67</v>
      </c>
      <c r="N186" s="100">
        <f>7+2+1</f>
        <v>10</v>
      </c>
      <c r="O186" s="77">
        <f>20193.14</f>
        <v>20193.14</v>
      </c>
      <c r="P186" s="77">
        <f>20193.14</f>
        <v>20193.14</v>
      </c>
      <c r="Q186" s="12">
        <f t="shared" si="5"/>
        <v>0</v>
      </c>
      <c r="R186" s="141"/>
    </row>
    <row r="187" spans="1:18" s="13" customFormat="1" ht="15.75" x14ac:dyDescent="0.25">
      <c r="A187" s="10"/>
      <c r="B187" s="25" t="s">
        <v>103</v>
      </c>
      <c r="C187" s="1" t="s">
        <v>17</v>
      </c>
      <c r="D187" s="165"/>
      <c r="E187" s="3" t="s">
        <v>20</v>
      </c>
      <c r="F187" s="73" t="s">
        <v>470</v>
      </c>
      <c r="G187" s="11" t="s">
        <v>114</v>
      </c>
      <c r="H187" s="1">
        <v>7</v>
      </c>
      <c r="I187" s="49"/>
      <c r="J187" s="51"/>
      <c r="K187" s="40"/>
      <c r="L187" s="40"/>
      <c r="M187" s="38">
        <f t="shared" si="6"/>
        <v>0</v>
      </c>
      <c r="N187" s="41">
        <v>4</v>
      </c>
      <c r="O187" s="31">
        <v>10431.89</v>
      </c>
      <c r="P187" s="31">
        <v>10431.89</v>
      </c>
      <c r="Q187" s="12">
        <f t="shared" si="5"/>
        <v>0</v>
      </c>
    </row>
    <row r="188" spans="1:18" s="15" customFormat="1" ht="15.75" x14ac:dyDescent="0.25">
      <c r="A188" s="14"/>
      <c r="B188" s="28" t="s">
        <v>104</v>
      </c>
      <c r="C188" s="1" t="s">
        <v>17</v>
      </c>
      <c r="D188" s="165"/>
      <c r="E188" s="3" t="s">
        <v>20</v>
      </c>
      <c r="F188" s="73" t="s">
        <v>413</v>
      </c>
      <c r="G188" s="74" t="s">
        <v>112</v>
      </c>
      <c r="H188" s="75">
        <v>8</v>
      </c>
      <c r="I188" s="76">
        <v>4</v>
      </c>
      <c r="J188" s="96">
        <f>3+1</f>
        <v>4</v>
      </c>
      <c r="K188" s="77">
        <f>5112.82+422.64</f>
        <v>5535.46</v>
      </c>
      <c r="L188" s="77">
        <f>5112.82+422.64</f>
        <v>5535.46</v>
      </c>
      <c r="M188" s="38">
        <f t="shared" si="6"/>
        <v>0</v>
      </c>
      <c r="N188" s="100">
        <f>4+1+1+2</f>
        <v>8</v>
      </c>
      <c r="O188" s="81">
        <f>7087.22+3426.18+3496.22</f>
        <v>14009.619999999999</v>
      </c>
      <c r="P188" s="81">
        <f>7087.22</f>
        <v>7087.22</v>
      </c>
      <c r="Q188" s="12">
        <f t="shared" si="5"/>
        <v>6922.3999999999987</v>
      </c>
      <c r="R188" s="141"/>
    </row>
    <row r="189" spans="1:18" s="15" customFormat="1" ht="15.75" x14ac:dyDescent="0.25">
      <c r="A189" s="14"/>
      <c r="B189" s="26" t="s">
        <v>104</v>
      </c>
      <c r="C189" s="1" t="s">
        <v>17</v>
      </c>
      <c r="D189" s="165"/>
      <c r="E189" s="3" t="s">
        <v>20</v>
      </c>
      <c r="F189" s="73" t="s">
        <v>471</v>
      </c>
      <c r="G189" s="11" t="s">
        <v>114</v>
      </c>
      <c r="H189" s="1">
        <v>23</v>
      </c>
      <c r="I189" s="49">
        <v>1</v>
      </c>
      <c r="J189" s="51">
        <v>1</v>
      </c>
      <c r="K189" s="40">
        <v>1267.8599999999999</v>
      </c>
      <c r="L189" s="40">
        <v>1267.8599999999999</v>
      </c>
      <c r="M189" s="38">
        <f t="shared" si="6"/>
        <v>0</v>
      </c>
      <c r="N189" s="39">
        <v>13</v>
      </c>
      <c r="O189" s="31">
        <v>21588.07</v>
      </c>
      <c r="P189" s="31">
        <v>21588.07</v>
      </c>
      <c r="Q189" s="12">
        <f t="shared" si="5"/>
        <v>0</v>
      </c>
    </row>
    <row r="190" spans="1:18" s="13" customFormat="1" ht="15.75" x14ac:dyDescent="0.25">
      <c r="A190" s="10"/>
      <c r="B190" s="30" t="s">
        <v>26</v>
      </c>
      <c r="C190" s="1" t="s">
        <v>17</v>
      </c>
      <c r="D190" s="165"/>
      <c r="E190" s="3" t="s">
        <v>32</v>
      </c>
      <c r="F190" s="73" t="s">
        <v>246</v>
      </c>
      <c r="G190" s="74" t="s">
        <v>117</v>
      </c>
      <c r="H190" s="75"/>
      <c r="I190" s="76"/>
      <c r="J190" s="96"/>
      <c r="K190" s="77"/>
      <c r="L190" s="77"/>
      <c r="M190" s="78">
        <f t="shared" si="6"/>
        <v>0</v>
      </c>
      <c r="N190" s="100">
        <v>5</v>
      </c>
      <c r="O190" s="81">
        <v>7808.15</v>
      </c>
      <c r="P190" s="81">
        <v>7808.15</v>
      </c>
      <c r="Q190" s="12">
        <f t="shared" si="5"/>
        <v>0</v>
      </c>
    </row>
    <row r="191" spans="1:18" s="13" customFormat="1" ht="15.75" x14ac:dyDescent="0.25">
      <c r="A191" s="10"/>
      <c r="B191" s="24" t="s">
        <v>105</v>
      </c>
      <c r="C191" s="1" t="s">
        <v>17</v>
      </c>
      <c r="D191" s="165"/>
      <c r="E191" s="17" t="s">
        <v>35</v>
      </c>
      <c r="F191" s="73" t="s">
        <v>436</v>
      </c>
      <c r="G191" s="11" t="s">
        <v>117</v>
      </c>
      <c r="H191" s="1"/>
      <c r="I191" s="47"/>
      <c r="J191" s="46"/>
      <c r="K191" s="40"/>
      <c r="L191" s="40"/>
      <c r="M191" s="38">
        <f t="shared" si="6"/>
        <v>0</v>
      </c>
      <c r="N191" s="41"/>
      <c r="O191" s="31"/>
      <c r="P191" s="31"/>
      <c r="Q191" s="79">
        <f t="shared" si="5"/>
        <v>0</v>
      </c>
    </row>
    <row r="192" spans="1:18" s="13" customFormat="1" ht="15.75" x14ac:dyDescent="0.25">
      <c r="A192" s="10"/>
      <c r="B192" s="62" t="s">
        <v>106</v>
      </c>
      <c r="C192" s="1" t="s">
        <v>17</v>
      </c>
      <c r="D192" s="2"/>
      <c r="E192" s="17" t="s">
        <v>20</v>
      </c>
      <c r="F192" s="73" t="s">
        <v>414</v>
      </c>
      <c r="G192" s="74" t="s">
        <v>112</v>
      </c>
      <c r="H192" s="75">
        <v>8</v>
      </c>
      <c r="I192" s="76"/>
      <c r="J192" s="96">
        <f>1</f>
        <v>1</v>
      </c>
      <c r="K192" s="77"/>
      <c r="L192" s="77"/>
      <c r="M192" s="38">
        <f t="shared" si="6"/>
        <v>0</v>
      </c>
      <c r="N192" s="100">
        <f>3+1</f>
        <v>4</v>
      </c>
      <c r="O192" s="81">
        <f>15956.85</f>
        <v>15956.85</v>
      </c>
      <c r="P192" s="81">
        <f>15956.85</f>
        <v>15956.85</v>
      </c>
      <c r="Q192" s="12">
        <f t="shared" si="5"/>
        <v>0</v>
      </c>
      <c r="R192" s="141"/>
    </row>
    <row r="193" spans="1:18" ht="15.75" x14ac:dyDescent="0.25">
      <c r="A193" s="7"/>
      <c r="B193" s="32"/>
      <c r="C193" s="107"/>
      <c r="D193" s="33"/>
      <c r="E193" s="33"/>
      <c r="F193" s="73"/>
      <c r="G193" s="8" t="s">
        <v>131</v>
      </c>
      <c r="H193" s="106">
        <f t="shared" ref="H193:P193" si="8">SUM(H10:H192)</f>
        <v>1453</v>
      </c>
      <c r="I193" s="59">
        <f t="shared" si="8"/>
        <v>572</v>
      </c>
      <c r="J193" s="43">
        <f t="shared" si="8"/>
        <v>703</v>
      </c>
      <c r="K193" s="56">
        <f t="shared" si="8"/>
        <v>995951.66499999992</v>
      </c>
      <c r="L193" s="56">
        <f t="shared" si="8"/>
        <v>665117.56499999971</v>
      </c>
      <c r="M193" s="44">
        <f>K193-L193</f>
        <v>330834.10000000021</v>
      </c>
      <c r="N193" s="43">
        <f t="shared" si="8"/>
        <v>1425</v>
      </c>
      <c r="O193" s="57">
        <f t="shared" si="8"/>
        <v>4095146.6100000008</v>
      </c>
      <c r="P193" s="57">
        <f t="shared" si="8"/>
        <v>3580188.8600000003</v>
      </c>
      <c r="Q193" s="79">
        <f t="shared" si="5"/>
        <v>514957.75000000047</v>
      </c>
      <c r="R193" s="129"/>
    </row>
    <row r="194" spans="1:18" x14ac:dyDescent="0.25">
      <c r="K194" s="91" t="s">
        <v>305</v>
      </c>
    </row>
    <row r="195" spans="1:18" ht="45" x14ac:dyDescent="0.25">
      <c r="B195" s="89" t="s">
        <v>316</v>
      </c>
      <c r="F195" s="104" t="s">
        <v>317</v>
      </c>
      <c r="M195" s="142"/>
      <c r="Q195" s="133"/>
    </row>
  </sheetData>
  <autoFilter ref="A9:U9"/>
  <mergeCells count="7">
    <mergeCell ref="O1:Q1"/>
    <mergeCell ref="A3:Q3"/>
    <mergeCell ref="A4:Q4"/>
    <mergeCell ref="A5:Q5"/>
    <mergeCell ref="B7:G7"/>
    <mergeCell ref="H7:M7"/>
    <mergeCell ref="N7:Q7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97"/>
  <sheetViews>
    <sheetView workbookViewId="0">
      <selection sqref="A1:XFD1048576"/>
    </sheetView>
  </sheetViews>
  <sheetFormatPr defaultRowHeight="15" x14ac:dyDescent="0.25"/>
  <cols>
    <col min="1" max="1" width="1.85546875" style="6" customWidth="1"/>
    <col min="2" max="2" width="38.28515625" style="88" customWidth="1"/>
    <col min="3" max="3" width="6.5703125" style="19" customWidth="1"/>
    <col min="4" max="4" width="17.42578125" style="19" customWidth="1"/>
    <col min="5" max="5" width="19" style="19" customWidth="1"/>
    <col min="6" max="6" width="19" style="89" customWidth="1"/>
    <col min="7" max="7" width="21.7109375" style="89" customWidth="1"/>
    <col min="8" max="9" width="15.7109375" style="90" customWidth="1"/>
    <col min="10" max="10" width="15.7109375" style="99" customWidth="1"/>
    <col min="11" max="13" width="15.7109375" style="91" customWidth="1"/>
    <col min="14" max="14" width="15.7109375" style="99" customWidth="1"/>
    <col min="15" max="17" width="15.7109375" style="92" customWidth="1"/>
    <col min="18" max="18" width="11.7109375" style="6" customWidth="1"/>
    <col min="19" max="19" width="9.42578125" style="6" customWidth="1"/>
    <col min="20" max="21" width="9.140625" style="6" customWidth="1"/>
    <col min="22" max="16384" width="9.140625" style="6"/>
  </cols>
  <sheetData>
    <row r="1" spans="1:18" s="105" customFormat="1" x14ac:dyDescent="0.25">
      <c r="B1" s="60"/>
      <c r="C1" s="4"/>
      <c r="D1" s="4"/>
      <c r="E1" s="4"/>
      <c r="F1" s="63"/>
      <c r="G1" s="63"/>
      <c r="H1" s="64"/>
      <c r="I1" s="64"/>
      <c r="J1" s="93"/>
      <c r="K1" s="65"/>
      <c r="L1" s="65"/>
      <c r="M1" s="65"/>
      <c r="N1" s="93"/>
      <c r="O1" s="362" t="s">
        <v>15</v>
      </c>
      <c r="P1" s="362"/>
      <c r="Q1" s="362"/>
    </row>
    <row r="2" spans="1:18" s="105" customFormat="1" x14ac:dyDescent="0.25">
      <c r="A2" s="7"/>
      <c r="B2" s="179"/>
      <c r="C2" s="107"/>
      <c r="D2" s="107"/>
      <c r="E2" s="107"/>
      <c r="F2" s="66"/>
      <c r="G2" s="66"/>
      <c r="H2" s="178"/>
      <c r="I2" s="178"/>
      <c r="J2" s="94"/>
      <c r="K2" s="67"/>
      <c r="L2" s="67"/>
      <c r="M2" s="67"/>
      <c r="N2" s="94"/>
      <c r="O2" s="68"/>
      <c r="P2" s="68"/>
      <c r="Q2" s="68"/>
    </row>
    <row r="3" spans="1:18" s="105" customFormat="1" x14ac:dyDescent="0.25">
      <c r="A3" s="363" t="s">
        <v>318</v>
      </c>
      <c r="B3" s="364"/>
      <c r="C3" s="363"/>
      <c r="D3" s="363"/>
      <c r="E3" s="363"/>
      <c r="F3" s="364"/>
      <c r="G3" s="364"/>
      <c r="H3" s="365"/>
      <c r="I3" s="366"/>
      <c r="J3" s="367"/>
      <c r="K3" s="364"/>
      <c r="L3" s="364"/>
      <c r="M3" s="364"/>
      <c r="N3" s="364"/>
      <c r="O3" s="364"/>
      <c r="P3" s="364"/>
      <c r="Q3" s="364"/>
    </row>
    <row r="4" spans="1:18" s="105" customFormat="1" x14ac:dyDescent="0.25">
      <c r="A4" s="368">
        <v>43634</v>
      </c>
      <c r="B4" s="369"/>
      <c r="C4" s="370"/>
      <c r="D4" s="370"/>
      <c r="E4" s="370"/>
      <c r="F4" s="369"/>
      <c r="G4" s="369"/>
      <c r="H4" s="371"/>
      <c r="I4" s="372"/>
      <c r="J4" s="373"/>
      <c r="K4" s="369"/>
      <c r="L4" s="369"/>
      <c r="M4" s="369"/>
      <c r="N4" s="369"/>
      <c r="O4" s="369"/>
      <c r="P4" s="369"/>
      <c r="Q4" s="369"/>
    </row>
    <row r="5" spans="1:18" s="105" customFormat="1" x14ac:dyDescent="0.25">
      <c r="A5" s="374" t="s">
        <v>14</v>
      </c>
      <c r="B5" s="367"/>
      <c r="C5" s="374"/>
      <c r="D5" s="374"/>
      <c r="E5" s="374"/>
      <c r="F5" s="367"/>
      <c r="G5" s="367"/>
      <c r="H5" s="366"/>
      <c r="I5" s="366"/>
      <c r="J5" s="367"/>
      <c r="K5" s="367"/>
      <c r="L5" s="367"/>
      <c r="M5" s="367"/>
      <c r="N5" s="367"/>
      <c r="O5" s="367"/>
      <c r="P5" s="367"/>
      <c r="Q5" s="367"/>
    </row>
    <row r="6" spans="1:18" s="105" customFormat="1" x14ac:dyDescent="0.25">
      <c r="A6" s="7"/>
      <c r="B6" s="179"/>
      <c r="C6" s="107"/>
      <c r="D6" s="107"/>
      <c r="E6" s="107"/>
      <c r="F6" s="66"/>
      <c r="G6" s="66"/>
      <c r="H6" s="178"/>
      <c r="I6" s="178"/>
      <c r="J6" s="94"/>
      <c r="K6" s="67"/>
      <c r="L6" s="67"/>
      <c r="M6" s="67"/>
      <c r="N6" s="94"/>
      <c r="O6" s="68"/>
      <c r="P6" s="68"/>
      <c r="Q6" s="68"/>
    </row>
    <row r="7" spans="1:18" x14ac:dyDescent="0.25">
      <c r="A7" s="5" t="s">
        <v>0</v>
      </c>
      <c r="B7" s="364" t="s">
        <v>10</v>
      </c>
      <c r="C7" s="375"/>
      <c r="D7" s="375"/>
      <c r="E7" s="375"/>
      <c r="F7" s="364"/>
      <c r="G7" s="364"/>
      <c r="H7" s="365" t="s">
        <v>472</v>
      </c>
      <c r="I7" s="366"/>
      <c r="J7" s="367"/>
      <c r="K7" s="364"/>
      <c r="L7" s="364"/>
      <c r="M7" s="364"/>
      <c r="N7" s="364" t="s">
        <v>132</v>
      </c>
      <c r="O7" s="364"/>
      <c r="P7" s="364"/>
      <c r="Q7" s="364"/>
    </row>
    <row r="8" spans="1:18" ht="153" x14ac:dyDescent="0.25">
      <c r="A8" s="5"/>
      <c r="B8" s="179" t="s">
        <v>4</v>
      </c>
      <c r="C8" s="107" t="s">
        <v>1</v>
      </c>
      <c r="D8" s="107" t="s">
        <v>3</v>
      </c>
      <c r="E8" s="107" t="s">
        <v>2</v>
      </c>
      <c r="F8" s="122" t="s">
        <v>6</v>
      </c>
      <c r="G8" s="66" t="s">
        <v>5</v>
      </c>
      <c r="H8" s="179" t="s">
        <v>7</v>
      </c>
      <c r="I8" s="179" t="s">
        <v>8</v>
      </c>
      <c r="J8" s="94" t="s">
        <v>9</v>
      </c>
      <c r="K8" s="67" t="s">
        <v>11</v>
      </c>
      <c r="L8" s="67" t="s">
        <v>12</v>
      </c>
      <c r="M8" s="67" t="s">
        <v>13</v>
      </c>
      <c r="N8" s="94" t="s">
        <v>9</v>
      </c>
      <c r="O8" s="68" t="s">
        <v>11</v>
      </c>
      <c r="P8" s="68" t="s">
        <v>12</v>
      </c>
      <c r="Q8" s="68" t="s">
        <v>13</v>
      </c>
    </row>
    <row r="9" spans="1:18" x14ac:dyDescent="0.25">
      <c r="A9" s="9">
        <v>1</v>
      </c>
      <c r="B9" s="61">
        <f>A9+1</f>
        <v>2</v>
      </c>
      <c r="C9" s="9">
        <f t="shared" ref="C9:Q9" si="0">B9+1</f>
        <v>3</v>
      </c>
      <c r="D9" s="9">
        <f t="shared" si="0"/>
        <v>4</v>
      </c>
      <c r="E9" s="9">
        <f t="shared" si="0"/>
        <v>5</v>
      </c>
      <c r="F9" s="69">
        <f t="shared" si="0"/>
        <v>6</v>
      </c>
      <c r="G9" s="69">
        <f t="shared" si="0"/>
        <v>7</v>
      </c>
      <c r="H9" s="70">
        <f t="shared" si="0"/>
        <v>8</v>
      </c>
      <c r="I9" s="70">
        <f t="shared" si="0"/>
        <v>9</v>
      </c>
      <c r="J9" s="95">
        <f t="shared" si="0"/>
        <v>10</v>
      </c>
      <c r="K9" s="71">
        <f t="shared" si="0"/>
        <v>11</v>
      </c>
      <c r="L9" s="71">
        <f t="shared" si="0"/>
        <v>12</v>
      </c>
      <c r="M9" s="71">
        <f t="shared" si="0"/>
        <v>13</v>
      </c>
      <c r="N9" s="95">
        <f t="shared" si="0"/>
        <v>14</v>
      </c>
      <c r="O9" s="72">
        <f t="shared" si="0"/>
        <v>15</v>
      </c>
      <c r="P9" s="72">
        <f t="shared" si="0"/>
        <v>16</v>
      </c>
      <c r="Q9" s="72">
        <f t="shared" si="0"/>
        <v>17</v>
      </c>
    </row>
    <row r="10" spans="1:18" s="13" customFormat="1" ht="30" x14ac:dyDescent="0.25">
      <c r="A10" s="10"/>
      <c r="B10" s="62" t="s">
        <v>16</v>
      </c>
      <c r="C10" s="181" t="s">
        <v>304</v>
      </c>
      <c r="D10" s="182" t="s">
        <v>315</v>
      </c>
      <c r="E10" s="183" t="s">
        <v>18</v>
      </c>
      <c r="F10" s="73" t="s">
        <v>322</v>
      </c>
      <c r="G10" s="74" t="s">
        <v>112</v>
      </c>
      <c r="H10" s="75">
        <v>11</v>
      </c>
      <c r="I10" s="76">
        <v>6</v>
      </c>
      <c r="J10" s="98">
        <f>2+1+3</f>
        <v>6</v>
      </c>
      <c r="K10" s="77">
        <f>4792.51+1138.19+504.26+11366.06+4859.68</f>
        <v>22660.7</v>
      </c>
      <c r="L10" s="77">
        <f>4792.51+1138.19+504.26+11366.06+4859.68</f>
        <v>22660.7</v>
      </c>
      <c r="M10" s="78">
        <f>K10-L10</f>
        <v>0</v>
      </c>
      <c r="N10" s="100">
        <f>2+5+1+2+1</f>
        <v>11</v>
      </c>
      <c r="O10" s="77">
        <f>9108.77+6924.32+11366.06+8197.52</f>
        <v>35596.67</v>
      </c>
      <c r="P10" s="77">
        <f>9108.77+6924.32+11366.06+8197.52</f>
        <v>35596.67</v>
      </c>
      <c r="Q10" s="79">
        <f>O10-P10</f>
        <v>0</v>
      </c>
      <c r="R10" s="141"/>
    </row>
    <row r="11" spans="1:18" s="13" customFormat="1" ht="30" x14ac:dyDescent="0.25">
      <c r="A11" s="10"/>
      <c r="B11" s="62" t="s">
        <v>16</v>
      </c>
      <c r="C11" s="181" t="s">
        <v>304</v>
      </c>
      <c r="D11" s="182" t="s">
        <v>315</v>
      </c>
      <c r="E11" s="183" t="s">
        <v>18</v>
      </c>
      <c r="F11" s="73" t="s">
        <v>322</v>
      </c>
      <c r="G11" s="184" t="s">
        <v>116</v>
      </c>
      <c r="H11" s="181">
        <v>6</v>
      </c>
      <c r="I11" s="185">
        <v>4</v>
      </c>
      <c r="J11" s="96">
        <v>4</v>
      </c>
      <c r="K11" s="186">
        <v>4534</v>
      </c>
      <c r="L11" s="186">
        <v>4534</v>
      </c>
      <c r="M11" s="187">
        <f t="shared" ref="M11:M84" si="1">K11-L11</f>
        <v>0</v>
      </c>
      <c r="N11" s="100">
        <v>1</v>
      </c>
      <c r="O11" s="186">
        <v>2945</v>
      </c>
      <c r="P11" s="186">
        <v>2945</v>
      </c>
      <c r="Q11" s="188">
        <f t="shared" ref="Q11:Q80" si="2">O11-P11</f>
        <v>0</v>
      </c>
    </row>
    <row r="12" spans="1:18" s="13" customFormat="1" ht="15.75" x14ac:dyDescent="0.25">
      <c r="A12" s="10"/>
      <c r="B12" s="62" t="s">
        <v>490</v>
      </c>
      <c r="C12" s="181"/>
      <c r="D12" s="182"/>
      <c r="E12" s="183"/>
      <c r="F12" s="189" t="s">
        <v>501</v>
      </c>
      <c r="G12" s="184" t="s">
        <v>112</v>
      </c>
      <c r="H12" s="181">
        <v>8</v>
      </c>
      <c r="I12" s="185">
        <v>5</v>
      </c>
      <c r="J12" s="96">
        <f>5+1</f>
        <v>6</v>
      </c>
      <c r="K12" s="186">
        <f>8352.39+384.2+1463.8</f>
        <v>10200.39</v>
      </c>
      <c r="L12" s="186">
        <f>8352.39+384.2+1463.8</f>
        <v>10200.39</v>
      </c>
      <c r="M12" s="78">
        <f t="shared" si="1"/>
        <v>0</v>
      </c>
      <c r="N12" s="100"/>
      <c r="O12" s="186"/>
      <c r="P12" s="186"/>
      <c r="Q12" s="188"/>
    </row>
    <row r="13" spans="1:18" s="15" customFormat="1" ht="15.75" x14ac:dyDescent="0.25">
      <c r="A13" s="14"/>
      <c r="B13" s="80" t="s">
        <v>19</v>
      </c>
      <c r="C13" s="181" t="s">
        <v>17</v>
      </c>
      <c r="D13" s="182"/>
      <c r="E13" s="183" t="s">
        <v>20</v>
      </c>
      <c r="F13" s="73" t="s">
        <v>323</v>
      </c>
      <c r="G13" s="74" t="s">
        <v>112</v>
      </c>
      <c r="H13" s="75">
        <v>9</v>
      </c>
      <c r="I13" s="76">
        <v>8</v>
      </c>
      <c r="J13" s="96">
        <f>1+2+5+2+1</f>
        <v>11</v>
      </c>
      <c r="K13" s="77">
        <f>422.62+4792.51+1796.14</f>
        <v>7011.27</v>
      </c>
      <c r="L13" s="77">
        <f>422.62+4792.51+1796.14</f>
        <v>7011.27</v>
      </c>
      <c r="M13" s="78">
        <f t="shared" si="1"/>
        <v>0</v>
      </c>
      <c r="N13" s="100">
        <f>8+3+1</f>
        <v>12</v>
      </c>
      <c r="O13" s="81">
        <f>6459.36+7124.45</f>
        <v>13583.81</v>
      </c>
      <c r="P13" s="81">
        <f>6459.36+7124.45</f>
        <v>13583.81</v>
      </c>
      <c r="Q13" s="79">
        <f t="shared" si="2"/>
        <v>0</v>
      </c>
      <c r="R13" s="141"/>
    </row>
    <row r="14" spans="1:18" s="15" customFormat="1" ht="15.75" x14ac:dyDescent="0.25">
      <c r="A14" s="14"/>
      <c r="B14" s="80" t="s">
        <v>19</v>
      </c>
      <c r="C14" s="181" t="s">
        <v>17</v>
      </c>
      <c r="D14" s="182"/>
      <c r="E14" s="183" t="s">
        <v>20</v>
      </c>
      <c r="F14" s="73" t="s">
        <v>451</v>
      </c>
      <c r="G14" s="184" t="s">
        <v>114</v>
      </c>
      <c r="H14" s="181">
        <v>5</v>
      </c>
      <c r="I14" s="185">
        <v>1</v>
      </c>
      <c r="J14" s="190">
        <v>1</v>
      </c>
      <c r="K14" s="77">
        <v>1267.68</v>
      </c>
      <c r="L14" s="77">
        <v>1267.68</v>
      </c>
      <c r="M14" s="187">
        <f t="shared" si="1"/>
        <v>0</v>
      </c>
      <c r="N14" s="101">
        <v>9</v>
      </c>
      <c r="O14" s="186">
        <v>16688.7</v>
      </c>
      <c r="P14" s="186">
        <v>14767.7</v>
      </c>
      <c r="Q14" s="188">
        <f t="shared" si="2"/>
        <v>1921</v>
      </c>
    </row>
    <row r="15" spans="1:18" s="15" customFormat="1" ht="15.75" x14ac:dyDescent="0.25">
      <c r="A15" s="14"/>
      <c r="B15" s="62" t="s">
        <v>153</v>
      </c>
      <c r="C15" s="181" t="s">
        <v>17</v>
      </c>
      <c r="D15" s="182"/>
      <c r="E15" s="183" t="s">
        <v>20</v>
      </c>
      <c r="F15" s="73" t="s">
        <v>324</v>
      </c>
      <c r="G15" s="74" t="s">
        <v>112</v>
      </c>
      <c r="H15" s="75">
        <v>5</v>
      </c>
      <c r="I15" s="82">
        <v>4</v>
      </c>
      <c r="J15" s="96">
        <f>1+1+2+1+1</f>
        <v>6</v>
      </c>
      <c r="K15" s="77">
        <f>950.9+2451.87+3074.57+845.24</f>
        <v>7322.58</v>
      </c>
      <c r="L15" s="77">
        <f>950.9+2451.87+3074.57+845.24</f>
        <v>7322.58</v>
      </c>
      <c r="M15" s="78">
        <f>K15-L15</f>
        <v>0</v>
      </c>
      <c r="N15" s="114">
        <f>1+2+1+2+1</f>
        <v>7</v>
      </c>
      <c r="O15" s="81">
        <f>422.62+945.61+2484.69+7964.81+1536.8</f>
        <v>13354.529999999999</v>
      </c>
      <c r="P15" s="81">
        <f>422.62+945.61+2484.69+7964.81+1536.8</f>
        <v>13354.529999999999</v>
      </c>
      <c r="Q15" s="79">
        <f t="shared" si="2"/>
        <v>0</v>
      </c>
      <c r="R15" s="141"/>
    </row>
    <row r="16" spans="1:18" s="15" customFormat="1" ht="15.75" x14ac:dyDescent="0.25">
      <c r="A16" s="14"/>
      <c r="B16" s="191" t="s">
        <v>153</v>
      </c>
      <c r="C16" s="181" t="s">
        <v>17</v>
      </c>
      <c r="D16" s="182"/>
      <c r="E16" s="183" t="s">
        <v>20</v>
      </c>
      <c r="F16" s="73" t="s">
        <v>452</v>
      </c>
      <c r="G16" s="184" t="s">
        <v>114</v>
      </c>
      <c r="H16" s="181">
        <v>11</v>
      </c>
      <c r="I16" s="185">
        <v>3</v>
      </c>
      <c r="J16" s="190">
        <v>3</v>
      </c>
      <c r="K16" s="77">
        <v>1267.8599999999999</v>
      </c>
      <c r="L16" s="77">
        <v>1267.8599999999999</v>
      </c>
      <c r="M16" s="187">
        <f t="shared" si="1"/>
        <v>0</v>
      </c>
      <c r="N16" s="101">
        <v>8</v>
      </c>
      <c r="O16" s="186">
        <v>22539.8</v>
      </c>
      <c r="P16" s="186">
        <v>22539.8</v>
      </c>
      <c r="Q16" s="188">
        <f t="shared" si="2"/>
        <v>0</v>
      </c>
    </row>
    <row r="17" spans="1:18" s="13" customFormat="1" ht="15.75" x14ac:dyDescent="0.25">
      <c r="A17" s="10"/>
      <c r="B17" s="30" t="s">
        <v>22</v>
      </c>
      <c r="C17" s="181" t="s">
        <v>17</v>
      </c>
      <c r="D17" s="182"/>
      <c r="E17" s="183" t="s">
        <v>23</v>
      </c>
      <c r="F17" s="73" t="s">
        <v>325</v>
      </c>
      <c r="G17" s="74" t="s">
        <v>112</v>
      </c>
      <c r="H17" s="75">
        <v>15</v>
      </c>
      <c r="I17" s="76">
        <v>4</v>
      </c>
      <c r="J17" s="96">
        <f>1+2+1</f>
        <v>4</v>
      </c>
      <c r="K17" s="77">
        <f>2698.64+1402.33</f>
        <v>4100.9699999999993</v>
      </c>
      <c r="L17" s="77">
        <f>2698.64+1402.33</f>
        <v>4100.9699999999993</v>
      </c>
      <c r="M17" s="78">
        <f>K17-L17</f>
        <v>0</v>
      </c>
      <c r="N17" s="100">
        <f>14+3+7+1</f>
        <v>25</v>
      </c>
      <c r="O17" s="81">
        <f>22716.4+4171.06+18768.39</f>
        <v>45655.850000000006</v>
      </c>
      <c r="P17" s="81">
        <f>22716.4+4171.06+18768.39</f>
        <v>45655.850000000006</v>
      </c>
      <c r="Q17" s="79">
        <f t="shared" si="2"/>
        <v>0</v>
      </c>
      <c r="R17" s="141"/>
    </row>
    <row r="18" spans="1:18" s="13" customFormat="1" ht="15.75" x14ac:dyDescent="0.25">
      <c r="A18" s="10"/>
      <c r="B18" s="30" t="s">
        <v>154</v>
      </c>
      <c r="C18" s="181" t="s">
        <v>17</v>
      </c>
      <c r="D18" s="182"/>
      <c r="E18" s="183" t="s">
        <v>20</v>
      </c>
      <c r="F18" s="73" t="s">
        <v>453</v>
      </c>
      <c r="G18" s="184" t="s">
        <v>114</v>
      </c>
      <c r="H18" s="181">
        <v>16</v>
      </c>
      <c r="I18" s="192">
        <v>1</v>
      </c>
      <c r="J18" s="190">
        <v>1</v>
      </c>
      <c r="K18" s="193">
        <v>1152.5999999999999</v>
      </c>
      <c r="L18" s="193"/>
      <c r="M18" s="187">
        <f t="shared" si="1"/>
        <v>1152.5999999999999</v>
      </c>
      <c r="N18" s="114">
        <v>10</v>
      </c>
      <c r="O18" s="186">
        <v>31595.24</v>
      </c>
      <c r="P18" s="186">
        <v>11732.1</v>
      </c>
      <c r="Q18" s="188">
        <f t="shared" si="2"/>
        <v>19863.14</v>
      </c>
    </row>
    <row r="19" spans="1:18" s="13" customFormat="1" ht="15.75" x14ac:dyDescent="0.25">
      <c r="A19" s="10"/>
      <c r="B19" s="30" t="s">
        <v>154</v>
      </c>
      <c r="C19" s="181" t="s">
        <v>17</v>
      </c>
      <c r="D19" s="182"/>
      <c r="E19" s="183" t="s">
        <v>20</v>
      </c>
      <c r="F19" s="73" t="s">
        <v>326</v>
      </c>
      <c r="G19" s="74" t="s">
        <v>112</v>
      </c>
      <c r="H19" s="75">
        <v>17</v>
      </c>
      <c r="I19" s="76">
        <v>7</v>
      </c>
      <c r="J19" s="96">
        <f>1+1+2+2+2</f>
        <v>8</v>
      </c>
      <c r="K19" s="77">
        <f>950.9+864.46+845.24+405.02+739.59</f>
        <v>3805.2100000000005</v>
      </c>
      <c r="L19" s="77">
        <f>950.9+864.46+845.24+405.02+739.59</f>
        <v>3805.2100000000005</v>
      </c>
      <c r="M19" s="78">
        <f t="shared" si="1"/>
        <v>0</v>
      </c>
      <c r="N19" s="100">
        <f>6+3+1+1+1+2</f>
        <v>14</v>
      </c>
      <c r="O19" s="81">
        <f>6681.33+7017+1523.5+9094.74</f>
        <v>24316.57</v>
      </c>
      <c r="P19" s="81">
        <f>6681.33+7017+1523.5+9094.74</f>
        <v>24316.57</v>
      </c>
      <c r="Q19" s="79">
        <f t="shared" si="2"/>
        <v>0</v>
      </c>
      <c r="R19" s="141"/>
    </row>
    <row r="20" spans="1:18" s="13" customFormat="1" ht="15.75" x14ac:dyDescent="0.25">
      <c r="A20" s="10"/>
      <c r="B20" s="62" t="s">
        <v>24</v>
      </c>
      <c r="C20" s="181" t="s">
        <v>17</v>
      </c>
      <c r="D20" s="182"/>
      <c r="E20" s="183" t="s">
        <v>20</v>
      </c>
      <c r="F20" s="73" t="s">
        <v>327</v>
      </c>
      <c r="G20" s="74" t="s">
        <v>112</v>
      </c>
      <c r="H20" s="75">
        <v>6</v>
      </c>
      <c r="I20" s="76">
        <v>3</v>
      </c>
      <c r="J20" s="96">
        <f>3</f>
        <v>3</v>
      </c>
      <c r="K20" s="77">
        <f>1191.02</f>
        <v>1191.02</v>
      </c>
      <c r="L20" s="77">
        <f>1191.02</f>
        <v>1191.02</v>
      </c>
      <c r="M20" s="78">
        <f t="shared" si="1"/>
        <v>0</v>
      </c>
      <c r="N20" s="100">
        <f>1+1</f>
        <v>2</v>
      </c>
      <c r="O20" s="81">
        <f>576.3+1810.93</f>
        <v>2387.23</v>
      </c>
      <c r="P20" s="81">
        <f>576.3+1810.93</f>
        <v>2387.23</v>
      </c>
      <c r="Q20" s="188">
        <f t="shared" si="2"/>
        <v>0</v>
      </c>
      <c r="R20" s="141"/>
    </row>
    <row r="21" spans="1:18" s="13" customFormat="1" ht="15.75" x14ac:dyDescent="0.25">
      <c r="A21" s="10"/>
      <c r="B21" s="62" t="s">
        <v>24</v>
      </c>
      <c r="C21" s="181" t="s">
        <v>17</v>
      </c>
      <c r="D21" s="182"/>
      <c r="E21" s="183" t="s">
        <v>20</v>
      </c>
      <c r="F21" s="73" t="s">
        <v>454</v>
      </c>
      <c r="G21" s="184" t="s">
        <v>114</v>
      </c>
      <c r="H21" s="181">
        <v>8</v>
      </c>
      <c r="I21" s="185"/>
      <c r="J21" s="190"/>
      <c r="K21" s="77"/>
      <c r="L21" s="77"/>
      <c r="M21" s="78">
        <f t="shared" si="1"/>
        <v>0</v>
      </c>
      <c r="N21" s="100">
        <v>14</v>
      </c>
      <c r="O21" s="186">
        <v>14635.6</v>
      </c>
      <c r="P21" s="186">
        <v>14635.6</v>
      </c>
      <c r="Q21" s="188">
        <f t="shared" si="2"/>
        <v>0</v>
      </c>
    </row>
    <row r="22" spans="1:18" s="13" customFormat="1" ht="15.75" x14ac:dyDescent="0.25">
      <c r="A22" s="10"/>
      <c r="B22" s="62" t="s">
        <v>25</v>
      </c>
      <c r="C22" s="181" t="s">
        <v>17</v>
      </c>
      <c r="D22" s="182"/>
      <c r="E22" s="183" t="s">
        <v>20</v>
      </c>
      <c r="F22" s="73" t="s">
        <v>328</v>
      </c>
      <c r="G22" s="74" t="s">
        <v>112</v>
      </c>
      <c r="H22" s="75">
        <v>6</v>
      </c>
      <c r="I22" s="76">
        <v>2</v>
      </c>
      <c r="J22" s="96">
        <f>1+1+1</f>
        <v>3</v>
      </c>
      <c r="K22" s="173">
        <v>403.41</v>
      </c>
      <c r="L22" s="173">
        <v>403.41</v>
      </c>
      <c r="M22" s="78">
        <f>K22-L22</f>
        <v>0</v>
      </c>
      <c r="N22" s="100">
        <f>6+1+2</f>
        <v>9</v>
      </c>
      <c r="O22" s="81">
        <f>14526.7+5595.3+2440.62</f>
        <v>22562.62</v>
      </c>
      <c r="P22" s="81">
        <f>14526.7+5595.3+2440.62</f>
        <v>22562.62</v>
      </c>
      <c r="Q22" s="188">
        <f t="shared" si="2"/>
        <v>0</v>
      </c>
      <c r="R22" s="141"/>
    </row>
    <row r="23" spans="1:18" s="13" customFormat="1" ht="15.75" x14ac:dyDescent="0.25">
      <c r="A23" s="10"/>
      <c r="B23" s="62" t="s">
        <v>25</v>
      </c>
      <c r="C23" s="181" t="s">
        <v>17</v>
      </c>
      <c r="D23" s="182"/>
      <c r="E23" s="183" t="s">
        <v>20</v>
      </c>
      <c r="F23" s="73" t="s">
        <v>455</v>
      </c>
      <c r="G23" s="184" t="s">
        <v>114</v>
      </c>
      <c r="H23" s="181">
        <v>2</v>
      </c>
      <c r="I23" s="185"/>
      <c r="J23" s="190"/>
      <c r="K23" s="77"/>
      <c r="L23" s="77"/>
      <c r="M23" s="78">
        <f t="shared" si="1"/>
        <v>0</v>
      </c>
      <c r="N23" s="100">
        <v>2</v>
      </c>
      <c r="O23" s="186">
        <v>4146.2</v>
      </c>
      <c r="P23" s="186">
        <f>4146.2</f>
        <v>4146.2</v>
      </c>
      <c r="Q23" s="188">
        <f t="shared" si="2"/>
        <v>0</v>
      </c>
    </row>
    <row r="24" spans="1:18" s="13" customFormat="1" ht="15.75" x14ac:dyDescent="0.25">
      <c r="A24" s="10"/>
      <c r="B24" s="62" t="s">
        <v>26</v>
      </c>
      <c r="C24" s="181" t="s">
        <v>17</v>
      </c>
      <c r="D24" s="182"/>
      <c r="E24" s="183" t="s">
        <v>27</v>
      </c>
      <c r="F24" s="73" t="s">
        <v>329</v>
      </c>
      <c r="G24" s="74" t="s">
        <v>112</v>
      </c>
      <c r="H24" s="75">
        <v>13</v>
      </c>
      <c r="I24" s="76">
        <v>4</v>
      </c>
      <c r="J24" s="96">
        <f>2+2</f>
        <v>4</v>
      </c>
      <c r="K24" s="77">
        <f>845.24+1056.55</f>
        <v>1901.79</v>
      </c>
      <c r="L24" s="77">
        <f>845.24+1056.55</f>
        <v>1901.79</v>
      </c>
      <c r="M24" s="78">
        <f t="shared" si="1"/>
        <v>0</v>
      </c>
      <c r="N24" s="100">
        <f>6+1+1</f>
        <v>8</v>
      </c>
      <c r="O24" s="81">
        <f>17838.53+2535.75+7238.9</f>
        <v>27613.18</v>
      </c>
      <c r="P24" s="81">
        <f>17838.53+2535.75+7238.9</f>
        <v>27613.18</v>
      </c>
      <c r="Q24" s="188">
        <f t="shared" si="2"/>
        <v>0</v>
      </c>
      <c r="R24" s="141"/>
    </row>
    <row r="25" spans="1:18" s="15" customFormat="1" ht="15.75" x14ac:dyDescent="0.25">
      <c r="A25" s="14"/>
      <c r="B25" s="80" t="s">
        <v>28</v>
      </c>
      <c r="C25" s="181" t="s">
        <v>17</v>
      </c>
      <c r="D25" s="182"/>
      <c r="E25" s="194" t="s">
        <v>29</v>
      </c>
      <c r="F25" s="73" t="s">
        <v>330</v>
      </c>
      <c r="G25" s="74" t="s">
        <v>112</v>
      </c>
      <c r="H25" s="75">
        <v>6</v>
      </c>
      <c r="I25" s="76">
        <v>3</v>
      </c>
      <c r="J25" s="96">
        <f>2+1</f>
        <v>3</v>
      </c>
      <c r="K25" s="77">
        <f>6135.14</f>
        <v>6135.14</v>
      </c>
      <c r="L25" s="77">
        <f>6135.14</f>
        <v>6135.14</v>
      </c>
      <c r="M25" s="78">
        <f t="shared" si="1"/>
        <v>0</v>
      </c>
      <c r="N25" s="100">
        <f>3+2+4+3</f>
        <v>12</v>
      </c>
      <c r="O25" s="81">
        <f>5310.83+4630.52+14679.01+36087.29</f>
        <v>60707.65</v>
      </c>
      <c r="P25" s="81">
        <f>5310.83+4630.52+14679.01+36087.29</f>
        <v>60707.65</v>
      </c>
      <c r="Q25" s="188">
        <f t="shared" si="2"/>
        <v>0</v>
      </c>
      <c r="R25" s="141"/>
    </row>
    <row r="26" spans="1:18" s="15" customFormat="1" ht="15.75" x14ac:dyDescent="0.25">
      <c r="A26" s="14"/>
      <c r="B26" s="80" t="s">
        <v>28</v>
      </c>
      <c r="C26" s="181" t="s">
        <v>17</v>
      </c>
      <c r="D26" s="182"/>
      <c r="E26" s="194" t="s">
        <v>29</v>
      </c>
      <c r="F26" s="73" t="s">
        <v>420</v>
      </c>
      <c r="G26" s="195" t="s">
        <v>117</v>
      </c>
      <c r="H26" s="181">
        <v>1</v>
      </c>
      <c r="I26" s="196"/>
      <c r="J26" s="97"/>
      <c r="K26" s="77"/>
      <c r="L26" s="77"/>
      <c r="M26" s="78">
        <f t="shared" si="1"/>
        <v>0</v>
      </c>
      <c r="N26" s="101">
        <v>2</v>
      </c>
      <c r="O26" s="186">
        <v>2766.24</v>
      </c>
      <c r="P26" s="186">
        <v>2766.24</v>
      </c>
      <c r="Q26" s="79">
        <f t="shared" si="2"/>
        <v>0</v>
      </c>
    </row>
    <row r="27" spans="1:18" s="15" customFormat="1" ht="15.75" x14ac:dyDescent="0.25">
      <c r="A27" s="14"/>
      <c r="B27" s="191" t="s">
        <v>500</v>
      </c>
      <c r="C27" s="181"/>
      <c r="D27" s="182"/>
      <c r="E27" s="194"/>
      <c r="F27" s="73" t="s">
        <v>503</v>
      </c>
      <c r="G27" s="195" t="s">
        <v>112</v>
      </c>
      <c r="H27" s="181">
        <v>7</v>
      </c>
      <c r="I27" s="196">
        <v>2</v>
      </c>
      <c r="J27" s="97">
        <f>2</f>
        <v>2</v>
      </c>
      <c r="K27" s="77">
        <v>1202.51</v>
      </c>
      <c r="L27" s="77">
        <v>1202.51</v>
      </c>
      <c r="M27" s="78">
        <f t="shared" si="1"/>
        <v>0</v>
      </c>
      <c r="N27" s="101"/>
      <c r="O27" s="186"/>
      <c r="P27" s="186"/>
      <c r="Q27" s="79"/>
    </row>
    <row r="28" spans="1:18" s="13" customFormat="1" ht="15.75" x14ac:dyDescent="0.25">
      <c r="A28" s="10"/>
      <c r="B28" s="27" t="s">
        <v>30</v>
      </c>
      <c r="C28" s="181" t="s">
        <v>17</v>
      </c>
      <c r="D28" s="182"/>
      <c r="E28" s="194" t="s">
        <v>21</v>
      </c>
      <c r="F28" s="73" t="s">
        <v>333</v>
      </c>
      <c r="G28" s="74" t="s">
        <v>112</v>
      </c>
      <c r="H28" s="75">
        <v>14</v>
      </c>
      <c r="I28" s="76">
        <v>10</v>
      </c>
      <c r="J28" s="96">
        <f>3+1+3+1+4+1</f>
        <v>13</v>
      </c>
      <c r="K28" s="77">
        <f>16637.24</f>
        <v>16637.240000000002</v>
      </c>
      <c r="L28" s="77">
        <v>7786.94</v>
      </c>
      <c r="M28" s="78">
        <f t="shared" si="1"/>
        <v>8850.3000000000029</v>
      </c>
      <c r="N28" s="100">
        <f>9+1+3+1+1+1+2+1</f>
        <v>19</v>
      </c>
      <c r="O28" s="81">
        <v>77047.8</v>
      </c>
      <c r="P28" s="81">
        <v>60237.279999999999</v>
      </c>
      <c r="Q28" s="188">
        <f t="shared" si="2"/>
        <v>16810.520000000004</v>
      </c>
      <c r="R28" s="141"/>
    </row>
    <row r="29" spans="1:18" s="13" customFormat="1" ht="15.75" x14ac:dyDescent="0.25">
      <c r="A29" s="10"/>
      <c r="B29" s="27" t="s">
        <v>491</v>
      </c>
      <c r="C29" s="181" t="s">
        <v>17</v>
      </c>
      <c r="D29" s="182"/>
      <c r="E29" s="183" t="s">
        <v>20</v>
      </c>
      <c r="F29" s="73" t="s">
        <v>495</v>
      </c>
      <c r="G29" s="74" t="s">
        <v>112</v>
      </c>
      <c r="H29" s="75">
        <v>8</v>
      </c>
      <c r="I29" s="76">
        <v>4</v>
      </c>
      <c r="J29" s="96">
        <f>2+2</f>
        <v>4</v>
      </c>
      <c r="K29" s="77">
        <f>1727.9+2093.89</f>
        <v>3821.79</v>
      </c>
      <c r="L29" s="77">
        <f>1727.9+2093.89</f>
        <v>3821.79</v>
      </c>
      <c r="M29" s="78">
        <f t="shared" si="1"/>
        <v>0</v>
      </c>
      <c r="N29" s="100"/>
      <c r="O29" s="81"/>
      <c r="P29" s="81"/>
      <c r="Q29" s="188"/>
      <c r="R29" s="141"/>
    </row>
    <row r="30" spans="1:18" s="13" customFormat="1" ht="15.75" x14ac:dyDescent="0.25">
      <c r="A30" s="10"/>
      <c r="B30" s="27" t="s">
        <v>491</v>
      </c>
      <c r="C30" s="181"/>
      <c r="D30" s="182"/>
      <c r="E30" s="183"/>
      <c r="F30" s="73"/>
      <c r="G30" s="74" t="s">
        <v>114</v>
      </c>
      <c r="H30" s="75">
        <v>6</v>
      </c>
      <c r="I30" s="76"/>
      <c r="J30" s="96"/>
      <c r="K30" s="77"/>
      <c r="L30" s="77"/>
      <c r="M30" s="187"/>
      <c r="N30" s="100"/>
      <c r="O30" s="81"/>
      <c r="P30" s="81"/>
      <c r="Q30" s="188">
        <f t="shared" si="2"/>
        <v>0</v>
      </c>
      <c r="R30" s="141"/>
    </row>
    <row r="31" spans="1:18" s="13" customFormat="1" ht="15.75" x14ac:dyDescent="0.25">
      <c r="A31" s="10"/>
      <c r="B31" s="27" t="s">
        <v>491</v>
      </c>
      <c r="C31" s="181"/>
      <c r="D31" s="182"/>
      <c r="E31" s="183"/>
      <c r="F31" s="73"/>
      <c r="G31" s="195" t="s">
        <v>117</v>
      </c>
      <c r="H31" s="75">
        <v>1</v>
      </c>
      <c r="I31" s="76"/>
      <c r="J31" s="96"/>
      <c r="K31" s="77"/>
      <c r="L31" s="77"/>
      <c r="M31" s="187"/>
      <c r="N31" s="100"/>
      <c r="O31" s="81"/>
      <c r="P31" s="81"/>
      <c r="Q31" s="188"/>
      <c r="R31" s="141"/>
    </row>
    <row r="32" spans="1:18" s="13" customFormat="1" ht="15.75" x14ac:dyDescent="0.25">
      <c r="A32" s="10"/>
      <c r="B32" s="30" t="s">
        <v>31</v>
      </c>
      <c r="C32" s="181" t="s">
        <v>17</v>
      </c>
      <c r="D32" s="182"/>
      <c r="E32" s="183" t="s">
        <v>32</v>
      </c>
      <c r="F32" s="73" t="s">
        <v>331</v>
      </c>
      <c r="G32" s="74" t="s">
        <v>112</v>
      </c>
      <c r="H32" s="75">
        <v>10</v>
      </c>
      <c r="I32" s="76">
        <v>5</v>
      </c>
      <c r="J32" s="96">
        <f>1+2+3+1</f>
        <v>7</v>
      </c>
      <c r="K32" s="77">
        <f>633.93+1045.98+5377.62+950.9</f>
        <v>8008.4299999999994</v>
      </c>
      <c r="L32" s="77">
        <f>633.93+1045.98+5377.62+950.9</f>
        <v>8008.4299999999994</v>
      </c>
      <c r="M32" s="78">
        <f>K32-L32</f>
        <v>0</v>
      </c>
      <c r="N32" s="100">
        <f>1+3+3+1+1</f>
        <v>9</v>
      </c>
      <c r="O32" s="81">
        <f>2299.8+15239.58+6152.75+2720.49+1483.38</f>
        <v>27896.000000000004</v>
      </c>
      <c r="P32" s="81">
        <f>2299.8+15239.58+6152.75+2720.49+1483.38</f>
        <v>27896.000000000004</v>
      </c>
      <c r="Q32" s="79">
        <f t="shared" si="2"/>
        <v>0</v>
      </c>
      <c r="R32" s="141"/>
    </row>
    <row r="33" spans="1:18" s="13" customFormat="1" ht="15.75" x14ac:dyDescent="0.25">
      <c r="A33" s="10"/>
      <c r="B33" s="30" t="s">
        <v>31</v>
      </c>
      <c r="C33" s="181" t="s">
        <v>17</v>
      </c>
      <c r="D33" s="182"/>
      <c r="E33" s="183" t="s">
        <v>32</v>
      </c>
      <c r="F33" s="73" t="s">
        <v>422</v>
      </c>
      <c r="G33" s="195" t="s">
        <v>117</v>
      </c>
      <c r="H33" s="181">
        <v>9</v>
      </c>
      <c r="I33" s="185">
        <v>2</v>
      </c>
      <c r="J33" s="96">
        <v>2</v>
      </c>
      <c r="K33" s="77">
        <v>4073.2</v>
      </c>
      <c r="L33" s="77">
        <v>4073.2</v>
      </c>
      <c r="M33" s="187">
        <f t="shared" si="1"/>
        <v>0</v>
      </c>
      <c r="N33" s="100">
        <v>6</v>
      </c>
      <c r="O33" s="77">
        <v>12150.4</v>
      </c>
      <c r="P33" s="77">
        <v>12150.4</v>
      </c>
      <c r="Q33" s="188">
        <f t="shared" si="2"/>
        <v>0</v>
      </c>
    </row>
    <row r="34" spans="1:18" s="15" customFormat="1" ht="15.75" x14ac:dyDescent="0.25">
      <c r="A34" s="14"/>
      <c r="B34" s="80" t="s">
        <v>33</v>
      </c>
      <c r="C34" s="181" t="s">
        <v>17</v>
      </c>
      <c r="D34" s="182"/>
      <c r="E34" s="197" t="s">
        <v>20</v>
      </c>
      <c r="F34" s="73" t="s">
        <v>332</v>
      </c>
      <c r="G34" s="74" t="s">
        <v>112</v>
      </c>
      <c r="H34" s="75">
        <v>7</v>
      </c>
      <c r="I34" s="76">
        <v>4</v>
      </c>
      <c r="J34" s="96">
        <f>1+1+1+1</f>
        <v>4</v>
      </c>
      <c r="K34" s="77">
        <f>845.245+5363.43+5912.72</f>
        <v>12121.395</v>
      </c>
      <c r="L34" s="77">
        <f>845.245+5363.43+5912.72</f>
        <v>12121.395</v>
      </c>
      <c r="M34" s="78">
        <f>K34-L34</f>
        <v>0</v>
      </c>
      <c r="N34" s="100">
        <f>2+1+1+1+1+2+1</f>
        <v>9</v>
      </c>
      <c r="O34" s="81">
        <f>845.24+1613.64+3380.96+3639.33</f>
        <v>9479.17</v>
      </c>
      <c r="P34" s="81">
        <f>845.24+1613.64+3380.96+3639.33</f>
        <v>9479.17</v>
      </c>
      <c r="Q34" s="79">
        <f t="shared" si="2"/>
        <v>0</v>
      </c>
      <c r="R34" s="141"/>
    </row>
    <row r="35" spans="1:18" s="15" customFormat="1" ht="15.75" x14ac:dyDescent="0.25">
      <c r="A35" s="14"/>
      <c r="B35" s="80" t="s">
        <v>33</v>
      </c>
      <c r="C35" s="181" t="s">
        <v>17</v>
      </c>
      <c r="D35" s="182"/>
      <c r="E35" s="183" t="s">
        <v>20</v>
      </c>
      <c r="F35" s="73" t="s">
        <v>481</v>
      </c>
      <c r="G35" s="184" t="s">
        <v>114</v>
      </c>
      <c r="H35" s="181">
        <v>4</v>
      </c>
      <c r="I35" s="185"/>
      <c r="J35" s="190"/>
      <c r="K35" s="77"/>
      <c r="L35" s="77"/>
      <c r="M35" s="187">
        <f t="shared" si="1"/>
        <v>0</v>
      </c>
      <c r="N35" s="101">
        <v>14</v>
      </c>
      <c r="O35" s="186">
        <v>25645.14</v>
      </c>
      <c r="P35" s="186">
        <v>25645.14</v>
      </c>
      <c r="Q35" s="188">
        <f t="shared" si="2"/>
        <v>0</v>
      </c>
    </row>
    <row r="36" spans="1:18" s="15" customFormat="1" ht="15.75" x14ac:dyDescent="0.25">
      <c r="A36" s="14"/>
      <c r="B36" s="62" t="s">
        <v>147</v>
      </c>
      <c r="C36" s="181" t="s">
        <v>17</v>
      </c>
      <c r="D36" s="182"/>
      <c r="E36" s="183" t="s">
        <v>29</v>
      </c>
      <c r="F36" s="73" t="s">
        <v>334</v>
      </c>
      <c r="G36" s="74" t="s">
        <v>112</v>
      </c>
      <c r="H36" s="75">
        <v>4</v>
      </c>
      <c r="I36" s="192">
        <v>1</v>
      </c>
      <c r="J36" s="97">
        <f>1+1</f>
        <v>2</v>
      </c>
      <c r="K36" s="77">
        <f>1854.88+2824.48</f>
        <v>4679.3600000000006</v>
      </c>
      <c r="L36" s="77">
        <f>1854.88+2824.48</f>
        <v>4679.3600000000006</v>
      </c>
      <c r="M36" s="78">
        <f>K36-L36</f>
        <v>0</v>
      </c>
      <c r="N36" s="114">
        <f>1+1+1</f>
        <v>3</v>
      </c>
      <c r="O36" s="81">
        <f>1394.65+2473.17+1961.49</f>
        <v>5829.31</v>
      </c>
      <c r="P36" s="81">
        <f>1394.65+2473.17+1961.49</f>
        <v>5829.31</v>
      </c>
      <c r="Q36" s="79">
        <f t="shared" si="2"/>
        <v>0</v>
      </c>
      <c r="R36" s="141"/>
    </row>
    <row r="37" spans="1:18" s="15" customFormat="1" ht="15.75" x14ac:dyDescent="0.25">
      <c r="A37" s="14"/>
      <c r="B37" s="191" t="s">
        <v>147</v>
      </c>
      <c r="C37" s="181" t="s">
        <v>17</v>
      </c>
      <c r="D37" s="182"/>
      <c r="E37" s="183" t="s">
        <v>29</v>
      </c>
      <c r="F37" s="73" t="s">
        <v>423</v>
      </c>
      <c r="G37" s="184" t="s">
        <v>117</v>
      </c>
      <c r="H37" s="181">
        <v>3</v>
      </c>
      <c r="I37" s="196">
        <v>3</v>
      </c>
      <c r="J37" s="97">
        <v>3</v>
      </c>
      <c r="K37" s="77">
        <v>5241.5</v>
      </c>
      <c r="L37" s="77">
        <v>5241.5</v>
      </c>
      <c r="M37" s="187">
        <f t="shared" si="1"/>
        <v>0</v>
      </c>
      <c r="N37" s="101">
        <v>4</v>
      </c>
      <c r="O37" s="186">
        <v>4706.45</v>
      </c>
      <c r="P37" s="186">
        <v>4706.45</v>
      </c>
      <c r="Q37" s="188">
        <f t="shared" si="2"/>
        <v>0</v>
      </c>
    </row>
    <row r="38" spans="1:18" s="13" customFormat="1" ht="15.75" x14ac:dyDescent="0.25">
      <c r="A38" s="10"/>
      <c r="B38" s="62" t="s">
        <v>34</v>
      </c>
      <c r="C38" s="181" t="s">
        <v>17</v>
      </c>
      <c r="D38" s="182"/>
      <c r="E38" s="194" t="s">
        <v>35</v>
      </c>
      <c r="F38" s="73" t="s">
        <v>335</v>
      </c>
      <c r="G38" s="74" t="s">
        <v>112</v>
      </c>
      <c r="H38" s="75">
        <v>17</v>
      </c>
      <c r="I38" s="76">
        <v>12</v>
      </c>
      <c r="J38" s="96">
        <f>4+2+2+7</f>
        <v>15</v>
      </c>
      <c r="K38" s="77">
        <f>8288.4+1267.86+845.24+13964.6+11418.26</f>
        <v>35784.36</v>
      </c>
      <c r="L38" s="77">
        <f>8288.4+1267.86+845.24+13964.6+11418.26</f>
        <v>35784.36</v>
      </c>
      <c r="M38" s="78">
        <f>K38-L38</f>
        <v>0</v>
      </c>
      <c r="N38" s="100">
        <f>4+4+6+1+3+1+3</f>
        <v>22</v>
      </c>
      <c r="O38" s="81">
        <f>23915.04+21171.88+6399.1+11460.81</f>
        <v>62946.829999999994</v>
      </c>
      <c r="P38" s="81">
        <f>23915.04+21171.88+6399.1+11460.81</f>
        <v>62946.829999999994</v>
      </c>
      <c r="Q38" s="79">
        <f t="shared" si="2"/>
        <v>0</v>
      </c>
      <c r="R38" s="141"/>
    </row>
    <row r="39" spans="1:18" s="13" customFormat="1" ht="15.75" x14ac:dyDescent="0.25">
      <c r="A39" s="10"/>
      <c r="B39" s="62" t="s">
        <v>34</v>
      </c>
      <c r="C39" s="181" t="s">
        <v>17</v>
      </c>
      <c r="D39" s="182"/>
      <c r="E39" s="194" t="s">
        <v>35</v>
      </c>
      <c r="F39" s="73" t="s">
        <v>424</v>
      </c>
      <c r="G39" s="195" t="s">
        <v>117</v>
      </c>
      <c r="H39" s="181">
        <v>2</v>
      </c>
      <c r="I39" s="185">
        <v>1</v>
      </c>
      <c r="J39" s="96">
        <v>2</v>
      </c>
      <c r="K39" s="77">
        <v>3842</v>
      </c>
      <c r="L39" s="77">
        <v>3842</v>
      </c>
      <c r="M39" s="187">
        <f t="shared" si="1"/>
        <v>0</v>
      </c>
      <c r="N39" s="100">
        <v>3</v>
      </c>
      <c r="O39" s="186">
        <v>9220.7999999999993</v>
      </c>
      <c r="P39" s="186">
        <v>9220.7999999999993</v>
      </c>
      <c r="Q39" s="188">
        <f t="shared" si="2"/>
        <v>0</v>
      </c>
    </row>
    <row r="40" spans="1:18" s="13" customFormat="1" ht="15.75" x14ac:dyDescent="0.25">
      <c r="A40" s="10"/>
      <c r="B40" s="27" t="s">
        <v>36</v>
      </c>
      <c r="C40" s="181" t="s">
        <v>17</v>
      </c>
      <c r="D40" s="182"/>
      <c r="E40" s="194" t="s">
        <v>32</v>
      </c>
      <c r="F40" s="73" t="s">
        <v>336</v>
      </c>
      <c r="G40" s="74" t="s">
        <v>112</v>
      </c>
      <c r="H40" s="75">
        <v>13</v>
      </c>
      <c r="I40" s="76">
        <v>7</v>
      </c>
      <c r="J40" s="96">
        <f>1+3+4</f>
        <v>8</v>
      </c>
      <c r="K40" s="77">
        <f>2091.97+4201.22+3643.94</f>
        <v>9937.130000000001</v>
      </c>
      <c r="L40" s="77">
        <f>2091.97+4201.22+3643.94</f>
        <v>9937.130000000001</v>
      </c>
      <c r="M40" s="78">
        <f t="shared" si="1"/>
        <v>0</v>
      </c>
      <c r="N40" s="100">
        <f>4+2+5+1+1</f>
        <v>13</v>
      </c>
      <c r="O40" s="81">
        <f>26828.22+3116.2+14162+4691</f>
        <v>48797.42</v>
      </c>
      <c r="P40" s="81">
        <f>26828.22+3116.2+14162+4691</f>
        <v>48797.42</v>
      </c>
      <c r="Q40" s="79">
        <f t="shared" si="2"/>
        <v>0</v>
      </c>
      <c r="R40" s="141"/>
    </row>
    <row r="41" spans="1:18" s="13" customFormat="1" ht="15.75" x14ac:dyDescent="0.25">
      <c r="A41" s="10"/>
      <c r="B41" s="27" t="s">
        <v>38</v>
      </c>
      <c r="C41" s="181" t="s">
        <v>17</v>
      </c>
      <c r="D41" s="182"/>
      <c r="E41" s="183" t="s">
        <v>20</v>
      </c>
      <c r="F41" s="73" t="s">
        <v>338</v>
      </c>
      <c r="G41" s="74" t="s">
        <v>112</v>
      </c>
      <c r="H41" s="75">
        <v>30</v>
      </c>
      <c r="I41" s="76">
        <v>19</v>
      </c>
      <c r="J41" s="96">
        <f>5+9+3+4+4+2</f>
        <v>27</v>
      </c>
      <c r="K41" s="77">
        <f>4427.07+14262.52+23391.74+11108.38</f>
        <v>53189.71</v>
      </c>
      <c r="L41" s="77">
        <f>4427.07+14262.52+23391.74+11108.38</f>
        <v>53189.71</v>
      </c>
      <c r="M41" s="78">
        <f t="shared" si="1"/>
        <v>0</v>
      </c>
      <c r="N41" s="100">
        <f>1+14+2+2+2</f>
        <v>21</v>
      </c>
      <c r="O41" s="81">
        <f>34449.99+27363.78+23604.86+16739.26+15240.34</f>
        <v>117398.23</v>
      </c>
      <c r="P41" s="81">
        <f>34449.99+27363.78+23604.86+16739.26+15240.34</f>
        <v>117398.23</v>
      </c>
      <c r="Q41" s="79">
        <f t="shared" si="2"/>
        <v>0</v>
      </c>
      <c r="R41" s="141"/>
    </row>
    <row r="42" spans="1:18" s="13" customFormat="1" ht="15.75" x14ac:dyDescent="0.25">
      <c r="A42" s="10"/>
      <c r="B42" s="27" t="s">
        <v>38</v>
      </c>
      <c r="C42" s="181" t="s">
        <v>17</v>
      </c>
      <c r="D42" s="182"/>
      <c r="E42" s="183" t="s">
        <v>20</v>
      </c>
      <c r="F42" s="73" t="s">
        <v>268</v>
      </c>
      <c r="G42" s="184" t="s">
        <v>114</v>
      </c>
      <c r="H42" s="181"/>
      <c r="I42" s="185"/>
      <c r="J42" s="190"/>
      <c r="K42" s="77"/>
      <c r="L42" s="77"/>
      <c r="M42" s="187">
        <f t="shared" si="1"/>
        <v>0</v>
      </c>
      <c r="N42" s="100"/>
      <c r="O42" s="186"/>
      <c r="P42" s="186"/>
      <c r="Q42" s="188">
        <f t="shared" si="2"/>
        <v>0</v>
      </c>
    </row>
    <row r="43" spans="1:18" s="13" customFormat="1" ht="15.75" x14ac:dyDescent="0.25">
      <c r="A43" s="10"/>
      <c r="B43" s="27" t="s">
        <v>38</v>
      </c>
      <c r="C43" s="181" t="s">
        <v>17</v>
      </c>
      <c r="D43" s="182"/>
      <c r="E43" s="183" t="s">
        <v>18</v>
      </c>
      <c r="F43" s="73" t="s">
        <v>324</v>
      </c>
      <c r="G43" s="184" t="s">
        <v>116</v>
      </c>
      <c r="H43" s="181">
        <v>3</v>
      </c>
      <c r="I43" s="185">
        <v>6</v>
      </c>
      <c r="J43" s="190">
        <v>6</v>
      </c>
      <c r="K43" s="77"/>
      <c r="L43" s="77"/>
      <c r="M43" s="187">
        <f t="shared" si="1"/>
        <v>0</v>
      </c>
      <c r="N43" s="100"/>
      <c r="O43" s="186"/>
      <c r="P43" s="186"/>
      <c r="Q43" s="188">
        <f t="shared" si="2"/>
        <v>0</v>
      </c>
    </row>
    <row r="44" spans="1:18" s="13" customFormat="1" ht="15.75" x14ac:dyDescent="0.25">
      <c r="A44" s="10"/>
      <c r="B44" s="62" t="s">
        <v>39</v>
      </c>
      <c r="C44" s="181" t="s">
        <v>17</v>
      </c>
      <c r="D44" s="182"/>
      <c r="E44" s="183" t="s">
        <v>20</v>
      </c>
      <c r="F44" s="73" t="s">
        <v>269</v>
      </c>
      <c r="G44" s="184" t="s">
        <v>114</v>
      </c>
      <c r="H44" s="181"/>
      <c r="I44" s="185"/>
      <c r="J44" s="190"/>
      <c r="K44" s="77"/>
      <c r="L44" s="77"/>
      <c r="M44" s="187">
        <f t="shared" si="1"/>
        <v>0</v>
      </c>
      <c r="N44" s="100"/>
      <c r="O44" s="186"/>
      <c r="P44" s="186"/>
      <c r="Q44" s="188">
        <f t="shared" si="2"/>
        <v>0</v>
      </c>
    </row>
    <row r="45" spans="1:18" s="13" customFormat="1" ht="15.75" x14ac:dyDescent="0.25">
      <c r="A45" s="10"/>
      <c r="B45" s="27" t="s">
        <v>40</v>
      </c>
      <c r="C45" s="181" t="s">
        <v>17</v>
      </c>
      <c r="D45" s="182"/>
      <c r="E45" s="194" t="s">
        <v>41</v>
      </c>
      <c r="F45" s="73" t="s">
        <v>339</v>
      </c>
      <c r="G45" s="74" t="s">
        <v>112</v>
      </c>
      <c r="H45" s="75">
        <v>16</v>
      </c>
      <c r="I45" s="76">
        <v>14</v>
      </c>
      <c r="J45" s="96">
        <f>1+1+3+9+4+4</f>
        <v>22</v>
      </c>
      <c r="K45" s="77">
        <f>1045.98+3271.86+15658.52+8166.35</f>
        <v>28142.71</v>
      </c>
      <c r="L45" s="77">
        <f>1045.98+3271.86+15658.52+8166.35</f>
        <v>28142.71</v>
      </c>
      <c r="M45" s="78">
        <f>K45-L45</f>
        <v>0</v>
      </c>
      <c r="N45" s="100">
        <f>3+13+6+5+4+2</f>
        <v>33</v>
      </c>
      <c r="O45" s="81">
        <f>17269.31+39990.78+16582.12+23492.44+7068.31</f>
        <v>104402.95999999999</v>
      </c>
      <c r="P45" s="81">
        <f>17269.31+39990.78+16582.12+23492.44+7068.31</f>
        <v>104402.95999999999</v>
      </c>
      <c r="Q45" s="79">
        <f t="shared" si="2"/>
        <v>0</v>
      </c>
      <c r="R45" s="141"/>
    </row>
    <row r="46" spans="1:18" s="13" customFormat="1" ht="15.75" x14ac:dyDescent="0.25">
      <c r="A46" s="10"/>
      <c r="B46" s="27" t="s">
        <v>40</v>
      </c>
      <c r="C46" s="181" t="s">
        <v>17</v>
      </c>
      <c r="D46" s="182"/>
      <c r="E46" s="194" t="s">
        <v>41</v>
      </c>
      <c r="F46" s="73" t="s">
        <v>482</v>
      </c>
      <c r="G46" s="184" t="s">
        <v>114</v>
      </c>
      <c r="H46" s="181"/>
      <c r="I46" s="185"/>
      <c r="J46" s="190"/>
      <c r="K46" s="77"/>
      <c r="L46" s="77"/>
      <c r="M46" s="187">
        <f t="shared" si="1"/>
        <v>0</v>
      </c>
      <c r="N46" s="100">
        <v>1</v>
      </c>
      <c r="O46" s="186">
        <v>3073.6</v>
      </c>
      <c r="P46" s="186">
        <f>3073.6</f>
        <v>3073.6</v>
      </c>
      <c r="Q46" s="188">
        <f t="shared" si="2"/>
        <v>0</v>
      </c>
    </row>
    <row r="47" spans="1:18" s="13" customFormat="1" ht="15.75" x14ac:dyDescent="0.25">
      <c r="A47" s="10"/>
      <c r="B47" s="27" t="s">
        <v>148</v>
      </c>
      <c r="C47" s="181" t="s">
        <v>17</v>
      </c>
      <c r="D47" s="182"/>
      <c r="E47" s="183" t="s">
        <v>20</v>
      </c>
      <c r="F47" s="73" t="s">
        <v>340</v>
      </c>
      <c r="G47" s="74" t="s">
        <v>112</v>
      </c>
      <c r="H47" s="75">
        <v>12</v>
      </c>
      <c r="I47" s="82">
        <v>4</v>
      </c>
      <c r="J47" s="96">
        <f>1+2+1</f>
        <v>4</v>
      </c>
      <c r="K47" s="77">
        <f>537.88+2110.03</f>
        <v>2647.9100000000003</v>
      </c>
      <c r="L47" s="77">
        <f>537.88+2110.03</f>
        <v>2647.9100000000003</v>
      </c>
      <c r="M47" s="78">
        <f>K47-L47</f>
        <v>0</v>
      </c>
      <c r="N47" s="100">
        <f>6+5+3+1+1</f>
        <v>16</v>
      </c>
      <c r="O47" s="81">
        <f>9370.6+9456.38+8868.69+5367.27+11572.62</f>
        <v>44635.560000000005</v>
      </c>
      <c r="P47" s="81">
        <f>9370.6+9456.38+8868.69+5367.27+11572.62</f>
        <v>44635.560000000005</v>
      </c>
      <c r="Q47" s="79">
        <f t="shared" si="2"/>
        <v>0</v>
      </c>
      <c r="R47" s="141"/>
    </row>
    <row r="48" spans="1:18" s="13" customFormat="1" ht="15.75" x14ac:dyDescent="0.25">
      <c r="A48" s="10"/>
      <c r="B48" s="27" t="s">
        <v>148</v>
      </c>
      <c r="C48" s="181" t="s">
        <v>17</v>
      </c>
      <c r="D48" s="182"/>
      <c r="E48" s="194" t="s">
        <v>32</v>
      </c>
      <c r="F48" s="73" t="s">
        <v>425</v>
      </c>
      <c r="G48" s="184" t="s">
        <v>117</v>
      </c>
      <c r="H48" s="181">
        <v>7</v>
      </c>
      <c r="I48" s="185">
        <v>1</v>
      </c>
      <c r="J48" s="96">
        <v>1</v>
      </c>
      <c r="K48" s="77">
        <v>1344.7</v>
      </c>
      <c r="L48" s="77">
        <v>1344.7</v>
      </c>
      <c r="M48" s="187">
        <f t="shared" si="1"/>
        <v>0</v>
      </c>
      <c r="N48" s="100">
        <v>4</v>
      </c>
      <c r="O48" s="186">
        <v>12851.49</v>
      </c>
      <c r="P48" s="186">
        <v>12851.49</v>
      </c>
      <c r="Q48" s="188">
        <f t="shared" si="2"/>
        <v>0</v>
      </c>
    </row>
    <row r="49" spans="1:18" s="13" customFormat="1" ht="15.75" x14ac:dyDescent="0.25">
      <c r="A49" s="10"/>
      <c r="B49" s="30" t="s">
        <v>42</v>
      </c>
      <c r="C49" s="181" t="s">
        <v>17</v>
      </c>
      <c r="D49" s="182"/>
      <c r="E49" s="183" t="s">
        <v>23</v>
      </c>
      <c r="F49" s="73" t="s">
        <v>341</v>
      </c>
      <c r="G49" s="74" t="s">
        <v>112</v>
      </c>
      <c r="H49" s="75">
        <v>29</v>
      </c>
      <c r="I49" s="76">
        <v>18</v>
      </c>
      <c r="J49" s="96">
        <f>5+3+5+3+8</f>
        <v>24</v>
      </c>
      <c r="K49" s="77">
        <f>7156.22+3849.11+8154.25+4149.36</f>
        <v>23308.940000000002</v>
      </c>
      <c r="L49" s="77">
        <f>7156.22+3849.11+8154.25+4149.36</f>
        <v>23308.940000000002</v>
      </c>
      <c r="M49" s="78">
        <f>K49-L49</f>
        <v>0</v>
      </c>
      <c r="N49" s="100">
        <f>4+6+9+2+4+2+2+3</f>
        <v>32</v>
      </c>
      <c r="O49" s="81">
        <f>5364.2+26170.88+2849.25+18965.6+9565.56+9423.5</f>
        <v>72338.989999999991</v>
      </c>
      <c r="P49" s="81">
        <f>5364.2+26170.88+2849.25+18965.6+9565.56+9423.5</f>
        <v>72338.989999999991</v>
      </c>
      <c r="Q49" s="79">
        <f t="shared" si="2"/>
        <v>0</v>
      </c>
      <c r="R49" s="141"/>
    </row>
    <row r="50" spans="1:18" s="13" customFormat="1" ht="15.75" x14ac:dyDescent="0.25">
      <c r="A50" s="10"/>
      <c r="B50" s="30" t="s">
        <v>42</v>
      </c>
      <c r="C50" s="181" t="s">
        <v>17</v>
      </c>
      <c r="D50" s="182"/>
      <c r="E50" s="183" t="s">
        <v>23</v>
      </c>
      <c r="F50" s="73" t="s">
        <v>437</v>
      </c>
      <c r="G50" s="184" t="s">
        <v>118</v>
      </c>
      <c r="H50" s="181">
        <v>2</v>
      </c>
      <c r="I50" s="185"/>
      <c r="J50" s="96"/>
      <c r="K50" s="77"/>
      <c r="L50" s="77"/>
      <c r="M50" s="187">
        <f t="shared" si="1"/>
        <v>0</v>
      </c>
      <c r="N50" s="100">
        <v>1</v>
      </c>
      <c r="O50" s="186">
        <v>7766.4</v>
      </c>
      <c r="P50" s="186">
        <v>7766.4</v>
      </c>
      <c r="Q50" s="188">
        <f t="shared" si="2"/>
        <v>0</v>
      </c>
    </row>
    <row r="51" spans="1:18" s="13" customFormat="1" ht="15.75" x14ac:dyDescent="0.25">
      <c r="A51" s="10"/>
      <c r="B51" s="30" t="s">
        <v>173</v>
      </c>
      <c r="C51" s="181" t="s">
        <v>17</v>
      </c>
      <c r="D51" s="182"/>
      <c r="E51" s="184" t="s">
        <v>118</v>
      </c>
      <c r="F51" s="73" t="s">
        <v>342</v>
      </c>
      <c r="G51" s="74" t="s">
        <v>112</v>
      </c>
      <c r="H51" s="75">
        <v>4</v>
      </c>
      <c r="I51" s="76">
        <v>4</v>
      </c>
      <c r="J51" s="96">
        <f>1+2+1</f>
        <v>4</v>
      </c>
      <c r="K51" s="77">
        <f>6833.76+696.36</f>
        <v>7530.12</v>
      </c>
      <c r="L51" s="77">
        <f>6833.76+696.36</f>
        <v>7530.12</v>
      </c>
      <c r="M51" s="78">
        <f>K51-L51</f>
        <v>0</v>
      </c>
      <c r="N51" s="100">
        <f>4+2</f>
        <v>6</v>
      </c>
      <c r="O51" s="81">
        <f>5931.9+4183.92+3158.95</f>
        <v>13274.77</v>
      </c>
      <c r="P51" s="81">
        <f>5931.9+4183.92+3158.95</f>
        <v>13274.77</v>
      </c>
      <c r="Q51" s="79">
        <f t="shared" si="2"/>
        <v>0</v>
      </c>
      <c r="R51" s="141"/>
    </row>
    <row r="52" spans="1:18" s="13" customFormat="1" ht="15.75" x14ac:dyDescent="0.25">
      <c r="A52" s="10"/>
      <c r="B52" s="62" t="s">
        <v>143</v>
      </c>
      <c r="C52" s="181" t="s">
        <v>64</v>
      </c>
      <c r="D52" s="182" t="s">
        <v>444</v>
      </c>
      <c r="E52" s="183" t="s">
        <v>20</v>
      </c>
      <c r="F52" s="73" t="s">
        <v>445</v>
      </c>
      <c r="G52" s="184" t="s">
        <v>114</v>
      </c>
      <c r="H52" s="181">
        <v>15</v>
      </c>
      <c r="I52" s="192">
        <v>3</v>
      </c>
      <c r="J52" s="190">
        <v>3</v>
      </c>
      <c r="K52" s="193"/>
      <c r="L52" s="193"/>
      <c r="M52" s="78">
        <f t="shared" si="1"/>
        <v>0</v>
      </c>
      <c r="N52" s="114">
        <v>18</v>
      </c>
      <c r="O52" s="186">
        <v>24316.799999999999</v>
      </c>
      <c r="P52" s="186">
        <v>24316.799999999999</v>
      </c>
      <c r="Q52" s="188">
        <f t="shared" si="2"/>
        <v>0</v>
      </c>
    </row>
    <row r="53" spans="1:18" s="13" customFormat="1" ht="15.75" x14ac:dyDescent="0.25">
      <c r="A53" s="10"/>
      <c r="B53" s="30" t="s">
        <v>158</v>
      </c>
      <c r="C53" s="181" t="s">
        <v>17</v>
      </c>
      <c r="D53" s="182"/>
      <c r="E53" s="194" t="s">
        <v>32</v>
      </c>
      <c r="F53" s="73" t="s">
        <v>426</v>
      </c>
      <c r="G53" s="184" t="s">
        <v>117</v>
      </c>
      <c r="H53" s="181">
        <v>6</v>
      </c>
      <c r="I53" s="192">
        <v>3</v>
      </c>
      <c r="J53" s="190">
        <v>4</v>
      </c>
      <c r="K53" s="193">
        <v>8452.4</v>
      </c>
      <c r="L53" s="193">
        <v>8452.4</v>
      </c>
      <c r="M53" s="187">
        <f t="shared" si="1"/>
        <v>0</v>
      </c>
      <c r="N53" s="114">
        <v>4</v>
      </c>
      <c r="O53" s="186">
        <v>9789.2000000000007</v>
      </c>
      <c r="P53" s="186">
        <v>9789.2000000000007</v>
      </c>
      <c r="Q53" s="188">
        <f t="shared" si="2"/>
        <v>0</v>
      </c>
    </row>
    <row r="54" spans="1:18" s="15" customFormat="1" ht="15.75" x14ac:dyDescent="0.25">
      <c r="A54" s="14"/>
      <c r="B54" s="80" t="s">
        <v>43</v>
      </c>
      <c r="C54" s="181" t="s">
        <v>17</v>
      </c>
      <c r="D54" s="182"/>
      <c r="E54" s="183" t="s">
        <v>18</v>
      </c>
      <c r="F54" s="73" t="s">
        <v>344</v>
      </c>
      <c r="G54" s="74" t="s">
        <v>112</v>
      </c>
      <c r="H54" s="75">
        <v>19</v>
      </c>
      <c r="I54" s="76">
        <v>14</v>
      </c>
      <c r="J54" s="96">
        <f>1+2+2+5+2+3</f>
        <v>15</v>
      </c>
      <c r="K54" s="77">
        <f>1776.93+926.88+3328.29</f>
        <v>6032.1</v>
      </c>
      <c r="L54" s="77">
        <f>1776.93+926.88+3328.29</f>
        <v>6032.1</v>
      </c>
      <c r="M54" s="78">
        <f>K54-L54</f>
        <v>0</v>
      </c>
      <c r="N54" s="100">
        <f>1+5+4+1+1+1</f>
        <v>13</v>
      </c>
      <c r="O54" s="81">
        <f>1223.8+3810.29+4959.02+10043.87+2769.48+2146.91</f>
        <v>24953.370000000003</v>
      </c>
      <c r="P54" s="81">
        <f>1223.8+3810.29+4959.02+10043.87+2769.48+2146.91</f>
        <v>24953.370000000003</v>
      </c>
      <c r="Q54" s="79">
        <f t="shared" si="2"/>
        <v>0</v>
      </c>
      <c r="R54" s="141"/>
    </row>
    <row r="55" spans="1:18" s="15" customFormat="1" ht="30" x14ac:dyDescent="0.25">
      <c r="A55" s="14"/>
      <c r="B55" s="62" t="s">
        <v>43</v>
      </c>
      <c r="C55" s="181" t="s">
        <v>304</v>
      </c>
      <c r="D55" s="182" t="s">
        <v>473</v>
      </c>
      <c r="E55" s="183" t="s">
        <v>18</v>
      </c>
      <c r="F55" s="73" t="s">
        <v>323</v>
      </c>
      <c r="G55" s="184" t="s">
        <v>113</v>
      </c>
      <c r="H55" s="181">
        <v>17</v>
      </c>
      <c r="I55" s="198">
        <v>12</v>
      </c>
      <c r="J55" s="199">
        <v>12</v>
      </c>
      <c r="K55" s="77">
        <v>9720</v>
      </c>
      <c r="L55" s="77">
        <v>9720</v>
      </c>
      <c r="M55" s="187">
        <f>N5412</f>
        <v>0</v>
      </c>
      <c r="N55" s="114">
        <v>13</v>
      </c>
      <c r="O55" s="186">
        <v>26496</v>
      </c>
      <c r="P55" s="186">
        <v>26496</v>
      </c>
      <c r="Q55" s="188">
        <f t="shared" si="2"/>
        <v>0</v>
      </c>
    </row>
    <row r="56" spans="1:18" s="13" customFormat="1" ht="15.75" x14ac:dyDescent="0.25">
      <c r="A56" s="10"/>
      <c r="B56" s="30" t="s">
        <v>44</v>
      </c>
      <c r="C56" s="181" t="s">
        <v>17</v>
      </c>
      <c r="D56" s="182"/>
      <c r="E56" s="183" t="s">
        <v>20</v>
      </c>
      <c r="F56" s="73" t="s">
        <v>345</v>
      </c>
      <c r="G56" s="74" t="s">
        <v>112</v>
      </c>
      <c r="H56" s="75">
        <v>6</v>
      </c>
      <c r="I56" s="76">
        <v>6</v>
      </c>
      <c r="J56" s="96">
        <f>1+1+1+4</f>
        <v>7</v>
      </c>
      <c r="K56" s="77">
        <f>2422.38+1267.86+15410.58</f>
        <v>19100.82</v>
      </c>
      <c r="L56" s="77">
        <f>2422.38+1267.86+15410.58</f>
        <v>19100.82</v>
      </c>
      <c r="M56" s="78">
        <f>K56-L56</f>
        <v>0</v>
      </c>
      <c r="N56" s="100">
        <f>1+11</f>
        <v>12</v>
      </c>
      <c r="O56" s="81">
        <f>421.62+4603.39+10559.77+72902.04</f>
        <v>88486.819999999992</v>
      </c>
      <c r="P56" s="81">
        <f>421.62+4603.39+10559.77+72902.04</f>
        <v>88486.819999999992</v>
      </c>
      <c r="Q56" s="79">
        <f t="shared" si="2"/>
        <v>0</v>
      </c>
      <c r="R56" s="141"/>
    </row>
    <row r="57" spans="1:18" s="13" customFormat="1" ht="15.75" x14ac:dyDescent="0.25">
      <c r="A57" s="10"/>
      <c r="B57" s="30" t="s">
        <v>44</v>
      </c>
      <c r="C57" s="181" t="s">
        <v>17</v>
      </c>
      <c r="D57" s="182"/>
      <c r="E57" s="183" t="s">
        <v>20</v>
      </c>
      <c r="F57" s="73" t="s">
        <v>483</v>
      </c>
      <c r="G57" s="184" t="s">
        <v>114</v>
      </c>
      <c r="H57" s="181"/>
      <c r="I57" s="185"/>
      <c r="J57" s="190"/>
      <c r="K57" s="77"/>
      <c r="L57" s="77"/>
      <c r="M57" s="78">
        <f t="shared" si="1"/>
        <v>0</v>
      </c>
      <c r="N57" s="100">
        <v>2</v>
      </c>
      <c r="O57" s="186">
        <v>6723.5</v>
      </c>
      <c r="P57" s="186">
        <v>6723.5</v>
      </c>
      <c r="Q57" s="188">
        <f t="shared" si="2"/>
        <v>0</v>
      </c>
    </row>
    <row r="58" spans="1:18" s="13" customFormat="1" ht="15.75" x14ac:dyDescent="0.25">
      <c r="A58" s="10"/>
      <c r="B58" s="30" t="s">
        <v>492</v>
      </c>
      <c r="C58" s="181" t="s">
        <v>17</v>
      </c>
      <c r="D58" s="182"/>
      <c r="E58" s="183" t="s">
        <v>20</v>
      </c>
      <c r="F58" s="73" t="s">
        <v>499</v>
      </c>
      <c r="G58" s="184" t="s">
        <v>112</v>
      </c>
      <c r="H58" s="181">
        <v>9</v>
      </c>
      <c r="I58" s="185">
        <v>1</v>
      </c>
      <c r="J58" s="190">
        <f>1</f>
        <v>1</v>
      </c>
      <c r="K58" s="77">
        <f>1044.98</f>
        <v>1044.98</v>
      </c>
      <c r="L58" s="77">
        <f>1044.98</f>
        <v>1044.98</v>
      </c>
      <c r="M58" s="78">
        <f t="shared" si="1"/>
        <v>0</v>
      </c>
      <c r="N58" s="100"/>
      <c r="O58" s="186"/>
      <c r="P58" s="186"/>
      <c r="Q58" s="79">
        <f t="shared" si="2"/>
        <v>0</v>
      </c>
    </row>
    <row r="59" spans="1:18" s="13" customFormat="1" ht="15.75" x14ac:dyDescent="0.25">
      <c r="A59" s="10"/>
      <c r="B59" s="27" t="s">
        <v>45</v>
      </c>
      <c r="C59" s="181" t="s">
        <v>17</v>
      </c>
      <c r="D59" s="182"/>
      <c r="E59" s="183" t="s">
        <v>20</v>
      </c>
      <c r="F59" s="73" t="s">
        <v>346</v>
      </c>
      <c r="G59" s="74" t="s">
        <v>112</v>
      </c>
      <c r="H59" s="75"/>
      <c r="I59" s="76"/>
      <c r="J59" s="96"/>
      <c r="K59" s="77"/>
      <c r="L59" s="77"/>
      <c r="M59" s="78">
        <f t="shared" si="1"/>
        <v>0</v>
      </c>
      <c r="N59" s="100">
        <f>1</f>
        <v>1</v>
      </c>
      <c r="O59" s="81">
        <f>17995.91+2729.8</f>
        <v>20725.71</v>
      </c>
      <c r="P59" s="81">
        <f>17995.91+2729.8</f>
        <v>20725.71</v>
      </c>
      <c r="Q59" s="79">
        <f t="shared" si="2"/>
        <v>0</v>
      </c>
      <c r="R59" s="141"/>
    </row>
    <row r="60" spans="1:18" s="13" customFormat="1" ht="15.75" x14ac:dyDescent="0.25">
      <c r="A60" s="10"/>
      <c r="B60" s="27" t="s">
        <v>45</v>
      </c>
      <c r="C60" s="181" t="s">
        <v>17</v>
      </c>
      <c r="D60" s="182"/>
      <c r="E60" s="183" t="s">
        <v>20</v>
      </c>
      <c r="F60" s="73" t="s">
        <v>484</v>
      </c>
      <c r="G60" s="184" t="s">
        <v>114</v>
      </c>
      <c r="H60" s="181"/>
      <c r="I60" s="185"/>
      <c r="J60" s="190"/>
      <c r="K60" s="77"/>
      <c r="L60" s="77"/>
      <c r="M60" s="78">
        <f t="shared" si="1"/>
        <v>0</v>
      </c>
      <c r="N60" s="100"/>
      <c r="O60" s="186"/>
      <c r="P60" s="186"/>
      <c r="Q60" s="188">
        <f t="shared" si="2"/>
        <v>0</v>
      </c>
    </row>
    <row r="61" spans="1:18" s="15" customFormat="1" ht="15.75" x14ac:dyDescent="0.25">
      <c r="A61" s="14"/>
      <c r="B61" s="28" t="s">
        <v>46</v>
      </c>
      <c r="C61" s="181" t="s">
        <v>17</v>
      </c>
      <c r="D61" s="182"/>
      <c r="E61" s="183" t="s">
        <v>20</v>
      </c>
      <c r="F61" s="73" t="s">
        <v>347</v>
      </c>
      <c r="G61" s="74" t="s">
        <v>112</v>
      </c>
      <c r="H61" s="75">
        <v>10</v>
      </c>
      <c r="I61" s="76">
        <v>7</v>
      </c>
      <c r="J61" s="96">
        <f>1+2+3+2+4</f>
        <v>12</v>
      </c>
      <c r="K61" s="77">
        <f>1045.98+1068.08+8157.32+1778.85+9152.67</f>
        <v>21202.9</v>
      </c>
      <c r="L61" s="77">
        <f>1045.98+1068.08+8157.32+1778.85+9152.67</f>
        <v>21202.9</v>
      </c>
      <c r="M61" s="78">
        <f>K61-L61</f>
        <v>0</v>
      </c>
      <c r="N61" s="100">
        <f>4+4+1</f>
        <v>9</v>
      </c>
      <c r="O61" s="81">
        <f>10759.2+10685.34</f>
        <v>21444.54</v>
      </c>
      <c r="P61" s="81">
        <f>10759.2+10685.34</f>
        <v>21444.54</v>
      </c>
      <c r="Q61" s="79">
        <f t="shared" si="2"/>
        <v>0</v>
      </c>
      <c r="R61" s="141"/>
    </row>
    <row r="62" spans="1:18" s="15" customFormat="1" ht="15.75" x14ac:dyDescent="0.25">
      <c r="A62" s="14"/>
      <c r="B62" s="28" t="s">
        <v>46</v>
      </c>
      <c r="C62" s="181" t="s">
        <v>17</v>
      </c>
      <c r="D62" s="182"/>
      <c r="E62" s="183" t="s">
        <v>20</v>
      </c>
      <c r="F62" s="73" t="s">
        <v>273</v>
      </c>
      <c r="G62" s="184" t="s">
        <v>114</v>
      </c>
      <c r="H62" s="181">
        <v>2</v>
      </c>
      <c r="I62" s="185"/>
      <c r="J62" s="190"/>
      <c r="K62" s="77"/>
      <c r="L62" s="77"/>
      <c r="M62" s="78">
        <f t="shared" si="1"/>
        <v>0</v>
      </c>
      <c r="N62" s="101">
        <v>3</v>
      </c>
      <c r="O62" s="186">
        <v>9356.9</v>
      </c>
      <c r="P62" s="186">
        <v>9356.9</v>
      </c>
      <c r="Q62" s="188">
        <f t="shared" si="2"/>
        <v>0</v>
      </c>
    </row>
    <row r="63" spans="1:18" s="13" customFormat="1" ht="23.25" customHeight="1" x14ac:dyDescent="0.25">
      <c r="A63" s="10"/>
      <c r="B63" s="30" t="s">
        <v>47</v>
      </c>
      <c r="C63" s="181" t="s">
        <v>304</v>
      </c>
      <c r="D63" s="182" t="s">
        <v>474</v>
      </c>
      <c r="E63" s="183" t="s">
        <v>18</v>
      </c>
      <c r="F63" s="73" t="s">
        <v>348</v>
      </c>
      <c r="G63" s="74" t="s">
        <v>112</v>
      </c>
      <c r="H63" s="75">
        <v>33</v>
      </c>
      <c r="I63" s="76">
        <v>14</v>
      </c>
      <c r="J63" s="98">
        <f>1+1+3+21+7+2+5</f>
        <v>40</v>
      </c>
      <c r="K63" s="77">
        <v>30728.27</v>
      </c>
      <c r="L63" s="77">
        <v>30067.95</v>
      </c>
      <c r="M63" s="78">
        <f>K63-L63</f>
        <v>660.31999999999971</v>
      </c>
      <c r="N63" s="100">
        <f>7+3+4+10+6+1+2+1+3</f>
        <v>37</v>
      </c>
      <c r="O63" s="81">
        <f>8477.51+15159.83+14079.46+15414.2+17995.91+2065.56+1859.53+9543.86+1728.53+14526.84</f>
        <v>100851.23</v>
      </c>
      <c r="P63" s="81">
        <f>8477.51+15159.83+14079.46+15414.2+17995.91+2065.56+1859.53+9543.86+1728.53+14526.84</f>
        <v>100851.23</v>
      </c>
      <c r="Q63" s="79">
        <f t="shared" si="2"/>
        <v>0</v>
      </c>
      <c r="R63" s="141"/>
    </row>
    <row r="64" spans="1:18" s="13" customFormat="1" ht="45" x14ac:dyDescent="0.25">
      <c r="A64" s="10"/>
      <c r="B64" s="62" t="s">
        <v>120</v>
      </c>
      <c r="C64" s="181" t="s">
        <v>304</v>
      </c>
      <c r="D64" s="182" t="s">
        <v>474</v>
      </c>
      <c r="E64" s="183" t="s">
        <v>18</v>
      </c>
      <c r="F64" s="73" t="s">
        <v>334</v>
      </c>
      <c r="G64" s="184" t="s">
        <v>116</v>
      </c>
      <c r="H64" s="181">
        <v>19</v>
      </c>
      <c r="I64" s="192">
        <v>9</v>
      </c>
      <c r="J64" s="98">
        <v>10</v>
      </c>
      <c r="K64" s="77">
        <v>10047</v>
      </c>
      <c r="L64" s="77">
        <v>10047</v>
      </c>
      <c r="M64" s="78">
        <f t="shared" si="1"/>
        <v>0</v>
      </c>
      <c r="N64" s="100">
        <v>12</v>
      </c>
      <c r="O64" s="186">
        <v>45904</v>
      </c>
      <c r="P64" s="186">
        <v>45904</v>
      </c>
      <c r="Q64" s="188">
        <f t="shared" si="2"/>
        <v>0</v>
      </c>
    </row>
    <row r="65" spans="1:18" s="13" customFormat="1" ht="15.75" x14ac:dyDescent="0.25">
      <c r="A65" s="10"/>
      <c r="B65" s="30" t="s">
        <v>134</v>
      </c>
      <c r="C65" s="181" t="s">
        <v>17</v>
      </c>
      <c r="D65" s="182"/>
      <c r="E65" s="183" t="s">
        <v>20</v>
      </c>
      <c r="F65" s="73" t="s">
        <v>349</v>
      </c>
      <c r="G65" s="74" t="s">
        <v>112</v>
      </c>
      <c r="H65" s="75">
        <v>11</v>
      </c>
      <c r="I65" s="76">
        <v>8</v>
      </c>
      <c r="J65" s="96">
        <f>1+4+1+1</f>
        <v>7</v>
      </c>
      <c r="K65" s="77">
        <f>7301.48+1473.89+1911.09+1690.48</f>
        <v>12376.939999999999</v>
      </c>
      <c r="L65" s="77">
        <f>7301.48+1473.89+1911.09+1690.48</f>
        <v>12376.939999999999</v>
      </c>
      <c r="M65" s="78">
        <f>K65-L65</f>
        <v>0</v>
      </c>
      <c r="N65" s="100">
        <f>4+1+1</f>
        <v>6</v>
      </c>
      <c r="O65" s="81">
        <f>5020.05+3215.31+12312.39+4648.82+32425.98</f>
        <v>57622.55</v>
      </c>
      <c r="P65" s="81">
        <f>5020.05+3215.31+12312.39+4648.82+32425.98</f>
        <v>57622.55</v>
      </c>
      <c r="Q65" s="79">
        <f t="shared" si="2"/>
        <v>0</v>
      </c>
      <c r="R65" s="141"/>
    </row>
    <row r="66" spans="1:18" s="13" customFormat="1" ht="15.75" x14ac:dyDescent="0.25">
      <c r="A66" s="10"/>
      <c r="B66" s="30" t="s">
        <v>134</v>
      </c>
      <c r="C66" s="181" t="s">
        <v>17</v>
      </c>
      <c r="D66" s="182"/>
      <c r="E66" s="183" t="s">
        <v>20</v>
      </c>
      <c r="F66" s="73" t="s">
        <v>456</v>
      </c>
      <c r="G66" s="184" t="s">
        <v>114</v>
      </c>
      <c r="H66" s="181">
        <v>13</v>
      </c>
      <c r="I66" s="185">
        <v>3</v>
      </c>
      <c r="J66" s="190">
        <v>3</v>
      </c>
      <c r="K66" s="77">
        <v>3688.32</v>
      </c>
      <c r="L66" s="77">
        <v>2535.7199999999998</v>
      </c>
      <c r="M66" s="78">
        <f t="shared" si="1"/>
        <v>1152.6000000000004</v>
      </c>
      <c r="N66" s="100">
        <v>25</v>
      </c>
      <c r="O66" s="186">
        <v>54903.199999999997</v>
      </c>
      <c r="P66" s="186">
        <v>50888.31</v>
      </c>
      <c r="Q66" s="188">
        <f t="shared" si="2"/>
        <v>4014.8899999999994</v>
      </c>
    </row>
    <row r="67" spans="1:18" s="13" customFormat="1" ht="15.75" x14ac:dyDescent="0.25">
      <c r="A67" s="10"/>
      <c r="B67" s="62" t="s">
        <v>48</v>
      </c>
      <c r="C67" s="181" t="s">
        <v>17</v>
      </c>
      <c r="D67" s="182"/>
      <c r="E67" s="183" t="s">
        <v>20</v>
      </c>
      <c r="F67" s="73" t="s">
        <v>350</v>
      </c>
      <c r="G67" s="74" t="s">
        <v>112</v>
      </c>
      <c r="H67" s="75">
        <v>10</v>
      </c>
      <c r="I67" s="76">
        <v>7</v>
      </c>
      <c r="J67" s="96">
        <f>1+1+2</f>
        <v>4</v>
      </c>
      <c r="K67" s="77">
        <f>4805.96+2585.78+3065.92+2588.55</f>
        <v>13046.21</v>
      </c>
      <c r="L67" s="77">
        <f>4805.96+2585.78+3065.92+2588.55</f>
        <v>13046.21</v>
      </c>
      <c r="M67" s="78">
        <f t="shared" si="1"/>
        <v>0</v>
      </c>
      <c r="N67" s="100">
        <f>2+1+2</f>
        <v>5</v>
      </c>
      <c r="O67" s="81">
        <f>23174.33+2535.72+11633.02+6993.42+20756.4</f>
        <v>65092.890000000007</v>
      </c>
      <c r="P67" s="81">
        <f>23174.33+2535.72+11633.02+6993.42+20756.4</f>
        <v>65092.890000000007</v>
      </c>
      <c r="Q67" s="79">
        <f t="shared" si="2"/>
        <v>0</v>
      </c>
      <c r="R67" s="141"/>
    </row>
    <row r="68" spans="1:18" s="13" customFormat="1" ht="15.75" x14ac:dyDescent="0.25">
      <c r="A68" s="10"/>
      <c r="B68" s="62" t="s">
        <v>49</v>
      </c>
      <c r="C68" s="181" t="s">
        <v>17</v>
      </c>
      <c r="D68" s="182"/>
      <c r="E68" s="183" t="s">
        <v>50</v>
      </c>
      <c r="F68" s="73" t="s">
        <v>351</v>
      </c>
      <c r="G68" s="74" t="s">
        <v>112</v>
      </c>
      <c r="H68" s="75">
        <v>20</v>
      </c>
      <c r="I68" s="76">
        <v>5</v>
      </c>
      <c r="J68" s="96">
        <f>1+4</f>
        <v>5</v>
      </c>
      <c r="K68" s="77">
        <f>525.65+1267.86+6544.72</f>
        <v>8338.23</v>
      </c>
      <c r="L68" s="77">
        <f>525.65+1267.86+6544.72</f>
        <v>8338.23</v>
      </c>
      <c r="M68" s="78">
        <f t="shared" si="1"/>
        <v>0</v>
      </c>
      <c r="N68" s="100">
        <f>5+1+3</f>
        <v>9</v>
      </c>
      <c r="O68" s="81">
        <f>7374+1806.93+7275.53+4666.9+2684.03</f>
        <v>23807.39</v>
      </c>
      <c r="P68" s="81">
        <f>7374+1806.93+7275.53+4666.9+2684.03</f>
        <v>23807.39</v>
      </c>
      <c r="Q68" s="188">
        <f t="shared" si="2"/>
        <v>0</v>
      </c>
      <c r="R68" s="141"/>
    </row>
    <row r="69" spans="1:18" s="13" customFormat="1" ht="15.75" x14ac:dyDescent="0.25">
      <c r="A69" s="10"/>
      <c r="B69" s="62" t="s">
        <v>49</v>
      </c>
      <c r="C69" s="181" t="s">
        <v>17</v>
      </c>
      <c r="D69" s="182"/>
      <c r="E69" s="183" t="s">
        <v>50</v>
      </c>
      <c r="F69" s="73" t="s">
        <v>427</v>
      </c>
      <c r="G69" s="184" t="s">
        <v>115</v>
      </c>
      <c r="H69" s="181">
        <v>10</v>
      </c>
      <c r="I69" s="185">
        <v>2</v>
      </c>
      <c r="J69" s="96">
        <v>2</v>
      </c>
      <c r="K69" s="77">
        <v>4905.53</v>
      </c>
      <c r="L69" s="77">
        <v>4905.53</v>
      </c>
      <c r="M69" s="187">
        <f t="shared" si="1"/>
        <v>0</v>
      </c>
      <c r="N69" s="100">
        <v>8</v>
      </c>
      <c r="O69" s="186">
        <v>11237.9</v>
      </c>
      <c r="P69" s="186">
        <v>11237.9</v>
      </c>
      <c r="Q69" s="79">
        <f t="shared" si="2"/>
        <v>0</v>
      </c>
    </row>
    <row r="70" spans="1:18" s="13" customFormat="1" ht="15.75" x14ac:dyDescent="0.25">
      <c r="A70" s="10"/>
      <c r="B70" s="27" t="s">
        <v>51</v>
      </c>
      <c r="C70" s="181" t="s">
        <v>17</v>
      </c>
      <c r="D70" s="182"/>
      <c r="E70" s="183" t="s">
        <v>20</v>
      </c>
      <c r="F70" s="73" t="s">
        <v>186</v>
      </c>
      <c r="G70" s="74" t="s">
        <v>112</v>
      </c>
      <c r="H70" s="75"/>
      <c r="I70" s="76"/>
      <c r="J70" s="96"/>
      <c r="K70" s="77"/>
      <c r="L70" s="77"/>
      <c r="M70" s="78">
        <f>K70-L70</f>
        <v>0</v>
      </c>
      <c r="N70" s="100">
        <f>1</f>
        <v>1</v>
      </c>
      <c r="O70" s="81">
        <v>2451.87</v>
      </c>
      <c r="P70" s="81">
        <v>2451.87</v>
      </c>
      <c r="Q70" s="188">
        <f t="shared" si="2"/>
        <v>0</v>
      </c>
      <c r="R70" s="141"/>
    </row>
    <row r="71" spans="1:18" s="13" customFormat="1" ht="15.75" x14ac:dyDescent="0.25">
      <c r="A71" s="10"/>
      <c r="B71" s="27" t="s">
        <v>51</v>
      </c>
      <c r="C71" s="181" t="s">
        <v>17</v>
      </c>
      <c r="D71" s="182"/>
      <c r="E71" s="183" t="s">
        <v>20</v>
      </c>
      <c r="F71" s="73" t="s">
        <v>276</v>
      </c>
      <c r="G71" s="184" t="s">
        <v>114</v>
      </c>
      <c r="H71" s="181"/>
      <c r="I71" s="185"/>
      <c r="J71" s="190"/>
      <c r="K71" s="77"/>
      <c r="L71" s="77"/>
      <c r="M71" s="187">
        <f t="shared" si="1"/>
        <v>0</v>
      </c>
      <c r="N71" s="100">
        <v>3</v>
      </c>
      <c r="O71" s="186">
        <v>6763.6</v>
      </c>
      <c r="P71" s="186">
        <v>6763.6</v>
      </c>
      <c r="Q71" s="188">
        <f t="shared" si="2"/>
        <v>0</v>
      </c>
    </row>
    <row r="72" spans="1:18" s="13" customFormat="1" ht="15.75" x14ac:dyDescent="0.25">
      <c r="A72" s="10"/>
      <c r="B72" s="62" t="s">
        <v>52</v>
      </c>
      <c r="C72" s="181" t="s">
        <v>17</v>
      </c>
      <c r="D72" s="182"/>
      <c r="E72" s="183" t="s">
        <v>20</v>
      </c>
      <c r="F72" s="73" t="s">
        <v>352</v>
      </c>
      <c r="G72" s="74" t="s">
        <v>112</v>
      </c>
      <c r="H72" s="75">
        <v>8</v>
      </c>
      <c r="I72" s="76">
        <v>3</v>
      </c>
      <c r="J72" s="96">
        <f>1+1+1+1</f>
        <v>4</v>
      </c>
      <c r="K72" s="77">
        <f>10714.2+2747.14</f>
        <v>13461.34</v>
      </c>
      <c r="L72" s="77">
        <f>10714.2+2747.14</f>
        <v>13461.34</v>
      </c>
      <c r="M72" s="78">
        <f>K72-L72</f>
        <v>0</v>
      </c>
      <c r="N72" s="100">
        <f>4+3+1+1+2+3</f>
        <v>14</v>
      </c>
      <c r="O72" s="81">
        <f>5977.15+48296.91+7596.86+1061.83+8902.9</f>
        <v>71835.650000000009</v>
      </c>
      <c r="P72" s="81">
        <f>5977.15+48296.91+7596.86+1061.83+8902.9</f>
        <v>71835.650000000009</v>
      </c>
      <c r="Q72" s="188">
        <f t="shared" si="2"/>
        <v>0</v>
      </c>
      <c r="R72" s="141"/>
    </row>
    <row r="73" spans="1:18" s="13" customFormat="1" ht="15.75" x14ac:dyDescent="0.25">
      <c r="A73" s="10"/>
      <c r="B73" s="62" t="s">
        <v>52</v>
      </c>
      <c r="C73" s="181" t="s">
        <v>17</v>
      </c>
      <c r="D73" s="182"/>
      <c r="E73" s="183" t="s">
        <v>20</v>
      </c>
      <c r="F73" s="73" t="s">
        <v>457</v>
      </c>
      <c r="G73" s="184" t="s">
        <v>114</v>
      </c>
      <c r="H73" s="181">
        <v>8</v>
      </c>
      <c r="I73" s="185">
        <v>2</v>
      </c>
      <c r="J73" s="190">
        <v>2</v>
      </c>
      <c r="K73" s="77">
        <v>1152.5999999999999</v>
      </c>
      <c r="L73" s="77">
        <v>1152.5999999999999</v>
      </c>
      <c r="M73" s="187">
        <f t="shared" si="1"/>
        <v>0</v>
      </c>
      <c r="N73" s="100">
        <v>18</v>
      </c>
      <c r="O73" s="186">
        <v>27349.86</v>
      </c>
      <c r="P73" s="186">
        <v>27349.86</v>
      </c>
      <c r="Q73" s="188">
        <f t="shared" si="2"/>
        <v>0</v>
      </c>
    </row>
    <row r="74" spans="1:18" s="13" customFormat="1" ht="15.75" x14ac:dyDescent="0.25">
      <c r="A74" s="10"/>
      <c r="B74" s="27" t="s">
        <v>53</v>
      </c>
      <c r="C74" s="181" t="s">
        <v>17</v>
      </c>
      <c r="D74" s="182"/>
      <c r="E74" s="183" t="s">
        <v>20</v>
      </c>
      <c r="F74" s="73" t="s">
        <v>353</v>
      </c>
      <c r="G74" s="74" t="s">
        <v>112</v>
      </c>
      <c r="H74" s="75">
        <v>7</v>
      </c>
      <c r="I74" s="76">
        <v>6</v>
      </c>
      <c r="J74" s="96">
        <f>2+2+2</f>
        <v>6</v>
      </c>
      <c r="K74" s="77">
        <f>3655.66+6862.24</f>
        <v>10517.9</v>
      </c>
      <c r="L74" s="77">
        <f>3655.66+6862.24</f>
        <v>10517.9</v>
      </c>
      <c r="M74" s="78">
        <f t="shared" si="1"/>
        <v>0</v>
      </c>
      <c r="N74" s="100">
        <f>1+2+2+1+1</f>
        <v>7</v>
      </c>
      <c r="O74" s="81">
        <f>1743.3+3921.71+422.62</f>
        <v>6087.63</v>
      </c>
      <c r="P74" s="81">
        <f>422.62+1743.3+3921.71</f>
        <v>6087.63</v>
      </c>
      <c r="Q74" s="188">
        <f t="shared" si="2"/>
        <v>0</v>
      </c>
      <c r="R74" s="141"/>
    </row>
    <row r="75" spans="1:18" s="13" customFormat="1" ht="15.75" x14ac:dyDescent="0.25">
      <c r="A75" s="10"/>
      <c r="B75" s="27" t="s">
        <v>149</v>
      </c>
      <c r="C75" s="181" t="s">
        <v>17</v>
      </c>
      <c r="D75" s="182"/>
      <c r="E75" s="183" t="s">
        <v>383</v>
      </c>
      <c r="F75" s="73" t="s">
        <v>354</v>
      </c>
      <c r="G75" s="74" t="s">
        <v>112</v>
      </c>
      <c r="H75" s="75">
        <v>27</v>
      </c>
      <c r="I75" s="76"/>
      <c r="J75" s="96"/>
      <c r="K75" s="77"/>
      <c r="L75" s="77"/>
      <c r="M75" s="78">
        <f t="shared" si="1"/>
        <v>0</v>
      </c>
      <c r="N75" s="100">
        <f>2+2</f>
        <v>4</v>
      </c>
      <c r="O75" s="81">
        <f>3676.8+3431.65</f>
        <v>7108.4500000000007</v>
      </c>
      <c r="P75" s="81">
        <f>3676.8+3431.65</f>
        <v>7108.4500000000007</v>
      </c>
      <c r="Q75" s="79">
        <f t="shared" si="2"/>
        <v>0</v>
      </c>
      <c r="R75" s="141"/>
    </row>
    <row r="76" spans="1:18" s="13" customFormat="1" ht="15.75" x14ac:dyDescent="0.25">
      <c r="A76" s="10"/>
      <c r="B76" s="27" t="s">
        <v>149</v>
      </c>
      <c r="C76" s="181" t="s">
        <v>17</v>
      </c>
      <c r="D76" s="182"/>
      <c r="E76" s="183" t="s">
        <v>383</v>
      </c>
      <c r="F76" s="73" t="s">
        <v>438</v>
      </c>
      <c r="G76" s="184" t="s">
        <v>118</v>
      </c>
      <c r="H76" s="181">
        <v>4</v>
      </c>
      <c r="I76" s="192"/>
      <c r="J76" s="190"/>
      <c r="K76" s="193"/>
      <c r="L76" s="193"/>
      <c r="M76" s="78">
        <f t="shared" si="1"/>
        <v>0</v>
      </c>
      <c r="N76" s="114">
        <v>7</v>
      </c>
      <c r="O76" s="186">
        <v>9835.52</v>
      </c>
      <c r="P76" s="186">
        <v>4994.6000000000004</v>
      </c>
      <c r="Q76" s="188">
        <f t="shared" si="2"/>
        <v>4840.92</v>
      </c>
    </row>
    <row r="77" spans="1:18" s="13" customFormat="1" ht="15.75" x14ac:dyDescent="0.25">
      <c r="A77" s="10"/>
      <c r="B77" s="62" t="s">
        <v>107</v>
      </c>
      <c r="C77" s="181" t="s">
        <v>17</v>
      </c>
      <c r="D77" s="182"/>
      <c r="E77" s="194" t="s">
        <v>20</v>
      </c>
      <c r="F77" s="73" t="s">
        <v>355</v>
      </c>
      <c r="G77" s="74" t="s">
        <v>112</v>
      </c>
      <c r="H77" s="75">
        <v>9</v>
      </c>
      <c r="I77" s="76">
        <v>2</v>
      </c>
      <c r="J77" s="96">
        <f>1+3</f>
        <v>4</v>
      </c>
      <c r="K77" s="77">
        <f>666.63+7071.2+5333.38+13316.37</f>
        <v>26387.58</v>
      </c>
      <c r="L77" s="77">
        <f>666.63+7071.2+5333.38+13316.37</f>
        <v>26387.58</v>
      </c>
      <c r="M77" s="78">
        <f t="shared" si="1"/>
        <v>0</v>
      </c>
      <c r="N77" s="100">
        <f>2+6+1+1</f>
        <v>10</v>
      </c>
      <c r="O77" s="81">
        <f>7612.92+18804.48+9163.33+3260.98+6297.63</f>
        <v>45139.340000000004</v>
      </c>
      <c r="P77" s="81">
        <f>7612.92+18804.48+9163.33+3260.98+6297.63</f>
        <v>45139.340000000004</v>
      </c>
      <c r="Q77" s="79">
        <f t="shared" si="2"/>
        <v>0</v>
      </c>
      <c r="R77" s="141"/>
    </row>
    <row r="78" spans="1:18" s="13" customFormat="1" ht="15.75" x14ac:dyDescent="0.25">
      <c r="A78" s="10"/>
      <c r="B78" s="30" t="s">
        <v>54</v>
      </c>
      <c r="C78" s="181" t="s">
        <v>17</v>
      </c>
      <c r="D78" s="182"/>
      <c r="E78" s="194" t="s">
        <v>20</v>
      </c>
      <c r="F78" s="73" t="s">
        <v>356</v>
      </c>
      <c r="G78" s="74" t="s">
        <v>112</v>
      </c>
      <c r="H78" s="75"/>
      <c r="I78" s="76"/>
      <c r="J78" s="96"/>
      <c r="K78" s="77"/>
      <c r="L78" s="77"/>
      <c r="M78" s="78">
        <f t="shared" si="1"/>
        <v>0</v>
      </c>
      <c r="N78" s="100">
        <f>4+1+1</f>
        <v>6</v>
      </c>
      <c r="O78" s="81">
        <f>17895.28+17443.73+5473.41</f>
        <v>40812.42</v>
      </c>
      <c r="P78" s="81">
        <f>17895.28+17443.73+5473.41</f>
        <v>40812.42</v>
      </c>
      <c r="Q78" s="79">
        <f t="shared" si="2"/>
        <v>0</v>
      </c>
      <c r="R78" s="141"/>
    </row>
    <row r="79" spans="1:18" s="13" customFormat="1" ht="30" x14ac:dyDescent="0.25">
      <c r="A79" s="10"/>
      <c r="B79" s="27" t="s">
        <v>55</v>
      </c>
      <c r="C79" s="181" t="s">
        <v>304</v>
      </c>
      <c r="D79" s="182" t="s">
        <v>387</v>
      </c>
      <c r="E79" s="183" t="s">
        <v>20</v>
      </c>
      <c r="F79" s="73" t="s">
        <v>357</v>
      </c>
      <c r="G79" s="74" t="s">
        <v>112</v>
      </c>
      <c r="H79" s="75">
        <v>13</v>
      </c>
      <c r="I79" s="76">
        <v>9</v>
      </c>
      <c r="J79" s="96">
        <f>3+1</f>
        <v>4</v>
      </c>
      <c r="K79" s="77">
        <f>1267.86+6667.8+5756.15</f>
        <v>13691.81</v>
      </c>
      <c r="L79" s="77">
        <f>1267.86+6667.8+5756.15</f>
        <v>13691.81</v>
      </c>
      <c r="M79" s="78">
        <f t="shared" si="1"/>
        <v>0</v>
      </c>
      <c r="N79" s="100">
        <f>2+1+2+2+2+1</f>
        <v>10</v>
      </c>
      <c r="O79" s="81">
        <f>34854.19+2113.1+6430.67+5463.42+39145.22+2535.72</f>
        <v>90542.32</v>
      </c>
      <c r="P79" s="81">
        <f>34854.19+2113.1+6430.67+5463.42+39145.22+2535.72</f>
        <v>90542.32</v>
      </c>
      <c r="Q79" s="188">
        <f t="shared" si="2"/>
        <v>0</v>
      </c>
      <c r="R79" s="141"/>
    </row>
    <row r="80" spans="1:18" s="13" customFormat="1" ht="30" x14ac:dyDescent="0.25">
      <c r="A80" s="10"/>
      <c r="B80" s="62" t="s">
        <v>56</v>
      </c>
      <c r="C80" s="181" t="s">
        <v>17</v>
      </c>
      <c r="D80" s="182" t="s">
        <v>386</v>
      </c>
      <c r="E80" s="183" t="s">
        <v>18</v>
      </c>
      <c r="F80" s="73" t="s">
        <v>358</v>
      </c>
      <c r="G80" s="74" t="s">
        <v>112</v>
      </c>
      <c r="H80" s="75">
        <v>6</v>
      </c>
      <c r="I80" s="76">
        <v>2</v>
      </c>
      <c r="J80" s="96">
        <f>1+1</f>
        <v>2</v>
      </c>
      <c r="K80" s="77">
        <f>678.11+678.11</f>
        <v>1356.22</v>
      </c>
      <c r="L80" s="77">
        <f>678.11+678.11</f>
        <v>1356.22</v>
      </c>
      <c r="M80" s="78">
        <f t="shared" si="1"/>
        <v>0</v>
      </c>
      <c r="N80" s="100">
        <f>1</f>
        <v>1</v>
      </c>
      <c r="O80" s="81">
        <f>4395.5</f>
        <v>4395.5</v>
      </c>
      <c r="P80" s="81">
        <f>4395.5</f>
        <v>4395.5</v>
      </c>
      <c r="Q80" s="79">
        <f t="shared" si="2"/>
        <v>0</v>
      </c>
      <c r="R80" s="141"/>
    </row>
    <row r="81" spans="1:18" s="13" customFormat="1" ht="30" x14ac:dyDescent="0.25">
      <c r="A81" s="10"/>
      <c r="B81" s="62" t="s">
        <v>56</v>
      </c>
      <c r="C81" s="181" t="s">
        <v>304</v>
      </c>
      <c r="D81" s="182" t="s">
        <v>386</v>
      </c>
      <c r="E81" s="183" t="s">
        <v>18</v>
      </c>
      <c r="F81" s="73" t="s">
        <v>476</v>
      </c>
      <c r="G81" s="184" t="s">
        <v>113</v>
      </c>
      <c r="H81" s="181">
        <v>4</v>
      </c>
      <c r="I81" s="185">
        <v>3</v>
      </c>
      <c r="J81" s="96">
        <v>3</v>
      </c>
      <c r="K81" s="77">
        <v>4745</v>
      </c>
      <c r="L81" s="77">
        <v>4745</v>
      </c>
      <c r="M81" s="78">
        <f t="shared" si="1"/>
        <v>0</v>
      </c>
      <c r="N81" s="100"/>
      <c r="O81" s="186">
        <v>7612</v>
      </c>
      <c r="P81" s="186">
        <v>7612</v>
      </c>
      <c r="Q81" s="188">
        <f t="shared" ref="Q81:Q149" si="3">O81-P81</f>
        <v>0</v>
      </c>
    </row>
    <row r="82" spans="1:18" s="13" customFormat="1" ht="15.75" x14ac:dyDescent="0.25">
      <c r="A82" s="10"/>
      <c r="B82" s="62" t="s">
        <v>156</v>
      </c>
      <c r="C82" s="181" t="s">
        <v>304</v>
      </c>
      <c r="D82" s="182"/>
      <c r="E82" s="183" t="s">
        <v>20</v>
      </c>
      <c r="F82" s="73" t="s">
        <v>359</v>
      </c>
      <c r="G82" s="74" t="s">
        <v>112</v>
      </c>
      <c r="H82" s="75">
        <v>3</v>
      </c>
      <c r="I82" s="76">
        <v>2</v>
      </c>
      <c r="J82" s="96">
        <f>2</f>
        <v>2</v>
      </c>
      <c r="K82" s="77">
        <f>1690.48</f>
        <v>1690.48</v>
      </c>
      <c r="L82" s="77">
        <f>1690.48</f>
        <v>1690.48</v>
      </c>
      <c r="M82" s="78">
        <f t="shared" si="1"/>
        <v>0</v>
      </c>
      <c r="N82" s="100">
        <f>3+1</f>
        <v>4</v>
      </c>
      <c r="O82" s="81">
        <f>5488.54+2398.37+422.62</f>
        <v>8309.5300000000007</v>
      </c>
      <c r="P82" s="81">
        <f>5488.54+2398.37+422.62</f>
        <v>8309.5300000000007</v>
      </c>
      <c r="Q82" s="79">
        <f t="shared" si="3"/>
        <v>0</v>
      </c>
      <c r="R82" s="141"/>
    </row>
    <row r="83" spans="1:18" s="15" customFormat="1" ht="15.75" x14ac:dyDescent="0.25">
      <c r="A83" s="14"/>
      <c r="B83" s="80" t="s">
        <v>57</v>
      </c>
      <c r="C83" s="181" t="s">
        <v>17</v>
      </c>
      <c r="D83" s="182"/>
      <c r="E83" s="183" t="s">
        <v>20</v>
      </c>
      <c r="F83" s="73" t="s">
        <v>360</v>
      </c>
      <c r="G83" s="74" t="s">
        <v>112</v>
      </c>
      <c r="H83" s="75">
        <v>6</v>
      </c>
      <c r="I83" s="76">
        <v>6</v>
      </c>
      <c r="J83" s="96">
        <f>2+1+1+2</f>
        <v>6</v>
      </c>
      <c r="K83" s="77">
        <f>806.82+1728.9+422.62</f>
        <v>2958.34</v>
      </c>
      <c r="L83" s="77">
        <f>806.82+1728.9+422.62</f>
        <v>2958.34</v>
      </c>
      <c r="M83" s="78">
        <f t="shared" si="1"/>
        <v>0</v>
      </c>
      <c r="N83" s="100">
        <f>2+1</f>
        <v>3</v>
      </c>
      <c r="O83" s="81">
        <f>2745.3</f>
        <v>2745.3</v>
      </c>
      <c r="P83" s="81">
        <f>2745.3</f>
        <v>2745.3</v>
      </c>
      <c r="Q83" s="188">
        <f t="shared" si="3"/>
        <v>0</v>
      </c>
      <c r="R83" s="141"/>
    </row>
    <row r="84" spans="1:18" s="15" customFormat="1" ht="15.75" x14ac:dyDescent="0.25">
      <c r="A84" s="14"/>
      <c r="B84" s="80" t="s">
        <v>57</v>
      </c>
      <c r="C84" s="181" t="s">
        <v>17</v>
      </c>
      <c r="D84" s="182"/>
      <c r="E84" s="183" t="s">
        <v>20</v>
      </c>
      <c r="F84" s="73" t="s">
        <v>458</v>
      </c>
      <c r="G84" s="184" t="s">
        <v>114</v>
      </c>
      <c r="H84" s="181">
        <v>28</v>
      </c>
      <c r="I84" s="185">
        <v>3</v>
      </c>
      <c r="J84" s="190">
        <v>3</v>
      </c>
      <c r="K84" s="77">
        <v>3765.16</v>
      </c>
      <c r="L84" s="77">
        <v>3765.16</v>
      </c>
      <c r="M84" s="187">
        <f t="shared" si="1"/>
        <v>0</v>
      </c>
      <c r="N84" s="101">
        <v>16</v>
      </c>
      <c r="O84" s="186">
        <v>27563.23</v>
      </c>
      <c r="P84" s="186">
        <v>27563.23</v>
      </c>
      <c r="Q84" s="188">
        <f t="shared" si="3"/>
        <v>0</v>
      </c>
    </row>
    <row r="85" spans="1:18" s="13" customFormat="1" ht="15.75" x14ac:dyDescent="0.25">
      <c r="A85" s="10"/>
      <c r="B85" s="62" t="s">
        <v>58</v>
      </c>
      <c r="C85" s="181" t="s">
        <v>17</v>
      </c>
      <c r="D85" s="182"/>
      <c r="E85" s="183" t="s">
        <v>20</v>
      </c>
      <c r="F85" s="73" t="s">
        <v>361</v>
      </c>
      <c r="G85" s="74" t="s">
        <v>112</v>
      </c>
      <c r="H85" s="75">
        <v>5</v>
      </c>
      <c r="I85" s="76">
        <v>3</v>
      </c>
      <c r="J85" s="96">
        <f>1+2</f>
        <v>3</v>
      </c>
      <c r="K85" s="77">
        <f>1892.47+3118.94</f>
        <v>5011.41</v>
      </c>
      <c r="L85" s="77">
        <f>1892.47+3118.94</f>
        <v>5011.41</v>
      </c>
      <c r="M85" s="78">
        <f>K85-L85</f>
        <v>0</v>
      </c>
      <c r="N85" s="100">
        <f>1+1+3</f>
        <v>5</v>
      </c>
      <c r="O85" s="81">
        <f>9196.24+2480.78+2954.11+15214.32</f>
        <v>29845.45</v>
      </c>
      <c r="P85" s="81">
        <f>9196.24+2480.78+2954.11+15214.32</f>
        <v>29845.45</v>
      </c>
      <c r="Q85" s="188">
        <f t="shared" si="3"/>
        <v>0</v>
      </c>
      <c r="R85" s="141"/>
    </row>
    <row r="86" spans="1:18" s="13" customFormat="1" ht="15.75" x14ac:dyDescent="0.25">
      <c r="A86" s="10"/>
      <c r="B86" s="62" t="s">
        <v>58</v>
      </c>
      <c r="C86" s="181" t="s">
        <v>17</v>
      </c>
      <c r="D86" s="182"/>
      <c r="E86" s="183" t="s">
        <v>20</v>
      </c>
      <c r="F86" s="73" t="s">
        <v>478</v>
      </c>
      <c r="G86" s="184" t="s">
        <v>114</v>
      </c>
      <c r="H86" s="181">
        <v>15</v>
      </c>
      <c r="I86" s="185">
        <v>2</v>
      </c>
      <c r="J86" s="190">
        <v>2</v>
      </c>
      <c r="K86" s="77"/>
      <c r="L86" s="77"/>
      <c r="M86" s="187">
        <f t="shared" ref="M86:M160" si="4">K86-L86</f>
        <v>0</v>
      </c>
      <c r="N86" s="100">
        <v>21</v>
      </c>
      <c r="O86" s="186">
        <v>54215.77</v>
      </c>
      <c r="P86" s="186">
        <v>54215.77</v>
      </c>
      <c r="Q86" s="188">
        <f t="shared" si="3"/>
        <v>0</v>
      </c>
    </row>
    <row r="87" spans="1:18" s="13" customFormat="1" ht="15.75" x14ac:dyDescent="0.25">
      <c r="A87" s="10"/>
      <c r="B87" s="62" t="s">
        <v>59</v>
      </c>
      <c r="C87" s="181" t="s">
        <v>17</v>
      </c>
      <c r="D87" s="182"/>
      <c r="E87" s="183" t="s">
        <v>20</v>
      </c>
      <c r="F87" s="73" t="s">
        <v>362</v>
      </c>
      <c r="G87" s="74" t="s">
        <v>112</v>
      </c>
      <c r="H87" s="75">
        <v>9</v>
      </c>
      <c r="I87" s="76">
        <v>7</v>
      </c>
      <c r="J87" s="96">
        <f>1+1+1+3+1</f>
        <v>7</v>
      </c>
      <c r="K87" s="77">
        <f>403.41+1431.16+845.24</f>
        <v>2679.8100000000004</v>
      </c>
      <c r="L87" s="77">
        <f>403.41+1431.16+845.24</f>
        <v>2679.8100000000004</v>
      </c>
      <c r="M87" s="78">
        <f>K87-L87</f>
        <v>0</v>
      </c>
      <c r="N87" s="100">
        <f>1+2+2+1+1</f>
        <v>7</v>
      </c>
      <c r="O87" s="81">
        <f>6646.05+1267.86+979.71</f>
        <v>8893.619999999999</v>
      </c>
      <c r="P87" s="81">
        <f>2353.23+5561.68+978.71</f>
        <v>8893.619999999999</v>
      </c>
      <c r="Q87" s="188">
        <f t="shared" si="3"/>
        <v>0</v>
      </c>
      <c r="R87" s="141"/>
    </row>
    <row r="88" spans="1:18" s="13" customFormat="1" ht="15.75" x14ac:dyDescent="0.25">
      <c r="A88" s="10"/>
      <c r="B88" s="62" t="s">
        <v>59</v>
      </c>
      <c r="C88" s="181" t="s">
        <v>17</v>
      </c>
      <c r="D88" s="182"/>
      <c r="E88" s="183" t="s">
        <v>20</v>
      </c>
      <c r="F88" s="73" t="s">
        <v>128</v>
      </c>
      <c r="G88" s="184" t="s">
        <v>114</v>
      </c>
      <c r="H88" s="181"/>
      <c r="I88" s="185"/>
      <c r="J88" s="190"/>
      <c r="K88" s="77"/>
      <c r="L88" s="77"/>
      <c r="M88" s="187">
        <f t="shared" si="4"/>
        <v>0</v>
      </c>
      <c r="N88" s="100"/>
      <c r="O88" s="186"/>
      <c r="P88" s="186"/>
      <c r="Q88" s="188">
        <f t="shared" si="3"/>
        <v>0</v>
      </c>
    </row>
    <row r="89" spans="1:18" s="13" customFormat="1" ht="15.75" x14ac:dyDescent="0.25">
      <c r="A89" s="10"/>
      <c r="B89" s="27" t="s">
        <v>60</v>
      </c>
      <c r="C89" s="181" t="s">
        <v>17</v>
      </c>
      <c r="D89" s="182"/>
      <c r="E89" s="183" t="s">
        <v>20</v>
      </c>
      <c r="F89" s="73" t="s">
        <v>364</v>
      </c>
      <c r="G89" s="74" t="s">
        <v>112</v>
      </c>
      <c r="H89" s="75">
        <v>14</v>
      </c>
      <c r="I89" s="76">
        <v>3</v>
      </c>
      <c r="J89" s="96">
        <f>1+1+1</f>
        <v>3</v>
      </c>
      <c r="K89" s="77">
        <f>634.93+893.27</f>
        <v>1528.1999999999998</v>
      </c>
      <c r="L89" s="77">
        <f>634.93+893.27</f>
        <v>1528.1999999999998</v>
      </c>
      <c r="M89" s="78">
        <f>K89-L89</f>
        <v>0</v>
      </c>
      <c r="N89" s="100">
        <f>4+1+3+1</f>
        <v>9</v>
      </c>
      <c r="O89" s="81">
        <f>15124.53+2065.75+8492.52</f>
        <v>25682.799999999999</v>
      </c>
      <c r="P89" s="81">
        <f>15124.53+2065.75+8492.52</f>
        <v>25682.799999999999</v>
      </c>
      <c r="Q89" s="188">
        <f t="shared" si="3"/>
        <v>0</v>
      </c>
      <c r="R89" s="141"/>
    </row>
    <row r="90" spans="1:18" s="13" customFormat="1" ht="15.75" x14ac:dyDescent="0.25">
      <c r="A90" s="10"/>
      <c r="B90" s="27" t="s">
        <v>60</v>
      </c>
      <c r="C90" s="181" t="s">
        <v>17</v>
      </c>
      <c r="D90" s="182"/>
      <c r="E90" s="183" t="s">
        <v>20</v>
      </c>
      <c r="F90" s="73" t="s">
        <v>479</v>
      </c>
      <c r="G90" s="184" t="s">
        <v>114</v>
      </c>
      <c r="H90" s="181">
        <v>6</v>
      </c>
      <c r="I90" s="185">
        <v>1</v>
      </c>
      <c r="J90" s="190">
        <v>1</v>
      </c>
      <c r="K90" s="77"/>
      <c r="L90" s="77"/>
      <c r="M90" s="187">
        <f t="shared" si="4"/>
        <v>0</v>
      </c>
      <c r="N90" s="100">
        <v>7</v>
      </c>
      <c r="O90" s="186">
        <v>10293.5</v>
      </c>
      <c r="P90" s="186">
        <v>10293.5</v>
      </c>
      <c r="Q90" s="188">
        <f t="shared" si="3"/>
        <v>0</v>
      </c>
    </row>
    <row r="91" spans="1:18" s="13" customFormat="1" ht="15.75" x14ac:dyDescent="0.25">
      <c r="A91" s="10"/>
      <c r="B91" s="27" t="s">
        <v>493</v>
      </c>
      <c r="C91" s="181" t="s">
        <v>17</v>
      </c>
      <c r="D91" s="182"/>
      <c r="E91" s="183" t="s">
        <v>20</v>
      </c>
      <c r="F91" s="73" t="s">
        <v>496</v>
      </c>
      <c r="G91" s="184" t="s">
        <v>112</v>
      </c>
      <c r="H91" s="181">
        <v>8</v>
      </c>
      <c r="I91" s="185">
        <v>5</v>
      </c>
      <c r="J91" s="190">
        <f>3+2+1</f>
        <v>6</v>
      </c>
      <c r="K91" s="77">
        <f>3387.04+3467.41</f>
        <v>6854.45</v>
      </c>
      <c r="L91" s="77">
        <f>3387.04+3467.41</f>
        <v>6854.45</v>
      </c>
      <c r="M91" s="78">
        <f t="shared" si="4"/>
        <v>0</v>
      </c>
      <c r="N91" s="100"/>
      <c r="O91" s="186"/>
      <c r="P91" s="186"/>
      <c r="Q91" s="79"/>
    </row>
    <row r="92" spans="1:18" s="15" customFormat="1" ht="15.75" x14ac:dyDescent="0.25">
      <c r="A92" s="14"/>
      <c r="B92" s="28" t="s">
        <v>61</v>
      </c>
      <c r="C92" s="181" t="s">
        <v>17</v>
      </c>
      <c r="D92" s="182"/>
      <c r="E92" s="183" t="s">
        <v>20</v>
      </c>
      <c r="F92" s="73" t="s">
        <v>363</v>
      </c>
      <c r="G92" s="74" t="s">
        <v>112</v>
      </c>
      <c r="H92" s="75"/>
      <c r="I92" s="76"/>
      <c r="J92" s="96"/>
      <c r="K92" s="77"/>
      <c r="L92" s="77"/>
      <c r="M92" s="78">
        <f t="shared" si="4"/>
        <v>0</v>
      </c>
      <c r="N92" s="100"/>
      <c r="O92" s="81"/>
      <c r="P92" s="81"/>
      <c r="Q92" s="188">
        <f t="shared" si="3"/>
        <v>0</v>
      </c>
      <c r="R92" s="141"/>
    </row>
    <row r="93" spans="1:18" s="15" customFormat="1" ht="15.75" x14ac:dyDescent="0.25">
      <c r="A93" s="14"/>
      <c r="B93" s="28" t="s">
        <v>61</v>
      </c>
      <c r="C93" s="181" t="s">
        <v>17</v>
      </c>
      <c r="D93" s="182"/>
      <c r="E93" s="183" t="s">
        <v>20</v>
      </c>
      <c r="F93" s="73" t="s">
        <v>121</v>
      </c>
      <c r="G93" s="184" t="s">
        <v>114</v>
      </c>
      <c r="H93" s="181"/>
      <c r="I93" s="185"/>
      <c r="J93" s="190"/>
      <c r="K93" s="77"/>
      <c r="L93" s="77"/>
      <c r="M93" s="187">
        <f t="shared" si="4"/>
        <v>0</v>
      </c>
      <c r="N93" s="101"/>
      <c r="O93" s="186"/>
      <c r="P93" s="186"/>
      <c r="Q93" s="188">
        <f t="shared" si="3"/>
        <v>0</v>
      </c>
    </row>
    <row r="94" spans="1:18" s="15" customFormat="1" ht="15.75" x14ac:dyDescent="0.25">
      <c r="A94" s="14"/>
      <c r="B94" s="200" t="s">
        <v>306</v>
      </c>
      <c r="C94" s="181" t="s">
        <v>17</v>
      </c>
      <c r="D94" s="182"/>
      <c r="E94" s="183" t="s">
        <v>35</v>
      </c>
      <c r="F94" s="73" t="s">
        <v>365</v>
      </c>
      <c r="G94" s="184" t="s">
        <v>112</v>
      </c>
      <c r="H94" s="181">
        <v>23</v>
      </c>
      <c r="I94" s="185">
        <v>15</v>
      </c>
      <c r="J94" s="190">
        <f>1+2+1+3+3+2+3</f>
        <v>15</v>
      </c>
      <c r="K94" s="77">
        <f>1045.98+2658.7+35696.14+4892.46+1024.04+2384.53+10793.24+5320.79</f>
        <v>63815.88</v>
      </c>
      <c r="L94" s="77">
        <f>1045.98+2658.7+35696.14+4892.46+1024.04+2384.53+10793.24+5320.79</f>
        <v>63815.88</v>
      </c>
      <c r="M94" s="78">
        <f>K94-L94</f>
        <v>0</v>
      </c>
      <c r="N94" s="114">
        <f>7+2+2+2+1</f>
        <v>14</v>
      </c>
      <c r="O94" s="186">
        <f>2313.84+6162.57+2330.32+1690.48+3706.14+3107.65</f>
        <v>19311</v>
      </c>
      <c r="P94" s="186">
        <f>2313.84+6162.57+2330.32+1690.48+3706.14+3107.65</f>
        <v>19311</v>
      </c>
      <c r="Q94" s="188">
        <f t="shared" si="3"/>
        <v>0</v>
      </c>
      <c r="R94" s="141"/>
    </row>
    <row r="95" spans="1:18" s="13" customFormat="1" ht="15.75" x14ac:dyDescent="0.25">
      <c r="A95" s="10"/>
      <c r="B95" s="62" t="s">
        <v>306</v>
      </c>
      <c r="C95" s="181" t="s">
        <v>17</v>
      </c>
      <c r="D95" s="182"/>
      <c r="E95" s="183" t="s">
        <v>27</v>
      </c>
      <c r="F95" s="73" t="s">
        <v>421</v>
      </c>
      <c r="G95" s="184" t="s">
        <v>117</v>
      </c>
      <c r="H95" s="181">
        <v>2</v>
      </c>
      <c r="I95" s="185"/>
      <c r="J95" s="96"/>
      <c r="K95" s="77"/>
      <c r="L95" s="77"/>
      <c r="M95" s="78">
        <f>K95-L95</f>
        <v>0</v>
      </c>
      <c r="N95" s="100"/>
      <c r="O95" s="77"/>
      <c r="P95" s="77"/>
      <c r="Q95" s="79">
        <f>O95-P95</f>
        <v>0</v>
      </c>
    </row>
    <row r="96" spans="1:18" s="13" customFormat="1" ht="15.75" x14ac:dyDescent="0.25">
      <c r="A96" s="10"/>
      <c r="B96" s="27" t="s">
        <v>62</v>
      </c>
      <c r="C96" s="181" t="s">
        <v>17</v>
      </c>
      <c r="D96" s="182"/>
      <c r="E96" s="183" t="s">
        <v>35</v>
      </c>
      <c r="F96" s="73" t="s">
        <v>366</v>
      </c>
      <c r="G96" s="74" t="s">
        <v>112</v>
      </c>
      <c r="H96" s="75">
        <v>13</v>
      </c>
      <c r="I96" s="76">
        <v>8</v>
      </c>
      <c r="J96" s="96">
        <f>1+3+1+1</f>
        <v>6</v>
      </c>
      <c r="K96" s="77">
        <f>3613.4+1872.01+1394.65</f>
        <v>6880.0599999999995</v>
      </c>
      <c r="L96" s="77">
        <f>3613.4+1872.01+1394.65</f>
        <v>6880.0599999999995</v>
      </c>
      <c r="M96" s="78">
        <f>K96-L96</f>
        <v>0</v>
      </c>
      <c r="N96" s="100">
        <f>6+2+1+2+1</f>
        <v>12</v>
      </c>
      <c r="O96" s="81">
        <f>19511.33+1270.93+3979.74+2500.85+8530.18+845.24</f>
        <v>36638.269999999997</v>
      </c>
      <c r="P96" s="81">
        <f>19511.33+1270.93+3979.74+2500.85+8530.18+845.24</f>
        <v>36638.269999999997</v>
      </c>
      <c r="Q96" s="79">
        <f t="shared" si="3"/>
        <v>0</v>
      </c>
      <c r="R96" s="141"/>
    </row>
    <row r="97" spans="1:18" s="13" customFormat="1" ht="15.75" x14ac:dyDescent="0.25">
      <c r="A97" s="10"/>
      <c r="B97" s="27" t="s">
        <v>62</v>
      </c>
      <c r="C97" s="181" t="s">
        <v>17</v>
      </c>
      <c r="D97" s="182"/>
      <c r="E97" s="183" t="s">
        <v>35</v>
      </c>
      <c r="F97" s="73" t="s">
        <v>428</v>
      </c>
      <c r="G97" s="184" t="s">
        <v>117</v>
      </c>
      <c r="H97" s="181">
        <v>1</v>
      </c>
      <c r="I97" s="185"/>
      <c r="J97" s="96"/>
      <c r="K97" s="77"/>
      <c r="L97" s="77"/>
      <c r="M97" s="78">
        <f t="shared" si="4"/>
        <v>0</v>
      </c>
      <c r="N97" s="100">
        <v>9</v>
      </c>
      <c r="O97" s="186">
        <v>22788.1</v>
      </c>
      <c r="P97" s="186">
        <v>22788.1</v>
      </c>
      <c r="Q97" s="188">
        <f t="shared" si="3"/>
        <v>0</v>
      </c>
    </row>
    <row r="98" spans="1:18" s="13" customFormat="1" ht="15.75" x14ac:dyDescent="0.25">
      <c r="A98" s="10"/>
      <c r="B98" s="27" t="s">
        <v>63</v>
      </c>
      <c r="C98" s="181" t="s">
        <v>64</v>
      </c>
      <c r="D98" s="182" t="s">
        <v>65</v>
      </c>
      <c r="E98" s="183" t="s">
        <v>20</v>
      </c>
      <c r="F98" s="73" t="s">
        <v>480</v>
      </c>
      <c r="G98" s="184" t="s">
        <v>114</v>
      </c>
      <c r="H98" s="181"/>
      <c r="I98" s="185"/>
      <c r="J98" s="190"/>
      <c r="K98" s="77"/>
      <c r="L98" s="77"/>
      <c r="M98" s="187">
        <f t="shared" si="4"/>
        <v>0</v>
      </c>
      <c r="N98" s="100"/>
      <c r="O98" s="186"/>
      <c r="P98" s="186"/>
      <c r="Q98" s="188">
        <f t="shared" si="3"/>
        <v>0</v>
      </c>
    </row>
    <row r="99" spans="1:18" s="13" customFormat="1" ht="15.75" x14ac:dyDescent="0.25">
      <c r="A99" s="10"/>
      <c r="B99" s="27" t="s">
        <v>155</v>
      </c>
      <c r="C99" s="181" t="s">
        <v>17</v>
      </c>
      <c r="D99" s="182"/>
      <c r="E99" s="183" t="s">
        <v>20</v>
      </c>
      <c r="F99" s="73" t="s">
        <v>367</v>
      </c>
      <c r="G99" s="74" t="s">
        <v>112</v>
      </c>
      <c r="H99" s="75">
        <v>9</v>
      </c>
      <c r="I99" s="82">
        <v>3</v>
      </c>
      <c r="J99" s="96">
        <f>1+2</f>
        <v>3</v>
      </c>
      <c r="K99" s="77">
        <f>3117.56+2266.78</f>
        <v>5384.34</v>
      </c>
      <c r="L99" s="77">
        <f>3117.56+2266.78</f>
        <v>5384.34</v>
      </c>
      <c r="M99" s="78">
        <f>K99-L99</f>
        <v>0</v>
      </c>
      <c r="N99" s="100">
        <f>1+1+1</f>
        <v>3</v>
      </c>
      <c r="O99" s="81">
        <f>1798.06+2123.67</f>
        <v>3921.73</v>
      </c>
      <c r="P99" s="81">
        <f>1798.06+2123.67</f>
        <v>3921.73</v>
      </c>
      <c r="Q99" s="188">
        <f t="shared" si="3"/>
        <v>0</v>
      </c>
      <c r="R99" s="141"/>
    </row>
    <row r="100" spans="1:18" s="13" customFormat="1" ht="15.75" x14ac:dyDescent="0.25">
      <c r="A100" s="10"/>
      <c r="B100" s="27" t="s">
        <v>155</v>
      </c>
      <c r="C100" s="181" t="s">
        <v>17</v>
      </c>
      <c r="D100" s="182"/>
      <c r="E100" s="183" t="s">
        <v>20</v>
      </c>
      <c r="F100" s="73" t="s">
        <v>459</v>
      </c>
      <c r="G100" s="184" t="s">
        <v>114</v>
      </c>
      <c r="H100" s="181">
        <v>7</v>
      </c>
      <c r="I100" s="185">
        <v>3</v>
      </c>
      <c r="J100" s="190">
        <v>3</v>
      </c>
      <c r="K100" s="77"/>
      <c r="L100" s="77"/>
      <c r="M100" s="187">
        <f t="shared" si="4"/>
        <v>0</v>
      </c>
      <c r="N100" s="100">
        <v>13</v>
      </c>
      <c r="O100" s="186">
        <v>27266.37</v>
      </c>
      <c r="P100" s="186">
        <v>27266.37</v>
      </c>
      <c r="Q100" s="188">
        <f t="shared" si="3"/>
        <v>0</v>
      </c>
    </row>
    <row r="101" spans="1:18" s="13" customFormat="1" ht="15.75" x14ac:dyDescent="0.25">
      <c r="A101" s="10"/>
      <c r="B101" s="30" t="s">
        <v>66</v>
      </c>
      <c r="C101" s="181" t="s">
        <v>17</v>
      </c>
      <c r="D101" s="182"/>
      <c r="E101" s="183" t="s">
        <v>21</v>
      </c>
      <c r="F101" s="73" t="s">
        <v>368</v>
      </c>
      <c r="G101" s="74" t="s">
        <v>112</v>
      </c>
      <c r="H101" s="75">
        <v>16</v>
      </c>
      <c r="I101" s="76">
        <v>13</v>
      </c>
      <c r="J101" s="96">
        <f>1+3+2+3+2+1+2</f>
        <v>14</v>
      </c>
      <c r="K101" s="77">
        <f>1045.98+4309.04+3820.12+1872.01+4253.49+3044.79+1191.19</f>
        <v>19536.62</v>
      </c>
      <c r="L101" s="77">
        <f>1045.98+4309.04+3820.12+1872.01+4253.49+3044.79+1191.19</f>
        <v>19536.62</v>
      </c>
      <c r="M101" s="78">
        <f>K101-L101</f>
        <v>0</v>
      </c>
      <c r="N101" s="100">
        <f>6+3+8+7+1+1+1+2+1+1+1</f>
        <v>32</v>
      </c>
      <c r="O101" s="81">
        <f>11911.17+23136+18060.17+1977.84+2091.97+19535.65+19124.11+3199.71</f>
        <v>99036.62</v>
      </c>
      <c r="P101" s="81">
        <f>11911.17+23136+18060.17+1977.84+2091.97+19535.65+19124.11+3199.71</f>
        <v>99036.62</v>
      </c>
      <c r="Q101" s="188">
        <f t="shared" si="3"/>
        <v>0</v>
      </c>
      <c r="R101" s="141"/>
    </row>
    <row r="102" spans="1:18" s="13" customFormat="1" ht="15.75" x14ac:dyDescent="0.25">
      <c r="A102" s="10"/>
      <c r="B102" s="30" t="s">
        <v>66</v>
      </c>
      <c r="C102" s="181" t="s">
        <v>17</v>
      </c>
      <c r="D102" s="182"/>
      <c r="E102" s="183" t="s">
        <v>21</v>
      </c>
      <c r="F102" s="73" t="s">
        <v>439</v>
      </c>
      <c r="G102" s="184" t="s">
        <v>118</v>
      </c>
      <c r="H102" s="181">
        <v>6</v>
      </c>
      <c r="I102" s="185">
        <v>1</v>
      </c>
      <c r="J102" s="96">
        <v>1</v>
      </c>
      <c r="K102" s="77">
        <v>1152.5999999999999</v>
      </c>
      <c r="L102" s="77"/>
      <c r="M102" s="187">
        <f t="shared" si="4"/>
        <v>1152.5999999999999</v>
      </c>
      <c r="N102" s="100">
        <v>16</v>
      </c>
      <c r="O102" s="186">
        <v>66871.69</v>
      </c>
      <c r="P102" s="186">
        <v>66871.69</v>
      </c>
      <c r="Q102" s="79">
        <f t="shared" si="3"/>
        <v>0</v>
      </c>
    </row>
    <row r="103" spans="1:18" s="13" customFormat="1" ht="15.75" x14ac:dyDescent="0.25">
      <c r="A103" s="10"/>
      <c r="B103" s="62" t="s">
        <v>137</v>
      </c>
      <c r="C103" s="181" t="s">
        <v>17</v>
      </c>
      <c r="D103" s="182"/>
      <c r="E103" s="194" t="s">
        <v>35</v>
      </c>
      <c r="F103" s="73" t="s">
        <v>369</v>
      </c>
      <c r="G103" s="74" t="s">
        <v>112</v>
      </c>
      <c r="H103" s="75">
        <v>25</v>
      </c>
      <c r="I103" s="76">
        <v>13</v>
      </c>
      <c r="J103" s="96">
        <f>3+3+1+4+1</f>
        <v>12</v>
      </c>
      <c r="K103" s="77">
        <f>504.26+845.24+3380.96+422.62</f>
        <v>5153.08</v>
      </c>
      <c r="L103" s="77">
        <f>504.26+845.24+3380.96+422.62</f>
        <v>5153.08</v>
      </c>
      <c r="M103" s="78">
        <f>K103-L103</f>
        <v>0</v>
      </c>
      <c r="N103" s="100">
        <f>5+1+1+2+1</f>
        <v>10</v>
      </c>
      <c r="O103" s="81">
        <f>2617.36+422.62+3852.18+3380.96</f>
        <v>10273.119999999999</v>
      </c>
      <c r="P103" s="81">
        <f>2617.36+422.62+3852.18+3380.96</f>
        <v>10273.119999999999</v>
      </c>
      <c r="Q103" s="188">
        <f t="shared" si="3"/>
        <v>0</v>
      </c>
      <c r="R103" s="141"/>
    </row>
    <row r="104" spans="1:18" s="13" customFormat="1" ht="15.75" x14ac:dyDescent="0.25">
      <c r="A104" s="10"/>
      <c r="B104" s="62" t="s">
        <v>137</v>
      </c>
      <c r="C104" s="181" t="s">
        <v>17</v>
      </c>
      <c r="D104" s="182"/>
      <c r="E104" s="194" t="s">
        <v>35</v>
      </c>
      <c r="F104" s="73" t="s">
        <v>429</v>
      </c>
      <c r="G104" s="184" t="s">
        <v>117</v>
      </c>
      <c r="H104" s="181">
        <v>2</v>
      </c>
      <c r="I104" s="185">
        <v>1</v>
      </c>
      <c r="J104" s="190">
        <v>1</v>
      </c>
      <c r="K104" s="193">
        <v>1921</v>
      </c>
      <c r="L104" s="193">
        <v>1921</v>
      </c>
      <c r="M104" s="78">
        <f t="shared" si="4"/>
        <v>0</v>
      </c>
      <c r="N104" s="114">
        <v>2</v>
      </c>
      <c r="O104" s="186">
        <v>10565.5</v>
      </c>
      <c r="P104" s="186">
        <v>10565.5</v>
      </c>
      <c r="Q104" s="79">
        <f t="shared" si="3"/>
        <v>0</v>
      </c>
    </row>
    <row r="105" spans="1:18" s="13" customFormat="1" ht="15.75" x14ac:dyDescent="0.25">
      <c r="A105" s="10"/>
      <c r="B105" s="30" t="s">
        <v>67</v>
      </c>
      <c r="C105" s="181" t="s">
        <v>17</v>
      </c>
      <c r="D105" s="182"/>
      <c r="E105" s="194" t="s">
        <v>21</v>
      </c>
      <c r="F105" s="73" t="s">
        <v>370</v>
      </c>
      <c r="G105" s="74" t="s">
        <v>112</v>
      </c>
      <c r="H105" s="75">
        <v>18</v>
      </c>
      <c r="I105" s="76">
        <v>10</v>
      </c>
      <c r="J105" s="96">
        <f>2+1+1+2+1+1+2+2</f>
        <v>12</v>
      </c>
      <c r="K105" s="77">
        <f>3319.85+1198.9+864.45+7235.32+1947.89+5377.75</f>
        <v>19944.16</v>
      </c>
      <c r="L105" s="77">
        <f>3319.85+1198.9+864.45+7235.32+1947.89+5377.75</f>
        <v>19944.16</v>
      </c>
      <c r="M105" s="78">
        <f>K105-L105</f>
        <v>0</v>
      </c>
      <c r="N105" s="100">
        <f>4+9+4+4+1+3+1+3+1</f>
        <v>30</v>
      </c>
      <c r="O105" s="81">
        <f>29696.65+38129.03+13567.9+20687.05+2022.79+8145.77+17250.05</f>
        <v>129499.23999999999</v>
      </c>
      <c r="P105" s="81">
        <f>29696.65+38129.03+13567.9+20687.05+2022.79+8145.77+17250.05</f>
        <v>129499.23999999999</v>
      </c>
      <c r="Q105" s="188">
        <f t="shared" si="3"/>
        <v>0</v>
      </c>
      <c r="R105" s="141"/>
    </row>
    <row r="106" spans="1:18" s="13" customFormat="1" ht="15.75" x14ac:dyDescent="0.25">
      <c r="A106" s="10"/>
      <c r="B106" s="30" t="s">
        <v>67</v>
      </c>
      <c r="C106" s="181" t="s">
        <v>17</v>
      </c>
      <c r="D106" s="182"/>
      <c r="E106" s="194" t="s">
        <v>21</v>
      </c>
      <c r="F106" s="73" t="s">
        <v>440</v>
      </c>
      <c r="G106" s="184" t="s">
        <v>118</v>
      </c>
      <c r="H106" s="181">
        <v>9</v>
      </c>
      <c r="I106" s="185">
        <v>1</v>
      </c>
      <c r="J106" s="96">
        <v>1</v>
      </c>
      <c r="K106" s="77">
        <v>3476.24</v>
      </c>
      <c r="L106" s="77">
        <v>3476.24</v>
      </c>
      <c r="M106" s="78">
        <f t="shared" si="4"/>
        <v>0</v>
      </c>
      <c r="N106" s="100">
        <v>12</v>
      </c>
      <c r="O106" s="186">
        <v>49443.59</v>
      </c>
      <c r="P106" s="186">
        <v>49443.59</v>
      </c>
      <c r="Q106" s="79">
        <f t="shared" si="3"/>
        <v>0</v>
      </c>
    </row>
    <row r="107" spans="1:18" s="13" customFormat="1" ht="15.75" x14ac:dyDescent="0.25">
      <c r="A107" s="10"/>
      <c r="B107" s="30" t="s">
        <v>68</v>
      </c>
      <c r="C107" s="181" t="s">
        <v>17</v>
      </c>
      <c r="D107" s="182"/>
      <c r="E107" s="194" t="s">
        <v>32</v>
      </c>
      <c r="F107" s="73" t="s">
        <v>371</v>
      </c>
      <c r="G107" s="74" t="s">
        <v>112</v>
      </c>
      <c r="H107" s="75">
        <v>14</v>
      </c>
      <c r="I107" s="76">
        <v>5</v>
      </c>
      <c r="J107" s="96">
        <f>2+1+2</f>
        <v>5</v>
      </c>
      <c r="K107" s="77">
        <f>1128.59+422.62+1152.6+4557.81</f>
        <v>7261.6200000000008</v>
      </c>
      <c r="L107" s="77">
        <f>1128.59+422.62+1152.6+4557.81</f>
        <v>7261.6200000000008</v>
      </c>
      <c r="M107" s="78">
        <f>K107-L107</f>
        <v>0</v>
      </c>
      <c r="N107" s="100">
        <f>6+5+1+4</f>
        <v>16</v>
      </c>
      <c r="O107" s="81">
        <f>7813.73+8523.5+1452.28+12582.19</f>
        <v>30371.699999999997</v>
      </c>
      <c r="P107" s="81">
        <f>7813.73+8523.5+1452.28+12582.19</f>
        <v>30371.699999999997</v>
      </c>
      <c r="Q107" s="188">
        <f t="shared" si="3"/>
        <v>0</v>
      </c>
      <c r="R107" s="141"/>
    </row>
    <row r="108" spans="1:18" s="13" customFormat="1" ht="15.75" x14ac:dyDescent="0.25">
      <c r="A108" s="10"/>
      <c r="B108" s="30" t="s">
        <v>68</v>
      </c>
      <c r="C108" s="181" t="s">
        <v>17</v>
      </c>
      <c r="D108" s="182"/>
      <c r="E108" s="194" t="s">
        <v>32</v>
      </c>
      <c r="F108" s="73" t="s">
        <v>430</v>
      </c>
      <c r="G108" s="195" t="s">
        <v>117</v>
      </c>
      <c r="H108" s="181">
        <v>1</v>
      </c>
      <c r="I108" s="185"/>
      <c r="J108" s="96"/>
      <c r="K108" s="77"/>
      <c r="L108" s="77"/>
      <c r="M108" s="78">
        <f t="shared" si="4"/>
        <v>0</v>
      </c>
      <c r="N108" s="100"/>
      <c r="O108" s="77"/>
      <c r="P108" s="77"/>
      <c r="Q108" s="79">
        <f t="shared" si="3"/>
        <v>0</v>
      </c>
    </row>
    <row r="109" spans="1:18" s="15" customFormat="1" ht="15.75" x14ac:dyDescent="0.25">
      <c r="A109" s="14"/>
      <c r="B109" s="28" t="s">
        <v>69</v>
      </c>
      <c r="C109" s="181" t="s">
        <v>17</v>
      </c>
      <c r="D109" s="182"/>
      <c r="E109" s="183" t="s">
        <v>20</v>
      </c>
      <c r="F109" s="73" t="s">
        <v>372</v>
      </c>
      <c r="G109" s="74" t="s">
        <v>112</v>
      </c>
      <c r="H109" s="75">
        <v>5</v>
      </c>
      <c r="I109" s="76">
        <v>3</v>
      </c>
      <c r="J109" s="96">
        <f>1+1+1+1</f>
        <v>4</v>
      </c>
      <c r="K109" s="77">
        <f>422.62+17390.69+3114.71</f>
        <v>20928.019999999997</v>
      </c>
      <c r="L109" s="77">
        <f>422.62+17390.69+3114.71</f>
        <v>20928.019999999997</v>
      </c>
      <c r="M109" s="78">
        <f t="shared" si="4"/>
        <v>0</v>
      </c>
      <c r="N109" s="100">
        <f>3+2+1+1+1</f>
        <v>8</v>
      </c>
      <c r="O109" s="77">
        <f>7210.31+3647.96+1306.28+1267.86+2697.06</f>
        <v>16129.470000000001</v>
      </c>
      <c r="P109" s="77">
        <f>7210.31+3647.96+1306.28+1267.86+2697.06</f>
        <v>16129.470000000001</v>
      </c>
      <c r="Q109" s="188">
        <f t="shared" si="3"/>
        <v>0</v>
      </c>
      <c r="R109" s="141"/>
    </row>
    <row r="110" spans="1:18" s="15" customFormat="1" ht="15.75" x14ac:dyDescent="0.25">
      <c r="A110" s="14"/>
      <c r="B110" s="200" t="s">
        <v>502</v>
      </c>
      <c r="C110" s="181"/>
      <c r="D110" s="182"/>
      <c r="E110" s="183"/>
      <c r="F110" s="73"/>
      <c r="G110" s="74" t="s">
        <v>112</v>
      </c>
      <c r="H110" s="75">
        <v>5</v>
      </c>
      <c r="I110" s="76"/>
      <c r="J110" s="96"/>
      <c r="K110" s="77"/>
      <c r="L110" s="77"/>
      <c r="M110" s="78">
        <f t="shared" si="4"/>
        <v>0</v>
      </c>
      <c r="N110" s="100"/>
      <c r="O110" s="77"/>
      <c r="P110" s="77"/>
      <c r="Q110" s="188"/>
      <c r="R110" s="141"/>
    </row>
    <row r="111" spans="1:18" s="15" customFormat="1" ht="15.75" x14ac:dyDescent="0.25">
      <c r="A111" s="14"/>
      <c r="B111" s="200" t="s">
        <v>502</v>
      </c>
      <c r="C111" s="181"/>
      <c r="D111" s="182"/>
      <c r="E111" s="183"/>
      <c r="F111" s="73"/>
      <c r="G111" s="195" t="s">
        <v>117</v>
      </c>
      <c r="H111" s="75">
        <v>1</v>
      </c>
      <c r="I111" s="76"/>
      <c r="J111" s="96"/>
      <c r="K111" s="77"/>
      <c r="L111" s="77"/>
      <c r="M111" s="187"/>
      <c r="N111" s="100"/>
      <c r="O111" s="77"/>
      <c r="P111" s="77"/>
      <c r="Q111" s="188"/>
      <c r="R111" s="141"/>
    </row>
    <row r="112" spans="1:18" s="13" customFormat="1" ht="15.75" x14ac:dyDescent="0.25">
      <c r="A112" s="10"/>
      <c r="B112" s="62" t="s">
        <v>70</v>
      </c>
      <c r="C112" s="181" t="s">
        <v>17</v>
      </c>
      <c r="D112" s="182"/>
      <c r="E112" s="183" t="s">
        <v>20</v>
      </c>
      <c r="F112" s="73" t="s">
        <v>373</v>
      </c>
      <c r="G112" s="74" t="s">
        <v>112</v>
      </c>
      <c r="H112" s="75">
        <v>10</v>
      </c>
      <c r="I112" s="76">
        <v>4</v>
      </c>
      <c r="J112" s="96">
        <f>2+2</f>
        <v>4</v>
      </c>
      <c r="K112" s="77">
        <v>19498</v>
      </c>
      <c r="L112" s="77">
        <v>19498</v>
      </c>
      <c r="M112" s="78">
        <f>K112-L112</f>
        <v>0</v>
      </c>
      <c r="N112" s="100">
        <f>2+3+4+2</f>
        <v>11</v>
      </c>
      <c r="O112" s="81">
        <f>7606.2+16795.84</f>
        <v>24402.04</v>
      </c>
      <c r="P112" s="81">
        <f>7606.2+16795.84</f>
        <v>24402.04</v>
      </c>
      <c r="Q112" s="79">
        <f t="shared" si="3"/>
        <v>0</v>
      </c>
      <c r="R112" s="141"/>
    </row>
    <row r="113" spans="1:19" s="13" customFormat="1" ht="15.75" x14ac:dyDescent="0.25">
      <c r="A113" s="10"/>
      <c r="B113" s="62" t="s">
        <v>70</v>
      </c>
      <c r="C113" s="181" t="s">
        <v>17</v>
      </c>
      <c r="D113" s="182"/>
      <c r="E113" s="183" t="s">
        <v>20</v>
      </c>
      <c r="F113" s="73" t="s">
        <v>460</v>
      </c>
      <c r="G113" s="184" t="s">
        <v>114</v>
      </c>
      <c r="H113" s="181">
        <v>28</v>
      </c>
      <c r="I113" s="185">
        <v>5</v>
      </c>
      <c r="J113" s="190">
        <v>5</v>
      </c>
      <c r="K113" s="77">
        <v>1921</v>
      </c>
      <c r="L113" s="77">
        <v>1921</v>
      </c>
      <c r="M113" s="187">
        <f t="shared" si="4"/>
        <v>0</v>
      </c>
      <c r="N113" s="100">
        <v>29</v>
      </c>
      <c r="O113" s="186">
        <v>58683.74</v>
      </c>
      <c r="P113" s="186">
        <v>58683.74</v>
      </c>
      <c r="Q113" s="188">
        <f t="shared" si="3"/>
        <v>0</v>
      </c>
    </row>
    <row r="114" spans="1:19" s="15" customFormat="1" ht="15.75" x14ac:dyDescent="0.25">
      <c r="A114" s="14"/>
      <c r="B114" s="80" t="s">
        <v>71</v>
      </c>
      <c r="C114" s="181" t="s">
        <v>17</v>
      </c>
      <c r="D114" s="182"/>
      <c r="E114" s="183" t="s">
        <v>32</v>
      </c>
      <c r="F114" s="73" t="s">
        <v>374</v>
      </c>
      <c r="G114" s="74" t="s">
        <v>112</v>
      </c>
      <c r="H114" s="75">
        <v>13</v>
      </c>
      <c r="I114" s="76">
        <v>7</v>
      </c>
      <c r="J114" s="96">
        <f>3+1+2+1</f>
        <v>7</v>
      </c>
      <c r="K114" s="77">
        <f>1536.8+461.04+1748.88+633.93</f>
        <v>4380.6500000000005</v>
      </c>
      <c r="L114" s="77">
        <f>1536.8+461.04+1748.88+633.93</f>
        <v>4380.6500000000005</v>
      </c>
      <c r="M114" s="78">
        <f>K114-L114</f>
        <v>0</v>
      </c>
      <c r="N114" s="100">
        <f>3+2+1+1</f>
        <v>7</v>
      </c>
      <c r="O114" s="81">
        <f>9567.93+3616.67+403.41+14275.52</f>
        <v>27863.53</v>
      </c>
      <c r="P114" s="81">
        <f>9567.93+3616.67+403.41+14275.52</f>
        <v>27863.53</v>
      </c>
      <c r="Q114" s="79">
        <f t="shared" si="3"/>
        <v>0</v>
      </c>
      <c r="R114" s="141"/>
      <c r="S114" s="36"/>
    </row>
    <row r="115" spans="1:19" s="15" customFormat="1" ht="15.75" x14ac:dyDescent="0.25">
      <c r="A115" s="14"/>
      <c r="B115" s="80" t="s">
        <v>71</v>
      </c>
      <c r="C115" s="181" t="s">
        <v>17</v>
      </c>
      <c r="D115" s="182"/>
      <c r="E115" s="183" t="s">
        <v>32</v>
      </c>
      <c r="F115" s="73" t="s">
        <v>431</v>
      </c>
      <c r="G115" s="184" t="s">
        <v>115</v>
      </c>
      <c r="H115" s="181">
        <v>6</v>
      </c>
      <c r="I115" s="196">
        <v>4</v>
      </c>
      <c r="J115" s="97">
        <v>4</v>
      </c>
      <c r="K115" s="77">
        <v>5570.9</v>
      </c>
      <c r="L115" s="77">
        <v>5570.9</v>
      </c>
      <c r="M115" s="187">
        <f t="shared" si="4"/>
        <v>0</v>
      </c>
      <c r="N115" s="114">
        <f>5</f>
        <v>5</v>
      </c>
      <c r="O115" s="77">
        <v>6595.5</v>
      </c>
      <c r="P115" s="77">
        <v>6595.5</v>
      </c>
      <c r="Q115" s="188">
        <f t="shared" si="3"/>
        <v>0</v>
      </c>
    </row>
    <row r="116" spans="1:19" s="13" customFormat="1" ht="15.75" x14ac:dyDescent="0.25">
      <c r="A116" s="10"/>
      <c r="B116" s="62" t="s">
        <v>319</v>
      </c>
      <c r="C116" s="181" t="s">
        <v>17</v>
      </c>
      <c r="D116" s="182"/>
      <c r="E116" s="183" t="s">
        <v>20</v>
      </c>
      <c r="F116" s="73" t="s">
        <v>375</v>
      </c>
      <c r="G116" s="74" t="s">
        <v>112</v>
      </c>
      <c r="H116" s="75">
        <v>20</v>
      </c>
      <c r="I116" s="76">
        <v>8</v>
      </c>
      <c r="J116" s="96">
        <f>2+1+4+3</f>
        <v>10</v>
      </c>
      <c r="K116" s="77">
        <f>710.77+1523.35+6753.23+7215.52+1437.48</f>
        <v>17640.349999999999</v>
      </c>
      <c r="L116" s="77">
        <f>710.77+1523.35+6753.23+7215.52+1437.48</f>
        <v>17640.349999999999</v>
      </c>
      <c r="M116" s="78">
        <f t="shared" si="4"/>
        <v>0</v>
      </c>
      <c r="N116" s="100">
        <f>3+1+2+1</f>
        <v>7</v>
      </c>
      <c r="O116" s="77">
        <f>13419.94+726.71+2846.77+3770.56</f>
        <v>20763.980000000003</v>
      </c>
      <c r="P116" s="77">
        <f>13419.94+726.71+2846.77+3770.56</f>
        <v>20763.980000000003</v>
      </c>
      <c r="Q116" s="79">
        <f>O116-P116</f>
        <v>0</v>
      </c>
      <c r="R116" s="141"/>
    </row>
    <row r="117" spans="1:19" s="15" customFormat="1" ht="15.75" x14ac:dyDescent="0.25">
      <c r="A117" s="14"/>
      <c r="B117" s="62" t="s">
        <v>150</v>
      </c>
      <c r="C117" s="181" t="s">
        <v>17</v>
      </c>
      <c r="D117" s="182"/>
      <c r="E117" s="183" t="s">
        <v>35</v>
      </c>
      <c r="F117" s="73" t="s">
        <v>376</v>
      </c>
      <c r="G117" s="74" t="s">
        <v>112</v>
      </c>
      <c r="H117" s="75">
        <v>13</v>
      </c>
      <c r="I117" s="76">
        <v>6</v>
      </c>
      <c r="J117" s="97">
        <f>1+1+2+2</f>
        <v>6</v>
      </c>
      <c r="K117" s="77">
        <f>1343.65+384.2+1690.4+4889.84</f>
        <v>8308.09</v>
      </c>
      <c r="L117" s="77">
        <f>1343.65+384.2+1690.4+4889.84</f>
        <v>8308.09</v>
      </c>
      <c r="M117" s="78">
        <f t="shared" si="4"/>
        <v>0</v>
      </c>
      <c r="N117" s="114">
        <f>8+1+1+2+3+1+1</f>
        <v>17</v>
      </c>
      <c r="O117" s="77">
        <f>5997.32+3719.39+3054.34+13138.17+6578.46</f>
        <v>32487.68</v>
      </c>
      <c r="P117" s="77">
        <f>5997.32+3719.39+3054.34+13138.17+6578.46</f>
        <v>32487.68</v>
      </c>
      <c r="Q117" s="79">
        <f t="shared" si="3"/>
        <v>0</v>
      </c>
      <c r="R117" s="141"/>
    </row>
    <row r="118" spans="1:19" s="15" customFormat="1" ht="15.75" x14ac:dyDescent="0.25">
      <c r="A118" s="14"/>
      <c r="B118" s="191" t="s">
        <v>150</v>
      </c>
      <c r="C118" s="181" t="s">
        <v>17</v>
      </c>
      <c r="D118" s="182"/>
      <c r="E118" s="183" t="s">
        <v>32</v>
      </c>
      <c r="F118" s="73" t="s">
        <v>487</v>
      </c>
      <c r="G118" s="184" t="s">
        <v>117</v>
      </c>
      <c r="H118" s="181">
        <v>1</v>
      </c>
      <c r="I118" s="196"/>
      <c r="J118" s="97"/>
      <c r="K118" s="77"/>
      <c r="L118" s="193"/>
      <c r="M118" s="187">
        <f t="shared" si="4"/>
        <v>0</v>
      </c>
      <c r="N118" s="101">
        <v>1</v>
      </c>
      <c r="O118" s="77">
        <v>4226.2</v>
      </c>
      <c r="P118" s="77">
        <v>4226.2</v>
      </c>
      <c r="Q118" s="188">
        <f t="shared" si="3"/>
        <v>0</v>
      </c>
    </row>
    <row r="119" spans="1:19" s="13" customFormat="1" ht="15.75" x14ac:dyDescent="0.25">
      <c r="A119" s="10"/>
      <c r="B119" s="30" t="s">
        <v>72</v>
      </c>
      <c r="C119" s="181" t="s">
        <v>17</v>
      </c>
      <c r="D119" s="182"/>
      <c r="E119" s="183" t="s">
        <v>21</v>
      </c>
      <c r="F119" s="73" t="s">
        <v>377</v>
      </c>
      <c r="G119" s="74" t="s">
        <v>112</v>
      </c>
      <c r="H119" s="75">
        <v>16</v>
      </c>
      <c r="I119" s="76">
        <v>3</v>
      </c>
      <c r="J119" s="96">
        <f>1+1+1+1</f>
        <v>4</v>
      </c>
      <c r="K119" s="77">
        <f>633.93+1415.78+1610.18+1394.65</f>
        <v>5054.5400000000009</v>
      </c>
      <c r="L119" s="77">
        <f>633.93+1415.78+1610.18+1394.65</f>
        <v>5054.5400000000009</v>
      </c>
      <c r="M119" s="78">
        <f>K119-L119</f>
        <v>0</v>
      </c>
      <c r="N119" s="100">
        <f>1+3+1+1+1+3+1</f>
        <v>11</v>
      </c>
      <c r="O119" s="81">
        <f>1950.74+10237.13+6595.95+3861.21+1348.53+10328.94</f>
        <v>34322.5</v>
      </c>
      <c r="P119" s="81">
        <f>1950.74+10237.13+6595.95+3861.21+1348.53+10328.94</f>
        <v>34322.5</v>
      </c>
      <c r="Q119" s="79">
        <f t="shared" si="3"/>
        <v>0</v>
      </c>
      <c r="R119" s="141"/>
    </row>
    <row r="120" spans="1:19" s="13" customFormat="1" ht="15.75" x14ac:dyDescent="0.25">
      <c r="A120" s="10"/>
      <c r="B120" s="30" t="s">
        <v>72</v>
      </c>
      <c r="C120" s="181" t="s">
        <v>17</v>
      </c>
      <c r="D120" s="182"/>
      <c r="E120" s="183" t="s">
        <v>21</v>
      </c>
      <c r="F120" s="73" t="s">
        <v>441</v>
      </c>
      <c r="G120" s="184" t="s">
        <v>118</v>
      </c>
      <c r="H120" s="181">
        <v>6</v>
      </c>
      <c r="I120" s="185"/>
      <c r="J120" s="96"/>
      <c r="K120" s="77"/>
      <c r="L120" s="77"/>
      <c r="M120" s="187">
        <f t="shared" si="4"/>
        <v>0</v>
      </c>
      <c r="N120" s="100">
        <v>13</v>
      </c>
      <c r="O120" s="186">
        <v>45577.03</v>
      </c>
      <c r="P120" s="186">
        <v>45577.03</v>
      </c>
      <c r="Q120" s="188">
        <f t="shared" si="3"/>
        <v>0</v>
      </c>
    </row>
    <row r="121" spans="1:19" s="15" customFormat="1" ht="15.75" x14ac:dyDescent="0.25">
      <c r="A121" s="14"/>
      <c r="B121" s="84" t="s">
        <v>73</v>
      </c>
      <c r="C121" s="181" t="s">
        <v>17</v>
      </c>
      <c r="D121" s="182"/>
      <c r="E121" s="183" t="s">
        <v>74</v>
      </c>
      <c r="F121" s="73" t="s">
        <v>378</v>
      </c>
      <c r="G121" s="74" t="s">
        <v>112</v>
      </c>
      <c r="H121" s="75">
        <v>21</v>
      </c>
      <c r="I121" s="76">
        <v>15</v>
      </c>
      <c r="J121" s="96">
        <f>9+8+2+2</f>
        <v>21</v>
      </c>
      <c r="K121" s="77">
        <f>6305.33+12574.83+4899.84</f>
        <v>23780</v>
      </c>
      <c r="L121" s="77">
        <f>6305.33+12574.83+4899.84</f>
        <v>23780</v>
      </c>
      <c r="M121" s="78">
        <f>K121-L121</f>
        <v>0</v>
      </c>
      <c r="N121" s="100">
        <f>5+3+3+1</f>
        <v>12</v>
      </c>
      <c r="O121" s="81">
        <f>5416.39+9506.99+12269.39+7610.68+1928.68</f>
        <v>36732.129999999997</v>
      </c>
      <c r="P121" s="81">
        <f>5416.39+9506.99+12269.39+7610.68+1928.68</f>
        <v>36732.129999999997</v>
      </c>
      <c r="Q121" s="79">
        <f t="shared" si="3"/>
        <v>0</v>
      </c>
      <c r="R121" s="141"/>
    </row>
    <row r="122" spans="1:19" s="15" customFormat="1" ht="15.75" x14ac:dyDescent="0.25">
      <c r="A122" s="14"/>
      <c r="B122" s="84" t="s">
        <v>73</v>
      </c>
      <c r="C122" s="181" t="s">
        <v>17</v>
      </c>
      <c r="D122" s="182"/>
      <c r="E122" s="183" t="s">
        <v>74</v>
      </c>
      <c r="F122" s="73" t="s">
        <v>282</v>
      </c>
      <c r="G122" s="184" t="s">
        <v>114</v>
      </c>
      <c r="H122" s="181"/>
      <c r="I122" s="185"/>
      <c r="J122" s="190"/>
      <c r="K122" s="77"/>
      <c r="L122" s="77"/>
      <c r="M122" s="187">
        <f t="shared" si="4"/>
        <v>0</v>
      </c>
      <c r="N122" s="101">
        <v>1</v>
      </c>
      <c r="O122" s="186">
        <v>19379.400000000001</v>
      </c>
      <c r="P122" s="186">
        <v>19379.400000000001</v>
      </c>
      <c r="Q122" s="188">
        <f t="shared" si="3"/>
        <v>0</v>
      </c>
    </row>
    <row r="123" spans="1:19" s="13" customFormat="1" ht="15.75" x14ac:dyDescent="0.25">
      <c r="A123" s="10"/>
      <c r="B123" s="30" t="s">
        <v>135</v>
      </c>
      <c r="C123" s="181" t="s">
        <v>17</v>
      </c>
      <c r="D123" s="182"/>
      <c r="E123" s="194" t="s">
        <v>35</v>
      </c>
      <c r="F123" s="73" t="s">
        <v>379</v>
      </c>
      <c r="G123" s="74" t="s">
        <v>112</v>
      </c>
      <c r="H123" s="75">
        <v>19</v>
      </c>
      <c r="I123" s="76">
        <v>14</v>
      </c>
      <c r="J123" s="96">
        <f>1+6+5+3</f>
        <v>15</v>
      </c>
      <c r="K123" s="77">
        <f>697.32+4374.12+5747.44</f>
        <v>10818.88</v>
      </c>
      <c r="L123" s="77">
        <f>697.32+4374.12+5747.44</f>
        <v>10818.88</v>
      </c>
      <c r="M123" s="78">
        <f>K123-L123</f>
        <v>0</v>
      </c>
      <c r="N123" s="100">
        <f>2+5+1+2+2+2</f>
        <v>14</v>
      </c>
      <c r="O123" s="81">
        <f>6432.89+2283.68+4932.13</f>
        <v>13648.7</v>
      </c>
      <c r="P123" s="81">
        <f>6432.89+2283.68+4932.13</f>
        <v>13648.7</v>
      </c>
      <c r="Q123" s="188">
        <f t="shared" si="3"/>
        <v>0</v>
      </c>
      <c r="R123" s="141"/>
    </row>
    <row r="124" spans="1:19" s="13" customFormat="1" ht="15.75" x14ac:dyDescent="0.25">
      <c r="A124" s="10"/>
      <c r="B124" s="30" t="s">
        <v>135</v>
      </c>
      <c r="C124" s="181" t="s">
        <v>17</v>
      </c>
      <c r="D124" s="182"/>
      <c r="E124" s="194" t="s">
        <v>35</v>
      </c>
      <c r="F124" s="73" t="s">
        <v>432</v>
      </c>
      <c r="G124" s="184" t="s">
        <v>115</v>
      </c>
      <c r="H124" s="181"/>
      <c r="I124" s="185"/>
      <c r="J124" s="96"/>
      <c r="K124" s="77"/>
      <c r="L124" s="77"/>
      <c r="M124" s="78">
        <f t="shared" si="4"/>
        <v>0</v>
      </c>
      <c r="N124" s="100">
        <v>1</v>
      </c>
      <c r="O124" s="186">
        <v>2689.4</v>
      </c>
      <c r="P124" s="186">
        <v>2689.4</v>
      </c>
      <c r="Q124" s="79">
        <f t="shared" si="3"/>
        <v>0</v>
      </c>
    </row>
    <row r="125" spans="1:19" s="13" customFormat="1" ht="15.75" x14ac:dyDescent="0.25">
      <c r="A125" s="10"/>
      <c r="B125" s="30" t="s">
        <v>145</v>
      </c>
      <c r="C125" s="181" t="s">
        <v>17</v>
      </c>
      <c r="D125" s="182"/>
      <c r="E125" s="194" t="s">
        <v>20</v>
      </c>
      <c r="F125" s="73" t="s">
        <v>380</v>
      </c>
      <c r="G125" s="74" t="s">
        <v>112</v>
      </c>
      <c r="H125" s="75">
        <v>7</v>
      </c>
      <c r="I125" s="82">
        <v>4</v>
      </c>
      <c r="J125" s="96">
        <f>2+1+1+2</f>
        <v>6</v>
      </c>
      <c r="K125" s="77">
        <f>5169.72+1100+538.84+4293.82+3949.22</f>
        <v>15051.6</v>
      </c>
      <c r="L125" s="77">
        <f>5169.72+1100+538.84+4293.82+3949.22</f>
        <v>15051.6</v>
      </c>
      <c r="M125" s="78">
        <f>K125-L125</f>
        <v>0</v>
      </c>
      <c r="N125" s="100">
        <f>1+1+2+1</f>
        <v>5</v>
      </c>
      <c r="O125" s="81">
        <f>5120.23+3915.15+1114.12</f>
        <v>10149.5</v>
      </c>
      <c r="P125" s="81">
        <f>5120.23+3915.15+1114.12</f>
        <v>10149.5</v>
      </c>
      <c r="Q125" s="188">
        <f t="shared" si="3"/>
        <v>0</v>
      </c>
      <c r="R125" s="141"/>
    </row>
    <row r="126" spans="1:19" s="13" customFormat="1" ht="15.75" x14ac:dyDescent="0.25">
      <c r="A126" s="10"/>
      <c r="B126" s="30" t="s">
        <v>145</v>
      </c>
      <c r="C126" s="181" t="s">
        <v>17</v>
      </c>
      <c r="D126" s="182"/>
      <c r="E126" s="194" t="s">
        <v>20</v>
      </c>
      <c r="F126" s="73" t="s">
        <v>461</v>
      </c>
      <c r="G126" s="184" t="s">
        <v>114</v>
      </c>
      <c r="H126" s="181">
        <v>2</v>
      </c>
      <c r="I126" s="185">
        <v>1</v>
      </c>
      <c r="J126" s="190">
        <v>1</v>
      </c>
      <c r="K126" s="77"/>
      <c r="L126" s="77"/>
      <c r="M126" s="78">
        <f t="shared" si="4"/>
        <v>0</v>
      </c>
      <c r="N126" s="100">
        <v>10</v>
      </c>
      <c r="O126" s="186">
        <v>19379.400000000001</v>
      </c>
      <c r="P126" s="186">
        <v>19379.400000000001</v>
      </c>
      <c r="Q126" s="188">
        <f t="shared" si="3"/>
        <v>0</v>
      </c>
    </row>
    <row r="127" spans="1:19" s="13" customFormat="1" ht="15.75" x14ac:dyDescent="0.25">
      <c r="A127" s="10"/>
      <c r="B127" s="62" t="s">
        <v>76</v>
      </c>
      <c r="C127" s="181" t="s">
        <v>17</v>
      </c>
      <c r="D127" s="182"/>
      <c r="E127" s="183" t="s">
        <v>20</v>
      </c>
      <c r="F127" s="73" t="s">
        <v>381</v>
      </c>
      <c r="G127" s="74" t="s">
        <v>112</v>
      </c>
      <c r="H127" s="75">
        <v>18</v>
      </c>
      <c r="I127" s="76">
        <v>12</v>
      </c>
      <c r="J127" s="96">
        <f>1+6+3+1+3+1</f>
        <v>15</v>
      </c>
      <c r="K127" s="77">
        <f>6556.06+2806.39+2697.06+1267.86+11775.51+1557.35</f>
        <v>26660.23</v>
      </c>
      <c r="L127" s="77">
        <f>6556.06+2806.39+2697.06+1267.86+11775.51+1557.35</f>
        <v>26660.23</v>
      </c>
      <c r="M127" s="78">
        <f>K127-L127</f>
        <v>0</v>
      </c>
      <c r="N127" s="100">
        <f>5+6+2+1</f>
        <v>14</v>
      </c>
      <c r="O127" s="81">
        <f>11527.9+19846.52+1011.91+9641+2451.87+10072.83</f>
        <v>54552.030000000006</v>
      </c>
      <c r="P127" s="81">
        <f>11527.9+19846.52+1011.91+9641+2451.87+10072.83</f>
        <v>54552.030000000006</v>
      </c>
      <c r="Q127" s="188">
        <f t="shared" si="3"/>
        <v>0</v>
      </c>
      <c r="R127" s="141"/>
    </row>
    <row r="128" spans="1:19" s="13" customFormat="1" ht="15.75" x14ac:dyDescent="0.25">
      <c r="A128" s="10"/>
      <c r="B128" s="62" t="s">
        <v>76</v>
      </c>
      <c r="C128" s="181" t="s">
        <v>17</v>
      </c>
      <c r="D128" s="182"/>
      <c r="E128" s="183" t="s">
        <v>20</v>
      </c>
      <c r="F128" s="73" t="s">
        <v>462</v>
      </c>
      <c r="G128" s="184" t="s">
        <v>114</v>
      </c>
      <c r="H128" s="181">
        <v>8</v>
      </c>
      <c r="I128" s="185">
        <v>1</v>
      </c>
      <c r="J128" s="190">
        <v>1</v>
      </c>
      <c r="K128" s="77"/>
      <c r="L128" s="77"/>
      <c r="M128" s="78">
        <f t="shared" si="4"/>
        <v>0</v>
      </c>
      <c r="N128" s="100">
        <v>8</v>
      </c>
      <c r="O128" s="186">
        <v>27398.29</v>
      </c>
      <c r="P128" s="186">
        <v>27398.29</v>
      </c>
      <c r="Q128" s="188">
        <f t="shared" si="3"/>
        <v>0</v>
      </c>
    </row>
    <row r="129" spans="1:18" s="13" customFormat="1" ht="15.75" x14ac:dyDescent="0.25">
      <c r="A129" s="10"/>
      <c r="B129" s="30" t="s">
        <v>77</v>
      </c>
      <c r="C129" s="181" t="s">
        <v>17</v>
      </c>
      <c r="D129" s="182"/>
      <c r="E129" s="183" t="s">
        <v>32</v>
      </c>
      <c r="F129" s="73" t="s">
        <v>388</v>
      </c>
      <c r="G129" s="74" t="s">
        <v>112</v>
      </c>
      <c r="H129" s="75">
        <v>10</v>
      </c>
      <c r="I129" s="76">
        <v>5</v>
      </c>
      <c r="J129" s="96">
        <f>2+2+2</f>
        <v>6</v>
      </c>
      <c r="K129" s="77">
        <f>2440.63+1507.02+2101.48</f>
        <v>6049.13</v>
      </c>
      <c r="L129" s="77">
        <f>2440.63+1507.02+2101.48</f>
        <v>6049.13</v>
      </c>
      <c r="M129" s="78">
        <f>K129-L129</f>
        <v>0</v>
      </c>
      <c r="N129" s="100">
        <f>5+2+3+3+1</f>
        <v>14</v>
      </c>
      <c r="O129" s="81">
        <f>11716.73+6848.82+4046.18+11166.34+8845.95</f>
        <v>42624.020000000004</v>
      </c>
      <c r="P129" s="81">
        <f>11716.73+6848.82+4046.18+11166.34+8845.95</f>
        <v>42624.020000000004</v>
      </c>
      <c r="Q129" s="188">
        <f t="shared" si="3"/>
        <v>0</v>
      </c>
      <c r="R129" s="141"/>
    </row>
    <row r="130" spans="1:18" s="13" customFormat="1" ht="15.75" x14ac:dyDescent="0.25">
      <c r="A130" s="10"/>
      <c r="B130" s="30" t="s">
        <v>77</v>
      </c>
      <c r="C130" s="181" t="s">
        <v>17</v>
      </c>
      <c r="D130" s="182"/>
      <c r="E130" s="183" t="s">
        <v>32</v>
      </c>
      <c r="F130" s="73" t="s">
        <v>433</v>
      </c>
      <c r="G130" s="184" t="s">
        <v>117</v>
      </c>
      <c r="H130" s="181">
        <v>1</v>
      </c>
      <c r="I130" s="185">
        <v>1</v>
      </c>
      <c r="J130" s="96">
        <v>1</v>
      </c>
      <c r="K130" s="77">
        <v>1921</v>
      </c>
      <c r="L130" s="77">
        <v>1921</v>
      </c>
      <c r="M130" s="78">
        <f t="shared" si="4"/>
        <v>0</v>
      </c>
      <c r="N130" s="100">
        <v>6</v>
      </c>
      <c r="O130" s="186">
        <v>18164.11</v>
      </c>
      <c r="P130" s="186">
        <v>18164.11</v>
      </c>
      <c r="Q130" s="79">
        <f t="shared" si="3"/>
        <v>0</v>
      </c>
    </row>
    <row r="131" spans="1:18" s="13" customFormat="1" ht="15.75" x14ac:dyDescent="0.25">
      <c r="A131" s="10"/>
      <c r="B131" s="30" t="s">
        <v>321</v>
      </c>
      <c r="C131" s="181" t="s">
        <v>17</v>
      </c>
      <c r="D131" s="182"/>
      <c r="E131" s="183" t="s">
        <v>21</v>
      </c>
      <c r="F131" s="73" t="s">
        <v>489</v>
      </c>
      <c r="G131" s="184" t="s">
        <v>112</v>
      </c>
      <c r="H131" s="181">
        <v>3</v>
      </c>
      <c r="I131" s="185"/>
      <c r="J131" s="96"/>
      <c r="K131" s="77"/>
      <c r="L131" s="77"/>
      <c r="M131" s="78">
        <f t="shared" si="4"/>
        <v>0</v>
      </c>
      <c r="N131" s="100"/>
      <c r="O131" s="186"/>
      <c r="P131" s="186"/>
      <c r="Q131" s="79"/>
      <c r="R131" s="141"/>
    </row>
    <row r="132" spans="1:18" s="13" customFormat="1" ht="30" x14ac:dyDescent="0.25">
      <c r="A132" s="10"/>
      <c r="B132" s="62" t="s">
        <v>79</v>
      </c>
      <c r="C132" s="181" t="s">
        <v>304</v>
      </c>
      <c r="D132" s="182" t="s">
        <v>385</v>
      </c>
      <c r="E132" s="183" t="s">
        <v>18</v>
      </c>
      <c r="F132" s="73" t="s">
        <v>389</v>
      </c>
      <c r="G132" s="74" t="s">
        <v>112</v>
      </c>
      <c r="H132" s="75">
        <v>11</v>
      </c>
      <c r="I132" s="76">
        <v>7</v>
      </c>
      <c r="J132" s="96">
        <f>2+5+2</f>
        <v>9</v>
      </c>
      <c r="K132" s="77">
        <f>2091.97+3190.2+5703.08+6368.88</f>
        <v>17354.13</v>
      </c>
      <c r="L132" s="77">
        <f>2091.97+3190.2+5703.08+6368.88</f>
        <v>17354.13</v>
      </c>
      <c r="M132" s="78">
        <f t="shared" si="4"/>
        <v>0</v>
      </c>
      <c r="N132" s="100">
        <f>2+2+1+2+1</f>
        <v>8</v>
      </c>
      <c r="O132" s="81">
        <f>1547.4+4166.12+7835.61+1675.01+4717.63+6039.62</f>
        <v>25981.39</v>
      </c>
      <c r="P132" s="81">
        <f>1547.4+4166.12+7835.61+1675.01+4717.63+6039.62</f>
        <v>25981.39</v>
      </c>
      <c r="Q132" s="188">
        <f t="shared" si="3"/>
        <v>0</v>
      </c>
      <c r="R132" s="141"/>
    </row>
    <row r="133" spans="1:18" s="13" customFormat="1" ht="30" x14ac:dyDescent="0.25">
      <c r="A133" s="10"/>
      <c r="B133" s="62" t="s">
        <v>79</v>
      </c>
      <c r="C133" s="181" t="s">
        <v>304</v>
      </c>
      <c r="D133" s="182" t="s">
        <v>475</v>
      </c>
      <c r="E133" s="183" t="s">
        <v>18</v>
      </c>
      <c r="F133" s="73" t="s">
        <v>329</v>
      </c>
      <c r="G133" s="184" t="s">
        <v>113</v>
      </c>
      <c r="H133" s="181">
        <v>35</v>
      </c>
      <c r="I133" s="192">
        <v>12</v>
      </c>
      <c r="J133" s="98">
        <v>13</v>
      </c>
      <c r="K133" s="186">
        <v>14299</v>
      </c>
      <c r="L133" s="186">
        <v>14299</v>
      </c>
      <c r="M133" s="78">
        <f t="shared" si="4"/>
        <v>0</v>
      </c>
      <c r="N133" s="100">
        <v>14</v>
      </c>
      <c r="O133" s="186">
        <v>39340</v>
      </c>
      <c r="P133" s="186">
        <v>39340</v>
      </c>
      <c r="Q133" s="79">
        <f t="shared" si="3"/>
        <v>0</v>
      </c>
    </row>
    <row r="134" spans="1:18" s="13" customFormat="1" ht="15.75" x14ac:dyDescent="0.25">
      <c r="A134" s="10"/>
      <c r="B134" s="62" t="s">
        <v>151</v>
      </c>
      <c r="C134" s="181" t="s">
        <v>17</v>
      </c>
      <c r="D134" s="182"/>
      <c r="E134" s="183" t="s">
        <v>32</v>
      </c>
      <c r="F134" s="73" t="s">
        <v>390</v>
      </c>
      <c r="G134" s="74" t="s">
        <v>112</v>
      </c>
      <c r="H134" s="75">
        <v>35</v>
      </c>
      <c r="I134" s="82">
        <v>15</v>
      </c>
      <c r="J134" s="96">
        <f>1+3+3+5+3</f>
        <v>15</v>
      </c>
      <c r="K134" s="81">
        <f>2317+4640.19+5864.19+10765</f>
        <v>23586.379999999997</v>
      </c>
      <c r="L134" s="81">
        <f>2317+4640.19+5864.19+10765</f>
        <v>23586.379999999997</v>
      </c>
      <c r="M134" s="78">
        <f>K134-L134</f>
        <v>0</v>
      </c>
      <c r="N134" s="100">
        <f>9+3+5+1+4</f>
        <v>22</v>
      </c>
      <c r="O134" s="81">
        <f>10726.94+18822.65+5703.53+12846.53+1320.36+4050.1</f>
        <v>53470.11</v>
      </c>
      <c r="P134" s="81">
        <f>10726.94+18822.65+5703.53+12846.53+1320.36+4050.1</f>
        <v>53470.11</v>
      </c>
      <c r="Q134" s="188">
        <f t="shared" si="3"/>
        <v>0</v>
      </c>
      <c r="R134" s="141"/>
    </row>
    <row r="135" spans="1:18" s="13" customFormat="1" ht="15.75" x14ac:dyDescent="0.25">
      <c r="A135" s="10"/>
      <c r="B135" s="62" t="s">
        <v>151</v>
      </c>
      <c r="C135" s="181" t="s">
        <v>17</v>
      </c>
      <c r="D135" s="182"/>
      <c r="E135" s="183" t="s">
        <v>32</v>
      </c>
      <c r="F135" s="73" t="s">
        <v>434</v>
      </c>
      <c r="G135" s="184" t="s">
        <v>117</v>
      </c>
      <c r="H135" s="181">
        <v>7</v>
      </c>
      <c r="I135" s="185"/>
      <c r="J135" s="96"/>
      <c r="K135" s="77"/>
      <c r="L135" s="77"/>
      <c r="M135" s="78">
        <f t="shared" si="4"/>
        <v>0</v>
      </c>
      <c r="N135" s="100">
        <v>12</v>
      </c>
      <c r="O135" s="186">
        <v>22129.3</v>
      </c>
      <c r="P135" s="186">
        <v>22129.3</v>
      </c>
      <c r="Q135" s="79">
        <f t="shared" si="3"/>
        <v>0</v>
      </c>
    </row>
    <row r="136" spans="1:18" s="13" customFormat="1" ht="15.75" x14ac:dyDescent="0.25">
      <c r="A136" s="10"/>
      <c r="B136" s="62" t="s">
        <v>80</v>
      </c>
      <c r="C136" s="181" t="s">
        <v>17</v>
      </c>
      <c r="D136" s="182"/>
      <c r="E136" s="183" t="s">
        <v>81</v>
      </c>
      <c r="F136" s="73" t="s">
        <v>417</v>
      </c>
      <c r="G136" s="74" t="s">
        <v>112</v>
      </c>
      <c r="H136" s="75"/>
      <c r="I136" s="76"/>
      <c r="J136" s="96"/>
      <c r="K136" s="77">
        <f>749.19+8649.27</f>
        <v>9398.4600000000009</v>
      </c>
      <c r="L136" s="77">
        <f>749.19+8649.27</f>
        <v>9398.4600000000009</v>
      </c>
      <c r="M136" s="78">
        <f>K136-L136</f>
        <v>0</v>
      </c>
      <c r="N136" s="100">
        <f>2+2</f>
        <v>4</v>
      </c>
      <c r="O136" s="81">
        <f>3040.94</f>
        <v>3040.94</v>
      </c>
      <c r="P136" s="81">
        <f>3040.94</f>
        <v>3040.94</v>
      </c>
      <c r="Q136" s="188">
        <f t="shared" si="3"/>
        <v>0</v>
      </c>
      <c r="R136" s="141"/>
    </row>
    <row r="137" spans="1:18" s="13" customFormat="1" ht="15.75" x14ac:dyDescent="0.25">
      <c r="A137" s="10"/>
      <c r="B137" s="62" t="s">
        <v>80</v>
      </c>
      <c r="C137" s="181" t="s">
        <v>17</v>
      </c>
      <c r="D137" s="182"/>
      <c r="E137" s="183" t="s">
        <v>81</v>
      </c>
      <c r="F137" s="73" t="s">
        <v>285</v>
      </c>
      <c r="G137" s="184" t="s">
        <v>114</v>
      </c>
      <c r="H137" s="181"/>
      <c r="I137" s="185"/>
      <c r="J137" s="190"/>
      <c r="K137" s="77">
        <v>2113.1</v>
      </c>
      <c r="L137" s="77">
        <v>2113.1</v>
      </c>
      <c r="M137" s="78">
        <f t="shared" si="4"/>
        <v>0</v>
      </c>
      <c r="N137" s="100">
        <v>23</v>
      </c>
      <c r="O137" s="186">
        <v>44542.14</v>
      </c>
      <c r="P137" s="186">
        <v>44542.14</v>
      </c>
      <c r="Q137" s="188">
        <f t="shared" si="3"/>
        <v>0</v>
      </c>
    </row>
    <row r="138" spans="1:18" s="13" customFormat="1" ht="15.75" x14ac:dyDescent="0.25">
      <c r="A138" s="10"/>
      <c r="B138" s="30" t="s">
        <v>82</v>
      </c>
      <c r="C138" s="181" t="s">
        <v>17</v>
      </c>
      <c r="D138" s="182"/>
      <c r="E138" s="183" t="s">
        <v>20</v>
      </c>
      <c r="F138" s="73" t="s">
        <v>394</v>
      </c>
      <c r="G138" s="74" t="s">
        <v>112</v>
      </c>
      <c r="H138" s="75">
        <v>9</v>
      </c>
      <c r="I138" s="76">
        <v>4</v>
      </c>
      <c r="J138" s="96">
        <f>4</f>
        <v>4</v>
      </c>
      <c r="K138" s="77">
        <f>7750.47</f>
        <v>7750.47</v>
      </c>
      <c r="L138" s="77">
        <f>7750.47</f>
        <v>7750.47</v>
      </c>
      <c r="M138" s="78">
        <f>K138-L138</f>
        <v>0</v>
      </c>
      <c r="N138" s="100">
        <f>3+5+1</f>
        <v>9</v>
      </c>
      <c r="O138" s="81">
        <f>5975.84+23579.15+1426.34</f>
        <v>30981.33</v>
      </c>
      <c r="P138" s="81">
        <f>5975.84+23579.15+1426.34</f>
        <v>30981.33</v>
      </c>
      <c r="Q138" s="188">
        <f t="shared" si="3"/>
        <v>0</v>
      </c>
      <c r="R138" s="141"/>
    </row>
    <row r="139" spans="1:18" s="13" customFormat="1" ht="15.75" x14ac:dyDescent="0.25">
      <c r="A139" s="10"/>
      <c r="B139" s="30" t="s">
        <v>82</v>
      </c>
      <c r="C139" s="181" t="s">
        <v>17</v>
      </c>
      <c r="D139" s="182"/>
      <c r="E139" s="183" t="s">
        <v>20</v>
      </c>
      <c r="F139" s="73" t="s">
        <v>463</v>
      </c>
      <c r="G139" s="184" t="s">
        <v>114</v>
      </c>
      <c r="H139" s="181">
        <v>15</v>
      </c>
      <c r="I139" s="185">
        <v>3</v>
      </c>
      <c r="J139" s="190">
        <v>3</v>
      </c>
      <c r="K139" s="77">
        <v>5378.8</v>
      </c>
      <c r="L139" s="77"/>
      <c r="M139" s="78">
        <f t="shared" si="4"/>
        <v>5378.8</v>
      </c>
      <c r="N139" s="100">
        <v>13</v>
      </c>
      <c r="O139" s="186">
        <v>36870.51</v>
      </c>
      <c r="P139" s="186">
        <v>27105.51</v>
      </c>
      <c r="Q139" s="188">
        <f t="shared" si="3"/>
        <v>9765.0000000000036</v>
      </c>
    </row>
    <row r="140" spans="1:18" s="13" customFormat="1" ht="15.75" x14ac:dyDescent="0.25">
      <c r="A140" s="10"/>
      <c r="B140" s="30" t="s">
        <v>309</v>
      </c>
      <c r="C140" s="181"/>
      <c r="D140" s="182"/>
      <c r="E140" s="183" t="s">
        <v>20</v>
      </c>
      <c r="F140" s="73" t="s">
        <v>391</v>
      </c>
      <c r="G140" s="184" t="s">
        <v>112</v>
      </c>
      <c r="H140" s="181">
        <v>11</v>
      </c>
      <c r="I140" s="185">
        <v>5</v>
      </c>
      <c r="J140" s="190">
        <f>1+5</f>
        <v>6</v>
      </c>
      <c r="K140" s="77">
        <f>3606.1+3402.77</f>
        <v>7008.87</v>
      </c>
      <c r="L140" s="77">
        <f>3606.1+3402.77</f>
        <v>7008.87</v>
      </c>
      <c r="M140" s="78">
        <f t="shared" si="4"/>
        <v>0</v>
      </c>
      <c r="N140" s="100">
        <f>1+5+1+3</f>
        <v>10</v>
      </c>
      <c r="O140" s="186">
        <f>3088.97+13147.65+1267.86+5955.71</f>
        <v>23460.19</v>
      </c>
      <c r="P140" s="186">
        <f>3088.97+13147.65+1267.86+5955.71</f>
        <v>23460.19</v>
      </c>
      <c r="Q140" s="188">
        <f t="shared" si="3"/>
        <v>0</v>
      </c>
      <c r="R140" s="141"/>
    </row>
    <row r="141" spans="1:18" s="13" customFormat="1" ht="15.75" x14ac:dyDescent="0.25">
      <c r="A141" s="10"/>
      <c r="B141" s="30" t="s">
        <v>152</v>
      </c>
      <c r="C141" s="181" t="s">
        <v>17</v>
      </c>
      <c r="D141" s="182"/>
      <c r="E141" s="183" t="s">
        <v>35</v>
      </c>
      <c r="F141" s="73" t="s">
        <v>392</v>
      </c>
      <c r="G141" s="74" t="s">
        <v>112</v>
      </c>
      <c r="H141" s="75">
        <v>7</v>
      </c>
      <c r="I141" s="76">
        <v>6</v>
      </c>
      <c r="J141" s="96">
        <f>1+1+2+1+1</f>
        <v>6</v>
      </c>
      <c r="K141" s="77">
        <f>403.41+845.24+2113.1</f>
        <v>3361.75</v>
      </c>
      <c r="L141" s="77">
        <f>403.41+845.24+2113.1</f>
        <v>3361.75</v>
      </c>
      <c r="M141" s="78">
        <f t="shared" si="4"/>
        <v>0</v>
      </c>
      <c r="N141" s="100">
        <f>2+2+2+1+1+1</f>
        <v>9</v>
      </c>
      <c r="O141" s="81">
        <f>1690.48+3050.26+3661.61+4648.82+1267.86+1690.48+9282.42+4052.53</f>
        <v>29344.46</v>
      </c>
      <c r="P141" s="81">
        <f>1690.48+3050.26+3661.61+4648.82+1267.86+1690.48+9282.42+4052.53</f>
        <v>29344.46</v>
      </c>
      <c r="Q141" s="188">
        <f t="shared" si="3"/>
        <v>0</v>
      </c>
      <c r="R141" s="141"/>
    </row>
    <row r="142" spans="1:18" s="13" customFormat="1" ht="15.75" x14ac:dyDescent="0.25">
      <c r="A142" s="10"/>
      <c r="B142" s="30" t="s">
        <v>152</v>
      </c>
      <c r="C142" s="181" t="s">
        <v>17</v>
      </c>
      <c r="D142" s="182"/>
      <c r="E142" s="183" t="s">
        <v>32</v>
      </c>
      <c r="F142" s="73"/>
      <c r="G142" s="184" t="s">
        <v>117</v>
      </c>
      <c r="H142" s="181"/>
      <c r="I142" s="185"/>
      <c r="J142" s="96"/>
      <c r="K142" s="77"/>
      <c r="L142" s="77"/>
      <c r="M142" s="78">
        <f t="shared" si="4"/>
        <v>0</v>
      </c>
      <c r="N142" s="100"/>
      <c r="O142" s="186"/>
      <c r="P142" s="186"/>
      <c r="Q142" s="79">
        <f t="shared" si="3"/>
        <v>0</v>
      </c>
    </row>
    <row r="143" spans="1:18" s="13" customFormat="1" ht="15.75" x14ac:dyDescent="0.25">
      <c r="A143" s="10"/>
      <c r="B143" s="30" t="s">
        <v>83</v>
      </c>
      <c r="C143" s="181" t="s">
        <v>17</v>
      </c>
      <c r="D143" s="182"/>
      <c r="E143" s="183" t="s">
        <v>20</v>
      </c>
      <c r="F143" s="73" t="s">
        <v>393</v>
      </c>
      <c r="G143" s="74" t="s">
        <v>112</v>
      </c>
      <c r="H143" s="75">
        <v>12</v>
      </c>
      <c r="I143" s="76">
        <v>5</v>
      </c>
      <c r="J143" s="96">
        <f>1+1+2+1+1</f>
        <v>6</v>
      </c>
      <c r="K143" s="77">
        <f>768.4+2535.72+845.24+14407.5</f>
        <v>18556.86</v>
      </c>
      <c r="L143" s="77">
        <f>768.4+2535.72+845.24+14407.5</f>
        <v>18556.86</v>
      </c>
      <c r="M143" s="78">
        <f>K143-L143</f>
        <v>0</v>
      </c>
      <c r="N143" s="100">
        <f>1+2+1+1+1</f>
        <v>6</v>
      </c>
      <c r="O143" s="81">
        <f>5837.09+1922.92+4288.54+1686.25</f>
        <v>13734.8</v>
      </c>
      <c r="P143" s="81">
        <f>5837.09+1922.92+4288.54+1686.25</f>
        <v>13734.8</v>
      </c>
      <c r="Q143" s="188">
        <f t="shared" si="3"/>
        <v>0</v>
      </c>
      <c r="R143" s="141"/>
    </row>
    <row r="144" spans="1:18" s="13" customFormat="1" ht="15.75" x14ac:dyDescent="0.25">
      <c r="A144" s="10"/>
      <c r="B144" s="30" t="s">
        <v>83</v>
      </c>
      <c r="C144" s="181" t="s">
        <v>17</v>
      </c>
      <c r="D144" s="182"/>
      <c r="E144" s="183" t="s">
        <v>20</v>
      </c>
      <c r="F144" s="73" t="s">
        <v>464</v>
      </c>
      <c r="G144" s="184" t="s">
        <v>114</v>
      </c>
      <c r="H144" s="181">
        <v>24</v>
      </c>
      <c r="I144" s="185">
        <v>3</v>
      </c>
      <c r="J144" s="190">
        <v>3</v>
      </c>
      <c r="K144" s="77">
        <v>5494.06</v>
      </c>
      <c r="L144" s="77">
        <v>5494.06</v>
      </c>
      <c r="M144" s="78">
        <f t="shared" si="4"/>
        <v>0</v>
      </c>
      <c r="N144" s="100">
        <v>26</v>
      </c>
      <c r="O144" s="186">
        <v>77239.070000000007</v>
      </c>
      <c r="P144" s="186">
        <v>77239.070000000007</v>
      </c>
      <c r="Q144" s="188">
        <f t="shared" si="3"/>
        <v>0</v>
      </c>
    </row>
    <row r="145" spans="1:18" s="13" customFormat="1" ht="15.75" x14ac:dyDescent="0.25">
      <c r="A145" s="10"/>
      <c r="B145" s="30" t="s">
        <v>310</v>
      </c>
      <c r="C145" s="181"/>
      <c r="D145" s="182"/>
      <c r="E145" s="183" t="s">
        <v>20</v>
      </c>
      <c r="F145" s="73"/>
      <c r="G145" s="184" t="s">
        <v>114</v>
      </c>
      <c r="H145" s="181"/>
      <c r="I145" s="185"/>
      <c r="J145" s="190"/>
      <c r="K145" s="77"/>
      <c r="L145" s="77"/>
      <c r="M145" s="78"/>
      <c r="N145" s="100"/>
      <c r="O145" s="186"/>
      <c r="P145" s="186"/>
      <c r="Q145" s="188">
        <f t="shared" si="3"/>
        <v>0</v>
      </c>
    </row>
    <row r="146" spans="1:18" s="13" customFormat="1" ht="15.75" x14ac:dyDescent="0.25">
      <c r="A146" s="10"/>
      <c r="B146" s="30" t="s">
        <v>84</v>
      </c>
      <c r="C146" s="181"/>
      <c r="D146" s="182"/>
      <c r="E146" s="183" t="s">
        <v>20</v>
      </c>
      <c r="F146" s="73" t="s">
        <v>287</v>
      </c>
      <c r="G146" s="184" t="s">
        <v>114</v>
      </c>
      <c r="H146" s="181"/>
      <c r="I146" s="185"/>
      <c r="J146" s="190"/>
      <c r="K146" s="77"/>
      <c r="L146" s="77"/>
      <c r="M146" s="187">
        <f t="shared" si="4"/>
        <v>0</v>
      </c>
      <c r="N146" s="100"/>
      <c r="O146" s="186"/>
      <c r="P146" s="186"/>
      <c r="Q146" s="188">
        <f t="shared" si="3"/>
        <v>0</v>
      </c>
    </row>
    <row r="147" spans="1:18" s="13" customFormat="1" ht="45" x14ac:dyDescent="0.25">
      <c r="A147" s="10"/>
      <c r="B147" s="30" t="s">
        <v>85</v>
      </c>
      <c r="C147" s="181" t="s">
        <v>304</v>
      </c>
      <c r="D147" s="182" t="s">
        <v>415</v>
      </c>
      <c r="E147" s="183" t="s">
        <v>20</v>
      </c>
      <c r="F147" s="73" t="s">
        <v>395</v>
      </c>
      <c r="G147" s="74" t="s">
        <v>112</v>
      </c>
      <c r="H147" s="75">
        <v>12</v>
      </c>
      <c r="I147" s="76">
        <v>4</v>
      </c>
      <c r="J147" s="96"/>
      <c r="K147" s="77">
        <f>4800.58</f>
        <v>4800.58</v>
      </c>
      <c r="L147" s="77">
        <f>4800.58</f>
        <v>4800.58</v>
      </c>
      <c r="M147" s="78">
        <f t="shared" si="4"/>
        <v>0</v>
      </c>
      <c r="N147" s="100"/>
      <c r="O147" s="81">
        <f>3917.73+8936.21</f>
        <v>12853.939999999999</v>
      </c>
      <c r="P147" s="81">
        <f>3917.73+8936.21</f>
        <v>12853.939999999999</v>
      </c>
      <c r="Q147" s="79">
        <f t="shared" si="3"/>
        <v>0</v>
      </c>
      <c r="R147" s="141"/>
    </row>
    <row r="148" spans="1:18" s="13" customFormat="1" ht="15.75" x14ac:dyDescent="0.25">
      <c r="A148" s="10"/>
      <c r="B148" s="27" t="s">
        <v>86</v>
      </c>
      <c r="C148" s="181" t="s">
        <v>17</v>
      </c>
      <c r="D148" s="182"/>
      <c r="E148" s="194" t="s">
        <v>20</v>
      </c>
      <c r="F148" s="73" t="s">
        <v>396</v>
      </c>
      <c r="G148" s="74" t="s">
        <v>112</v>
      </c>
      <c r="H148" s="75">
        <v>10</v>
      </c>
      <c r="I148" s="76">
        <v>8</v>
      </c>
      <c r="J148" s="96">
        <f>1+3+1+7+2</f>
        <v>14</v>
      </c>
      <c r="K148" s="77">
        <f>950.9+5134.06+2091.97+528.03+8954.46</f>
        <v>17659.419999999998</v>
      </c>
      <c r="L148" s="77">
        <f>950.9+5134.06+2091.97+528.03+8954.46</f>
        <v>17659.419999999998</v>
      </c>
      <c r="M148" s="78">
        <f t="shared" si="4"/>
        <v>0</v>
      </c>
      <c r="N148" s="100">
        <f>15+4+2+1+2</f>
        <v>24</v>
      </c>
      <c r="O148" s="81">
        <f>30236.61+18366.75+8887.09+1077.68</f>
        <v>58568.13</v>
      </c>
      <c r="P148" s="81">
        <f>30236.61+18366.75+8887.09+1077.68</f>
        <v>58568.13</v>
      </c>
      <c r="Q148" s="188">
        <f t="shared" si="3"/>
        <v>0</v>
      </c>
      <c r="R148" s="141"/>
    </row>
    <row r="149" spans="1:18" s="13" customFormat="1" ht="15.75" x14ac:dyDescent="0.25">
      <c r="A149" s="10"/>
      <c r="B149" s="27" t="s">
        <v>86</v>
      </c>
      <c r="C149" s="181" t="s">
        <v>17</v>
      </c>
      <c r="D149" s="182"/>
      <c r="E149" s="194" t="s">
        <v>20</v>
      </c>
      <c r="F149" s="73" t="s">
        <v>465</v>
      </c>
      <c r="G149" s="184" t="s">
        <v>114</v>
      </c>
      <c r="H149" s="181">
        <v>2</v>
      </c>
      <c r="I149" s="185"/>
      <c r="J149" s="190"/>
      <c r="K149" s="77"/>
      <c r="L149" s="77"/>
      <c r="M149" s="78">
        <f t="shared" si="4"/>
        <v>0</v>
      </c>
      <c r="N149" s="100">
        <v>9</v>
      </c>
      <c r="O149" s="186">
        <v>15209.53</v>
      </c>
      <c r="P149" s="186">
        <v>15209.53</v>
      </c>
      <c r="Q149" s="188">
        <f t="shared" si="3"/>
        <v>0</v>
      </c>
    </row>
    <row r="150" spans="1:18" s="13" customFormat="1" ht="15.75" x14ac:dyDescent="0.25">
      <c r="A150" s="10"/>
      <c r="B150" s="62" t="s">
        <v>312</v>
      </c>
      <c r="C150" s="181" t="s">
        <v>17</v>
      </c>
      <c r="D150" s="182"/>
      <c r="E150" s="194" t="s">
        <v>20</v>
      </c>
      <c r="F150" s="73" t="s">
        <v>320</v>
      </c>
      <c r="G150" s="74" t="s">
        <v>112</v>
      </c>
      <c r="H150" s="75">
        <v>12</v>
      </c>
      <c r="I150" s="76">
        <v>2</v>
      </c>
      <c r="J150" s="96">
        <f>1+1</f>
        <v>2</v>
      </c>
      <c r="K150" s="77">
        <f>3319.49+845.24</f>
        <v>4164.7299999999996</v>
      </c>
      <c r="L150" s="77">
        <f>3319.49+845.24</f>
        <v>4164.7299999999996</v>
      </c>
      <c r="M150" s="78">
        <f t="shared" si="4"/>
        <v>0</v>
      </c>
      <c r="N150" s="100">
        <f>5+6</f>
        <v>11</v>
      </c>
      <c r="O150" s="81">
        <f>4226.2+6627.45</f>
        <v>10853.65</v>
      </c>
      <c r="P150" s="81">
        <f>4226.2+6627.45</f>
        <v>10853.65</v>
      </c>
      <c r="Q150" s="188"/>
      <c r="R150" s="141"/>
    </row>
    <row r="151" spans="1:18" s="13" customFormat="1" ht="15.75" x14ac:dyDescent="0.25">
      <c r="A151" s="10"/>
      <c r="B151" s="62" t="s">
        <v>494</v>
      </c>
      <c r="C151" s="181" t="s">
        <v>17</v>
      </c>
      <c r="D151" s="182"/>
      <c r="E151" s="194" t="s">
        <v>20</v>
      </c>
      <c r="F151" s="73" t="s">
        <v>497</v>
      </c>
      <c r="G151" s="74" t="s">
        <v>112</v>
      </c>
      <c r="H151" s="75">
        <v>6</v>
      </c>
      <c r="I151" s="76">
        <v>3</v>
      </c>
      <c r="J151" s="96">
        <f>1+1+1</f>
        <v>3</v>
      </c>
      <c r="K151" s="77">
        <f>3379+5494.06</f>
        <v>8873.0600000000013</v>
      </c>
      <c r="L151" s="77">
        <f>3379+5494.06</f>
        <v>8873.0600000000013</v>
      </c>
      <c r="M151" s="78">
        <f t="shared" si="4"/>
        <v>0</v>
      </c>
      <c r="N151" s="100"/>
      <c r="O151" s="81"/>
      <c r="P151" s="81"/>
      <c r="Q151" s="188"/>
      <c r="R151" s="141"/>
    </row>
    <row r="152" spans="1:18" s="13" customFormat="1" ht="15.75" x14ac:dyDescent="0.25">
      <c r="A152" s="10"/>
      <c r="B152" s="62" t="s">
        <v>494</v>
      </c>
      <c r="C152" s="181"/>
      <c r="D152" s="182"/>
      <c r="E152" s="194"/>
      <c r="F152" s="73"/>
      <c r="G152" s="74" t="s">
        <v>114</v>
      </c>
      <c r="H152" s="75">
        <v>17</v>
      </c>
      <c r="I152" s="76"/>
      <c r="J152" s="96"/>
      <c r="K152" s="77"/>
      <c r="L152" s="77"/>
      <c r="M152" s="187"/>
      <c r="N152" s="100"/>
      <c r="O152" s="81"/>
      <c r="P152" s="81"/>
      <c r="Q152" s="188">
        <f t="shared" ref="Q152:Q195" si="5">O152-P152</f>
        <v>0</v>
      </c>
      <c r="R152" s="141"/>
    </row>
    <row r="153" spans="1:18" s="13" customFormat="1" ht="15.75" x14ac:dyDescent="0.25">
      <c r="A153" s="10"/>
      <c r="B153" s="30" t="s">
        <v>88</v>
      </c>
      <c r="C153" s="181" t="s">
        <v>17</v>
      </c>
      <c r="D153" s="182"/>
      <c r="E153" s="183" t="s">
        <v>89</v>
      </c>
      <c r="F153" s="73" t="s">
        <v>397</v>
      </c>
      <c r="G153" s="74" t="s">
        <v>112</v>
      </c>
      <c r="H153" s="75">
        <v>5</v>
      </c>
      <c r="I153" s="76">
        <v>5</v>
      </c>
      <c r="J153" s="96">
        <f>1+3+1</f>
        <v>5</v>
      </c>
      <c r="K153" s="77">
        <f>4226.2+2394.91+6485.1+556.71</f>
        <v>13662.919999999998</v>
      </c>
      <c r="L153" s="77">
        <f>4226.2+2394.91+6485.1+556.71</f>
        <v>13662.919999999998</v>
      </c>
      <c r="M153" s="78">
        <f>K153-L153</f>
        <v>0</v>
      </c>
      <c r="N153" s="100">
        <f>4+1+3+1+2+2+1+1</f>
        <v>15</v>
      </c>
      <c r="O153" s="81">
        <f>11967.83+2831.55+10544.37+9418.99+3799.13+1798.04+2548.4-12193.52</f>
        <v>30714.789999999997</v>
      </c>
      <c r="P153" s="81">
        <f>11967.83+2831.55+10544.37+9418.99+3799.13+1798.04+2548.4-12193.52</f>
        <v>30714.789999999997</v>
      </c>
      <c r="Q153" s="79">
        <f t="shared" si="5"/>
        <v>0</v>
      </c>
      <c r="R153" s="141"/>
    </row>
    <row r="154" spans="1:18" s="13" customFormat="1" ht="15.75" x14ac:dyDescent="0.25">
      <c r="A154" s="10"/>
      <c r="B154" s="30" t="s">
        <v>88</v>
      </c>
      <c r="C154" s="181" t="s">
        <v>17</v>
      </c>
      <c r="D154" s="182"/>
      <c r="E154" s="183" t="s">
        <v>89</v>
      </c>
      <c r="F154" s="73" t="s">
        <v>442</v>
      </c>
      <c r="G154" s="184" t="s">
        <v>118</v>
      </c>
      <c r="H154" s="181">
        <v>1</v>
      </c>
      <c r="I154" s="185"/>
      <c r="J154" s="96"/>
      <c r="K154" s="77"/>
      <c r="L154" s="77"/>
      <c r="M154" s="187">
        <f t="shared" si="4"/>
        <v>0</v>
      </c>
      <c r="N154" s="100">
        <v>3</v>
      </c>
      <c r="O154" s="186">
        <v>11020.82</v>
      </c>
      <c r="P154" s="186">
        <v>11020.82</v>
      </c>
      <c r="Q154" s="188">
        <f t="shared" si="5"/>
        <v>0</v>
      </c>
    </row>
    <row r="155" spans="1:18" s="13" customFormat="1" ht="15.75" x14ac:dyDescent="0.25">
      <c r="A155" s="10"/>
      <c r="B155" s="30" t="s">
        <v>88</v>
      </c>
      <c r="C155" s="181"/>
      <c r="D155" s="182"/>
      <c r="E155" s="183"/>
      <c r="F155" s="73"/>
      <c r="G155" s="184" t="s">
        <v>114</v>
      </c>
      <c r="H155" s="181">
        <v>4</v>
      </c>
      <c r="I155" s="185"/>
      <c r="J155" s="96"/>
      <c r="K155" s="77"/>
      <c r="L155" s="77"/>
      <c r="M155" s="187"/>
      <c r="N155" s="100"/>
      <c r="O155" s="186"/>
      <c r="P155" s="186"/>
      <c r="Q155" s="188">
        <f t="shared" si="5"/>
        <v>0</v>
      </c>
    </row>
    <row r="156" spans="1:18" s="13" customFormat="1" ht="15.75" x14ac:dyDescent="0.25">
      <c r="A156" s="10"/>
      <c r="B156" s="30" t="s">
        <v>90</v>
      </c>
      <c r="C156" s="181" t="s">
        <v>17</v>
      </c>
      <c r="D156" s="182"/>
      <c r="E156" s="194" t="s">
        <v>20</v>
      </c>
      <c r="F156" s="73" t="s">
        <v>398</v>
      </c>
      <c r="G156" s="74" t="s">
        <v>112</v>
      </c>
      <c r="H156" s="75">
        <v>8</v>
      </c>
      <c r="I156" s="76">
        <v>3</v>
      </c>
      <c r="J156" s="96">
        <f>1+1+1</f>
        <v>3</v>
      </c>
      <c r="K156" s="77">
        <f>422.62+4662.44</f>
        <v>5085.0599999999995</v>
      </c>
      <c r="L156" s="77">
        <f>422.62+4662.44</f>
        <v>5085.0599999999995</v>
      </c>
      <c r="M156" s="78">
        <f>K156-L156</f>
        <v>0</v>
      </c>
      <c r="N156" s="100">
        <f>1+1+1+1</f>
        <v>4</v>
      </c>
      <c r="O156" s="81">
        <f>2122.67+787.61+15453.48</f>
        <v>18363.759999999998</v>
      </c>
      <c r="P156" s="81">
        <f>2122.67+787.61+15453.48</f>
        <v>18363.759999999998</v>
      </c>
      <c r="Q156" s="79">
        <f t="shared" si="5"/>
        <v>0</v>
      </c>
      <c r="R156" s="141"/>
    </row>
    <row r="157" spans="1:18" s="13" customFormat="1" ht="15.75" x14ac:dyDescent="0.25">
      <c r="A157" s="10"/>
      <c r="B157" s="30" t="s">
        <v>90</v>
      </c>
      <c r="C157" s="181" t="s">
        <v>17</v>
      </c>
      <c r="D157" s="182"/>
      <c r="E157" s="194" t="s">
        <v>20</v>
      </c>
      <c r="F157" s="73" t="s">
        <v>466</v>
      </c>
      <c r="G157" s="184" t="s">
        <v>114</v>
      </c>
      <c r="H157" s="181">
        <v>12</v>
      </c>
      <c r="I157" s="185">
        <v>3</v>
      </c>
      <c r="J157" s="190">
        <v>3</v>
      </c>
      <c r="K157" s="77">
        <v>3265.7</v>
      </c>
      <c r="L157" s="77">
        <v>3265.7</v>
      </c>
      <c r="M157" s="78">
        <f t="shared" si="4"/>
        <v>0</v>
      </c>
      <c r="N157" s="100">
        <v>23</v>
      </c>
      <c r="O157" s="186">
        <v>63873.7</v>
      </c>
      <c r="P157" s="186">
        <v>63873.7</v>
      </c>
      <c r="Q157" s="188">
        <f t="shared" si="5"/>
        <v>0</v>
      </c>
    </row>
    <row r="158" spans="1:18" s="13" customFormat="1" ht="15.75" x14ac:dyDescent="0.25">
      <c r="A158" s="10"/>
      <c r="B158" s="30" t="s">
        <v>91</v>
      </c>
      <c r="C158" s="181" t="s">
        <v>17</v>
      </c>
      <c r="D158" s="182"/>
      <c r="E158" s="194" t="s">
        <v>20</v>
      </c>
      <c r="F158" s="73" t="s">
        <v>399</v>
      </c>
      <c r="G158" s="74" t="s">
        <v>112</v>
      </c>
      <c r="H158" s="75"/>
      <c r="I158" s="76"/>
      <c r="J158" s="96"/>
      <c r="K158" s="77"/>
      <c r="L158" s="77"/>
      <c r="M158" s="78">
        <f>K158-L158</f>
        <v>0</v>
      </c>
      <c r="N158" s="100"/>
      <c r="O158" s="81"/>
      <c r="P158" s="81"/>
      <c r="Q158" s="79">
        <f t="shared" si="5"/>
        <v>0</v>
      </c>
      <c r="R158" s="141"/>
    </row>
    <row r="159" spans="1:18" s="13" customFormat="1" ht="15.75" x14ac:dyDescent="0.25">
      <c r="A159" s="10"/>
      <c r="B159" s="62" t="s">
        <v>138</v>
      </c>
      <c r="C159" s="181" t="s">
        <v>17</v>
      </c>
      <c r="D159" s="182"/>
      <c r="E159" s="194" t="s">
        <v>20</v>
      </c>
      <c r="F159" s="73" t="s">
        <v>467</v>
      </c>
      <c r="G159" s="184" t="s">
        <v>114</v>
      </c>
      <c r="H159" s="181">
        <v>6</v>
      </c>
      <c r="I159" s="185">
        <v>1</v>
      </c>
      <c r="J159" s="190">
        <v>1</v>
      </c>
      <c r="K159" s="193"/>
      <c r="L159" s="193"/>
      <c r="M159" s="78">
        <f t="shared" si="4"/>
        <v>0</v>
      </c>
      <c r="N159" s="114">
        <v>6</v>
      </c>
      <c r="O159" s="186">
        <v>4530.3999999999996</v>
      </c>
      <c r="P159" s="186">
        <v>4530.3999999999996</v>
      </c>
      <c r="Q159" s="188">
        <f t="shared" si="5"/>
        <v>0</v>
      </c>
    </row>
    <row r="160" spans="1:18" s="13" customFormat="1" ht="15.75" x14ac:dyDescent="0.25">
      <c r="A160" s="10"/>
      <c r="B160" s="62" t="s">
        <v>138</v>
      </c>
      <c r="C160" s="181" t="s">
        <v>17</v>
      </c>
      <c r="D160" s="182"/>
      <c r="E160" s="194" t="s">
        <v>20</v>
      </c>
      <c r="F160" s="73" t="s">
        <v>400</v>
      </c>
      <c r="G160" s="74" t="s">
        <v>112</v>
      </c>
      <c r="H160" s="75">
        <v>9</v>
      </c>
      <c r="I160" s="82">
        <v>3</v>
      </c>
      <c r="J160" s="96">
        <f>3</f>
        <v>3</v>
      </c>
      <c r="K160" s="77">
        <f>2224.52</f>
        <v>2224.52</v>
      </c>
      <c r="L160" s="77">
        <f>2224.52</f>
        <v>2224.52</v>
      </c>
      <c r="M160" s="78">
        <f t="shared" si="4"/>
        <v>0</v>
      </c>
      <c r="N160" s="100">
        <f>5+4</f>
        <v>9</v>
      </c>
      <c r="O160" s="81">
        <f>8995.87+8641.99</f>
        <v>17637.86</v>
      </c>
      <c r="P160" s="81">
        <f>8995.87+8641.99</f>
        <v>17637.86</v>
      </c>
      <c r="Q160" s="79">
        <f t="shared" si="5"/>
        <v>0</v>
      </c>
      <c r="R160" s="141"/>
    </row>
    <row r="161" spans="1:18" s="13" customFormat="1" ht="15.75" x14ac:dyDescent="0.25">
      <c r="A161" s="10"/>
      <c r="B161" s="62" t="s">
        <v>157</v>
      </c>
      <c r="C161" s="181" t="s">
        <v>17</v>
      </c>
      <c r="D161" s="182"/>
      <c r="E161" s="194" t="s">
        <v>20</v>
      </c>
      <c r="F161" s="73" t="s">
        <v>401</v>
      </c>
      <c r="G161" s="74" t="s">
        <v>112</v>
      </c>
      <c r="H161" s="75">
        <v>9</v>
      </c>
      <c r="I161" s="82"/>
      <c r="J161" s="96"/>
      <c r="K161" s="77"/>
      <c r="L161" s="77"/>
      <c r="M161" s="78">
        <f t="shared" ref="M161" si="6">K161-L161</f>
        <v>0</v>
      </c>
      <c r="N161" s="100"/>
      <c r="O161" s="81"/>
      <c r="P161" s="81"/>
      <c r="Q161" s="188">
        <f t="shared" si="5"/>
        <v>0</v>
      </c>
      <c r="R161" s="141"/>
    </row>
    <row r="162" spans="1:18" s="13" customFormat="1" ht="15.75" x14ac:dyDescent="0.25">
      <c r="A162" s="10"/>
      <c r="B162" s="62" t="s">
        <v>157</v>
      </c>
      <c r="C162" s="181" t="s">
        <v>17</v>
      </c>
      <c r="D162" s="182"/>
      <c r="E162" s="194" t="s">
        <v>20</v>
      </c>
      <c r="F162" s="73"/>
      <c r="G162" s="184" t="s">
        <v>114</v>
      </c>
      <c r="H162" s="181"/>
      <c r="I162" s="185"/>
      <c r="J162" s="190"/>
      <c r="K162" s="193"/>
      <c r="L162" s="193"/>
      <c r="M162" s="187">
        <f t="shared" ref="M162:M193" si="7">K162-L162</f>
        <v>0</v>
      </c>
      <c r="N162" s="114"/>
      <c r="O162" s="186"/>
      <c r="P162" s="186"/>
      <c r="Q162" s="188">
        <f t="shared" si="5"/>
        <v>0</v>
      </c>
    </row>
    <row r="163" spans="1:18" s="15" customFormat="1" ht="15.75" x14ac:dyDescent="0.25">
      <c r="A163" s="14"/>
      <c r="B163" s="80" t="s">
        <v>92</v>
      </c>
      <c r="C163" s="181" t="s">
        <v>17</v>
      </c>
      <c r="D163" s="182"/>
      <c r="E163" s="194" t="s">
        <v>20</v>
      </c>
      <c r="F163" s="73" t="s">
        <v>402</v>
      </c>
      <c r="G163" s="74" t="s">
        <v>112</v>
      </c>
      <c r="H163" s="75">
        <v>7</v>
      </c>
      <c r="I163" s="76">
        <v>3</v>
      </c>
      <c r="J163" s="96">
        <f>1+2</f>
        <v>3</v>
      </c>
      <c r="K163" s="77">
        <f>1951.74+1335.1</f>
        <v>3286.84</v>
      </c>
      <c r="L163" s="77">
        <f>1951.74+1335.1</f>
        <v>3286.84</v>
      </c>
      <c r="M163" s="78">
        <f>K163-L163</f>
        <v>0</v>
      </c>
      <c r="N163" s="100">
        <f>4+1+1</f>
        <v>6</v>
      </c>
      <c r="O163" s="81">
        <f>12624.74+2697.06+1225.93</f>
        <v>16547.73</v>
      </c>
      <c r="P163" s="81">
        <f>12624.74+2697.06+1225.93</f>
        <v>16547.73</v>
      </c>
      <c r="Q163" s="188">
        <f t="shared" si="5"/>
        <v>0</v>
      </c>
      <c r="R163" s="141"/>
    </row>
    <row r="164" spans="1:18" s="15" customFormat="1" ht="15.75" x14ac:dyDescent="0.25">
      <c r="A164" s="14"/>
      <c r="B164" s="80" t="s">
        <v>92</v>
      </c>
      <c r="C164" s="181" t="s">
        <v>17</v>
      </c>
      <c r="D164" s="182"/>
      <c r="E164" s="194" t="s">
        <v>20</v>
      </c>
      <c r="F164" s="73" t="s">
        <v>129</v>
      </c>
      <c r="G164" s="184" t="s">
        <v>114</v>
      </c>
      <c r="H164" s="181"/>
      <c r="I164" s="185"/>
      <c r="J164" s="190"/>
      <c r="K164" s="77"/>
      <c r="L164" s="77"/>
      <c r="M164" s="187">
        <f t="shared" si="7"/>
        <v>0</v>
      </c>
      <c r="N164" s="114"/>
      <c r="O164" s="186"/>
      <c r="P164" s="186"/>
      <c r="Q164" s="188">
        <f t="shared" si="5"/>
        <v>0</v>
      </c>
    </row>
    <row r="165" spans="1:18" s="13" customFormat="1" ht="15.75" x14ac:dyDescent="0.25">
      <c r="A165" s="10"/>
      <c r="B165" s="30" t="s">
        <v>93</v>
      </c>
      <c r="C165" s="181" t="s">
        <v>17</v>
      </c>
      <c r="D165" s="182"/>
      <c r="E165" s="183" t="s">
        <v>94</v>
      </c>
      <c r="F165" s="73" t="s">
        <v>403</v>
      </c>
      <c r="G165" s="74" t="s">
        <v>112</v>
      </c>
      <c r="H165" s="75">
        <v>7</v>
      </c>
      <c r="I165" s="76">
        <v>2</v>
      </c>
      <c r="J165" s="96">
        <f>2</f>
        <v>2</v>
      </c>
      <c r="K165" s="77">
        <f>2336.84</f>
        <v>2336.84</v>
      </c>
      <c r="L165" s="77">
        <f>2336.84</f>
        <v>2336.84</v>
      </c>
      <c r="M165" s="78">
        <f>K165-L165</f>
        <v>0</v>
      </c>
      <c r="N165" s="100">
        <f>3+8</f>
        <v>11</v>
      </c>
      <c r="O165" s="81">
        <f>20117.75</f>
        <v>20117.75</v>
      </c>
      <c r="P165" s="81">
        <f>20117.75</f>
        <v>20117.75</v>
      </c>
      <c r="Q165" s="188">
        <f t="shared" si="5"/>
        <v>0</v>
      </c>
      <c r="R165" s="141"/>
    </row>
    <row r="166" spans="1:18" s="13" customFormat="1" ht="15.75" x14ac:dyDescent="0.25">
      <c r="A166" s="10"/>
      <c r="B166" s="30" t="s">
        <v>93</v>
      </c>
      <c r="C166" s="181" t="s">
        <v>17</v>
      </c>
      <c r="D166" s="182"/>
      <c r="E166" s="183" t="s">
        <v>94</v>
      </c>
      <c r="F166" s="73" t="s">
        <v>130</v>
      </c>
      <c r="G166" s="184" t="s">
        <v>114</v>
      </c>
      <c r="H166" s="181"/>
      <c r="I166" s="185"/>
      <c r="J166" s="190"/>
      <c r="K166" s="77"/>
      <c r="L166" s="77"/>
      <c r="M166" s="187">
        <f t="shared" si="7"/>
        <v>0</v>
      </c>
      <c r="N166" s="100"/>
      <c r="O166" s="186"/>
      <c r="P166" s="186"/>
      <c r="Q166" s="188">
        <f t="shared" si="5"/>
        <v>0</v>
      </c>
    </row>
    <row r="167" spans="1:18" s="13" customFormat="1" ht="15.75" x14ac:dyDescent="0.25">
      <c r="A167" s="10"/>
      <c r="B167" s="30" t="s">
        <v>93</v>
      </c>
      <c r="C167" s="181" t="s">
        <v>17</v>
      </c>
      <c r="D167" s="182"/>
      <c r="E167" s="183" t="s">
        <v>94</v>
      </c>
      <c r="F167" s="73" t="s">
        <v>240</v>
      </c>
      <c r="G167" s="184" t="s">
        <v>118</v>
      </c>
      <c r="H167" s="181"/>
      <c r="I167" s="185"/>
      <c r="J167" s="96"/>
      <c r="K167" s="77"/>
      <c r="L167" s="77"/>
      <c r="M167" s="78">
        <f t="shared" si="7"/>
        <v>0</v>
      </c>
      <c r="N167" s="100"/>
      <c r="O167" s="186"/>
      <c r="P167" s="186"/>
      <c r="Q167" s="188">
        <f t="shared" si="5"/>
        <v>0</v>
      </c>
    </row>
    <row r="168" spans="1:18" s="13" customFormat="1" ht="15.75" x14ac:dyDescent="0.25">
      <c r="A168" s="10"/>
      <c r="B168" s="30" t="s">
        <v>95</v>
      </c>
      <c r="C168" s="181" t="s">
        <v>17</v>
      </c>
      <c r="D168" s="182"/>
      <c r="E168" s="194" t="s">
        <v>20</v>
      </c>
      <c r="F168" s="73" t="s">
        <v>404</v>
      </c>
      <c r="G168" s="74" t="s">
        <v>112</v>
      </c>
      <c r="H168" s="75">
        <v>14</v>
      </c>
      <c r="I168" s="76">
        <v>6</v>
      </c>
      <c r="J168" s="96">
        <f>1+4+4</f>
        <v>9</v>
      </c>
      <c r="K168" s="77">
        <f>1061.35+5770.05</f>
        <v>6831.4</v>
      </c>
      <c r="L168" s="77">
        <f>1061.35+5770.05</f>
        <v>6831.4</v>
      </c>
      <c r="M168" s="78">
        <f>K168-L168</f>
        <v>0</v>
      </c>
      <c r="N168" s="100">
        <f>1+6+1+4</f>
        <v>12</v>
      </c>
      <c r="O168" s="81">
        <f>11603.82+7559.28+6777.29</f>
        <v>25940.39</v>
      </c>
      <c r="P168" s="81">
        <f>11603.82+7559.28+6777.29</f>
        <v>25940.39</v>
      </c>
      <c r="Q168" s="79">
        <f t="shared" si="5"/>
        <v>0</v>
      </c>
      <c r="R168" s="141"/>
    </row>
    <row r="169" spans="1:18" s="13" customFormat="1" ht="15.75" x14ac:dyDescent="0.25">
      <c r="A169" s="10"/>
      <c r="B169" s="30" t="s">
        <v>95</v>
      </c>
      <c r="C169" s="181" t="s">
        <v>17</v>
      </c>
      <c r="D169" s="182"/>
      <c r="E169" s="194" t="s">
        <v>20</v>
      </c>
      <c r="F169" s="73" t="s">
        <v>291</v>
      </c>
      <c r="G169" s="184" t="s">
        <v>114</v>
      </c>
      <c r="H169" s="181">
        <v>7</v>
      </c>
      <c r="I169" s="185">
        <v>1</v>
      </c>
      <c r="J169" s="190">
        <v>1</v>
      </c>
      <c r="K169" s="77"/>
      <c r="L169" s="77"/>
      <c r="M169" s="78">
        <f t="shared" si="7"/>
        <v>0</v>
      </c>
      <c r="N169" s="100">
        <v>11</v>
      </c>
      <c r="O169" s="186">
        <v>23916.45</v>
      </c>
      <c r="P169" s="186">
        <v>23916.45</v>
      </c>
      <c r="Q169" s="188">
        <f t="shared" si="5"/>
        <v>0</v>
      </c>
    </row>
    <row r="170" spans="1:18" s="13" customFormat="1" ht="15.75" x14ac:dyDescent="0.25">
      <c r="A170" s="10"/>
      <c r="B170" s="30" t="s">
        <v>96</v>
      </c>
      <c r="C170" s="181" t="s">
        <v>17</v>
      </c>
      <c r="D170" s="182"/>
      <c r="E170" s="194" t="s">
        <v>97</v>
      </c>
      <c r="F170" s="73" t="s">
        <v>405</v>
      </c>
      <c r="G170" s="74" t="s">
        <v>112</v>
      </c>
      <c r="H170" s="75">
        <v>1</v>
      </c>
      <c r="I170" s="76">
        <v>1</v>
      </c>
      <c r="J170" s="96">
        <f>2</f>
        <v>2</v>
      </c>
      <c r="K170" s="77"/>
      <c r="L170" s="77"/>
      <c r="M170" s="78">
        <f>K170-L170</f>
        <v>0</v>
      </c>
      <c r="N170" s="103">
        <f>1+2+1</f>
        <v>4</v>
      </c>
      <c r="O170" s="77">
        <f>1742.31+9358.48</f>
        <v>11100.789999999999</v>
      </c>
      <c r="P170" s="77">
        <f>1742.31+9358.48</f>
        <v>11100.789999999999</v>
      </c>
      <c r="Q170" s="79">
        <f t="shared" si="5"/>
        <v>0</v>
      </c>
      <c r="R170" s="141"/>
    </row>
    <row r="171" spans="1:18" s="13" customFormat="1" ht="15.75" x14ac:dyDescent="0.25">
      <c r="A171" s="10"/>
      <c r="B171" s="30" t="s">
        <v>96</v>
      </c>
      <c r="C171" s="181" t="s">
        <v>17</v>
      </c>
      <c r="D171" s="182"/>
      <c r="E171" s="194" t="s">
        <v>97</v>
      </c>
      <c r="F171" s="73" t="s">
        <v>468</v>
      </c>
      <c r="G171" s="184" t="s">
        <v>114</v>
      </c>
      <c r="H171" s="181">
        <v>1</v>
      </c>
      <c r="I171" s="185"/>
      <c r="J171" s="190"/>
      <c r="K171" s="77"/>
      <c r="L171" s="77"/>
      <c r="M171" s="78">
        <f t="shared" si="7"/>
        <v>0</v>
      </c>
      <c r="N171" s="100">
        <v>3</v>
      </c>
      <c r="O171" s="186">
        <v>3682</v>
      </c>
      <c r="P171" s="186">
        <v>3682</v>
      </c>
      <c r="Q171" s="188">
        <f t="shared" si="5"/>
        <v>0</v>
      </c>
    </row>
    <row r="172" spans="1:18" s="13" customFormat="1" ht="15.75" x14ac:dyDescent="0.25">
      <c r="A172" s="10"/>
      <c r="B172" s="30" t="s">
        <v>98</v>
      </c>
      <c r="C172" s="181" t="s">
        <v>17</v>
      </c>
      <c r="D172" s="182"/>
      <c r="E172" s="194" t="s">
        <v>35</v>
      </c>
      <c r="F172" s="73" t="s">
        <v>406</v>
      </c>
      <c r="G172" s="74" t="s">
        <v>112</v>
      </c>
      <c r="H172" s="75">
        <v>22</v>
      </c>
      <c r="I172" s="76">
        <v>5</v>
      </c>
      <c r="J172" s="96">
        <f>1+2+1+1</f>
        <v>5</v>
      </c>
      <c r="K172" s="77">
        <f>845.24+1764.25+8353.03+1298.98+7610.68</f>
        <v>19872.18</v>
      </c>
      <c r="L172" s="77">
        <f>845.24+1764.25+8353.03+1298.98+7610.68</f>
        <v>19872.18</v>
      </c>
      <c r="M172" s="78">
        <f>K172-L172</f>
        <v>0</v>
      </c>
      <c r="N172" s="100">
        <f>9+1+1+4+2+1+2</f>
        <v>20</v>
      </c>
      <c r="O172" s="81">
        <f>73585.55</f>
        <v>73585.55</v>
      </c>
      <c r="P172" s="81">
        <f>73585.55</f>
        <v>73585.55</v>
      </c>
      <c r="Q172" s="79">
        <f t="shared" si="5"/>
        <v>0</v>
      </c>
      <c r="R172" s="141"/>
    </row>
    <row r="173" spans="1:18" s="13" customFormat="1" ht="15.75" x14ac:dyDescent="0.25">
      <c r="A173" s="10"/>
      <c r="B173" s="30" t="s">
        <v>98</v>
      </c>
      <c r="C173" s="181" t="s">
        <v>17</v>
      </c>
      <c r="D173" s="182"/>
      <c r="E173" s="194" t="s">
        <v>35</v>
      </c>
      <c r="F173" s="73" t="s">
        <v>435</v>
      </c>
      <c r="G173" s="195" t="s">
        <v>117</v>
      </c>
      <c r="H173" s="181">
        <v>2</v>
      </c>
      <c r="I173" s="185">
        <v>1</v>
      </c>
      <c r="J173" s="96">
        <v>1</v>
      </c>
      <c r="K173" s="77">
        <v>1162.21</v>
      </c>
      <c r="L173" s="77">
        <v>1162.21</v>
      </c>
      <c r="M173" s="78">
        <f t="shared" si="7"/>
        <v>0</v>
      </c>
      <c r="N173" s="100">
        <f>4</f>
        <v>4</v>
      </c>
      <c r="O173" s="77">
        <v>10721.75</v>
      </c>
      <c r="P173" s="77">
        <v>10721.75</v>
      </c>
      <c r="Q173" s="188">
        <f t="shared" si="5"/>
        <v>0</v>
      </c>
    </row>
    <row r="174" spans="1:18" s="13" customFormat="1" ht="15.75" x14ac:dyDescent="0.25">
      <c r="A174" s="10"/>
      <c r="B174" s="30" t="s">
        <v>488</v>
      </c>
      <c r="C174" s="181" t="s">
        <v>17</v>
      </c>
      <c r="D174" s="182"/>
      <c r="E174" s="194" t="s">
        <v>97</v>
      </c>
      <c r="F174" s="73" t="s">
        <v>498</v>
      </c>
      <c r="G174" s="195" t="s">
        <v>112</v>
      </c>
      <c r="H174" s="181">
        <v>5</v>
      </c>
      <c r="I174" s="185">
        <v>4</v>
      </c>
      <c r="J174" s="96">
        <f>4</f>
        <v>4</v>
      </c>
      <c r="K174" s="77">
        <v>1535.8</v>
      </c>
      <c r="L174" s="77">
        <v>1535.8</v>
      </c>
      <c r="M174" s="78">
        <f t="shared" si="7"/>
        <v>0</v>
      </c>
      <c r="N174" s="100"/>
      <c r="O174" s="77"/>
      <c r="P174" s="77"/>
      <c r="Q174" s="188"/>
    </row>
    <row r="175" spans="1:18" s="15" customFormat="1" ht="15.75" x14ac:dyDescent="0.25">
      <c r="A175" s="14"/>
      <c r="B175" s="84" t="s">
        <v>99</v>
      </c>
      <c r="C175" s="181" t="s">
        <v>17</v>
      </c>
      <c r="D175" s="182"/>
      <c r="E175" s="183" t="s">
        <v>32</v>
      </c>
      <c r="F175" s="73" t="s">
        <v>418</v>
      </c>
      <c r="G175" s="74" t="s">
        <v>112</v>
      </c>
      <c r="H175" s="75"/>
      <c r="I175" s="76"/>
      <c r="J175" s="96"/>
      <c r="K175" s="77"/>
      <c r="L175" s="77"/>
      <c r="M175" s="78">
        <f t="shared" si="7"/>
        <v>0</v>
      </c>
      <c r="N175" s="100"/>
      <c r="O175" s="81"/>
      <c r="P175" s="81"/>
      <c r="Q175" s="79">
        <f t="shared" si="5"/>
        <v>0</v>
      </c>
      <c r="R175" s="141"/>
    </row>
    <row r="176" spans="1:18" s="15" customFormat="1" ht="15.75" x14ac:dyDescent="0.25">
      <c r="A176" s="14"/>
      <c r="B176" s="84" t="s">
        <v>99</v>
      </c>
      <c r="C176" s="181" t="s">
        <v>17</v>
      </c>
      <c r="D176" s="182"/>
      <c r="E176" s="183" t="s">
        <v>32</v>
      </c>
      <c r="F176" s="73" t="s">
        <v>423</v>
      </c>
      <c r="G176" s="195" t="s">
        <v>117</v>
      </c>
      <c r="H176" s="181"/>
      <c r="I176" s="185"/>
      <c r="J176" s="190"/>
      <c r="K176" s="77"/>
      <c r="L176" s="77"/>
      <c r="M176" s="78">
        <f t="shared" si="7"/>
        <v>0</v>
      </c>
      <c r="N176" s="114"/>
      <c r="O176" s="77"/>
      <c r="P176" s="77"/>
      <c r="Q176" s="188">
        <f t="shared" si="5"/>
        <v>0</v>
      </c>
    </row>
    <row r="177" spans="1:18" s="15" customFormat="1" ht="30" x14ac:dyDescent="0.25">
      <c r="A177" s="14"/>
      <c r="B177" s="30" t="s">
        <v>144</v>
      </c>
      <c r="C177" s="181" t="s">
        <v>304</v>
      </c>
      <c r="D177" s="182" t="s">
        <v>313</v>
      </c>
      <c r="E177" s="194" t="s">
        <v>97</v>
      </c>
      <c r="F177" s="73" t="s">
        <v>407</v>
      </c>
      <c r="G177" s="66" t="s">
        <v>112</v>
      </c>
      <c r="H177" s="75">
        <v>12</v>
      </c>
      <c r="I177" s="76">
        <v>12</v>
      </c>
      <c r="J177" s="98">
        <f>2+2+1+3+1+1+5</f>
        <v>15</v>
      </c>
      <c r="K177" s="77">
        <f>950.9+1449.39+2272.32+2785.92</f>
        <v>7458.5300000000007</v>
      </c>
      <c r="L177" s="77">
        <f>950.9+1449.39+2272.32+2785.92</f>
        <v>7458.5300000000007</v>
      </c>
      <c r="M177" s="78">
        <f>K177-L177</f>
        <v>0</v>
      </c>
      <c r="N177" s="100">
        <f>3+2+1+1+1</f>
        <v>8</v>
      </c>
      <c r="O177" s="77">
        <f>5020.57+5566.06+2694.94+845.24</f>
        <v>14126.810000000001</v>
      </c>
      <c r="P177" s="77">
        <f>5020.57+5566.06+2694.94+845.24</f>
        <v>14126.810000000001</v>
      </c>
      <c r="Q177" s="79">
        <f t="shared" si="5"/>
        <v>0</v>
      </c>
      <c r="R177" s="141"/>
    </row>
    <row r="178" spans="1:18" s="15" customFormat="1" ht="15.75" x14ac:dyDescent="0.25">
      <c r="A178" s="14"/>
      <c r="B178" s="30" t="s">
        <v>488</v>
      </c>
      <c r="C178" s="181"/>
      <c r="D178" s="182"/>
      <c r="E178" s="194"/>
      <c r="F178" s="73"/>
      <c r="G178" s="66" t="s">
        <v>114</v>
      </c>
      <c r="H178" s="75">
        <v>16</v>
      </c>
      <c r="I178" s="76">
        <v>6</v>
      </c>
      <c r="J178" s="98">
        <v>6</v>
      </c>
      <c r="K178" s="77"/>
      <c r="L178" s="77"/>
      <c r="M178" s="187"/>
      <c r="N178" s="100"/>
      <c r="O178" s="77"/>
      <c r="P178" s="77"/>
      <c r="Q178" s="188">
        <f t="shared" si="5"/>
        <v>0</v>
      </c>
    </row>
    <row r="179" spans="1:18" s="15" customFormat="1" ht="15.75" x14ac:dyDescent="0.25">
      <c r="A179" s="14"/>
      <c r="B179" s="30" t="s">
        <v>488</v>
      </c>
      <c r="C179" s="181"/>
      <c r="D179" s="182"/>
      <c r="E179" s="194"/>
      <c r="F179" s="73"/>
      <c r="G179" s="66" t="s">
        <v>113</v>
      </c>
      <c r="H179" s="75">
        <v>11</v>
      </c>
      <c r="I179" s="76">
        <v>5</v>
      </c>
      <c r="J179" s="98">
        <v>5</v>
      </c>
      <c r="K179" s="77">
        <v>2747</v>
      </c>
      <c r="L179" s="77">
        <v>2747</v>
      </c>
      <c r="M179" s="78">
        <f t="shared" ref="M179" si="8">K179-L179</f>
        <v>0</v>
      </c>
      <c r="N179" s="100"/>
      <c r="O179" s="77"/>
      <c r="P179" s="77"/>
      <c r="Q179" s="79"/>
    </row>
    <row r="180" spans="1:18" s="15" customFormat="1" ht="30" x14ac:dyDescent="0.25">
      <c r="A180" s="14"/>
      <c r="B180" s="201" t="s">
        <v>144</v>
      </c>
      <c r="C180" s="181" t="s">
        <v>446</v>
      </c>
      <c r="D180" s="182" t="s">
        <v>313</v>
      </c>
      <c r="E180" s="183" t="s">
        <v>20</v>
      </c>
      <c r="F180" s="73" t="s">
        <v>485</v>
      </c>
      <c r="G180" s="195" t="s">
        <v>114</v>
      </c>
      <c r="H180" s="181">
        <v>19</v>
      </c>
      <c r="I180" s="192">
        <v>5</v>
      </c>
      <c r="J180" s="202">
        <v>5</v>
      </c>
      <c r="K180" s="77">
        <v>1921</v>
      </c>
      <c r="L180" s="77">
        <v>1921</v>
      </c>
      <c r="M180" s="78">
        <f t="shared" si="7"/>
        <v>0</v>
      </c>
      <c r="N180" s="101">
        <v>19</v>
      </c>
      <c r="O180" s="186">
        <v>29095.200000000001</v>
      </c>
      <c r="P180" s="186">
        <v>29095.200000000001</v>
      </c>
      <c r="Q180" s="188">
        <f t="shared" ref="Q180" si="9">O180-P180</f>
        <v>0</v>
      </c>
    </row>
    <row r="181" spans="1:18" s="21" customFormat="1" ht="45" x14ac:dyDescent="0.25">
      <c r="A181" s="1"/>
      <c r="B181" s="30" t="s">
        <v>100</v>
      </c>
      <c r="C181" s="181" t="s">
        <v>304</v>
      </c>
      <c r="D181" s="182" t="s">
        <v>416</v>
      </c>
      <c r="E181" s="194" t="s">
        <v>20</v>
      </c>
      <c r="F181" s="73" t="s">
        <v>408</v>
      </c>
      <c r="G181" s="27" t="s">
        <v>112</v>
      </c>
      <c r="H181" s="75">
        <v>11</v>
      </c>
      <c r="I181" s="76">
        <v>6</v>
      </c>
      <c r="J181" s="98">
        <f>5+1</f>
        <v>6</v>
      </c>
      <c r="K181" s="86">
        <f>6524.55+600.31</f>
        <v>7124.8600000000006</v>
      </c>
      <c r="L181" s="86">
        <f>6524.55+600.31</f>
        <v>7124.8600000000006</v>
      </c>
      <c r="M181" s="78">
        <f>K181-L181</f>
        <v>0</v>
      </c>
      <c r="N181" s="100">
        <f>1+3</f>
        <v>4</v>
      </c>
      <c r="O181" s="87">
        <f>10770.58+2113.01</f>
        <v>12883.59</v>
      </c>
      <c r="P181" s="87">
        <f>10770.58+2113.01</f>
        <v>12883.59</v>
      </c>
      <c r="Q181" s="79">
        <f t="shared" si="5"/>
        <v>0</v>
      </c>
      <c r="R181" s="141"/>
    </row>
    <row r="182" spans="1:18" s="21" customFormat="1" ht="60" x14ac:dyDescent="0.25">
      <c r="A182" s="1"/>
      <c r="B182" s="30" t="s">
        <v>100</v>
      </c>
      <c r="C182" s="203" t="s">
        <v>125</v>
      </c>
      <c r="D182" s="182" t="s">
        <v>126</v>
      </c>
      <c r="E182" s="194" t="s">
        <v>20</v>
      </c>
      <c r="F182" s="73" t="s">
        <v>486</v>
      </c>
      <c r="G182" s="200" t="s">
        <v>114</v>
      </c>
      <c r="H182" s="181">
        <v>8</v>
      </c>
      <c r="I182" s="192"/>
      <c r="J182" s="202"/>
      <c r="K182" s="86"/>
      <c r="L182" s="86"/>
      <c r="M182" s="78">
        <f t="shared" si="7"/>
        <v>0</v>
      </c>
      <c r="N182" s="100"/>
      <c r="O182" s="204"/>
      <c r="P182" s="204"/>
      <c r="Q182" s="188">
        <f t="shared" si="5"/>
        <v>0</v>
      </c>
    </row>
    <row r="183" spans="1:18" s="13" customFormat="1" ht="15.75" x14ac:dyDescent="0.25">
      <c r="A183" s="10"/>
      <c r="B183" s="62" t="s">
        <v>101</v>
      </c>
      <c r="C183" s="181" t="s">
        <v>17</v>
      </c>
      <c r="D183" s="182"/>
      <c r="E183" s="194" t="s">
        <v>20</v>
      </c>
      <c r="F183" s="73" t="s">
        <v>409</v>
      </c>
      <c r="G183" s="74" t="s">
        <v>112</v>
      </c>
      <c r="H183" s="75">
        <v>10</v>
      </c>
      <c r="I183" s="76">
        <v>5</v>
      </c>
      <c r="J183" s="96">
        <f>1+5+1+1</f>
        <v>8</v>
      </c>
      <c r="K183" s="77">
        <f>1045.98+3354.45+1225.93</f>
        <v>5626.3600000000006</v>
      </c>
      <c r="L183" s="77">
        <f>1045.98+3354.45+1225.93</f>
        <v>5626.3600000000006</v>
      </c>
      <c r="M183" s="78">
        <f t="shared" si="7"/>
        <v>0</v>
      </c>
      <c r="N183" s="100">
        <f>5+2+1</f>
        <v>8</v>
      </c>
      <c r="O183" s="81">
        <f>6288.07+3061.62+3426.18</f>
        <v>12775.869999999999</v>
      </c>
      <c r="P183" s="81">
        <f>6288.07+3061.62+3426.18</f>
        <v>12775.869999999999</v>
      </c>
      <c r="Q183" s="79">
        <f t="shared" si="5"/>
        <v>0</v>
      </c>
      <c r="R183" s="141"/>
    </row>
    <row r="184" spans="1:18" s="13" customFormat="1" ht="15.75" x14ac:dyDescent="0.25">
      <c r="A184" s="10"/>
      <c r="B184" s="62" t="s">
        <v>146</v>
      </c>
      <c r="C184" s="181" t="s">
        <v>17</v>
      </c>
      <c r="D184" s="182"/>
      <c r="E184" s="194" t="s">
        <v>20</v>
      </c>
      <c r="F184" s="73" t="s">
        <v>410</v>
      </c>
      <c r="G184" s="74" t="s">
        <v>112</v>
      </c>
      <c r="H184" s="75">
        <v>8</v>
      </c>
      <c r="I184" s="76">
        <v>6</v>
      </c>
      <c r="J184" s="96">
        <f>4+1</f>
        <v>5</v>
      </c>
      <c r="K184" s="77">
        <f>4610.77+1568.98</f>
        <v>6179.75</v>
      </c>
      <c r="L184" s="77">
        <f>4610.77+1568.98</f>
        <v>6179.75</v>
      </c>
      <c r="M184" s="78">
        <f t="shared" si="7"/>
        <v>0</v>
      </c>
      <c r="N184" s="100">
        <f>5+1+1+2</f>
        <v>9</v>
      </c>
      <c r="O184" s="81">
        <f>13579.06+1287.07+2636.18+26196.83</f>
        <v>43699.14</v>
      </c>
      <c r="P184" s="81">
        <f>13579.06+1287.07+2636.18+26196.83</f>
        <v>43699.14</v>
      </c>
      <c r="Q184" s="188">
        <f t="shared" si="5"/>
        <v>0</v>
      </c>
      <c r="R184" s="141"/>
    </row>
    <row r="185" spans="1:18" s="13" customFormat="1" ht="15.75" x14ac:dyDescent="0.25">
      <c r="A185" s="10"/>
      <c r="B185" s="62" t="s">
        <v>146</v>
      </c>
      <c r="C185" s="181" t="s">
        <v>17</v>
      </c>
      <c r="D185" s="182"/>
      <c r="E185" s="183" t="s">
        <v>21</v>
      </c>
      <c r="F185" s="73" t="s">
        <v>443</v>
      </c>
      <c r="G185" s="184" t="s">
        <v>118</v>
      </c>
      <c r="H185" s="181">
        <v>4</v>
      </c>
      <c r="I185" s="192"/>
      <c r="J185" s="190"/>
      <c r="K185" s="193"/>
      <c r="L185" s="193"/>
      <c r="M185" s="187">
        <f t="shared" si="7"/>
        <v>0</v>
      </c>
      <c r="N185" s="114">
        <v>5</v>
      </c>
      <c r="O185" s="186">
        <v>5349.99</v>
      </c>
      <c r="P185" s="186">
        <v>4497.03</v>
      </c>
      <c r="Q185" s="79">
        <f t="shared" si="5"/>
        <v>852.96</v>
      </c>
    </row>
    <row r="186" spans="1:18" s="13" customFormat="1" ht="15.75" x14ac:dyDescent="0.25">
      <c r="A186" s="10"/>
      <c r="B186" s="27" t="s">
        <v>102</v>
      </c>
      <c r="C186" s="181" t="s">
        <v>17</v>
      </c>
      <c r="D186" s="182"/>
      <c r="E186" s="194" t="s">
        <v>20</v>
      </c>
      <c r="F186" s="73" t="s">
        <v>411</v>
      </c>
      <c r="G186" s="74" t="s">
        <v>112</v>
      </c>
      <c r="H186" s="75">
        <v>10</v>
      </c>
      <c r="I186" s="76">
        <v>5</v>
      </c>
      <c r="J186" s="96">
        <f>1+1+2+1</f>
        <v>5</v>
      </c>
      <c r="K186" s="77">
        <f>845.24+845.24+1690.48+1394.65</f>
        <v>4775.6100000000006</v>
      </c>
      <c r="L186" s="77">
        <f>845.24+845.24+1690.48+1394.65</f>
        <v>4775.6100000000006</v>
      </c>
      <c r="M186" s="78">
        <f>K186-L186</f>
        <v>0</v>
      </c>
      <c r="N186" s="100">
        <f>3+1</f>
        <v>4</v>
      </c>
      <c r="O186" s="81">
        <f>7808.21+30833.77-12193.52+9963.17</f>
        <v>36411.630000000005</v>
      </c>
      <c r="P186" s="81">
        <f>7808.21+30833.77-12193.52+9963.17</f>
        <v>36411.630000000005</v>
      </c>
      <c r="Q186" s="188">
        <f t="shared" si="5"/>
        <v>0</v>
      </c>
      <c r="R186" s="141"/>
    </row>
    <row r="187" spans="1:18" s="13" customFormat="1" ht="15.75" x14ac:dyDescent="0.25">
      <c r="A187" s="10"/>
      <c r="B187" s="27" t="s">
        <v>102</v>
      </c>
      <c r="C187" s="181" t="s">
        <v>17</v>
      </c>
      <c r="D187" s="182"/>
      <c r="E187" s="194" t="s">
        <v>20</v>
      </c>
      <c r="F187" s="73" t="s">
        <v>469</v>
      </c>
      <c r="G187" s="184" t="s">
        <v>114</v>
      </c>
      <c r="H187" s="181">
        <v>6</v>
      </c>
      <c r="I187" s="185">
        <v>3</v>
      </c>
      <c r="J187" s="190">
        <v>3</v>
      </c>
      <c r="K187" s="77"/>
      <c r="L187" s="77"/>
      <c r="M187" s="187">
        <f t="shared" si="7"/>
        <v>0</v>
      </c>
      <c r="N187" s="100">
        <v>6</v>
      </c>
      <c r="O187" s="186">
        <v>16479.12</v>
      </c>
      <c r="P187" s="186">
        <v>16479.12</v>
      </c>
      <c r="Q187" s="188">
        <f t="shared" si="5"/>
        <v>0</v>
      </c>
    </row>
    <row r="188" spans="1:18" s="13" customFormat="1" ht="15.75" x14ac:dyDescent="0.25">
      <c r="A188" s="10"/>
      <c r="B188" s="27" t="s">
        <v>103</v>
      </c>
      <c r="C188" s="181" t="s">
        <v>17</v>
      </c>
      <c r="D188" s="182"/>
      <c r="E188" s="183" t="s">
        <v>20</v>
      </c>
      <c r="F188" s="73" t="s">
        <v>412</v>
      </c>
      <c r="G188" s="74" t="s">
        <v>112</v>
      </c>
      <c r="H188" s="75">
        <v>9</v>
      </c>
      <c r="I188" s="76">
        <v>5</v>
      </c>
      <c r="J188" s="96">
        <f>4+1</f>
        <v>5</v>
      </c>
      <c r="K188" s="77">
        <f>16248.67</f>
        <v>16248.67</v>
      </c>
      <c r="L188" s="77">
        <f>16248.67</f>
        <v>16248.67</v>
      </c>
      <c r="M188" s="78">
        <f>K188-L188</f>
        <v>0</v>
      </c>
      <c r="N188" s="100">
        <f>7+2+1</f>
        <v>10</v>
      </c>
      <c r="O188" s="77">
        <f>20193.14</f>
        <v>20193.14</v>
      </c>
      <c r="P188" s="77">
        <f>20193.14</f>
        <v>20193.14</v>
      </c>
      <c r="Q188" s="188">
        <f t="shared" si="5"/>
        <v>0</v>
      </c>
      <c r="R188" s="141"/>
    </row>
    <row r="189" spans="1:18" s="13" customFormat="1" ht="15.75" x14ac:dyDescent="0.25">
      <c r="A189" s="10"/>
      <c r="B189" s="27" t="s">
        <v>103</v>
      </c>
      <c r="C189" s="181" t="s">
        <v>17</v>
      </c>
      <c r="D189" s="182"/>
      <c r="E189" s="183" t="s">
        <v>20</v>
      </c>
      <c r="F189" s="73" t="s">
        <v>470</v>
      </c>
      <c r="G189" s="184" t="s">
        <v>114</v>
      </c>
      <c r="H189" s="181">
        <v>8</v>
      </c>
      <c r="I189" s="185">
        <v>1</v>
      </c>
      <c r="J189" s="190">
        <v>1</v>
      </c>
      <c r="K189" s="77"/>
      <c r="L189" s="77"/>
      <c r="M189" s="187">
        <f t="shared" si="7"/>
        <v>0</v>
      </c>
      <c r="N189" s="100">
        <v>4</v>
      </c>
      <c r="O189" s="186">
        <v>10431.89</v>
      </c>
      <c r="P189" s="186">
        <v>10431.89</v>
      </c>
      <c r="Q189" s="188">
        <f t="shared" si="5"/>
        <v>0</v>
      </c>
    </row>
    <row r="190" spans="1:18" s="15" customFormat="1" ht="15.75" x14ac:dyDescent="0.25">
      <c r="A190" s="14"/>
      <c r="B190" s="28" t="s">
        <v>104</v>
      </c>
      <c r="C190" s="181" t="s">
        <v>17</v>
      </c>
      <c r="D190" s="182"/>
      <c r="E190" s="183" t="s">
        <v>20</v>
      </c>
      <c r="F190" s="73" t="s">
        <v>413</v>
      </c>
      <c r="G190" s="74" t="s">
        <v>112</v>
      </c>
      <c r="H190" s="75">
        <v>9</v>
      </c>
      <c r="I190" s="76">
        <v>4</v>
      </c>
      <c r="J190" s="96">
        <f>3+1</f>
        <v>4</v>
      </c>
      <c r="K190" s="77">
        <f>5112.82+422.64</f>
        <v>5535.46</v>
      </c>
      <c r="L190" s="77">
        <f>5112.82+422.64</f>
        <v>5535.46</v>
      </c>
      <c r="M190" s="78">
        <f>K190-L190</f>
        <v>0</v>
      </c>
      <c r="N190" s="100">
        <f>4+1+1+2</f>
        <v>8</v>
      </c>
      <c r="O190" s="81">
        <f>7087.22+3426.18+3496.22</f>
        <v>14009.619999999999</v>
      </c>
      <c r="P190" s="81">
        <f>7087.22+3426.18+3496.22</f>
        <v>14009.619999999999</v>
      </c>
      <c r="Q190" s="188">
        <f t="shared" si="5"/>
        <v>0</v>
      </c>
      <c r="R190" s="141"/>
    </row>
    <row r="191" spans="1:18" s="15" customFormat="1" ht="15.75" x14ac:dyDescent="0.25">
      <c r="A191" s="14"/>
      <c r="B191" s="28" t="s">
        <v>104</v>
      </c>
      <c r="C191" s="181" t="s">
        <v>17</v>
      </c>
      <c r="D191" s="182"/>
      <c r="E191" s="183" t="s">
        <v>20</v>
      </c>
      <c r="F191" s="73" t="s">
        <v>471</v>
      </c>
      <c r="G191" s="184" t="s">
        <v>114</v>
      </c>
      <c r="H191" s="181">
        <v>26</v>
      </c>
      <c r="I191" s="185">
        <v>4</v>
      </c>
      <c r="J191" s="190">
        <v>4</v>
      </c>
      <c r="K191" s="77">
        <v>1267.8599999999999</v>
      </c>
      <c r="L191" s="77">
        <v>1267.8599999999999</v>
      </c>
      <c r="M191" s="187">
        <f t="shared" si="7"/>
        <v>0</v>
      </c>
      <c r="N191" s="114">
        <v>15</v>
      </c>
      <c r="O191" s="186">
        <v>21588.07</v>
      </c>
      <c r="P191" s="186">
        <v>21588.07</v>
      </c>
      <c r="Q191" s="188">
        <f t="shared" si="5"/>
        <v>0</v>
      </c>
    </row>
    <row r="192" spans="1:18" s="13" customFormat="1" ht="15.75" x14ac:dyDescent="0.25">
      <c r="A192" s="10"/>
      <c r="B192" s="30" t="s">
        <v>26</v>
      </c>
      <c r="C192" s="181" t="s">
        <v>17</v>
      </c>
      <c r="D192" s="182"/>
      <c r="E192" s="183" t="s">
        <v>32</v>
      </c>
      <c r="F192" s="73" t="s">
        <v>246</v>
      </c>
      <c r="G192" s="74" t="s">
        <v>117</v>
      </c>
      <c r="H192" s="75"/>
      <c r="I192" s="76"/>
      <c r="J192" s="96"/>
      <c r="K192" s="77"/>
      <c r="L192" s="77"/>
      <c r="M192" s="78">
        <f t="shared" si="7"/>
        <v>0</v>
      </c>
      <c r="N192" s="100">
        <v>5</v>
      </c>
      <c r="O192" s="81">
        <v>7808.15</v>
      </c>
      <c r="P192" s="81">
        <v>7808.15</v>
      </c>
      <c r="Q192" s="188">
        <f t="shared" si="5"/>
        <v>0</v>
      </c>
    </row>
    <row r="193" spans="1:18" s="13" customFormat="1" ht="15.75" x14ac:dyDescent="0.25">
      <c r="A193" s="10"/>
      <c r="B193" s="30" t="s">
        <v>105</v>
      </c>
      <c r="C193" s="181" t="s">
        <v>17</v>
      </c>
      <c r="D193" s="182"/>
      <c r="E193" s="194" t="s">
        <v>35</v>
      </c>
      <c r="F193" s="73" t="s">
        <v>436</v>
      </c>
      <c r="G193" s="184" t="s">
        <v>117</v>
      </c>
      <c r="H193" s="181"/>
      <c r="I193" s="192"/>
      <c r="J193" s="96"/>
      <c r="K193" s="77"/>
      <c r="L193" s="77"/>
      <c r="M193" s="187">
        <f t="shared" si="7"/>
        <v>0</v>
      </c>
      <c r="N193" s="100"/>
      <c r="O193" s="186"/>
      <c r="P193" s="186"/>
      <c r="Q193" s="79">
        <f t="shared" si="5"/>
        <v>0</v>
      </c>
    </row>
    <row r="194" spans="1:18" s="13" customFormat="1" ht="15.75" x14ac:dyDescent="0.25">
      <c r="A194" s="10"/>
      <c r="B194" s="62" t="s">
        <v>106</v>
      </c>
      <c r="C194" s="181" t="s">
        <v>17</v>
      </c>
      <c r="D194" s="205"/>
      <c r="E194" s="194" t="s">
        <v>20</v>
      </c>
      <c r="F194" s="73" t="s">
        <v>414</v>
      </c>
      <c r="G194" s="74" t="s">
        <v>112</v>
      </c>
      <c r="H194" s="75">
        <v>9</v>
      </c>
      <c r="I194" s="76"/>
      <c r="J194" s="96">
        <f>1</f>
        <v>1</v>
      </c>
      <c r="K194" s="77"/>
      <c r="L194" s="77"/>
      <c r="M194" s="78">
        <f>K194-L194</f>
        <v>0</v>
      </c>
      <c r="N194" s="100">
        <f>3+1</f>
        <v>4</v>
      </c>
      <c r="O194" s="81">
        <f>15956.85+4551.62</f>
        <v>20508.47</v>
      </c>
      <c r="P194" s="81">
        <f>15956.85+4551.62</f>
        <v>20508.47</v>
      </c>
      <c r="Q194" s="188">
        <f t="shared" si="5"/>
        <v>0</v>
      </c>
      <c r="R194" s="141"/>
    </row>
    <row r="195" spans="1:18" x14ac:dyDescent="0.25">
      <c r="A195" s="7"/>
      <c r="B195" s="66"/>
      <c r="C195" s="206"/>
      <c r="D195" s="195"/>
      <c r="E195" s="195"/>
      <c r="F195" s="73"/>
      <c r="G195" s="195" t="s">
        <v>131</v>
      </c>
      <c r="H195" s="207">
        <f t="shared" ref="H195:P195" si="10">SUM(H10:H194)</f>
        <v>1613</v>
      </c>
      <c r="I195" s="180">
        <f t="shared" si="10"/>
        <v>673</v>
      </c>
      <c r="J195" s="208">
        <f t="shared" si="10"/>
        <v>778</v>
      </c>
      <c r="K195" s="209">
        <f t="shared" si="10"/>
        <v>1109007.8550000004</v>
      </c>
      <c r="L195" s="209">
        <f t="shared" si="10"/>
        <v>1090660.6350000002</v>
      </c>
      <c r="M195" s="210">
        <f>K195-L195</f>
        <v>18347.220000000205</v>
      </c>
      <c r="N195" s="208">
        <f t="shared" si="10"/>
        <v>1495</v>
      </c>
      <c r="O195" s="211">
        <f t="shared" si="10"/>
        <v>4196241.07</v>
      </c>
      <c r="P195" s="211">
        <f t="shared" si="10"/>
        <v>4138172.6399999992</v>
      </c>
      <c r="Q195" s="79">
        <f t="shared" si="5"/>
        <v>58068.430000001099</v>
      </c>
      <c r="R195" s="129"/>
    </row>
    <row r="196" spans="1:18" x14ac:dyDescent="0.25">
      <c r="K196" s="91" t="s">
        <v>305</v>
      </c>
    </row>
    <row r="197" spans="1:18" ht="45" x14ac:dyDescent="0.25">
      <c r="B197" s="89" t="s">
        <v>316</v>
      </c>
      <c r="F197" s="104" t="s">
        <v>317</v>
      </c>
      <c r="M197" s="142"/>
      <c r="Q197" s="133"/>
    </row>
  </sheetData>
  <mergeCells count="7">
    <mergeCell ref="O1:Q1"/>
    <mergeCell ref="A3:Q3"/>
    <mergeCell ref="A4:Q4"/>
    <mergeCell ref="A5:Q5"/>
    <mergeCell ref="B7:G7"/>
    <mergeCell ref="H7:M7"/>
    <mergeCell ref="N7:Q7"/>
  </mergeCells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S197"/>
  <sheetViews>
    <sheetView workbookViewId="0">
      <selection activeCell="B8" sqref="B8"/>
    </sheetView>
  </sheetViews>
  <sheetFormatPr defaultRowHeight="15" x14ac:dyDescent="0.25"/>
  <cols>
    <col min="1" max="1" width="1.85546875" style="6" customWidth="1"/>
    <col min="2" max="2" width="38.28515625" style="88" customWidth="1"/>
    <col min="3" max="3" width="6.5703125" style="19" customWidth="1"/>
    <col min="4" max="4" width="17.42578125" style="19" customWidth="1"/>
    <col min="5" max="5" width="19" style="19" customWidth="1"/>
    <col min="6" max="6" width="19" style="89" customWidth="1"/>
    <col min="7" max="7" width="21.7109375" style="89" customWidth="1"/>
    <col min="8" max="9" width="15.7109375" style="90" customWidth="1"/>
    <col min="10" max="10" width="15.7109375" style="99" customWidth="1"/>
    <col min="11" max="13" width="15.7109375" style="91" customWidth="1"/>
    <col min="14" max="14" width="15.7109375" style="99" customWidth="1"/>
    <col min="15" max="17" width="15.7109375" style="92" customWidth="1"/>
    <col min="18" max="18" width="11.7109375" style="6" customWidth="1"/>
    <col min="19" max="19" width="9.42578125" style="6" customWidth="1"/>
    <col min="20" max="21" width="9.140625" style="6" customWidth="1"/>
    <col min="22" max="16384" width="9.140625" style="6"/>
  </cols>
  <sheetData>
    <row r="1" spans="1:18" s="105" customFormat="1" x14ac:dyDescent="0.25">
      <c r="B1" s="60"/>
      <c r="C1" s="4"/>
      <c r="D1" s="4"/>
      <c r="E1" s="4"/>
      <c r="F1" s="63"/>
      <c r="G1" s="63"/>
      <c r="H1" s="64"/>
      <c r="I1" s="64"/>
      <c r="J1" s="93"/>
      <c r="K1" s="65"/>
      <c r="L1" s="65"/>
      <c r="M1" s="65"/>
      <c r="N1" s="93"/>
      <c r="O1" s="362" t="s">
        <v>15</v>
      </c>
      <c r="P1" s="362"/>
      <c r="Q1" s="362"/>
    </row>
    <row r="2" spans="1:18" s="105" customFormat="1" x14ac:dyDescent="0.25">
      <c r="A2" s="7"/>
      <c r="B2" s="213"/>
      <c r="C2" s="107"/>
      <c r="D2" s="107"/>
      <c r="E2" s="107"/>
      <c r="F2" s="66"/>
      <c r="G2" s="66"/>
      <c r="H2" s="212"/>
      <c r="I2" s="212"/>
      <c r="J2" s="94"/>
      <c r="K2" s="67"/>
      <c r="L2" s="67"/>
      <c r="M2" s="67"/>
      <c r="N2" s="94"/>
      <c r="O2" s="68"/>
      <c r="P2" s="68"/>
      <c r="Q2" s="68"/>
    </row>
    <row r="3" spans="1:18" s="105" customFormat="1" x14ac:dyDescent="0.25">
      <c r="A3" s="363" t="s">
        <v>318</v>
      </c>
      <c r="B3" s="364"/>
      <c r="C3" s="363"/>
      <c r="D3" s="363"/>
      <c r="E3" s="363"/>
      <c r="F3" s="364"/>
      <c r="G3" s="364"/>
      <c r="H3" s="365"/>
      <c r="I3" s="366"/>
      <c r="J3" s="367"/>
      <c r="K3" s="364"/>
      <c r="L3" s="364"/>
      <c r="M3" s="364"/>
      <c r="N3" s="364"/>
      <c r="O3" s="364"/>
      <c r="P3" s="364"/>
      <c r="Q3" s="364"/>
    </row>
    <row r="4" spans="1:18" s="105" customFormat="1" x14ac:dyDescent="0.25">
      <c r="A4" s="368">
        <v>43640</v>
      </c>
      <c r="B4" s="369"/>
      <c r="C4" s="370"/>
      <c r="D4" s="370"/>
      <c r="E4" s="370"/>
      <c r="F4" s="369"/>
      <c r="G4" s="369"/>
      <c r="H4" s="371"/>
      <c r="I4" s="372"/>
      <c r="J4" s="373"/>
      <c r="K4" s="369"/>
      <c r="L4" s="369"/>
      <c r="M4" s="369"/>
      <c r="N4" s="369"/>
      <c r="O4" s="369"/>
      <c r="P4" s="369"/>
      <c r="Q4" s="369"/>
    </row>
    <row r="5" spans="1:18" s="105" customFormat="1" x14ac:dyDescent="0.25">
      <c r="A5" s="374" t="s">
        <v>14</v>
      </c>
      <c r="B5" s="367"/>
      <c r="C5" s="374"/>
      <c r="D5" s="374"/>
      <c r="E5" s="374"/>
      <c r="F5" s="367"/>
      <c r="G5" s="367"/>
      <c r="H5" s="366"/>
      <c r="I5" s="366"/>
      <c r="J5" s="367"/>
      <c r="K5" s="367"/>
      <c r="L5" s="367"/>
      <c r="M5" s="367"/>
      <c r="N5" s="367"/>
      <c r="O5" s="367"/>
      <c r="P5" s="367"/>
      <c r="Q5" s="367"/>
    </row>
    <row r="6" spans="1:18" s="105" customFormat="1" x14ac:dyDescent="0.25">
      <c r="A6" s="7"/>
      <c r="B6" s="213"/>
      <c r="C6" s="107"/>
      <c r="D6" s="107"/>
      <c r="E6" s="107"/>
      <c r="F6" s="66"/>
      <c r="G6" s="66"/>
      <c r="H6" s="212"/>
      <c r="I6" s="212"/>
      <c r="J6" s="94"/>
      <c r="K6" s="67"/>
      <c r="L6" s="67"/>
      <c r="M6" s="67"/>
      <c r="N6" s="94"/>
      <c r="O6" s="68"/>
      <c r="P6" s="68"/>
      <c r="Q6" s="68"/>
    </row>
    <row r="7" spans="1:18" x14ac:dyDescent="0.25">
      <c r="A7" s="5" t="s">
        <v>0</v>
      </c>
      <c r="B7" s="364" t="s">
        <v>10</v>
      </c>
      <c r="C7" s="375"/>
      <c r="D7" s="375"/>
      <c r="E7" s="375"/>
      <c r="F7" s="364"/>
      <c r="G7" s="364"/>
      <c r="H7" s="365" t="s">
        <v>472</v>
      </c>
      <c r="I7" s="366"/>
      <c r="J7" s="367"/>
      <c r="K7" s="364"/>
      <c r="L7" s="364"/>
      <c r="M7" s="364"/>
      <c r="N7" s="364" t="s">
        <v>132</v>
      </c>
      <c r="O7" s="364"/>
      <c r="P7" s="364"/>
      <c r="Q7" s="364"/>
    </row>
    <row r="8" spans="1:18" ht="153" x14ac:dyDescent="0.25">
      <c r="A8" s="5"/>
      <c r="B8" s="213" t="s">
        <v>4</v>
      </c>
      <c r="C8" s="107" t="s">
        <v>1</v>
      </c>
      <c r="D8" s="107" t="s">
        <v>3</v>
      </c>
      <c r="E8" s="107" t="s">
        <v>2</v>
      </c>
      <c r="F8" s="122" t="s">
        <v>6</v>
      </c>
      <c r="G8" s="66" t="s">
        <v>5</v>
      </c>
      <c r="H8" s="213" t="s">
        <v>7</v>
      </c>
      <c r="I8" s="213" t="s">
        <v>8</v>
      </c>
      <c r="J8" s="94" t="s">
        <v>9</v>
      </c>
      <c r="K8" s="67" t="s">
        <v>11</v>
      </c>
      <c r="L8" s="67" t="s">
        <v>12</v>
      </c>
      <c r="M8" s="67" t="s">
        <v>13</v>
      </c>
      <c r="N8" s="94" t="s">
        <v>9</v>
      </c>
      <c r="O8" s="68" t="s">
        <v>11</v>
      </c>
      <c r="P8" s="68" t="s">
        <v>12</v>
      </c>
      <c r="Q8" s="68" t="s">
        <v>13</v>
      </c>
    </row>
    <row r="9" spans="1:18" x14ac:dyDescent="0.25">
      <c r="A9" s="9">
        <v>1</v>
      </c>
      <c r="B9" s="61">
        <f>A9+1</f>
        <v>2</v>
      </c>
      <c r="C9" s="9">
        <f t="shared" ref="C9:Q9" si="0">B9+1</f>
        <v>3</v>
      </c>
      <c r="D9" s="9">
        <f t="shared" si="0"/>
        <v>4</v>
      </c>
      <c r="E9" s="9">
        <f t="shared" si="0"/>
        <v>5</v>
      </c>
      <c r="F9" s="69">
        <f t="shared" si="0"/>
        <v>6</v>
      </c>
      <c r="G9" s="69">
        <f t="shared" si="0"/>
        <v>7</v>
      </c>
      <c r="H9" s="70">
        <f t="shared" si="0"/>
        <v>8</v>
      </c>
      <c r="I9" s="70">
        <f t="shared" si="0"/>
        <v>9</v>
      </c>
      <c r="J9" s="95">
        <f t="shared" si="0"/>
        <v>10</v>
      </c>
      <c r="K9" s="71">
        <f t="shared" si="0"/>
        <v>11</v>
      </c>
      <c r="L9" s="71">
        <f t="shared" si="0"/>
        <v>12</v>
      </c>
      <c r="M9" s="71">
        <f t="shared" si="0"/>
        <v>13</v>
      </c>
      <c r="N9" s="95">
        <f t="shared" si="0"/>
        <v>14</v>
      </c>
      <c r="O9" s="72">
        <f t="shared" si="0"/>
        <v>15</v>
      </c>
      <c r="P9" s="72">
        <f t="shared" si="0"/>
        <v>16</v>
      </c>
      <c r="Q9" s="72">
        <f t="shared" si="0"/>
        <v>17</v>
      </c>
    </row>
    <row r="10" spans="1:18" s="13" customFormat="1" ht="30" x14ac:dyDescent="0.25">
      <c r="A10" s="10"/>
      <c r="B10" s="62" t="s">
        <v>16</v>
      </c>
      <c r="C10" s="181" t="s">
        <v>304</v>
      </c>
      <c r="D10" s="182" t="s">
        <v>315</v>
      </c>
      <c r="E10" s="183" t="s">
        <v>18</v>
      </c>
      <c r="F10" s="73" t="s">
        <v>322</v>
      </c>
      <c r="G10" s="74" t="s">
        <v>112</v>
      </c>
      <c r="H10" s="75">
        <v>11</v>
      </c>
      <c r="I10" s="76">
        <v>6</v>
      </c>
      <c r="J10" s="98">
        <f>2+1+3</f>
        <v>6</v>
      </c>
      <c r="K10" s="77">
        <f>4792.51+1138.19+504.26+11366.06+4859.68</f>
        <v>22660.7</v>
      </c>
      <c r="L10" s="77">
        <f>4792.51+1138.19+504.26+11366.06+4859.68</f>
        <v>22660.7</v>
      </c>
      <c r="M10" s="78">
        <f>K10-L10</f>
        <v>0</v>
      </c>
      <c r="N10" s="100">
        <f>2+5+1+2+1</f>
        <v>11</v>
      </c>
      <c r="O10" s="77">
        <f>9108.77+6924.32+11366.06+8197.52</f>
        <v>35596.67</v>
      </c>
      <c r="P10" s="77">
        <f>9108.77+6924.32+11366.06+8197.52</f>
        <v>35596.67</v>
      </c>
      <c r="Q10" s="79">
        <f>O10-P10</f>
        <v>0</v>
      </c>
      <c r="R10" s="141"/>
    </row>
    <row r="11" spans="1:18" s="13" customFormat="1" ht="30" hidden="1" x14ac:dyDescent="0.25">
      <c r="A11" s="10"/>
      <c r="B11" s="62" t="s">
        <v>16</v>
      </c>
      <c r="C11" s="181" t="s">
        <v>304</v>
      </c>
      <c r="D11" s="182" t="s">
        <v>315</v>
      </c>
      <c r="E11" s="183" t="s">
        <v>18</v>
      </c>
      <c r="F11" s="73" t="s">
        <v>322</v>
      </c>
      <c r="G11" s="184" t="s">
        <v>116</v>
      </c>
      <c r="H11" s="181">
        <v>7</v>
      </c>
      <c r="I11" s="185">
        <v>4</v>
      </c>
      <c r="J11" s="96">
        <v>4</v>
      </c>
      <c r="K11" s="186">
        <v>7070</v>
      </c>
      <c r="L11" s="186">
        <v>4534</v>
      </c>
      <c r="M11" s="187">
        <f t="shared" ref="M11:M84" si="1">K11-L11</f>
        <v>2536</v>
      </c>
      <c r="N11" s="100">
        <v>0</v>
      </c>
      <c r="O11" s="186">
        <v>2945</v>
      </c>
      <c r="P11" s="186">
        <v>2945</v>
      </c>
      <c r="Q11" s="188">
        <f t="shared" ref="Q11:Q80" si="2">O11-P11</f>
        <v>0</v>
      </c>
    </row>
    <row r="12" spans="1:18" s="13" customFormat="1" ht="15.75" x14ac:dyDescent="0.25">
      <c r="A12" s="10"/>
      <c r="B12" s="62" t="s">
        <v>490</v>
      </c>
      <c r="C12" s="181" t="s">
        <v>304</v>
      </c>
      <c r="D12" s="182"/>
      <c r="E12" s="183"/>
      <c r="F12" s="189" t="s">
        <v>501</v>
      </c>
      <c r="G12" s="184" t="s">
        <v>112</v>
      </c>
      <c r="H12" s="181">
        <v>8</v>
      </c>
      <c r="I12" s="185">
        <v>5</v>
      </c>
      <c r="J12" s="96">
        <f>5+1</f>
        <v>6</v>
      </c>
      <c r="K12" s="186">
        <f>8352.39+384.2+1463.8</f>
        <v>10200.39</v>
      </c>
      <c r="L12" s="186">
        <f>8352.39+384.2+1463.8</f>
        <v>10200.39</v>
      </c>
      <c r="M12" s="78">
        <f t="shared" si="1"/>
        <v>0</v>
      </c>
      <c r="N12" s="100"/>
      <c r="O12" s="186"/>
      <c r="P12" s="186"/>
      <c r="Q12" s="188"/>
    </row>
    <row r="13" spans="1:18" s="15" customFormat="1" ht="15.75" x14ac:dyDescent="0.25">
      <c r="A13" s="14"/>
      <c r="B13" s="80" t="s">
        <v>19</v>
      </c>
      <c r="C13" s="181" t="s">
        <v>17</v>
      </c>
      <c r="D13" s="182"/>
      <c r="E13" s="183" t="s">
        <v>20</v>
      </c>
      <c r="F13" s="73" t="s">
        <v>323</v>
      </c>
      <c r="G13" s="74" t="s">
        <v>112</v>
      </c>
      <c r="H13" s="75">
        <v>10</v>
      </c>
      <c r="I13" s="76">
        <v>8</v>
      </c>
      <c r="J13" s="96">
        <f>1+2+5+2+1</f>
        <v>11</v>
      </c>
      <c r="K13" s="77">
        <f>422.62+4792.51+1796.14</f>
        <v>7011.27</v>
      </c>
      <c r="L13" s="77">
        <f>422.62+4792.51+1796.14</f>
        <v>7011.27</v>
      </c>
      <c r="M13" s="78">
        <f t="shared" si="1"/>
        <v>0</v>
      </c>
      <c r="N13" s="100">
        <f>8+3+1</f>
        <v>12</v>
      </c>
      <c r="O13" s="81">
        <f>6459.36+7124.45</f>
        <v>13583.81</v>
      </c>
      <c r="P13" s="81">
        <f>6459.36+7124.45</f>
        <v>13583.81</v>
      </c>
      <c r="Q13" s="79">
        <f t="shared" si="2"/>
        <v>0</v>
      </c>
      <c r="R13" s="141"/>
    </row>
    <row r="14" spans="1:18" s="15" customFormat="1" ht="15.75" hidden="1" x14ac:dyDescent="0.25">
      <c r="A14" s="14"/>
      <c r="B14" s="80" t="s">
        <v>19</v>
      </c>
      <c r="C14" s="181" t="s">
        <v>17</v>
      </c>
      <c r="D14" s="182"/>
      <c r="E14" s="183" t="s">
        <v>20</v>
      </c>
      <c r="F14" s="73" t="s">
        <v>451</v>
      </c>
      <c r="G14" s="184" t="s">
        <v>114</v>
      </c>
      <c r="H14" s="181">
        <v>5</v>
      </c>
      <c r="I14" s="185">
        <v>1</v>
      </c>
      <c r="J14" s="190">
        <v>1</v>
      </c>
      <c r="K14" s="77">
        <v>1267.68</v>
      </c>
      <c r="L14" s="77">
        <v>1267.68</v>
      </c>
      <c r="M14" s="187">
        <f t="shared" si="1"/>
        <v>0</v>
      </c>
      <c r="N14" s="101">
        <v>9</v>
      </c>
      <c r="O14" s="186">
        <v>16688.7</v>
      </c>
      <c r="P14" s="186">
        <v>16688.7</v>
      </c>
      <c r="Q14" s="188">
        <f t="shared" si="2"/>
        <v>0</v>
      </c>
    </row>
    <row r="15" spans="1:18" s="15" customFormat="1" ht="15.75" x14ac:dyDescent="0.25">
      <c r="A15" s="14"/>
      <c r="B15" s="62" t="s">
        <v>153</v>
      </c>
      <c r="C15" s="181" t="s">
        <v>17</v>
      </c>
      <c r="D15" s="182"/>
      <c r="E15" s="183" t="s">
        <v>20</v>
      </c>
      <c r="F15" s="73" t="s">
        <v>324</v>
      </c>
      <c r="G15" s="74" t="s">
        <v>112</v>
      </c>
      <c r="H15" s="75">
        <v>5</v>
      </c>
      <c r="I15" s="82">
        <v>4</v>
      </c>
      <c r="J15" s="96">
        <f>1+1+2+1+1</f>
        <v>6</v>
      </c>
      <c r="K15" s="77">
        <f>950.9+2451.87+3074.57+845.24</f>
        <v>7322.58</v>
      </c>
      <c r="L15" s="77">
        <f>950.9+2451.87+3074.57+845.24</f>
        <v>7322.58</v>
      </c>
      <c r="M15" s="78">
        <f>K15-L15</f>
        <v>0</v>
      </c>
      <c r="N15" s="114">
        <f>1+2+1+2+1</f>
        <v>7</v>
      </c>
      <c r="O15" s="81">
        <f>422.62+945.61+2484.69+7964.81+1536.8</f>
        <v>13354.529999999999</v>
      </c>
      <c r="P15" s="81">
        <f>422.62+945.61+2484.69+7964.81+1536.8</f>
        <v>13354.529999999999</v>
      </c>
      <c r="Q15" s="79">
        <f t="shared" si="2"/>
        <v>0</v>
      </c>
      <c r="R15" s="141"/>
    </row>
    <row r="16" spans="1:18" s="15" customFormat="1" ht="15.75" hidden="1" x14ac:dyDescent="0.25">
      <c r="A16" s="14"/>
      <c r="B16" s="191" t="s">
        <v>153</v>
      </c>
      <c r="C16" s="181" t="s">
        <v>17</v>
      </c>
      <c r="D16" s="182"/>
      <c r="E16" s="183" t="s">
        <v>20</v>
      </c>
      <c r="F16" s="73" t="s">
        <v>452</v>
      </c>
      <c r="G16" s="184" t="s">
        <v>114</v>
      </c>
      <c r="H16" s="181">
        <v>11</v>
      </c>
      <c r="I16" s="185">
        <v>3</v>
      </c>
      <c r="J16" s="190">
        <v>3</v>
      </c>
      <c r="K16" s="77">
        <v>1267.8599999999999</v>
      </c>
      <c r="L16" s="77">
        <v>1267.8599999999999</v>
      </c>
      <c r="M16" s="187">
        <f t="shared" si="1"/>
        <v>0</v>
      </c>
      <c r="N16" s="101">
        <v>8</v>
      </c>
      <c r="O16" s="186">
        <v>23692.58</v>
      </c>
      <c r="P16" s="186">
        <v>23692.58</v>
      </c>
      <c r="Q16" s="188">
        <f t="shared" si="2"/>
        <v>0</v>
      </c>
    </row>
    <row r="17" spans="1:18" s="13" customFormat="1" ht="15.75" x14ac:dyDescent="0.25">
      <c r="A17" s="10"/>
      <c r="B17" s="30" t="s">
        <v>22</v>
      </c>
      <c r="C17" s="181" t="s">
        <v>17</v>
      </c>
      <c r="D17" s="182"/>
      <c r="E17" s="183" t="s">
        <v>23</v>
      </c>
      <c r="F17" s="73" t="s">
        <v>325</v>
      </c>
      <c r="G17" s="74" t="s">
        <v>112</v>
      </c>
      <c r="H17" s="75">
        <v>16</v>
      </c>
      <c r="I17" s="76">
        <v>10</v>
      </c>
      <c r="J17" s="96">
        <f>1+2+1+9</f>
        <v>13</v>
      </c>
      <c r="K17" s="77">
        <f>2698.64+1402.33</f>
        <v>4100.9699999999993</v>
      </c>
      <c r="L17" s="77">
        <f>2698.64+1402.33</f>
        <v>4100.9699999999993</v>
      </c>
      <c r="M17" s="78">
        <f>K17-L17</f>
        <v>0</v>
      </c>
      <c r="N17" s="100">
        <f>14+3+7+1+1</f>
        <v>26</v>
      </c>
      <c r="O17" s="81">
        <f>22716.4+4171.06+18768.39</f>
        <v>45655.850000000006</v>
      </c>
      <c r="P17" s="81">
        <f>22716.4+4171.06+18768.39</f>
        <v>45655.850000000006</v>
      </c>
      <c r="Q17" s="79">
        <f t="shared" si="2"/>
        <v>0</v>
      </c>
      <c r="R17" s="141"/>
    </row>
    <row r="18" spans="1:18" s="13" customFormat="1" ht="15.75" hidden="1" x14ac:dyDescent="0.25">
      <c r="A18" s="10"/>
      <c r="B18" s="30" t="s">
        <v>154</v>
      </c>
      <c r="C18" s="181" t="s">
        <v>17</v>
      </c>
      <c r="D18" s="182"/>
      <c r="E18" s="183" t="s">
        <v>20</v>
      </c>
      <c r="F18" s="73" t="s">
        <v>453</v>
      </c>
      <c r="G18" s="184" t="s">
        <v>114</v>
      </c>
      <c r="H18" s="181">
        <v>16</v>
      </c>
      <c r="I18" s="192">
        <v>1</v>
      </c>
      <c r="J18" s="190">
        <v>1</v>
      </c>
      <c r="K18" s="193">
        <v>1152.5999999999999</v>
      </c>
      <c r="L18" s="193">
        <v>1152.5999999999999</v>
      </c>
      <c r="M18" s="187">
        <f t="shared" si="1"/>
        <v>0</v>
      </c>
      <c r="N18" s="114">
        <v>10</v>
      </c>
      <c r="O18" s="186">
        <v>31595.24</v>
      </c>
      <c r="P18" s="186">
        <v>19031.900000000001</v>
      </c>
      <c r="Q18" s="188">
        <f t="shared" si="2"/>
        <v>12563.34</v>
      </c>
    </row>
    <row r="19" spans="1:18" s="13" customFormat="1" ht="15.75" x14ac:dyDescent="0.25">
      <c r="A19" s="10"/>
      <c r="B19" s="30" t="s">
        <v>154</v>
      </c>
      <c r="C19" s="181" t="s">
        <v>17</v>
      </c>
      <c r="D19" s="182"/>
      <c r="E19" s="183" t="s">
        <v>20</v>
      </c>
      <c r="F19" s="73" t="s">
        <v>326</v>
      </c>
      <c r="G19" s="74" t="s">
        <v>112</v>
      </c>
      <c r="H19" s="75">
        <v>17</v>
      </c>
      <c r="I19" s="76">
        <v>7</v>
      </c>
      <c r="J19" s="96">
        <f>1+1+2+2+2</f>
        <v>8</v>
      </c>
      <c r="K19" s="77">
        <f>950.9+864.46+845.24+405.02+739.59</f>
        <v>3805.2100000000005</v>
      </c>
      <c r="L19" s="77">
        <f>950.9+864.46+845.24+405.02+739.59</f>
        <v>3805.2100000000005</v>
      </c>
      <c r="M19" s="78">
        <f t="shared" si="1"/>
        <v>0</v>
      </c>
      <c r="N19" s="100">
        <f>6+3+1+1+1+2</f>
        <v>14</v>
      </c>
      <c r="O19" s="81">
        <f>6681.33+7017+1523.5+9094.74</f>
        <v>24316.57</v>
      </c>
      <c r="P19" s="81">
        <f>6681.33+7017+1523.5+9094.74</f>
        <v>24316.57</v>
      </c>
      <c r="Q19" s="79">
        <f t="shared" si="2"/>
        <v>0</v>
      </c>
      <c r="R19" s="141"/>
    </row>
    <row r="20" spans="1:18" s="13" customFormat="1" ht="15.75" x14ac:dyDescent="0.25">
      <c r="A20" s="10"/>
      <c r="B20" s="62" t="s">
        <v>24</v>
      </c>
      <c r="C20" s="181" t="s">
        <v>17</v>
      </c>
      <c r="D20" s="182"/>
      <c r="E20" s="183" t="s">
        <v>20</v>
      </c>
      <c r="F20" s="73" t="s">
        <v>327</v>
      </c>
      <c r="G20" s="74" t="s">
        <v>112</v>
      </c>
      <c r="H20" s="75">
        <v>6</v>
      </c>
      <c r="I20" s="76">
        <v>3</v>
      </c>
      <c r="J20" s="96">
        <f>3</f>
        <v>3</v>
      </c>
      <c r="K20" s="77">
        <f>1191.02</f>
        <v>1191.02</v>
      </c>
      <c r="L20" s="77">
        <f>1191.02</f>
        <v>1191.02</v>
      </c>
      <c r="M20" s="78">
        <f t="shared" si="1"/>
        <v>0</v>
      </c>
      <c r="N20" s="100">
        <f>1+1</f>
        <v>2</v>
      </c>
      <c r="O20" s="81">
        <f>576.3+1810.93</f>
        <v>2387.23</v>
      </c>
      <c r="P20" s="81">
        <f>576.3+1810.93</f>
        <v>2387.23</v>
      </c>
      <c r="Q20" s="188">
        <f t="shared" si="2"/>
        <v>0</v>
      </c>
      <c r="R20" s="141"/>
    </row>
    <row r="21" spans="1:18" s="13" customFormat="1" ht="15.75" hidden="1" x14ac:dyDescent="0.25">
      <c r="A21" s="10"/>
      <c r="B21" s="62" t="s">
        <v>24</v>
      </c>
      <c r="C21" s="181" t="s">
        <v>17</v>
      </c>
      <c r="D21" s="182"/>
      <c r="E21" s="183" t="s">
        <v>20</v>
      </c>
      <c r="F21" s="73" t="s">
        <v>454</v>
      </c>
      <c r="G21" s="184" t="s">
        <v>114</v>
      </c>
      <c r="H21" s="181">
        <v>8</v>
      </c>
      <c r="I21" s="185"/>
      <c r="J21" s="190"/>
      <c r="K21" s="77"/>
      <c r="L21" s="77"/>
      <c r="M21" s="78">
        <f t="shared" si="1"/>
        <v>0</v>
      </c>
      <c r="N21" s="100">
        <v>14</v>
      </c>
      <c r="O21" s="186">
        <v>14635.6</v>
      </c>
      <c r="P21" s="186">
        <v>14635.6</v>
      </c>
      <c r="Q21" s="188">
        <f t="shared" si="2"/>
        <v>0</v>
      </c>
    </row>
    <row r="22" spans="1:18" s="13" customFormat="1" ht="15.75" x14ac:dyDescent="0.25">
      <c r="A22" s="10"/>
      <c r="B22" s="62" t="s">
        <v>25</v>
      </c>
      <c r="C22" s="181" t="s">
        <v>17</v>
      </c>
      <c r="D22" s="182"/>
      <c r="E22" s="183" t="s">
        <v>20</v>
      </c>
      <c r="F22" s="73" t="s">
        <v>328</v>
      </c>
      <c r="G22" s="74" t="s">
        <v>112</v>
      </c>
      <c r="H22" s="75">
        <v>6</v>
      </c>
      <c r="I22" s="76">
        <v>3</v>
      </c>
      <c r="J22" s="96">
        <f>1+1+1+1</f>
        <v>4</v>
      </c>
      <c r="K22" s="173">
        <v>403.41</v>
      </c>
      <c r="L22" s="173">
        <v>403.41</v>
      </c>
      <c r="M22" s="78">
        <f>K22-L22</f>
        <v>0</v>
      </c>
      <c r="N22" s="100">
        <f>6+1+2+2</f>
        <v>11</v>
      </c>
      <c r="O22" s="81">
        <f>14526.7+5595.3+2440.62</f>
        <v>22562.62</v>
      </c>
      <c r="P22" s="81">
        <f>14526.7+5595.3+2440.62</f>
        <v>22562.62</v>
      </c>
      <c r="Q22" s="188">
        <f t="shared" si="2"/>
        <v>0</v>
      </c>
      <c r="R22" s="141"/>
    </row>
    <row r="23" spans="1:18" s="13" customFormat="1" ht="15.75" hidden="1" x14ac:dyDescent="0.25">
      <c r="A23" s="10"/>
      <c r="B23" s="62" t="s">
        <v>25</v>
      </c>
      <c r="C23" s="181" t="s">
        <v>17</v>
      </c>
      <c r="D23" s="182"/>
      <c r="E23" s="183" t="s">
        <v>20</v>
      </c>
      <c r="F23" s="73" t="s">
        <v>455</v>
      </c>
      <c r="G23" s="184" t="s">
        <v>114</v>
      </c>
      <c r="H23" s="181">
        <v>2</v>
      </c>
      <c r="I23" s="185"/>
      <c r="J23" s="190"/>
      <c r="K23" s="77"/>
      <c r="L23" s="77"/>
      <c r="M23" s="78">
        <f t="shared" si="1"/>
        <v>0</v>
      </c>
      <c r="N23" s="100">
        <v>2</v>
      </c>
      <c r="O23" s="186">
        <v>4146.2</v>
      </c>
      <c r="P23" s="186">
        <f>4146.2</f>
        <v>4146.2</v>
      </c>
      <c r="Q23" s="188">
        <f t="shared" si="2"/>
        <v>0</v>
      </c>
    </row>
    <row r="24" spans="1:18" s="13" customFormat="1" ht="15.75" x14ac:dyDescent="0.25">
      <c r="A24" s="10"/>
      <c r="B24" s="62" t="s">
        <v>26</v>
      </c>
      <c r="C24" s="181" t="s">
        <v>17</v>
      </c>
      <c r="D24" s="182"/>
      <c r="E24" s="183" t="s">
        <v>27</v>
      </c>
      <c r="F24" s="73" t="s">
        <v>329</v>
      </c>
      <c r="G24" s="74" t="s">
        <v>112</v>
      </c>
      <c r="H24" s="75">
        <v>13</v>
      </c>
      <c r="I24" s="76">
        <v>7</v>
      </c>
      <c r="J24" s="96">
        <f>2+2+4</f>
        <v>8</v>
      </c>
      <c r="K24" s="77">
        <f>845.24+1056.55</f>
        <v>1901.79</v>
      </c>
      <c r="L24" s="77">
        <f>845.24+1056.55</f>
        <v>1901.79</v>
      </c>
      <c r="M24" s="78">
        <f t="shared" si="1"/>
        <v>0</v>
      </c>
      <c r="N24" s="100">
        <f>6+1+1+2</f>
        <v>10</v>
      </c>
      <c r="O24" s="81">
        <f>17838.53+2535.75+7238.9</f>
        <v>27613.18</v>
      </c>
      <c r="P24" s="81">
        <f>17838.53+2535.75+7238.9</f>
        <v>27613.18</v>
      </c>
      <c r="Q24" s="188">
        <f t="shared" si="2"/>
        <v>0</v>
      </c>
      <c r="R24" s="141"/>
    </row>
    <row r="25" spans="1:18" s="15" customFormat="1" ht="15.75" x14ac:dyDescent="0.25">
      <c r="A25" s="14"/>
      <c r="B25" s="80" t="s">
        <v>28</v>
      </c>
      <c r="C25" s="181" t="s">
        <v>17</v>
      </c>
      <c r="D25" s="182"/>
      <c r="E25" s="194" t="s">
        <v>29</v>
      </c>
      <c r="F25" s="73" t="s">
        <v>330</v>
      </c>
      <c r="G25" s="74" t="s">
        <v>112</v>
      </c>
      <c r="H25" s="75">
        <v>6</v>
      </c>
      <c r="I25" s="76">
        <v>3</v>
      </c>
      <c r="J25" s="96">
        <f>2+1</f>
        <v>3</v>
      </c>
      <c r="K25" s="77">
        <f>6135.14</f>
        <v>6135.14</v>
      </c>
      <c r="L25" s="77">
        <f>6135.14</f>
        <v>6135.14</v>
      </c>
      <c r="M25" s="78">
        <f t="shared" si="1"/>
        <v>0</v>
      </c>
      <c r="N25" s="100">
        <f>3+2+4+3</f>
        <v>12</v>
      </c>
      <c r="O25" s="81">
        <f>5310.83+4630.52+14679.01+36087.29</f>
        <v>60707.65</v>
      </c>
      <c r="P25" s="81">
        <f>5310.83+4630.52+14679.01+36087.29</f>
        <v>60707.65</v>
      </c>
      <c r="Q25" s="188">
        <f t="shared" si="2"/>
        <v>0</v>
      </c>
      <c r="R25" s="141"/>
    </row>
    <row r="26" spans="1:18" s="15" customFormat="1" ht="15.75" hidden="1" x14ac:dyDescent="0.25">
      <c r="A26" s="14"/>
      <c r="B26" s="80" t="s">
        <v>28</v>
      </c>
      <c r="C26" s="181" t="s">
        <v>17</v>
      </c>
      <c r="D26" s="182"/>
      <c r="E26" s="194" t="s">
        <v>29</v>
      </c>
      <c r="F26" s="73" t="s">
        <v>420</v>
      </c>
      <c r="G26" s="195" t="s">
        <v>117</v>
      </c>
      <c r="H26" s="181">
        <v>1</v>
      </c>
      <c r="I26" s="196"/>
      <c r="J26" s="97"/>
      <c r="K26" s="77"/>
      <c r="L26" s="77"/>
      <c r="M26" s="78">
        <f t="shared" si="1"/>
        <v>0</v>
      </c>
      <c r="N26" s="101">
        <v>2</v>
      </c>
      <c r="O26" s="186">
        <v>2766.24</v>
      </c>
      <c r="P26" s="186">
        <v>2766.24</v>
      </c>
      <c r="Q26" s="79">
        <f t="shared" si="2"/>
        <v>0</v>
      </c>
    </row>
    <row r="27" spans="1:18" s="15" customFormat="1" ht="15.75" x14ac:dyDescent="0.25">
      <c r="A27" s="14"/>
      <c r="B27" s="191" t="s">
        <v>500</v>
      </c>
      <c r="C27" s="181" t="s">
        <v>17</v>
      </c>
      <c r="D27" s="182"/>
      <c r="E27" s="194"/>
      <c r="F27" s="73" t="s">
        <v>503</v>
      </c>
      <c r="G27" s="195" t="s">
        <v>112</v>
      </c>
      <c r="H27" s="181">
        <v>7</v>
      </c>
      <c r="I27" s="196">
        <v>2</v>
      </c>
      <c r="J27" s="97">
        <f>2</f>
        <v>2</v>
      </c>
      <c r="K27" s="77">
        <v>1202.51</v>
      </c>
      <c r="L27" s="77">
        <v>1202.51</v>
      </c>
      <c r="M27" s="78">
        <f t="shared" si="1"/>
        <v>0</v>
      </c>
      <c r="N27" s="101"/>
      <c r="O27" s="186"/>
      <c r="P27" s="186"/>
      <c r="Q27" s="79"/>
    </row>
    <row r="28" spans="1:18" s="13" customFormat="1" ht="15.75" x14ac:dyDescent="0.25">
      <c r="A28" s="10"/>
      <c r="B28" s="27" t="s">
        <v>30</v>
      </c>
      <c r="C28" s="181" t="s">
        <v>17</v>
      </c>
      <c r="D28" s="182"/>
      <c r="E28" s="194" t="s">
        <v>21</v>
      </c>
      <c r="F28" s="73" t="s">
        <v>333</v>
      </c>
      <c r="G28" s="74" t="s">
        <v>112</v>
      </c>
      <c r="H28" s="75">
        <v>14</v>
      </c>
      <c r="I28" s="76">
        <v>10</v>
      </c>
      <c r="J28" s="96">
        <f>3+1+3+1+4+1</f>
        <v>13</v>
      </c>
      <c r="K28" s="77">
        <f>16637.24</f>
        <v>16637.240000000002</v>
      </c>
      <c r="L28" s="77">
        <v>7786.94</v>
      </c>
      <c r="M28" s="78">
        <f t="shared" si="1"/>
        <v>8850.3000000000029</v>
      </c>
      <c r="N28" s="100">
        <f>9+1+3+1+1+1+2+1+1</f>
        <v>20</v>
      </c>
      <c r="O28" s="81">
        <v>77047.8</v>
      </c>
      <c r="P28" s="81">
        <v>60237.279999999999</v>
      </c>
      <c r="Q28" s="188">
        <f t="shared" si="2"/>
        <v>16810.520000000004</v>
      </c>
      <c r="R28" s="141"/>
    </row>
    <row r="29" spans="1:18" s="13" customFormat="1" ht="15.75" x14ac:dyDescent="0.25">
      <c r="A29" s="10"/>
      <c r="B29" s="27" t="s">
        <v>491</v>
      </c>
      <c r="C29" s="181" t="s">
        <v>17</v>
      </c>
      <c r="D29" s="182"/>
      <c r="E29" s="183" t="s">
        <v>20</v>
      </c>
      <c r="F29" s="73" t="s">
        <v>495</v>
      </c>
      <c r="G29" s="74" t="s">
        <v>112</v>
      </c>
      <c r="H29" s="75">
        <v>8</v>
      </c>
      <c r="I29" s="76">
        <v>4</v>
      </c>
      <c r="J29" s="96">
        <f>2+2</f>
        <v>4</v>
      </c>
      <c r="K29" s="77">
        <f>1727.9+2093.89</f>
        <v>3821.79</v>
      </c>
      <c r="L29" s="77">
        <f>1727.9+2093.89</f>
        <v>3821.79</v>
      </c>
      <c r="M29" s="78">
        <f t="shared" si="1"/>
        <v>0</v>
      </c>
      <c r="N29" s="100"/>
      <c r="O29" s="81"/>
      <c r="P29" s="81"/>
      <c r="Q29" s="188"/>
      <c r="R29" s="141"/>
    </row>
    <row r="30" spans="1:18" s="13" customFormat="1" ht="15.75" hidden="1" x14ac:dyDescent="0.25">
      <c r="A30" s="10"/>
      <c r="B30" s="27" t="s">
        <v>491</v>
      </c>
      <c r="C30" s="181" t="s">
        <v>17</v>
      </c>
      <c r="D30" s="182"/>
      <c r="E30" s="183" t="s">
        <v>20</v>
      </c>
      <c r="F30" s="73" t="s">
        <v>504</v>
      </c>
      <c r="G30" s="74" t="s">
        <v>114</v>
      </c>
      <c r="H30" s="75">
        <v>6</v>
      </c>
      <c r="I30" s="76"/>
      <c r="J30" s="96"/>
      <c r="K30" s="77"/>
      <c r="L30" s="77"/>
      <c r="M30" s="187"/>
      <c r="N30" s="100"/>
      <c r="O30" s="81"/>
      <c r="P30" s="81"/>
      <c r="Q30" s="188">
        <f t="shared" si="2"/>
        <v>0</v>
      </c>
      <c r="R30" s="141"/>
    </row>
    <row r="31" spans="1:18" s="13" customFormat="1" ht="15.75" hidden="1" x14ac:dyDescent="0.25">
      <c r="A31" s="10"/>
      <c r="B31" s="27" t="s">
        <v>491</v>
      </c>
      <c r="C31" s="181" t="s">
        <v>17</v>
      </c>
      <c r="D31" s="182"/>
      <c r="E31" s="183"/>
      <c r="F31" s="73"/>
      <c r="G31" s="195" t="s">
        <v>117</v>
      </c>
      <c r="H31" s="75">
        <v>1</v>
      </c>
      <c r="I31" s="76"/>
      <c r="J31" s="96"/>
      <c r="K31" s="77"/>
      <c r="L31" s="77"/>
      <c r="M31" s="187"/>
      <c r="N31" s="100"/>
      <c r="O31" s="81"/>
      <c r="P31" s="81"/>
      <c r="Q31" s="188"/>
      <c r="R31" s="141"/>
    </row>
    <row r="32" spans="1:18" s="13" customFormat="1" ht="15.75" x14ac:dyDescent="0.25">
      <c r="A32" s="10"/>
      <c r="B32" s="30" t="s">
        <v>31</v>
      </c>
      <c r="C32" s="181" t="s">
        <v>17</v>
      </c>
      <c r="D32" s="182"/>
      <c r="E32" s="183" t="s">
        <v>32</v>
      </c>
      <c r="F32" s="73" t="s">
        <v>331</v>
      </c>
      <c r="G32" s="74" t="s">
        <v>112</v>
      </c>
      <c r="H32" s="75">
        <v>11</v>
      </c>
      <c r="I32" s="76">
        <v>8</v>
      </c>
      <c r="J32" s="96">
        <f>1+2+3+1+4</f>
        <v>11</v>
      </c>
      <c r="K32" s="77">
        <f>633.93+1045.98+5377.62+950.9</f>
        <v>8008.4299999999994</v>
      </c>
      <c r="L32" s="77">
        <f>633.93+1045.98+5377.62+950.9</f>
        <v>8008.4299999999994</v>
      </c>
      <c r="M32" s="78">
        <f>K32-L32</f>
        <v>0</v>
      </c>
      <c r="N32" s="100">
        <f>1+3+3+1+1+2</f>
        <v>11</v>
      </c>
      <c r="O32" s="81">
        <f>2299.8+15239.58+6152.75+2720.49+1483.38</f>
        <v>27896.000000000004</v>
      </c>
      <c r="P32" s="81">
        <f>2299.8+15239.58+6152.75+2720.49+1483.38</f>
        <v>27896.000000000004</v>
      </c>
      <c r="Q32" s="79">
        <f t="shared" si="2"/>
        <v>0</v>
      </c>
      <c r="R32" s="141"/>
    </row>
    <row r="33" spans="1:18" s="13" customFormat="1" ht="15.75" hidden="1" x14ac:dyDescent="0.25">
      <c r="A33" s="10"/>
      <c r="B33" s="30" t="s">
        <v>31</v>
      </c>
      <c r="C33" s="181" t="s">
        <v>17</v>
      </c>
      <c r="D33" s="182"/>
      <c r="E33" s="183" t="s">
        <v>32</v>
      </c>
      <c r="F33" s="73" t="s">
        <v>422</v>
      </c>
      <c r="G33" s="195" t="s">
        <v>117</v>
      </c>
      <c r="H33" s="181">
        <v>9</v>
      </c>
      <c r="I33" s="185">
        <v>2</v>
      </c>
      <c r="J33" s="96">
        <v>2</v>
      </c>
      <c r="K33" s="77">
        <v>4073.2</v>
      </c>
      <c r="L33" s="77">
        <v>4073.2</v>
      </c>
      <c r="M33" s="187">
        <f t="shared" si="1"/>
        <v>0</v>
      </c>
      <c r="N33" s="100">
        <v>6</v>
      </c>
      <c r="O33" s="77">
        <v>12150.4</v>
      </c>
      <c r="P33" s="77">
        <v>12150.4</v>
      </c>
      <c r="Q33" s="188">
        <f t="shared" si="2"/>
        <v>0</v>
      </c>
    </row>
    <row r="34" spans="1:18" s="15" customFormat="1" ht="15.75" x14ac:dyDescent="0.25">
      <c r="A34" s="14"/>
      <c r="B34" s="80" t="s">
        <v>33</v>
      </c>
      <c r="C34" s="181" t="s">
        <v>17</v>
      </c>
      <c r="D34" s="182"/>
      <c r="E34" s="197" t="s">
        <v>20</v>
      </c>
      <c r="F34" s="73" t="s">
        <v>332</v>
      </c>
      <c r="G34" s="74" t="s">
        <v>112</v>
      </c>
      <c r="H34" s="75">
        <v>7</v>
      </c>
      <c r="I34" s="76">
        <v>4</v>
      </c>
      <c r="J34" s="96">
        <f>1+1+1+1</f>
        <v>4</v>
      </c>
      <c r="K34" s="77">
        <f>845.245+5363.43+5912.72</f>
        <v>12121.395</v>
      </c>
      <c r="L34" s="77">
        <f>845.245+5363.43+5912.72</f>
        <v>12121.395</v>
      </c>
      <c r="M34" s="78">
        <f>K34-L34</f>
        <v>0</v>
      </c>
      <c r="N34" s="100">
        <f>2+1+1+1+1+2+1</f>
        <v>9</v>
      </c>
      <c r="O34" s="81">
        <f>845.24+1613.64+3380.96+3639.33</f>
        <v>9479.17</v>
      </c>
      <c r="P34" s="81">
        <f>845.24+1613.64+3380.96+3639.33</f>
        <v>9479.17</v>
      </c>
      <c r="Q34" s="79">
        <f t="shared" si="2"/>
        <v>0</v>
      </c>
      <c r="R34" s="141"/>
    </row>
    <row r="35" spans="1:18" s="15" customFormat="1" ht="15.75" hidden="1" x14ac:dyDescent="0.25">
      <c r="A35" s="14"/>
      <c r="B35" s="80" t="s">
        <v>33</v>
      </c>
      <c r="C35" s="181" t="s">
        <v>17</v>
      </c>
      <c r="D35" s="182"/>
      <c r="E35" s="183" t="s">
        <v>20</v>
      </c>
      <c r="F35" s="73" t="s">
        <v>481</v>
      </c>
      <c r="G35" s="184" t="s">
        <v>114</v>
      </c>
      <c r="H35" s="181">
        <v>4</v>
      </c>
      <c r="I35" s="185"/>
      <c r="J35" s="190"/>
      <c r="K35" s="77"/>
      <c r="L35" s="77"/>
      <c r="M35" s="187">
        <f t="shared" si="1"/>
        <v>0</v>
      </c>
      <c r="N35" s="101">
        <v>14</v>
      </c>
      <c r="O35" s="186">
        <v>25645.14</v>
      </c>
      <c r="P35" s="186">
        <v>25645.14</v>
      </c>
      <c r="Q35" s="188">
        <f t="shared" si="2"/>
        <v>0</v>
      </c>
    </row>
    <row r="36" spans="1:18" s="15" customFormat="1" ht="15.75" x14ac:dyDescent="0.25">
      <c r="A36" s="14"/>
      <c r="B36" s="62" t="s">
        <v>147</v>
      </c>
      <c r="C36" s="181" t="s">
        <v>17</v>
      </c>
      <c r="D36" s="182"/>
      <c r="E36" s="183" t="s">
        <v>29</v>
      </c>
      <c r="F36" s="73" t="s">
        <v>334</v>
      </c>
      <c r="G36" s="74" t="s">
        <v>112</v>
      </c>
      <c r="H36" s="75">
        <v>5</v>
      </c>
      <c r="I36" s="192">
        <v>1</v>
      </c>
      <c r="J36" s="97">
        <f>1+1</f>
        <v>2</v>
      </c>
      <c r="K36" s="77">
        <f>1854.88+2824.48</f>
        <v>4679.3600000000006</v>
      </c>
      <c r="L36" s="77">
        <f>1854.88+2824.48</f>
        <v>4679.3600000000006</v>
      </c>
      <c r="M36" s="78">
        <f>K36-L36</f>
        <v>0</v>
      </c>
      <c r="N36" s="114">
        <f>1+1+1</f>
        <v>3</v>
      </c>
      <c r="O36" s="81">
        <f>1394.65+2473.17+1961.49</f>
        <v>5829.31</v>
      </c>
      <c r="P36" s="81">
        <f>1394.65+2473.17+1961.49</f>
        <v>5829.31</v>
      </c>
      <c r="Q36" s="79">
        <f t="shared" si="2"/>
        <v>0</v>
      </c>
      <c r="R36" s="141"/>
    </row>
    <row r="37" spans="1:18" s="15" customFormat="1" ht="15.75" hidden="1" x14ac:dyDescent="0.25">
      <c r="A37" s="14"/>
      <c r="B37" s="191" t="s">
        <v>147</v>
      </c>
      <c r="C37" s="181" t="s">
        <v>17</v>
      </c>
      <c r="D37" s="182"/>
      <c r="E37" s="183" t="s">
        <v>29</v>
      </c>
      <c r="F37" s="73" t="s">
        <v>423</v>
      </c>
      <c r="G37" s="184" t="s">
        <v>117</v>
      </c>
      <c r="H37" s="181">
        <v>5</v>
      </c>
      <c r="I37" s="196">
        <v>3</v>
      </c>
      <c r="J37" s="97">
        <v>3</v>
      </c>
      <c r="K37" s="77">
        <v>5241.5</v>
      </c>
      <c r="L37" s="77">
        <v>5241.5</v>
      </c>
      <c r="M37" s="187">
        <f t="shared" si="1"/>
        <v>0</v>
      </c>
      <c r="N37" s="101">
        <v>4</v>
      </c>
      <c r="O37" s="186">
        <v>4706.45</v>
      </c>
      <c r="P37" s="186">
        <v>4706.45</v>
      </c>
      <c r="Q37" s="188">
        <f t="shared" si="2"/>
        <v>0</v>
      </c>
    </row>
    <row r="38" spans="1:18" s="13" customFormat="1" ht="15.75" x14ac:dyDescent="0.25">
      <c r="A38" s="10"/>
      <c r="B38" s="62" t="s">
        <v>34</v>
      </c>
      <c r="C38" s="181" t="s">
        <v>17</v>
      </c>
      <c r="D38" s="182"/>
      <c r="E38" s="194" t="s">
        <v>35</v>
      </c>
      <c r="F38" s="73" t="s">
        <v>335</v>
      </c>
      <c r="G38" s="74" t="s">
        <v>112</v>
      </c>
      <c r="H38" s="75">
        <v>17</v>
      </c>
      <c r="I38" s="76">
        <v>12</v>
      </c>
      <c r="J38" s="96">
        <f>4+2+2+7</f>
        <v>15</v>
      </c>
      <c r="K38" s="77">
        <f>8288.4+1267.86+845.24+13964.6+11418.26</f>
        <v>35784.36</v>
      </c>
      <c r="L38" s="77">
        <f>8288.4+1267.86+845.24+13964.6+11418.26</f>
        <v>35784.36</v>
      </c>
      <c r="M38" s="78">
        <f>K38-L38</f>
        <v>0</v>
      </c>
      <c r="N38" s="100">
        <f>4+4+6+1+3+1+3</f>
        <v>22</v>
      </c>
      <c r="O38" s="81">
        <f>23915.04+21171.88+6399.1+11460.81</f>
        <v>62946.829999999994</v>
      </c>
      <c r="P38" s="81">
        <f>23915.04+21171.88+6399.1+11460.81</f>
        <v>62946.829999999994</v>
      </c>
      <c r="Q38" s="79">
        <f t="shared" si="2"/>
        <v>0</v>
      </c>
      <c r="R38" s="141"/>
    </row>
    <row r="39" spans="1:18" s="13" customFormat="1" ht="15.75" hidden="1" x14ac:dyDescent="0.25">
      <c r="A39" s="10"/>
      <c r="B39" s="62" t="s">
        <v>34</v>
      </c>
      <c r="C39" s="181" t="s">
        <v>17</v>
      </c>
      <c r="D39" s="182"/>
      <c r="E39" s="194" t="s">
        <v>35</v>
      </c>
      <c r="F39" s="73" t="s">
        <v>424</v>
      </c>
      <c r="G39" s="195" t="s">
        <v>117</v>
      </c>
      <c r="H39" s="181">
        <v>2</v>
      </c>
      <c r="I39" s="185">
        <v>1</v>
      </c>
      <c r="J39" s="96">
        <v>2</v>
      </c>
      <c r="K39" s="77">
        <v>3842</v>
      </c>
      <c r="L39" s="77">
        <v>3842</v>
      </c>
      <c r="M39" s="187">
        <f t="shared" si="1"/>
        <v>0</v>
      </c>
      <c r="N39" s="100">
        <v>3</v>
      </c>
      <c r="O39" s="186">
        <v>9220.7999999999993</v>
      </c>
      <c r="P39" s="186">
        <v>9220.7999999999993</v>
      </c>
      <c r="Q39" s="188">
        <f t="shared" si="2"/>
        <v>0</v>
      </c>
    </row>
    <row r="40" spans="1:18" s="13" customFormat="1" ht="15.75" x14ac:dyDescent="0.25">
      <c r="A40" s="10"/>
      <c r="B40" s="27" t="s">
        <v>36</v>
      </c>
      <c r="C40" s="181" t="s">
        <v>17</v>
      </c>
      <c r="D40" s="182"/>
      <c r="E40" s="194" t="s">
        <v>32</v>
      </c>
      <c r="F40" s="73" t="s">
        <v>336</v>
      </c>
      <c r="G40" s="74" t="s">
        <v>112</v>
      </c>
      <c r="H40" s="75">
        <v>13</v>
      </c>
      <c r="I40" s="76">
        <v>9</v>
      </c>
      <c r="J40" s="96">
        <f>1+3+4+2</f>
        <v>10</v>
      </c>
      <c r="K40" s="77">
        <f>2091.97+4201.22+3643.94</f>
        <v>9937.130000000001</v>
      </c>
      <c r="L40" s="77">
        <f>2091.97+4201.22+3643.94</f>
        <v>9937.130000000001</v>
      </c>
      <c r="M40" s="78">
        <f t="shared" si="1"/>
        <v>0</v>
      </c>
      <c r="N40" s="100">
        <f>4+2+5+1+1+4</f>
        <v>17</v>
      </c>
      <c r="O40" s="81">
        <f>26828.22+3116.2+14162+4691</f>
        <v>48797.42</v>
      </c>
      <c r="P40" s="81">
        <f>26828.22+3116.2+14162+4691</f>
        <v>48797.42</v>
      </c>
      <c r="Q40" s="79">
        <f t="shared" si="2"/>
        <v>0</v>
      </c>
      <c r="R40" s="141"/>
    </row>
    <row r="41" spans="1:18" s="13" customFormat="1" ht="15.75" x14ac:dyDescent="0.25">
      <c r="A41" s="10"/>
      <c r="B41" s="27" t="s">
        <v>38</v>
      </c>
      <c r="C41" s="181" t="s">
        <v>17</v>
      </c>
      <c r="D41" s="182"/>
      <c r="E41" s="183" t="s">
        <v>20</v>
      </c>
      <c r="F41" s="73" t="s">
        <v>338</v>
      </c>
      <c r="G41" s="74" t="s">
        <v>112</v>
      </c>
      <c r="H41" s="75">
        <v>30</v>
      </c>
      <c r="I41" s="76">
        <v>21</v>
      </c>
      <c r="J41" s="96">
        <f>5+9+3+4+4+2+3</f>
        <v>30</v>
      </c>
      <c r="K41" s="77">
        <f>4427.07+14262.52+23391.74+11108.38</f>
        <v>53189.71</v>
      </c>
      <c r="L41" s="77">
        <f>4427.07+14262.52+23391.74+11108.38</f>
        <v>53189.71</v>
      </c>
      <c r="M41" s="78">
        <f t="shared" si="1"/>
        <v>0</v>
      </c>
      <c r="N41" s="100">
        <f>1+14+2+2+2+3</f>
        <v>24</v>
      </c>
      <c r="O41" s="81">
        <f>34449.99+27363.78+23604.86+16739.26+15240.34</f>
        <v>117398.23</v>
      </c>
      <c r="P41" s="81">
        <f>34449.99+27363.78+23604.86+16739.26+15240.34</f>
        <v>117398.23</v>
      </c>
      <c r="Q41" s="79">
        <f t="shared" si="2"/>
        <v>0</v>
      </c>
      <c r="R41" s="141"/>
    </row>
    <row r="42" spans="1:18" s="13" customFormat="1" ht="15.75" hidden="1" x14ac:dyDescent="0.25">
      <c r="A42" s="10"/>
      <c r="B42" s="27" t="s">
        <v>38</v>
      </c>
      <c r="C42" s="181" t="s">
        <v>17</v>
      </c>
      <c r="D42" s="182"/>
      <c r="E42" s="183" t="s">
        <v>20</v>
      </c>
      <c r="F42" s="73" t="s">
        <v>268</v>
      </c>
      <c r="G42" s="184" t="s">
        <v>114</v>
      </c>
      <c r="H42" s="181"/>
      <c r="I42" s="185"/>
      <c r="J42" s="190"/>
      <c r="K42" s="77"/>
      <c r="L42" s="77"/>
      <c r="M42" s="187">
        <f t="shared" si="1"/>
        <v>0</v>
      </c>
      <c r="N42" s="100"/>
      <c r="O42" s="186"/>
      <c r="P42" s="186"/>
      <c r="Q42" s="188">
        <f t="shared" si="2"/>
        <v>0</v>
      </c>
    </row>
    <row r="43" spans="1:18" s="13" customFormat="1" ht="15.75" hidden="1" x14ac:dyDescent="0.25">
      <c r="A43" s="10"/>
      <c r="B43" s="27" t="s">
        <v>38</v>
      </c>
      <c r="C43" s="181" t="s">
        <v>17</v>
      </c>
      <c r="D43" s="182"/>
      <c r="E43" s="183" t="s">
        <v>18</v>
      </c>
      <c r="F43" s="73" t="s">
        <v>324</v>
      </c>
      <c r="G43" s="184" t="s">
        <v>116</v>
      </c>
      <c r="H43" s="181">
        <v>3</v>
      </c>
      <c r="I43" s="185">
        <v>6</v>
      </c>
      <c r="J43" s="190">
        <v>6</v>
      </c>
      <c r="K43" s="77"/>
      <c r="L43" s="77"/>
      <c r="M43" s="187">
        <f t="shared" si="1"/>
        <v>0</v>
      </c>
      <c r="N43" s="100"/>
      <c r="O43" s="186"/>
      <c r="P43" s="186"/>
      <c r="Q43" s="188">
        <f t="shared" si="2"/>
        <v>0</v>
      </c>
    </row>
    <row r="44" spans="1:18" s="13" customFormat="1" ht="15.75" hidden="1" x14ac:dyDescent="0.25">
      <c r="A44" s="10"/>
      <c r="B44" s="62" t="s">
        <v>39</v>
      </c>
      <c r="C44" s="181" t="s">
        <v>17</v>
      </c>
      <c r="D44" s="182"/>
      <c r="E44" s="183" t="s">
        <v>20</v>
      </c>
      <c r="F44" s="73" t="s">
        <v>269</v>
      </c>
      <c r="G44" s="184" t="s">
        <v>114</v>
      </c>
      <c r="H44" s="181"/>
      <c r="I44" s="185"/>
      <c r="J44" s="190"/>
      <c r="K44" s="77"/>
      <c r="L44" s="77"/>
      <c r="M44" s="187">
        <f t="shared" si="1"/>
        <v>0</v>
      </c>
      <c r="N44" s="100"/>
      <c r="O44" s="186"/>
      <c r="P44" s="186"/>
      <c r="Q44" s="188">
        <f t="shared" si="2"/>
        <v>0</v>
      </c>
    </row>
    <row r="45" spans="1:18" s="13" customFormat="1" ht="15.75" x14ac:dyDescent="0.25">
      <c r="A45" s="10"/>
      <c r="B45" s="27" t="s">
        <v>40</v>
      </c>
      <c r="C45" s="181" t="s">
        <v>17</v>
      </c>
      <c r="D45" s="182"/>
      <c r="E45" s="194" t="s">
        <v>41</v>
      </c>
      <c r="F45" s="73" t="s">
        <v>339</v>
      </c>
      <c r="G45" s="74" t="s">
        <v>112</v>
      </c>
      <c r="H45" s="75">
        <v>17</v>
      </c>
      <c r="I45" s="76">
        <v>14</v>
      </c>
      <c r="J45" s="96">
        <f>1+1+3+9+4+4</f>
        <v>22</v>
      </c>
      <c r="K45" s="77">
        <f>1045.98+3271.86+15658.52+8166.35</f>
        <v>28142.71</v>
      </c>
      <c r="L45" s="77">
        <f>1045.98+3271.86+15658.52+8166.35</f>
        <v>28142.71</v>
      </c>
      <c r="M45" s="78">
        <f>K45-L45</f>
        <v>0</v>
      </c>
      <c r="N45" s="100">
        <f>3+13+6+5+4+2</f>
        <v>33</v>
      </c>
      <c r="O45" s="81">
        <f>17269.31+39990.78+16582.12+23492.44+7068.31</f>
        <v>104402.95999999999</v>
      </c>
      <c r="P45" s="81">
        <f>17269.31+39990.78+16582.12+23492.44+7068.31</f>
        <v>104402.95999999999</v>
      </c>
      <c r="Q45" s="79">
        <f t="shared" si="2"/>
        <v>0</v>
      </c>
      <c r="R45" s="141"/>
    </row>
    <row r="46" spans="1:18" s="13" customFormat="1" ht="15.75" hidden="1" x14ac:dyDescent="0.25">
      <c r="A46" s="10"/>
      <c r="B46" s="27" t="s">
        <v>40</v>
      </c>
      <c r="C46" s="181" t="s">
        <v>17</v>
      </c>
      <c r="D46" s="182"/>
      <c r="E46" s="194" t="s">
        <v>41</v>
      </c>
      <c r="F46" s="73" t="s">
        <v>482</v>
      </c>
      <c r="G46" s="184" t="s">
        <v>114</v>
      </c>
      <c r="H46" s="181"/>
      <c r="I46" s="185"/>
      <c r="J46" s="190"/>
      <c r="K46" s="77"/>
      <c r="L46" s="77"/>
      <c r="M46" s="187">
        <f t="shared" si="1"/>
        <v>0</v>
      </c>
      <c r="N46" s="100">
        <v>1</v>
      </c>
      <c r="O46" s="186">
        <v>3073.6</v>
      </c>
      <c r="P46" s="186">
        <f>3073.6</f>
        <v>3073.6</v>
      </c>
      <c r="Q46" s="188">
        <f t="shared" si="2"/>
        <v>0</v>
      </c>
    </row>
    <row r="47" spans="1:18" s="13" customFormat="1" ht="15.75" x14ac:dyDescent="0.25">
      <c r="A47" s="10"/>
      <c r="B47" s="27" t="s">
        <v>148</v>
      </c>
      <c r="C47" s="181" t="s">
        <v>17</v>
      </c>
      <c r="D47" s="182"/>
      <c r="E47" s="183" t="s">
        <v>20</v>
      </c>
      <c r="F47" s="73" t="s">
        <v>340</v>
      </c>
      <c r="G47" s="74" t="s">
        <v>112</v>
      </c>
      <c r="H47" s="75">
        <v>13</v>
      </c>
      <c r="I47" s="82">
        <v>7</v>
      </c>
      <c r="J47" s="96">
        <f>1+2+1+4</f>
        <v>8</v>
      </c>
      <c r="K47" s="77">
        <f>537.88+2110.03</f>
        <v>2647.9100000000003</v>
      </c>
      <c r="L47" s="77">
        <f>537.88+2110.03</f>
        <v>2647.9100000000003</v>
      </c>
      <c r="M47" s="78">
        <f>K47-L47</f>
        <v>0</v>
      </c>
      <c r="N47" s="100">
        <f>6+5+3+1+1+1</f>
        <v>17</v>
      </c>
      <c r="O47" s="81">
        <f>9370.6+9456.38+8868.69+5367.27+11572.62</f>
        <v>44635.560000000005</v>
      </c>
      <c r="P47" s="81">
        <f>9370.6+9456.38+8868.69+5367.27+11572.62</f>
        <v>44635.560000000005</v>
      </c>
      <c r="Q47" s="79">
        <f t="shared" si="2"/>
        <v>0</v>
      </c>
      <c r="R47" s="141"/>
    </row>
    <row r="48" spans="1:18" s="13" customFormat="1" ht="15.75" hidden="1" x14ac:dyDescent="0.25">
      <c r="A48" s="10"/>
      <c r="B48" s="27" t="s">
        <v>148</v>
      </c>
      <c r="C48" s="181" t="s">
        <v>17</v>
      </c>
      <c r="D48" s="182"/>
      <c r="E48" s="194" t="s">
        <v>32</v>
      </c>
      <c r="F48" s="73" t="s">
        <v>425</v>
      </c>
      <c r="G48" s="184" t="s">
        <v>117</v>
      </c>
      <c r="H48" s="181">
        <v>7</v>
      </c>
      <c r="I48" s="185">
        <v>1</v>
      </c>
      <c r="J48" s="96">
        <v>1</v>
      </c>
      <c r="K48" s="77">
        <v>1344.7</v>
      </c>
      <c r="L48" s="77">
        <v>1344.7</v>
      </c>
      <c r="M48" s="187">
        <f t="shared" si="1"/>
        <v>0</v>
      </c>
      <c r="N48" s="100">
        <v>4</v>
      </c>
      <c r="O48" s="186">
        <v>12851.49</v>
      </c>
      <c r="P48" s="186">
        <v>12851.49</v>
      </c>
      <c r="Q48" s="188">
        <f t="shared" si="2"/>
        <v>0</v>
      </c>
    </row>
    <row r="49" spans="1:18" s="13" customFormat="1" ht="15.75" x14ac:dyDescent="0.25">
      <c r="A49" s="10"/>
      <c r="B49" s="30" t="s">
        <v>42</v>
      </c>
      <c r="C49" s="181" t="s">
        <v>17</v>
      </c>
      <c r="D49" s="182"/>
      <c r="E49" s="183" t="s">
        <v>23</v>
      </c>
      <c r="F49" s="73" t="s">
        <v>341</v>
      </c>
      <c r="G49" s="74" t="s">
        <v>112</v>
      </c>
      <c r="H49" s="75">
        <v>30</v>
      </c>
      <c r="I49" s="76">
        <v>20</v>
      </c>
      <c r="J49" s="96">
        <f>5+3+5+3+8+3</f>
        <v>27</v>
      </c>
      <c r="K49" s="77">
        <f>7156.22+3849.11+8154.25+4149.36</f>
        <v>23308.940000000002</v>
      </c>
      <c r="L49" s="77">
        <f>7156.22+3849.11+8154.25+4149.36</f>
        <v>23308.940000000002</v>
      </c>
      <c r="M49" s="78">
        <f>K49-L49</f>
        <v>0</v>
      </c>
      <c r="N49" s="100">
        <f>4+6+9+2+4+2+2+3+3</f>
        <v>35</v>
      </c>
      <c r="O49" s="81">
        <f>5364.2+26170.88+2849.25+18965.6+9565.56+9423.5</f>
        <v>72338.989999999991</v>
      </c>
      <c r="P49" s="81">
        <f>5364.2+26170.88+2849.25+18965.6+9565.56+9423.5</f>
        <v>72338.989999999991</v>
      </c>
      <c r="Q49" s="79">
        <f t="shared" si="2"/>
        <v>0</v>
      </c>
      <c r="R49" s="141"/>
    </row>
    <row r="50" spans="1:18" s="13" customFormat="1" ht="15.75" hidden="1" x14ac:dyDescent="0.25">
      <c r="A50" s="10"/>
      <c r="B50" s="30" t="s">
        <v>42</v>
      </c>
      <c r="C50" s="181" t="s">
        <v>17</v>
      </c>
      <c r="D50" s="182"/>
      <c r="E50" s="183" t="s">
        <v>23</v>
      </c>
      <c r="F50" s="73" t="s">
        <v>437</v>
      </c>
      <c r="G50" s="184" t="s">
        <v>118</v>
      </c>
      <c r="H50" s="181">
        <v>2</v>
      </c>
      <c r="I50" s="185"/>
      <c r="J50" s="96"/>
      <c r="K50" s="77"/>
      <c r="L50" s="77"/>
      <c r="M50" s="187">
        <f t="shared" si="1"/>
        <v>0</v>
      </c>
      <c r="N50" s="100">
        <v>1</v>
      </c>
      <c r="O50" s="186">
        <v>7766.4</v>
      </c>
      <c r="P50" s="186">
        <v>7766.4</v>
      </c>
      <c r="Q50" s="188">
        <f t="shared" si="2"/>
        <v>0</v>
      </c>
    </row>
    <row r="51" spans="1:18" s="13" customFormat="1" ht="15.75" x14ac:dyDescent="0.25">
      <c r="A51" s="10"/>
      <c r="B51" s="30" t="s">
        <v>173</v>
      </c>
      <c r="C51" s="181" t="s">
        <v>17</v>
      </c>
      <c r="D51" s="182"/>
      <c r="E51" s="184" t="s">
        <v>118</v>
      </c>
      <c r="F51" s="73" t="s">
        <v>342</v>
      </c>
      <c r="G51" s="74" t="s">
        <v>112</v>
      </c>
      <c r="H51" s="75">
        <v>4</v>
      </c>
      <c r="I51" s="76">
        <v>4</v>
      </c>
      <c r="J51" s="96">
        <f>1+2+1</f>
        <v>4</v>
      </c>
      <c r="K51" s="77">
        <f>6833.76+696.36</f>
        <v>7530.12</v>
      </c>
      <c r="L51" s="77">
        <f>6833.76+696.36</f>
        <v>7530.12</v>
      </c>
      <c r="M51" s="78">
        <f>K51-L51</f>
        <v>0</v>
      </c>
      <c r="N51" s="100">
        <f>4+2</f>
        <v>6</v>
      </c>
      <c r="O51" s="81">
        <f>5931.9+4183.92+3158.95</f>
        <v>13274.77</v>
      </c>
      <c r="P51" s="81">
        <f>5931.9+4183.92+3158.95</f>
        <v>13274.77</v>
      </c>
      <c r="Q51" s="79">
        <f t="shared" si="2"/>
        <v>0</v>
      </c>
      <c r="R51" s="141"/>
    </row>
    <row r="52" spans="1:18" s="13" customFormat="1" ht="15.75" hidden="1" x14ac:dyDescent="0.25">
      <c r="A52" s="10"/>
      <c r="B52" s="62" t="s">
        <v>143</v>
      </c>
      <c r="C52" s="181" t="s">
        <v>64</v>
      </c>
      <c r="D52" s="182" t="s">
        <v>444</v>
      </c>
      <c r="E52" s="183" t="s">
        <v>20</v>
      </c>
      <c r="F52" s="73" t="s">
        <v>445</v>
      </c>
      <c r="G52" s="184" t="s">
        <v>114</v>
      </c>
      <c r="H52" s="181">
        <v>15</v>
      </c>
      <c r="I52" s="192">
        <v>3</v>
      </c>
      <c r="J52" s="190">
        <v>3</v>
      </c>
      <c r="K52" s="193"/>
      <c r="L52" s="193"/>
      <c r="M52" s="78">
        <f t="shared" si="1"/>
        <v>0</v>
      </c>
      <c r="N52" s="114">
        <v>18</v>
      </c>
      <c r="O52" s="186">
        <v>27390.400000000001</v>
      </c>
      <c r="P52" s="186">
        <v>27390.400000000001</v>
      </c>
      <c r="Q52" s="188">
        <f t="shared" si="2"/>
        <v>0</v>
      </c>
    </row>
    <row r="53" spans="1:18" s="13" customFormat="1" ht="15.75" hidden="1" x14ac:dyDescent="0.25">
      <c r="A53" s="10"/>
      <c r="B53" s="30" t="s">
        <v>158</v>
      </c>
      <c r="C53" s="181" t="s">
        <v>17</v>
      </c>
      <c r="D53" s="182"/>
      <c r="E53" s="194" t="s">
        <v>32</v>
      </c>
      <c r="F53" s="73" t="s">
        <v>426</v>
      </c>
      <c r="G53" s="184" t="s">
        <v>117</v>
      </c>
      <c r="H53" s="181">
        <v>6</v>
      </c>
      <c r="I53" s="192">
        <v>3</v>
      </c>
      <c r="J53" s="190">
        <v>4</v>
      </c>
      <c r="K53" s="193">
        <v>8452.4</v>
      </c>
      <c r="L53" s="193">
        <v>8452.4</v>
      </c>
      <c r="M53" s="187">
        <f t="shared" si="1"/>
        <v>0</v>
      </c>
      <c r="N53" s="114">
        <v>4</v>
      </c>
      <c r="O53" s="186">
        <v>9789.2000000000007</v>
      </c>
      <c r="P53" s="186">
        <v>9789.2000000000007</v>
      </c>
      <c r="Q53" s="188">
        <f t="shared" si="2"/>
        <v>0</v>
      </c>
    </row>
    <row r="54" spans="1:18" s="15" customFormat="1" ht="15.75" x14ac:dyDescent="0.25">
      <c r="A54" s="14"/>
      <c r="B54" s="80" t="s">
        <v>43</v>
      </c>
      <c r="C54" s="181" t="s">
        <v>17</v>
      </c>
      <c r="D54" s="182"/>
      <c r="E54" s="183" t="s">
        <v>18</v>
      </c>
      <c r="F54" s="73" t="s">
        <v>344</v>
      </c>
      <c r="G54" s="74" t="s">
        <v>112</v>
      </c>
      <c r="H54" s="75">
        <v>20</v>
      </c>
      <c r="I54" s="76">
        <v>14</v>
      </c>
      <c r="J54" s="96">
        <f>1+2+2+5+2+3</f>
        <v>15</v>
      </c>
      <c r="K54" s="77">
        <f>1776.93+926.88+3328.29</f>
        <v>6032.1</v>
      </c>
      <c r="L54" s="77">
        <f>1776.93+926.88+3328.29</f>
        <v>6032.1</v>
      </c>
      <c r="M54" s="78">
        <f>K54-L54</f>
        <v>0</v>
      </c>
      <c r="N54" s="100">
        <f>1+5+4+1+1+1</f>
        <v>13</v>
      </c>
      <c r="O54" s="81">
        <f>1223.8+3810.29+4959.02+10043.87+2769.48+2146.91</f>
        <v>24953.370000000003</v>
      </c>
      <c r="P54" s="81">
        <f>1223.8+3810.29+4959.02+10043.87+2769.48+2146.91</f>
        <v>24953.370000000003</v>
      </c>
      <c r="Q54" s="79">
        <f t="shared" si="2"/>
        <v>0</v>
      </c>
      <c r="R54" s="141"/>
    </row>
    <row r="55" spans="1:18" s="15" customFormat="1" ht="30" hidden="1" x14ac:dyDescent="0.25">
      <c r="A55" s="14"/>
      <c r="B55" s="62" t="s">
        <v>43</v>
      </c>
      <c r="C55" s="181" t="s">
        <v>304</v>
      </c>
      <c r="D55" s="182" t="s">
        <v>473</v>
      </c>
      <c r="E55" s="183" t="s">
        <v>18</v>
      </c>
      <c r="F55" s="73" t="s">
        <v>323</v>
      </c>
      <c r="G55" s="184" t="s">
        <v>113</v>
      </c>
      <c r="H55" s="181">
        <v>18</v>
      </c>
      <c r="I55" s="198">
        <v>12</v>
      </c>
      <c r="J55" s="199">
        <v>12</v>
      </c>
      <c r="K55" s="77">
        <v>16405</v>
      </c>
      <c r="L55" s="77">
        <v>15748</v>
      </c>
      <c r="M55" s="187">
        <f t="shared" si="1"/>
        <v>657</v>
      </c>
      <c r="N55" s="114">
        <v>13</v>
      </c>
      <c r="O55" s="186">
        <v>29954</v>
      </c>
      <c r="P55" s="186">
        <v>26496</v>
      </c>
      <c r="Q55" s="188">
        <f t="shared" si="2"/>
        <v>3458</v>
      </c>
    </row>
    <row r="56" spans="1:18" s="13" customFormat="1" ht="15.75" x14ac:dyDescent="0.25">
      <c r="A56" s="10"/>
      <c r="B56" s="30" t="s">
        <v>44</v>
      </c>
      <c r="C56" s="181" t="s">
        <v>17</v>
      </c>
      <c r="D56" s="182"/>
      <c r="E56" s="183" t="s">
        <v>20</v>
      </c>
      <c r="F56" s="73" t="s">
        <v>345</v>
      </c>
      <c r="G56" s="74" t="s">
        <v>112</v>
      </c>
      <c r="H56" s="75">
        <v>6</v>
      </c>
      <c r="I56" s="76">
        <v>6</v>
      </c>
      <c r="J56" s="96">
        <f>1+1+1+4</f>
        <v>7</v>
      </c>
      <c r="K56" s="77">
        <f>2422.38+1267.86+15410.58</f>
        <v>19100.82</v>
      </c>
      <c r="L56" s="77">
        <f>2422.38+1267.86+15410.58</f>
        <v>19100.82</v>
      </c>
      <c r="M56" s="78">
        <f>K56-L56</f>
        <v>0</v>
      </c>
      <c r="N56" s="100">
        <f>1+11</f>
        <v>12</v>
      </c>
      <c r="O56" s="81">
        <f>421.62+4603.39+10559.77+72902.04</f>
        <v>88486.819999999992</v>
      </c>
      <c r="P56" s="81">
        <f>421.62+4603.39+10559.77+72902.04</f>
        <v>88486.819999999992</v>
      </c>
      <c r="Q56" s="79">
        <f t="shared" si="2"/>
        <v>0</v>
      </c>
      <c r="R56" s="141"/>
    </row>
    <row r="57" spans="1:18" s="13" customFormat="1" ht="15.75" hidden="1" x14ac:dyDescent="0.25">
      <c r="A57" s="10"/>
      <c r="B57" s="30" t="s">
        <v>44</v>
      </c>
      <c r="C57" s="181" t="s">
        <v>17</v>
      </c>
      <c r="D57" s="182"/>
      <c r="E57" s="183" t="s">
        <v>20</v>
      </c>
      <c r="F57" s="73" t="s">
        <v>483</v>
      </c>
      <c r="G57" s="184" t="s">
        <v>114</v>
      </c>
      <c r="H57" s="181"/>
      <c r="I57" s="185"/>
      <c r="J57" s="190"/>
      <c r="K57" s="77"/>
      <c r="L57" s="77"/>
      <c r="M57" s="78">
        <f t="shared" si="1"/>
        <v>0</v>
      </c>
      <c r="N57" s="100">
        <v>2</v>
      </c>
      <c r="O57" s="186">
        <v>6723.5</v>
      </c>
      <c r="P57" s="186">
        <v>6723.5</v>
      </c>
      <c r="Q57" s="188">
        <f t="shared" si="2"/>
        <v>0</v>
      </c>
    </row>
    <row r="58" spans="1:18" s="13" customFormat="1" ht="15.75" x14ac:dyDescent="0.25">
      <c r="A58" s="10"/>
      <c r="B58" s="30" t="s">
        <v>492</v>
      </c>
      <c r="C58" s="181" t="s">
        <v>17</v>
      </c>
      <c r="D58" s="182"/>
      <c r="E58" s="183" t="s">
        <v>20</v>
      </c>
      <c r="F58" s="73" t="s">
        <v>499</v>
      </c>
      <c r="G58" s="184" t="s">
        <v>112</v>
      </c>
      <c r="H58" s="181">
        <v>9</v>
      </c>
      <c r="I58" s="185">
        <v>1</v>
      </c>
      <c r="J58" s="190">
        <f>1</f>
        <v>1</v>
      </c>
      <c r="K58" s="77">
        <f>1044.98</f>
        <v>1044.98</v>
      </c>
      <c r="L58" s="77">
        <f>1044.98</f>
        <v>1044.98</v>
      </c>
      <c r="M58" s="78">
        <f t="shared" si="1"/>
        <v>0</v>
      </c>
      <c r="N58" s="100"/>
      <c r="O58" s="186"/>
      <c r="P58" s="186"/>
      <c r="Q58" s="79">
        <f t="shared" si="2"/>
        <v>0</v>
      </c>
    </row>
    <row r="59" spans="1:18" s="13" customFormat="1" ht="15.75" x14ac:dyDescent="0.25">
      <c r="A59" s="10"/>
      <c r="B59" s="27" t="s">
        <v>45</v>
      </c>
      <c r="C59" s="181" t="s">
        <v>17</v>
      </c>
      <c r="D59" s="182"/>
      <c r="E59" s="183" t="s">
        <v>20</v>
      </c>
      <c r="F59" s="73" t="s">
        <v>346</v>
      </c>
      <c r="G59" s="74" t="s">
        <v>112</v>
      </c>
      <c r="H59" s="75"/>
      <c r="I59" s="76"/>
      <c r="J59" s="96"/>
      <c r="K59" s="77"/>
      <c r="L59" s="77"/>
      <c r="M59" s="78">
        <f t="shared" si="1"/>
        <v>0</v>
      </c>
      <c r="N59" s="100">
        <f>1</f>
        <v>1</v>
      </c>
      <c r="O59" s="81">
        <f>17995.91+2729.8</f>
        <v>20725.71</v>
      </c>
      <c r="P59" s="81">
        <f>17995.91+2729.8</f>
        <v>20725.71</v>
      </c>
      <c r="Q59" s="79">
        <f t="shared" si="2"/>
        <v>0</v>
      </c>
      <c r="R59" s="141"/>
    </row>
    <row r="60" spans="1:18" s="13" customFormat="1" ht="15.75" hidden="1" x14ac:dyDescent="0.25">
      <c r="A60" s="10"/>
      <c r="B60" s="27" t="s">
        <v>45</v>
      </c>
      <c r="C60" s="181" t="s">
        <v>17</v>
      </c>
      <c r="D60" s="182"/>
      <c r="E60" s="183" t="s">
        <v>20</v>
      </c>
      <c r="F60" s="73" t="s">
        <v>484</v>
      </c>
      <c r="G60" s="184" t="s">
        <v>114</v>
      </c>
      <c r="H60" s="181"/>
      <c r="I60" s="185"/>
      <c r="J60" s="190"/>
      <c r="K60" s="77"/>
      <c r="L60" s="77"/>
      <c r="M60" s="78">
        <f t="shared" si="1"/>
        <v>0</v>
      </c>
      <c r="N60" s="100"/>
      <c r="O60" s="186"/>
      <c r="P60" s="186"/>
      <c r="Q60" s="188">
        <f t="shared" si="2"/>
        <v>0</v>
      </c>
    </row>
    <row r="61" spans="1:18" s="15" customFormat="1" ht="15.75" x14ac:dyDescent="0.25">
      <c r="A61" s="14"/>
      <c r="B61" s="28" t="s">
        <v>46</v>
      </c>
      <c r="C61" s="181" t="s">
        <v>17</v>
      </c>
      <c r="D61" s="182"/>
      <c r="E61" s="183" t="s">
        <v>20</v>
      </c>
      <c r="F61" s="73" t="s">
        <v>347</v>
      </c>
      <c r="G61" s="74" t="s">
        <v>112</v>
      </c>
      <c r="H61" s="75">
        <v>10</v>
      </c>
      <c r="I61" s="76">
        <v>7</v>
      </c>
      <c r="J61" s="96">
        <f>1+2+3+2+4</f>
        <v>12</v>
      </c>
      <c r="K61" s="77">
        <f>1045.98+1068.08+8157.32+1778.85+9152.67</f>
        <v>21202.9</v>
      </c>
      <c r="L61" s="77">
        <f>1045.98+1068.08+8157.32+1778.85+9152.67</f>
        <v>21202.9</v>
      </c>
      <c r="M61" s="78">
        <f>K61-L61</f>
        <v>0</v>
      </c>
      <c r="N61" s="100">
        <f>4+4+1</f>
        <v>9</v>
      </c>
      <c r="O61" s="81">
        <f>10759.2+10685.34</f>
        <v>21444.54</v>
      </c>
      <c r="P61" s="81">
        <f>10759.2+10685.34</f>
        <v>21444.54</v>
      </c>
      <c r="Q61" s="79">
        <f t="shared" si="2"/>
        <v>0</v>
      </c>
      <c r="R61" s="141"/>
    </row>
    <row r="62" spans="1:18" s="15" customFormat="1" ht="15.75" hidden="1" x14ac:dyDescent="0.25">
      <c r="A62" s="14"/>
      <c r="B62" s="28" t="s">
        <v>46</v>
      </c>
      <c r="C62" s="181" t="s">
        <v>17</v>
      </c>
      <c r="D62" s="182"/>
      <c r="E62" s="183" t="s">
        <v>20</v>
      </c>
      <c r="F62" s="73" t="s">
        <v>273</v>
      </c>
      <c r="G62" s="184" t="s">
        <v>114</v>
      </c>
      <c r="H62" s="181">
        <v>2</v>
      </c>
      <c r="I62" s="185"/>
      <c r="J62" s="190"/>
      <c r="K62" s="77"/>
      <c r="L62" s="77"/>
      <c r="M62" s="78">
        <f t="shared" si="1"/>
        <v>0</v>
      </c>
      <c r="N62" s="101">
        <v>3</v>
      </c>
      <c r="O62" s="186">
        <v>9356.9</v>
      </c>
      <c r="P62" s="186">
        <v>9356.9</v>
      </c>
      <c r="Q62" s="188">
        <f t="shared" si="2"/>
        <v>0</v>
      </c>
    </row>
    <row r="63" spans="1:18" s="13" customFormat="1" ht="45" x14ac:dyDescent="0.25">
      <c r="A63" s="10"/>
      <c r="B63" s="30" t="s">
        <v>47</v>
      </c>
      <c r="C63" s="181" t="s">
        <v>304</v>
      </c>
      <c r="D63" s="182" t="s">
        <v>474</v>
      </c>
      <c r="E63" s="183" t="s">
        <v>18</v>
      </c>
      <c r="F63" s="73" t="s">
        <v>348</v>
      </c>
      <c r="G63" s="74" t="s">
        <v>112</v>
      </c>
      <c r="H63" s="75">
        <v>34</v>
      </c>
      <c r="I63" s="76">
        <v>14</v>
      </c>
      <c r="J63" s="98">
        <f>1+1+3+21+7+2+5</f>
        <v>40</v>
      </c>
      <c r="K63" s="77">
        <v>30728.27</v>
      </c>
      <c r="L63" s="77">
        <v>30067.95</v>
      </c>
      <c r="M63" s="78">
        <f>K63-L63</f>
        <v>660.31999999999971</v>
      </c>
      <c r="N63" s="100">
        <f>7+3+4+10+6+1+2+1+3</f>
        <v>37</v>
      </c>
      <c r="O63" s="81">
        <f>8477.51+15159.83+14079.46+15414.2+17995.91+2065.56+1859.53+9543.86+1728.53+14526.84</f>
        <v>100851.23</v>
      </c>
      <c r="P63" s="81">
        <f>8477.51+15159.83+14079.46+15414.2+17995.91+2065.56+1859.53+9543.86+1728.53+14526.84</f>
        <v>100851.23</v>
      </c>
      <c r="Q63" s="79">
        <f t="shared" si="2"/>
        <v>0</v>
      </c>
      <c r="R63" s="141"/>
    </row>
    <row r="64" spans="1:18" s="13" customFormat="1" ht="45" hidden="1" x14ac:dyDescent="0.25">
      <c r="A64" s="10"/>
      <c r="B64" s="62" t="s">
        <v>120</v>
      </c>
      <c r="C64" s="181" t="s">
        <v>304</v>
      </c>
      <c r="D64" s="182" t="s">
        <v>474</v>
      </c>
      <c r="E64" s="183" t="s">
        <v>18</v>
      </c>
      <c r="F64" s="73" t="s">
        <v>334</v>
      </c>
      <c r="G64" s="184" t="s">
        <v>116</v>
      </c>
      <c r="H64" s="181">
        <v>19</v>
      </c>
      <c r="I64" s="192">
        <v>9</v>
      </c>
      <c r="J64" s="98">
        <v>10</v>
      </c>
      <c r="K64" s="77">
        <v>12583</v>
      </c>
      <c r="L64" s="77">
        <v>11315</v>
      </c>
      <c r="M64" s="78">
        <f t="shared" si="1"/>
        <v>1268</v>
      </c>
      <c r="N64" s="100">
        <v>12</v>
      </c>
      <c r="O64" s="186">
        <v>47383</v>
      </c>
      <c r="P64" s="186">
        <v>45904</v>
      </c>
      <c r="Q64" s="188">
        <f t="shared" si="2"/>
        <v>1479</v>
      </c>
    </row>
    <row r="65" spans="1:18" s="13" customFormat="1" ht="15.75" x14ac:dyDescent="0.25">
      <c r="A65" s="10"/>
      <c r="B65" s="30" t="s">
        <v>134</v>
      </c>
      <c r="C65" s="181" t="s">
        <v>17</v>
      </c>
      <c r="D65" s="182"/>
      <c r="E65" s="183" t="s">
        <v>20</v>
      </c>
      <c r="F65" s="73" t="s">
        <v>349</v>
      </c>
      <c r="G65" s="74" t="s">
        <v>112</v>
      </c>
      <c r="H65" s="75">
        <v>11</v>
      </c>
      <c r="I65" s="76">
        <v>8</v>
      </c>
      <c r="J65" s="96">
        <f>1+4+1+1</f>
        <v>7</v>
      </c>
      <c r="K65" s="77">
        <f>7301.48+1473.89+1911.09+1690.48</f>
        <v>12376.939999999999</v>
      </c>
      <c r="L65" s="77">
        <f>7301.48+1473.89+1911.09+1690.48</f>
        <v>12376.939999999999</v>
      </c>
      <c r="M65" s="78">
        <f>K65-L65</f>
        <v>0</v>
      </c>
      <c r="N65" s="100">
        <f>4+1+1</f>
        <v>6</v>
      </c>
      <c r="O65" s="81">
        <f>5020.05+3215.31+12312.39+4648.82+32425.98</f>
        <v>57622.55</v>
      </c>
      <c r="P65" s="81">
        <f>5020.05+3215.31+12312.39+4648.82+32425.98</f>
        <v>57622.55</v>
      </c>
      <c r="Q65" s="79">
        <f t="shared" si="2"/>
        <v>0</v>
      </c>
      <c r="R65" s="141"/>
    </row>
    <row r="66" spans="1:18" s="13" customFormat="1" ht="15.75" hidden="1" x14ac:dyDescent="0.25">
      <c r="A66" s="10"/>
      <c r="B66" s="30" t="s">
        <v>134</v>
      </c>
      <c r="C66" s="181" t="s">
        <v>17</v>
      </c>
      <c r="D66" s="182"/>
      <c r="E66" s="183" t="s">
        <v>20</v>
      </c>
      <c r="F66" s="73" t="s">
        <v>456</v>
      </c>
      <c r="G66" s="184" t="s">
        <v>114</v>
      </c>
      <c r="H66" s="181">
        <v>13</v>
      </c>
      <c r="I66" s="185">
        <v>3</v>
      </c>
      <c r="J66" s="190">
        <v>3</v>
      </c>
      <c r="K66" s="77">
        <v>3688.32</v>
      </c>
      <c r="L66" s="77">
        <v>3688.32</v>
      </c>
      <c r="M66" s="78">
        <f t="shared" si="1"/>
        <v>0</v>
      </c>
      <c r="N66" s="100">
        <v>25</v>
      </c>
      <c r="O66" s="186">
        <v>54903.199999999997</v>
      </c>
      <c r="P66" s="186">
        <v>54903.199999999997</v>
      </c>
      <c r="Q66" s="188">
        <f t="shared" si="2"/>
        <v>0</v>
      </c>
    </row>
    <row r="67" spans="1:18" s="13" customFormat="1" ht="15.75" x14ac:dyDescent="0.25">
      <c r="A67" s="10"/>
      <c r="B67" s="62" t="s">
        <v>48</v>
      </c>
      <c r="C67" s="181" t="s">
        <v>17</v>
      </c>
      <c r="D67" s="182"/>
      <c r="E67" s="183" t="s">
        <v>20</v>
      </c>
      <c r="F67" s="73" t="s">
        <v>350</v>
      </c>
      <c r="G67" s="74" t="s">
        <v>112</v>
      </c>
      <c r="H67" s="75">
        <v>10</v>
      </c>
      <c r="I67" s="76">
        <v>7</v>
      </c>
      <c r="J67" s="96">
        <f>1+1+2</f>
        <v>4</v>
      </c>
      <c r="K67" s="77">
        <f>4805.96+2585.78+3065.92+2588.55</f>
        <v>13046.21</v>
      </c>
      <c r="L67" s="77">
        <f>4805.96+2585.78+3065.92+2588.55</f>
        <v>13046.21</v>
      </c>
      <c r="M67" s="78">
        <f t="shared" si="1"/>
        <v>0</v>
      </c>
      <c r="N67" s="100">
        <f>2+1+2</f>
        <v>5</v>
      </c>
      <c r="O67" s="81">
        <f>23174.33+2535.72+11633.02+6993.42+20756.4</f>
        <v>65092.890000000007</v>
      </c>
      <c r="P67" s="81">
        <f>23174.33+2535.72+11633.02+6993.42+20756.4</f>
        <v>65092.890000000007</v>
      </c>
      <c r="Q67" s="79">
        <f t="shared" si="2"/>
        <v>0</v>
      </c>
      <c r="R67" s="141"/>
    </row>
    <row r="68" spans="1:18" s="13" customFormat="1" ht="15.75" x14ac:dyDescent="0.25">
      <c r="A68" s="10"/>
      <c r="B68" s="62" t="s">
        <v>49</v>
      </c>
      <c r="C68" s="181" t="s">
        <v>17</v>
      </c>
      <c r="D68" s="182"/>
      <c r="E68" s="183" t="s">
        <v>50</v>
      </c>
      <c r="F68" s="73" t="s">
        <v>351</v>
      </c>
      <c r="G68" s="74" t="s">
        <v>112</v>
      </c>
      <c r="H68" s="75">
        <v>21</v>
      </c>
      <c r="I68" s="76">
        <v>10</v>
      </c>
      <c r="J68" s="96">
        <f>1+4+8</f>
        <v>13</v>
      </c>
      <c r="K68" s="77">
        <f>525.65+1267.86+6544.72</f>
        <v>8338.23</v>
      </c>
      <c r="L68" s="77">
        <f>525.65+1267.86+6544.72</f>
        <v>8338.23</v>
      </c>
      <c r="M68" s="78">
        <f t="shared" si="1"/>
        <v>0</v>
      </c>
      <c r="N68" s="100">
        <f>5+1+3</f>
        <v>9</v>
      </c>
      <c r="O68" s="81">
        <f>7374+1806.93+7275.53+4666.9+2684.03</f>
        <v>23807.39</v>
      </c>
      <c r="P68" s="81">
        <f>7374+1806.93+7275.53+4666.9+2684.03</f>
        <v>23807.39</v>
      </c>
      <c r="Q68" s="188">
        <f t="shared" si="2"/>
        <v>0</v>
      </c>
      <c r="R68" s="141"/>
    </row>
    <row r="69" spans="1:18" s="13" customFormat="1" ht="15.75" hidden="1" x14ac:dyDescent="0.25">
      <c r="A69" s="10"/>
      <c r="B69" s="62" t="s">
        <v>49</v>
      </c>
      <c r="C69" s="181" t="s">
        <v>17</v>
      </c>
      <c r="D69" s="182"/>
      <c r="E69" s="183" t="s">
        <v>50</v>
      </c>
      <c r="F69" s="73" t="s">
        <v>427</v>
      </c>
      <c r="G69" s="184" t="s">
        <v>115</v>
      </c>
      <c r="H69" s="181">
        <v>10</v>
      </c>
      <c r="I69" s="185">
        <v>2</v>
      </c>
      <c r="J69" s="96">
        <v>2</v>
      </c>
      <c r="K69" s="77">
        <v>4905.53</v>
      </c>
      <c r="L69" s="77">
        <v>4905.53</v>
      </c>
      <c r="M69" s="187">
        <f t="shared" si="1"/>
        <v>0</v>
      </c>
      <c r="N69" s="100">
        <v>8</v>
      </c>
      <c r="O69" s="186">
        <v>11237.9</v>
      </c>
      <c r="P69" s="186">
        <v>11237.9</v>
      </c>
      <c r="Q69" s="79">
        <f t="shared" si="2"/>
        <v>0</v>
      </c>
    </row>
    <row r="70" spans="1:18" s="13" customFormat="1" ht="15.75" x14ac:dyDescent="0.25">
      <c r="A70" s="10"/>
      <c r="B70" s="27" t="s">
        <v>51</v>
      </c>
      <c r="C70" s="181" t="s">
        <v>17</v>
      </c>
      <c r="D70" s="182"/>
      <c r="E70" s="183" t="s">
        <v>20</v>
      </c>
      <c r="F70" s="73" t="s">
        <v>186</v>
      </c>
      <c r="G70" s="74" t="s">
        <v>112</v>
      </c>
      <c r="H70" s="75"/>
      <c r="I70" s="76"/>
      <c r="J70" s="96"/>
      <c r="K70" s="77"/>
      <c r="L70" s="77"/>
      <c r="M70" s="78">
        <f>K70-L70</f>
        <v>0</v>
      </c>
      <c r="N70" s="100">
        <f>1</f>
        <v>1</v>
      </c>
      <c r="O70" s="81">
        <v>2451.87</v>
      </c>
      <c r="P70" s="81">
        <v>2451.87</v>
      </c>
      <c r="Q70" s="188">
        <f t="shared" si="2"/>
        <v>0</v>
      </c>
      <c r="R70" s="141"/>
    </row>
    <row r="71" spans="1:18" s="13" customFormat="1" ht="15.75" hidden="1" x14ac:dyDescent="0.25">
      <c r="A71" s="10"/>
      <c r="B71" s="27" t="s">
        <v>51</v>
      </c>
      <c r="C71" s="181" t="s">
        <v>17</v>
      </c>
      <c r="D71" s="182"/>
      <c r="E71" s="183" t="s">
        <v>20</v>
      </c>
      <c r="F71" s="73" t="s">
        <v>276</v>
      </c>
      <c r="G71" s="184" t="s">
        <v>114</v>
      </c>
      <c r="H71" s="181"/>
      <c r="I71" s="185"/>
      <c r="J71" s="190"/>
      <c r="K71" s="77"/>
      <c r="L71" s="77"/>
      <c r="M71" s="187">
        <f t="shared" si="1"/>
        <v>0</v>
      </c>
      <c r="N71" s="100">
        <v>3</v>
      </c>
      <c r="O71" s="186">
        <v>6763.6</v>
      </c>
      <c r="P71" s="186">
        <v>6763.6</v>
      </c>
      <c r="Q71" s="188">
        <f t="shared" si="2"/>
        <v>0</v>
      </c>
    </row>
    <row r="72" spans="1:18" s="13" customFormat="1" ht="15.75" x14ac:dyDescent="0.25">
      <c r="A72" s="10"/>
      <c r="B72" s="62" t="s">
        <v>52</v>
      </c>
      <c r="C72" s="181" t="s">
        <v>17</v>
      </c>
      <c r="D72" s="182"/>
      <c r="E72" s="183" t="s">
        <v>20</v>
      </c>
      <c r="F72" s="73" t="s">
        <v>352</v>
      </c>
      <c r="G72" s="74" t="s">
        <v>112</v>
      </c>
      <c r="H72" s="75">
        <v>9</v>
      </c>
      <c r="I72" s="76">
        <v>3</v>
      </c>
      <c r="J72" s="96">
        <f>1+1+1+1</f>
        <v>4</v>
      </c>
      <c r="K72" s="77">
        <f>10714.2+2747.14</f>
        <v>13461.34</v>
      </c>
      <c r="L72" s="77">
        <f>10714.2+2747.14</f>
        <v>13461.34</v>
      </c>
      <c r="M72" s="78">
        <f>K72-L72</f>
        <v>0</v>
      </c>
      <c r="N72" s="100">
        <f>4+3+1+1+2+3</f>
        <v>14</v>
      </c>
      <c r="O72" s="81">
        <f>5977.15+48296.91+7596.86+1061.83+8902.9</f>
        <v>71835.650000000009</v>
      </c>
      <c r="P72" s="81">
        <f>5977.15+48296.91+7596.86+1061.83+8902.9</f>
        <v>71835.650000000009</v>
      </c>
      <c r="Q72" s="188">
        <f t="shared" si="2"/>
        <v>0</v>
      </c>
      <c r="R72" s="141"/>
    </row>
    <row r="73" spans="1:18" s="13" customFormat="1" ht="15.75" hidden="1" x14ac:dyDescent="0.25">
      <c r="A73" s="10"/>
      <c r="B73" s="62" t="s">
        <v>52</v>
      </c>
      <c r="C73" s="181" t="s">
        <v>17</v>
      </c>
      <c r="D73" s="182"/>
      <c r="E73" s="183" t="s">
        <v>20</v>
      </c>
      <c r="F73" s="73" t="s">
        <v>457</v>
      </c>
      <c r="G73" s="184" t="s">
        <v>114</v>
      </c>
      <c r="H73" s="181">
        <v>8</v>
      </c>
      <c r="I73" s="185">
        <v>2</v>
      </c>
      <c r="J73" s="190">
        <v>2</v>
      </c>
      <c r="K73" s="77">
        <v>1152.5999999999999</v>
      </c>
      <c r="L73" s="77">
        <v>1152.5999999999999</v>
      </c>
      <c r="M73" s="187">
        <f t="shared" si="1"/>
        <v>0</v>
      </c>
      <c r="N73" s="100">
        <v>18</v>
      </c>
      <c r="O73" s="186">
        <v>27349.86</v>
      </c>
      <c r="P73" s="186">
        <v>27349.86</v>
      </c>
      <c r="Q73" s="188">
        <f t="shared" si="2"/>
        <v>0</v>
      </c>
    </row>
    <row r="74" spans="1:18" s="13" customFormat="1" ht="15.75" x14ac:dyDescent="0.25">
      <c r="A74" s="10"/>
      <c r="B74" s="27" t="s">
        <v>53</v>
      </c>
      <c r="C74" s="181" t="s">
        <v>17</v>
      </c>
      <c r="D74" s="182"/>
      <c r="E74" s="183" t="s">
        <v>20</v>
      </c>
      <c r="F74" s="73" t="s">
        <v>353</v>
      </c>
      <c r="G74" s="74" t="s">
        <v>112</v>
      </c>
      <c r="H74" s="75">
        <v>7</v>
      </c>
      <c r="I74" s="76">
        <v>6</v>
      </c>
      <c r="J74" s="96">
        <f>2+2+2</f>
        <v>6</v>
      </c>
      <c r="K74" s="77">
        <f>3655.66+6862.24</f>
        <v>10517.9</v>
      </c>
      <c r="L74" s="77">
        <f>3655.66+6862.24</f>
        <v>10517.9</v>
      </c>
      <c r="M74" s="78">
        <f t="shared" si="1"/>
        <v>0</v>
      </c>
      <c r="N74" s="100">
        <f>1+2+2+1+1</f>
        <v>7</v>
      </c>
      <c r="O74" s="81">
        <f>1743.3+3921.71+422.62</f>
        <v>6087.63</v>
      </c>
      <c r="P74" s="81">
        <f>422.62+1743.3+3921.71</f>
        <v>6087.63</v>
      </c>
      <c r="Q74" s="188">
        <f t="shared" si="2"/>
        <v>0</v>
      </c>
      <c r="R74" s="141"/>
    </row>
    <row r="75" spans="1:18" s="13" customFormat="1" ht="15.75" x14ac:dyDescent="0.25">
      <c r="A75" s="10"/>
      <c r="B75" s="27" t="s">
        <v>149</v>
      </c>
      <c r="C75" s="181" t="s">
        <v>17</v>
      </c>
      <c r="D75" s="182"/>
      <c r="E75" s="183" t="s">
        <v>383</v>
      </c>
      <c r="F75" s="73" t="s">
        <v>354</v>
      </c>
      <c r="G75" s="74" t="s">
        <v>112</v>
      </c>
      <c r="H75" s="75">
        <v>28</v>
      </c>
      <c r="I75" s="76"/>
      <c r="J75" s="96"/>
      <c r="K75" s="77"/>
      <c r="L75" s="77"/>
      <c r="M75" s="78">
        <f t="shared" si="1"/>
        <v>0</v>
      </c>
      <c r="N75" s="100">
        <f>2+2</f>
        <v>4</v>
      </c>
      <c r="O75" s="81">
        <f>3676.8+3431.65</f>
        <v>7108.4500000000007</v>
      </c>
      <c r="P75" s="81">
        <f>3676.8+3431.65</f>
        <v>7108.4500000000007</v>
      </c>
      <c r="Q75" s="79">
        <f t="shared" si="2"/>
        <v>0</v>
      </c>
      <c r="R75" s="141"/>
    </row>
    <row r="76" spans="1:18" s="13" customFormat="1" ht="15.75" hidden="1" x14ac:dyDescent="0.25">
      <c r="A76" s="10"/>
      <c r="B76" s="27" t="s">
        <v>149</v>
      </c>
      <c r="C76" s="181" t="s">
        <v>17</v>
      </c>
      <c r="D76" s="182"/>
      <c r="E76" s="183" t="s">
        <v>383</v>
      </c>
      <c r="F76" s="73" t="s">
        <v>438</v>
      </c>
      <c r="G76" s="184" t="s">
        <v>118</v>
      </c>
      <c r="H76" s="181">
        <v>5</v>
      </c>
      <c r="I76" s="192"/>
      <c r="J76" s="190"/>
      <c r="K76" s="193"/>
      <c r="L76" s="193"/>
      <c r="M76" s="78">
        <f t="shared" si="1"/>
        <v>0</v>
      </c>
      <c r="N76" s="114">
        <v>7</v>
      </c>
      <c r="O76" s="186">
        <v>9835.52</v>
      </c>
      <c r="P76" s="186">
        <v>9835.52</v>
      </c>
      <c r="Q76" s="188">
        <f t="shared" si="2"/>
        <v>0</v>
      </c>
    </row>
    <row r="77" spans="1:18" s="13" customFormat="1" ht="15.75" x14ac:dyDescent="0.25">
      <c r="A77" s="10"/>
      <c r="B77" s="62" t="s">
        <v>107</v>
      </c>
      <c r="C77" s="181" t="s">
        <v>17</v>
      </c>
      <c r="D77" s="182"/>
      <c r="E77" s="194" t="s">
        <v>20</v>
      </c>
      <c r="F77" s="73" t="s">
        <v>355</v>
      </c>
      <c r="G77" s="74" t="s">
        <v>112</v>
      </c>
      <c r="H77" s="75">
        <v>9</v>
      </c>
      <c r="I77" s="76">
        <v>2</v>
      </c>
      <c r="J77" s="96">
        <f>1+3</f>
        <v>4</v>
      </c>
      <c r="K77" s="77">
        <f>666.63+7071.2+5333.38+13316.37</f>
        <v>26387.58</v>
      </c>
      <c r="L77" s="77">
        <f>666.63+7071.2+5333.38+13316.37</f>
        <v>26387.58</v>
      </c>
      <c r="M77" s="78">
        <f t="shared" si="1"/>
        <v>0</v>
      </c>
      <c r="N77" s="100">
        <f>2+6+1+1</f>
        <v>10</v>
      </c>
      <c r="O77" s="81">
        <f>7612.92+18804.48+9163.33+3260.98+6297.63</f>
        <v>45139.340000000004</v>
      </c>
      <c r="P77" s="81">
        <f>7612.92+18804.48+9163.33+3260.98+6297.63</f>
        <v>45139.340000000004</v>
      </c>
      <c r="Q77" s="79">
        <f t="shared" si="2"/>
        <v>0</v>
      </c>
      <c r="R77" s="141"/>
    </row>
    <row r="78" spans="1:18" s="13" customFormat="1" ht="15.75" x14ac:dyDescent="0.25">
      <c r="A78" s="10"/>
      <c r="B78" s="30" t="s">
        <v>54</v>
      </c>
      <c r="C78" s="181" t="s">
        <v>17</v>
      </c>
      <c r="D78" s="182"/>
      <c r="E78" s="194" t="s">
        <v>20</v>
      </c>
      <c r="F78" s="73" t="s">
        <v>356</v>
      </c>
      <c r="G78" s="74" t="s">
        <v>112</v>
      </c>
      <c r="H78" s="75"/>
      <c r="I78" s="76"/>
      <c r="J78" s="96"/>
      <c r="K78" s="77"/>
      <c r="L78" s="77"/>
      <c r="M78" s="78">
        <f t="shared" si="1"/>
        <v>0</v>
      </c>
      <c r="N78" s="100">
        <f>4+1+1</f>
        <v>6</v>
      </c>
      <c r="O78" s="81">
        <f>17895.28+17443.73+5473.41</f>
        <v>40812.42</v>
      </c>
      <c r="P78" s="81">
        <f>17895.28+17443.73+5473.41</f>
        <v>40812.42</v>
      </c>
      <c r="Q78" s="79">
        <f t="shared" si="2"/>
        <v>0</v>
      </c>
      <c r="R78" s="141"/>
    </row>
    <row r="79" spans="1:18" s="13" customFormat="1" ht="30" x14ac:dyDescent="0.25">
      <c r="A79" s="10"/>
      <c r="B79" s="27" t="s">
        <v>55</v>
      </c>
      <c r="C79" s="181" t="s">
        <v>304</v>
      </c>
      <c r="D79" s="182" t="s">
        <v>387</v>
      </c>
      <c r="E79" s="183" t="s">
        <v>20</v>
      </c>
      <c r="F79" s="73" t="s">
        <v>357</v>
      </c>
      <c r="G79" s="74" t="s">
        <v>112</v>
      </c>
      <c r="H79" s="75">
        <v>13</v>
      </c>
      <c r="I79" s="76">
        <v>9</v>
      </c>
      <c r="J79" s="96">
        <f>3+1</f>
        <v>4</v>
      </c>
      <c r="K79" s="77">
        <f>1267.86+6667.8+5756.15</f>
        <v>13691.81</v>
      </c>
      <c r="L79" s="77">
        <f>1267.86+6667.8+5756.15</f>
        <v>13691.81</v>
      </c>
      <c r="M79" s="78">
        <f t="shared" si="1"/>
        <v>0</v>
      </c>
      <c r="N79" s="100">
        <f>2+1+2+2+2+1</f>
        <v>10</v>
      </c>
      <c r="O79" s="81">
        <f>34854.19+2113.1+6430.67+5463.42+39145.22+2535.72</f>
        <v>90542.32</v>
      </c>
      <c r="P79" s="81">
        <f>34854.19+2113.1+6430.67+5463.42+39145.22+2535.72</f>
        <v>90542.32</v>
      </c>
      <c r="Q79" s="188">
        <f t="shared" si="2"/>
        <v>0</v>
      </c>
      <c r="R79" s="141"/>
    </row>
    <row r="80" spans="1:18" s="13" customFormat="1" ht="30" x14ac:dyDescent="0.25">
      <c r="A80" s="10"/>
      <c r="B80" s="62" t="s">
        <v>56</v>
      </c>
      <c r="C80" s="181" t="s">
        <v>17</v>
      </c>
      <c r="D80" s="182" t="s">
        <v>386</v>
      </c>
      <c r="E80" s="183" t="s">
        <v>18</v>
      </c>
      <c r="F80" s="73" t="s">
        <v>358</v>
      </c>
      <c r="G80" s="74" t="s">
        <v>112</v>
      </c>
      <c r="H80" s="75">
        <v>6</v>
      </c>
      <c r="I80" s="76">
        <v>2</v>
      </c>
      <c r="J80" s="96">
        <f>1+1</f>
        <v>2</v>
      </c>
      <c r="K80" s="77">
        <f>678.11+678.11</f>
        <v>1356.22</v>
      </c>
      <c r="L80" s="77">
        <f>678.11+678.11</f>
        <v>1356.22</v>
      </c>
      <c r="M80" s="78">
        <f t="shared" si="1"/>
        <v>0</v>
      </c>
      <c r="N80" s="100">
        <f>1</f>
        <v>1</v>
      </c>
      <c r="O80" s="81">
        <f>4395.5</f>
        <v>4395.5</v>
      </c>
      <c r="P80" s="81">
        <f>4395.5</f>
        <v>4395.5</v>
      </c>
      <c r="Q80" s="79">
        <f t="shared" si="2"/>
        <v>0</v>
      </c>
      <c r="R80" s="141"/>
    </row>
    <row r="81" spans="1:18" s="13" customFormat="1" ht="30" hidden="1" x14ac:dyDescent="0.25">
      <c r="A81" s="10"/>
      <c r="B81" s="62" t="s">
        <v>56</v>
      </c>
      <c r="C81" s="181" t="s">
        <v>304</v>
      </c>
      <c r="D81" s="182" t="s">
        <v>386</v>
      </c>
      <c r="E81" s="183" t="s">
        <v>18</v>
      </c>
      <c r="F81" s="73" t="s">
        <v>476</v>
      </c>
      <c r="G81" s="184" t="s">
        <v>113</v>
      </c>
      <c r="H81" s="181">
        <v>5</v>
      </c>
      <c r="I81" s="185">
        <v>3</v>
      </c>
      <c r="J81" s="96">
        <v>3</v>
      </c>
      <c r="K81" s="77">
        <v>4745</v>
      </c>
      <c r="L81" s="77">
        <v>4745</v>
      </c>
      <c r="M81" s="78">
        <f t="shared" si="1"/>
        <v>0</v>
      </c>
      <c r="N81" s="100"/>
      <c r="O81" s="186">
        <v>7612</v>
      </c>
      <c r="P81" s="186">
        <v>7612</v>
      </c>
      <c r="Q81" s="188">
        <f t="shared" ref="Q81:Q149" si="3">O81-P81</f>
        <v>0</v>
      </c>
    </row>
    <row r="82" spans="1:18" s="13" customFormat="1" ht="15.75" x14ac:dyDescent="0.25">
      <c r="A82" s="10"/>
      <c r="B82" s="62" t="s">
        <v>156</v>
      </c>
      <c r="C82" s="181" t="s">
        <v>304</v>
      </c>
      <c r="D82" s="182"/>
      <c r="E82" s="183" t="s">
        <v>20</v>
      </c>
      <c r="F82" s="73" t="s">
        <v>359</v>
      </c>
      <c r="G82" s="74" t="s">
        <v>112</v>
      </c>
      <c r="H82" s="75">
        <v>3</v>
      </c>
      <c r="I82" s="76">
        <v>2</v>
      </c>
      <c r="J82" s="96">
        <f>2</f>
        <v>2</v>
      </c>
      <c r="K82" s="77">
        <f>1690.48</f>
        <v>1690.48</v>
      </c>
      <c r="L82" s="77">
        <f>1690.48</f>
        <v>1690.48</v>
      </c>
      <c r="M82" s="78">
        <f t="shared" si="1"/>
        <v>0</v>
      </c>
      <c r="N82" s="100">
        <f>3+1</f>
        <v>4</v>
      </c>
      <c r="O82" s="81">
        <f>5488.54+2398.37+422.62</f>
        <v>8309.5300000000007</v>
      </c>
      <c r="P82" s="81">
        <f>5488.54+2398.37+422.62</f>
        <v>8309.5300000000007</v>
      </c>
      <c r="Q82" s="79">
        <f t="shared" si="3"/>
        <v>0</v>
      </c>
      <c r="R82" s="141"/>
    </row>
    <row r="83" spans="1:18" s="15" customFormat="1" ht="15.75" x14ac:dyDescent="0.25">
      <c r="A83" s="14"/>
      <c r="B83" s="80" t="s">
        <v>57</v>
      </c>
      <c r="C83" s="181" t="s">
        <v>17</v>
      </c>
      <c r="D83" s="182"/>
      <c r="E83" s="183" t="s">
        <v>20</v>
      </c>
      <c r="F83" s="73" t="s">
        <v>360</v>
      </c>
      <c r="G83" s="74" t="s">
        <v>112</v>
      </c>
      <c r="H83" s="75">
        <v>6</v>
      </c>
      <c r="I83" s="76">
        <v>6</v>
      </c>
      <c r="J83" s="96">
        <f>2+1+1+2</f>
        <v>6</v>
      </c>
      <c r="K83" s="77">
        <f>806.82+1728.9+422.62</f>
        <v>2958.34</v>
      </c>
      <c r="L83" s="77">
        <f>806.82+1728.9+422.62</f>
        <v>2958.34</v>
      </c>
      <c r="M83" s="78">
        <f t="shared" si="1"/>
        <v>0</v>
      </c>
      <c r="N83" s="100">
        <f>2+1</f>
        <v>3</v>
      </c>
      <c r="O83" s="81">
        <f>2745.3</f>
        <v>2745.3</v>
      </c>
      <c r="P83" s="81">
        <f>2745.3</f>
        <v>2745.3</v>
      </c>
      <c r="Q83" s="188">
        <f t="shared" si="3"/>
        <v>0</v>
      </c>
      <c r="R83" s="141"/>
    </row>
    <row r="84" spans="1:18" s="15" customFormat="1" ht="15.75" hidden="1" x14ac:dyDescent="0.25">
      <c r="A84" s="14"/>
      <c r="B84" s="80" t="s">
        <v>57</v>
      </c>
      <c r="C84" s="181" t="s">
        <v>17</v>
      </c>
      <c r="D84" s="182"/>
      <c r="E84" s="183" t="s">
        <v>20</v>
      </c>
      <c r="F84" s="73" t="s">
        <v>458</v>
      </c>
      <c r="G84" s="184" t="s">
        <v>114</v>
      </c>
      <c r="H84" s="181">
        <v>28</v>
      </c>
      <c r="I84" s="185">
        <v>3</v>
      </c>
      <c r="J84" s="190">
        <v>3</v>
      </c>
      <c r="K84" s="77">
        <v>3765.16</v>
      </c>
      <c r="L84" s="77">
        <v>3765.16</v>
      </c>
      <c r="M84" s="187">
        <f t="shared" si="1"/>
        <v>0</v>
      </c>
      <c r="N84" s="101">
        <v>16</v>
      </c>
      <c r="O84" s="186">
        <v>36726.400000000001</v>
      </c>
      <c r="P84" s="186">
        <v>35381.699999999997</v>
      </c>
      <c r="Q84" s="188">
        <f t="shared" si="3"/>
        <v>1344.7000000000044</v>
      </c>
    </row>
    <row r="85" spans="1:18" s="13" customFormat="1" ht="15.75" x14ac:dyDescent="0.25">
      <c r="A85" s="10"/>
      <c r="B85" s="62" t="s">
        <v>58</v>
      </c>
      <c r="C85" s="181" t="s">
        <v>17</v>
      </c>
      <c r="D85" s="182"/>
      <c r="E85" s="183" t="s">
        <v>20</v>
      </c>
      <c r="F85" s="73" t="s">
        <v>361</v>
      </c>
      <c r="G85" s="74" t="s">
        <v>112</v>
      </c>
      <c r="H85" s="75">
        <v>6</v>
      </c>
      <c r="I85" s="76">
        <v>4</v>
      </c>
      <c r="J85" s="96">
        <f>1+2+1</f>
        <v>4</v>
      </c>
      <c r="K85" s="77">
        <f>1892.47+3118.94</f>
        <v>5011.41</v>
      </c>
      <c r="L85" s="77">
        <f>1892.47+3118.94</f>
        <v>5011.41</v>
      </c>
      <c r="M85" s="78">
        <f>K85-L85</f>
        <v>0</v>
      </c>
      <c r="N85" s="100">
        <f>1+1+3</f>
        <v>5</v>
      </c>
      <c r="O85" s="81">
        <f>9196.24+2480.78+2954.11+15214.32</f>
        <v>29845.45</v>
      </c>
      <c r="P85" s="81">
        <f>9196.24+2480.78+2954.11+15214.32</f>
        <v>29845.45</v>
      </c>
      <c r="Q85" s="188">
        <f t="shared" si="3"/>
        <v>0</v>
      </c>
      <c r="R85" s="141"/>
    </row>
    <row r="86" spans="1:18" s="13" customFormat="1" ht="15.75" hidden="1" x14ac:dyDescent="0.25">
      <c r="A86" s="10"/>
      <c r="B86" s="62" t="s">
        <v>58</v>
      </c>
      <c r="C86" s="181" t="s">
        <v>17</v>
      </c>
      <c r="D86" s="182"/>
      <c r="E86" s="183" t="s">
        <v>20</v>
      </c>
      <c r="F86" s="73" t="s">
        <v>478</v>
      </c>
      <c r="G86" s="184" t="s">
        <v>114</v>
      </c>
      <c r="H86" s="181">
        <v>15</v>
      </c>
      <c r="I86" s="185">
        <v>2</v>
      </c>
      <c r="J86" s="190">
        <v>2</v>
      </c>
      <c r="K86" s="77"/>
      <c r="L86" s="77"/>
      <c r="M86" s="187">
        <f t="shared" ref="M86:M160" si="4">K86-L86</f>
        <v>0</v>
      </c>
      <c r="N86" s="100">
        <v>21</v>
      </c>
      <c r="O86" s="186">
        <v>54215.77</v>
      </c>
      <c r="P86" s="186">
        <v>54215.77</v>
      </c>
      <c r="Q86" s="188">
        <f t="shared" si="3"/>
        <v>0</v>
      </c>
    </row>
    <row r="87" spans="1:18" s="13" customFormat="1" ht="15.75" x14ac:dyDescent="0.25">
      <c r="A87" s="10"/>
      <c r="B87" s="62" t="s">
        <v>59</v>
      </c>
      <c r="C87" s="181" t="s">
        <v>17</v>
      </c>
      <c r="D87" s="182"/>
      <c r="E87" s="183" t="s">
        <v>20</v>
      </c>
      <c r="F87" s="73" t="s">
        <v>362</v>
      </c>
      <c r="G87" s="74" t="s">
        <v>112</v>
      </c>
      <c r="H87" s="75">
        <v>10</v>
      </c>
      <c r="I87" s="76">
        <v>7</v>
      </c>
      <c r="J87" s="96">
        <f>1+1+1+3+1</f>
        <v>7</v>
      </c>
      <c r="K87" s="77">
        <f>403.41+1431.16+845.24</f>
        <v>2679.8100000000004</v>
      </c>
      <c r="L87" s="77">
        <f>403.41+1431.16+845.24</f>
        <v>2679.8100000000004</v>
      </c>
      <c r="M87" s="78">
        <f>K87-L87</f>
        <v>0</v>
      </c>
      <c r="N87" s="100">
        <f>1+2+2+1+1</f>
        <v>7</v>
      </c>
      <c r="O87" s="81">
        <f>6646.05+1267.86+979.71</f>
        <v>8893.619999999999</v>
      </c>
      <c r="P87" s="81">
        <f>2353.23+5561.68+978.71</f>
        <v>8893.619999999999</v>
      </c>
      <c r="Q87" s="188">
        <f t="shared" si="3"/>
        <v>0</v>
      </c>
      <c r="R87" s="141"/>
    </row>
    <row r="88" spans="1:18" s="13" customFormat="1" ht="15.75" hidden="1" x14ac:dyDescent="0.25">
      <c r="A88" s="10"/>
      <c r="B88" s="62" t="s">
        <v>59</v>
      </c>
      <c r="C88" s="181" t="s">
        <v>17</v>
      </c>
      <c r="D88" s="182"/>
      <c r="E88" s="183" t="s">
        <v>20</v>
      </c>
      <c r="F88" s="73" t="s">
        <v>128</v>
      </c>
      <c r="G88" s="184" t="s">
        <v>114</v>
      </c>
      <c r="H88" s="181"/>
      <c r="I88" s="185"/>
      <c r="J88" s="190"/>
      <c r="K88" s="77"/>
      <c r="L88" s="77"/>
      <c r="M88" s="187">
        <f t="shared" si="4"/>
        <v>0</v>
      </c>
      <c r="N88" s="100"/>
      <c r="O88" s="186"/>
      <c r="P88" s="186"/>
      <c r="Q88" s="188">
        <f t="shared" si="3"/>
        <v>0</v>
      </c>
    </row>
    <row r="89" spans="1:18" s="13" customFormat="1" ht="15.75" x14ac:dyDescent="0.25">
      <c r="A89" s="10"/>
      <c r="B89" s="27" t="s">
        <v>60</v>
      </c>
      <c r="C89" s="181" t="s">
        <v>17</v>
      </c>
      <c r="D89" s="182"/>
      <c r="E89" s="183" t="s">
        <v>20</v>
      </c>
      <c r="F89" s="73" t="s">
        <v>364</v>
      </c>
      <c r="G89" s="74" t="s">
        <v>112</v>
      </c>
      <c r="H89" s="75">
        <v>14</v>
      </c>
      <c r="I89" s="76">
        <v>3</v>
      </c>
      <c r="J89" s="96">
        <f>1+1+1</f>
        <v>3</v>
      </c>
      <c r="K89" s="77">
        <f>634.93+893.27</f>
        <v>1528.1999999999998</v>
      </c>
      <c r="L89" s="77">
        <f>634.93+893.27</f>
        <v>1528.1999999999998</v>
      </c>
      <c r="M89" s="78">
        <f>K89-L89</f>
        <v>0</v>
      </c>
      <c r="N89" s="100">
        <f>4+1+3+1</f>
        <v>9</v>
      </c>
      <c r="O89" s="81">
        <f>15124.53+2065.75+8492.52</f>
        <v>25682.799999999999</v>
      </c>
      <c r="P89" s="81">
        <f>15124.53+2065.75+8492.52</f>
        <v>25682.799999999999</v>
      </c>
      <c r="Q89" s="188">
        <f t="shared" si="3"/>
        <v>0</v>
      </c>
      <c r="R89" s="141"/>
    </row>
    <row r="90" spans="1:18" s="13" customFormat="1" ht="15.75" hidden="1" x14ac:dyDescent="0.25">
      <c r="A90" s="10"/>
      <c r="B90" s="27" t="s">
        <v>60</v>
      </c>
      <c r="C90" s="181" t="s">
        <v>17</v>
      </c>
      <c r="D90" s="182"/>
      <c r="E90" s="183" t="s">
        <v>20</v>
      </c>
      <c r="F90" s="73" t="s">
        <v>479</v>
      </c>
      <c r="G90" s="184" t="s">
        <v>114</v>
      </c>
      <c r="H90" s="181">
        <v>6</v>
      </c>
      <c r="I90" s="185">
        <v>1</v>
      </c>
      <c r="J90" s="190">
        <v>1</v>
      </c>
      <c r="K90" s="77"/>
      <c r="L90" s="77"/>
      <c r="M90" s="187">
        <f t="shared" si="4"/>
        <v>0</v>
      </c>
      <c r="N90" s="100">
        <v>7</v>
      </c>
      <c r="O90" s="186">
        <v>10293.5</v>
      </c>
      <c r="P90" s="186">
        <v>10293.5</v>
      </c>
      <c r="Q90" s="188">
        <f t="shared" si="3"/>
        <v>0</v>
      </c>
    </row>
    <row r="91" spans="1:18" s="13" customFormat="1" ht="15.75" x14ac:dyDescent="0.25">
      <c r="A91" s="10"/>
      <c r="B91" s="27" t="s">
        <v>493</v>
      </c>
      <c r="C91" s="181" t="s">
        <v>17</v>
      </c>
      <c r="D91" s="182"/>
      <c r="E91" s="183" t="s">
        <v>20</v>
      </c>
      <c r="F91" s="73" t="s">
        <v>496</v>
      </c>
      <c r="G91" s="184" t="s">
        <v>112</v>
      </c>
      <c r="H91" s="181">
        <v>9</v>
      </c>
      <c r="I91" s="185">
        <v>5</v>
      </c>
      <c r="J91" s="190">
        <f>3+2+1</f>
        <v>6</v>
      </c>
      <c r="K91" s="77">
        <f>3387.04+3467.41</f>
        <v>6854.45</v>
      </c>
      <c r="L91" s="77">
        <f>3387.04+3467.41</f>
        <v>6854.45</v>
      </c>
      <c r="M91" s="78">
        <f t="shared" si="4"/>
        <v>0</v>
      </c>
      <c r="N91" s="100"/>
      <c r="O91" s="186"/>
      <c r="P91" s="186"/>
      <c r="Q91" s="79"/>
    </row>
    <row r="92" spans="1:18" s="15" customFormat="1" ht="15.75" x14ac:dyDescent="0.25">
      <c r="A92" s="14"/>
      <c r="B92" s="28" t="s">
        <v>61</v>
      </c>
      <c r="C92" s="181" t="s">
        <v>17</v>
      </c>
      <c r="D92" s="182"/>
      <c r="E92" s="183" t="s">
        <v>20</v>
      </c>
      <c r="F92" s="73" t="s">
        <v>363</v>
      </c>
      <c r="G92" s="74" t="s">
        <v>112</v>
      </c>
      <c r="H92" s="75"/>
      <c r="I92" s="76"/>
      <c r="J92" s="96"/>
      <c r="K92" s="77"/>
      <c r="L92" s="77"/>
      <c r="M92" s="78">
        <f t="shared" si="4"/>
        <v>0</v>
      </c>
      <c r="N92" s="100"/>
      <c r="O92" s="81"/>
      <c r="P92" s="81"/>
      <c r="Q92" s="188">
        <f t="shared" si="3"/>
        <v>0</v>
      </c>
      <c r="R92" s="141"/>
    </row>
    <row r="93" spans="1:18" s="15" customFormat="1" ht="15.75" hidden="1" x14ac:dyDescent="0.25">
      <c r="A93" s="14"/>
      <c r="B93" s="28" t="s">
        <v>61</v>
      </c>
      <c r="C93" s="181" t="s">
        <v>17</v>
      </c>
      <c r="D93" s="182"/>
      <c r="E93" s="183" t="s">
        <v>20</v>
      </c>
      <c r="F93" s="73" t="s">
        <v>121</v>
      </c>
      <c r="G93" s="184" t="s">
        <v>114</v>
      </c>
      <c r="H93" s="181"/>
      <c r="I93" s="185"/>
      <c r="J93" s="190"/>
      <c r="K93" s="77"/>
      <c r="L93" s="77"/>
      <c r="M93" s="187">
        <f t="shared" si="4"/>
        <v>0</v>
      </c>
      <c r="N93" s="101"/>
      <c r="O93" s="186"/>
      <c r="P93" s="186"/>
      <c r="Q93" s="188">
        <f t="shared" si="3"/>
        <v>0</v>
      </c>
    </row>
    <row r="94" spans="1:18" s="15" customFormat="1" ht="15.75" x14ac:dyDescent="0.25">
      <c r="A94" s="14"/>
      <c r="B94" s="200" t="s">
        <v>306</v>
      </c>
      <c r="C94" s="181" t="s">
        <v>17</v>
      </c>
      <c r="D94" s="182"/>
      <c r="E94" s="183" t="s">
        <v>35</v>
      </c>
      <c r="F94" s="73" t="s">
        <v>365</v>
      </c>
      <c r="G94" s="184" t="s">
        <v>112</v>
      </c>
      <c r="H94" s="181">
        <v>25</v>
      </c>
      <c r="I94" s="185">
        <v>15</v>
      </c>
      <c r="J94" s="190">
        <f>1+2+1+3+3+2+3</f>
        <v>15</v>
      </c>
      <c r="K94" s="77">
        <f>1045.98+2658.7+35696.14+4892.46+1024.04+2384.53+10793.24+5320.79</f>
        <v>63815.88</v>
      </c>
      <c r="L94" s="77">
        <f>1045.98+2658.7+35696.14+4892.46+1024.04+2384.53+10793.24+5320.79</f>
        <v>63815.88</v>
      </c>
      <c r="M94" s="78">
        <f>K94-L94</f>
        <v>0</v>
      </c>
      <c r="N94" s="114">
        <f>7+2+2+2+1</f>
        <v>14</v>
      </c>
      <c r="O94" s="186">
        <f>2313.84+6162.57+2330.32+1690.48+3706.14+3107.65</f>
        <v>19311</v>
      </c>
      <c r="P94" s="186">
        <f>2313.84+6162.57+2330.32+1690.48+3706.14+3107.65</f>
        <v>19311</v>
      </c>
      <c r="Q94" s="188">
        <f t="shared" si="3"/>
        <v>0</v>
      </c>
      <c r="R94" s="141"/>
    </row>
    <row r="95" spans="1:18" s="13" customFormat="1" ht="15.75" hidden="1" x14ac:dyDescent="0.25">
      <c r="A95" s="10"/>
      <c r="B95" s="62" t="s">
        <v>306</v>
      </c>
      <c r="C95" s="181" t="s">
        <v>17</v>
      </c>
      <c r="D95" s="182"/>
      <c r="E95" s="183" t="s">
        <v>27</v>
      </c>
      <c r="F95" s="73" t="s">
        <v>421</v>
      </c>
      <c r="G95" s="184" t="s">
        <v>117</v>
      </c>
      <c r="H95" s="181">
        <v>2</v>
      </c>
      <c r="I95" s="185"/>
      <c r="J95" s="96"/>
      <c r="K95" s="77"/>
      <c r="L95" s="77"/>
      <c r="M95" s="78">
        <f>K95-L95</f>
        <v>0</v>
      </c>
      <c r="N95" s="100"/>
      <c r="O95" s="77"/>
      <c r="P95" s="77"/>
      <c r="Q95" s="79">
        <f>O95-P95</f>
        <v>0</v>
      </c>
    </row>
    <row r="96" spans="1:18" s="13" customFormat="1" ht="15.75" x14ac:dyDescent="0.25">
      <c r="A96" s="10"/>
      <c r="B96" s="27" t="s">
        <v>62</v>
      </c>
      <c r="C96" s="181" t="s">
        <v>17</v>
      </c>
      <c r="D96" s="182"/>
      <c r="E96" s="183" t="s">
        <v>35</v>
      </c>
      <c r="F96" s="73" t="s">
        <v>366</v>
      </c>
      <c r="G96" s="74" t="s">
        <v>112</v>
      </c>
      <c r="H96" s="75">
        <v>15</v>
      </c>
      <c r="I96" s="76">
        <v>9</v>
      </c>
      <c r="J96" s="96">
        <f>1+3+1+1+2</f>
        <v>8</v>
      </c>
      <c r="K96" s="77">
        <f>3613.4+1872.01+1394.65</f>
        <v>6880.0599999999995</v>
      </c>
      <c r="L96" s="77">
        <f>3613.4+1872.01+1394.65</f>
        <v>6880.0599999999995</v>
      </c>
      <c r="M96" s="78">
        <f>K96-L96</f>
        <v>0</v>
      </c>
      <c r="N96" s="100">
        <f>6+2+1+2+1+3</f>
        <v>15</v>
      </c>
      <c r="O96" s="81">
        <f>19511.33+1270.93+3979.74+2500.85+8530.18+845.24</f>
        <v>36638.269999999997</v>
      </c>
      <c r="P96" s="81">
        <f>19511.33+1270.93+3979.74+2500.85+8530.18+845.24</f>
        <v>36638.269999999997</v>
      </c>
      <c r="Q96" s="79">
        <f t="shared" si="3"/>
        <v>0</v>
      </c>
      <c r="R96" s="141"/>
    </row>
    <row r="97" spans="1:18" s="13" customFormat="1" ht="15.75" hidden="1" x14ac:dyDescent="0.25">
      <c r="A97" s="10"/>
      <c r="B97" s="27" t="s">
        <v>62</v>
      </c>
      <c r="C97" s="181" t="s">
        <v>17</v>
      </c>
      <c r="D97" s="182"/>
      <c r="E97" s="183" t="s">
        <v>35</v>
      </c>
      <c r="F97" s="73" t="s">
        <v>428</v>
      </c>
      <c r="G97" s="184" t="s">
        <v>117</v>
      </c>
      <c r="H97" s="181">
        <v>2</v>
      </c>
      <c r="I97" s="185"/>
      <c r="J97" s="96"/>
      <c r="K97" s="77"/>
      <c r="L97" s="77"/>
      <c r="M97" s="78">
        <f t="shared" si="4"/>
        <v>0</v>
      </c>
      <c r="N97" s="100">
        <v>9</v>
      </c>
      <c r="O97" s="186">
        <v>22788.1</v>
      </c>
      <c r="P97" s="186">
        <v>22788.1</v>
      </c>
      <c r="Q97" s="188">
        <f t="shared" si="3"/>
        <v>0</v>
      </c>
    </row>
    <row r="98" spans="1:18" s="13" customFormat="1" ht="15.75" hidden="1" x14ac:dyDescent="0.25">
      <c r="A98" s="10"/>
      <c r="B98" s="27" t="s">
        <v>63</v>
      </c>
      <c r="C98" s="181" t="s">
        <v>64</v>
      </c>
      <c r="D98" s="182" t="s">
        <v>65</v>
      </c>
      <c r="E98" s="183" t="s">
        <v>20</v>
      </c>
      <c r="F98" s="73" t="s">
        <v>480</v>
      </c>
      <c r="G98" s="184" t="s">
        <v>114</v>
      </c>
      <c r="H98" s="181"/>
      <c r="I98" s="185"/>
      <c r="J98" s="190"/>
      <c r="K98" s="77"/>
      <c r="L98" s="77"/>
      <c r="M98" s="187">
        <f t="shared" si="4"/>
        <v>0</v>
      </c>
      <c r="N98" s="100"/>
      <c r="O98" s="186"/>
      <c r="P98" s="186"/>
      <c r="Q98" s="188">
        <f t="shared" si="3"/>
        <v>0</v>
      </c>
    </row>
    <row r="99" spans="1:18" s="13" customFormat="1" ht="15.75" x14ac:dyDescent="0.25">
      <c r="A99" s="10"/>
      <c r="B99" s="27" t="s">
        <v>155</v>
      </c>
      <c r="C99" s="181" t="s">
        <v>17</v>
      </c>
      <c r="D99" s="182"/>
      <c r="E99" s="183" t="s">
        <v>20</v>
      </c>
      <c r="F99" s="73" t="s">
        <v>367</v>
      </c>
      <c r="G99" s="74" t="s">
        <v>112</v>
      </c>
      <c r="H99" s="75">
        <v>9</v>
      </c>
      <c r="I99" s="82">
        <v>5</v>
      </c>
      <c r="J99" s="96">
        <f>1+2+3</f>
        <v>6</v>
      </c>
      <c r="K99" s="77">
        <f>3117.56+2266.78</f>
        <v>5384.34</v>
      </c>
      <c r="L99" s="77">
        <f>3117.56+2266.78</f>
        <v>5384.34</v>
      </c>
      <c r="M99" s="78">
        <f>K99-L99</f>
        <v>0</v>
      </c>
      <c r="N99" s="100">
        <f>1+1+1</f>
        <v>3</v>
      </c>
      <c r="O99" s="81">
        <f>1798.06+2123.67</f>
        <v>3921.73</v>
      </c>
      <c r="P99" s="81">
        <f>1798.06+2123.67</f>
        <v>3921.73</v>
      </c>
      <c r="Q99" s="188">
        <f t="shared" si="3"/>
        <v>0</v>
      </c>
      <c r="R99" s="141"/>
    </row>
    <row r="100" spans="1:18" s="13" customFormat="1" ht="15.75" hidden="1" x14ac:dyDescent="0.25">
      <c r="A100" s="10"/>
      <c r="B100" s="27" t="s">
        <v>155</v>
      </c>
      <c r="C100" s="181" t="s">
        <v>17</v>
      </c>
      <c r="D100" s="182"/>
      <c r="E100" s="183" t="s">
        <v>20</v>
      </c>
      <c r="F100" s="73" t="s">
        <v>459</v>
      </c>
      <c r="G100" s="184" t="s">
        <v>114</v>
      </c>
      <c r="H100" s="181">
        <v>7</v>
      </c>
      <c r="I100" s="185">
        <v>3</v>
      </c>
      <c r="J100" s="190">
        <v>3</v>
      </c>
      <c r="K100" s="77"/>
      <c r="L100" s="77"/>
      <c r="M100" s="187">
        <f t="shared" si="4"/>
        <v>0</v>
      </c>
      <c r="N100" s="100">
        <v>13</v>
      </c>
      <c r="O100" s="186">
        <v>27266.37</v>
      </c>
      <c r="P100" s="186">
        <v>27266.37</v>
      </c>
      <c r="Q100" s="188">
        <f t="shared" si="3"/>
        <v>0</v>
      </c>
    </row>
    <row r="101" spans="1:18" s="13" customFormat="1" ht="15.75" x14ac:dyDescent="0.25">
      <c r="A101" s="10"/>
      <c r="B101" s="30" t="s">
        <v>66</v>
      </c>
      <c r="C101" s="181" t="s">
        <v>17</v>
      </c>
      <c r="D101" s="182"/>
      <c r="E101" s="183" t="s">
        <v>21</v>
      </c>
      <c r="F101" s="73" t="s">
        <v>368</v>
      </c>
      <c r="G101" s="74" t="s">
        <v>112</v>
      </c>
      <c r="H101" s="75">
        <v>16</v>
      </c>
      <c r="I101" s="76">
        <v>13</v>
      </c>
      <c r="J101" s="96">
        <f>1+3+2+3+2+1+2+1</f>
        <v>15</v>
      </c>
      <c r="K101" s="77">
        <f>1045.98+4309.04+3820.12+1872.01+4253.49+3044.79+1191.19</f>
        <v>19536.62</v>
      </c>
      <c r="L101" s="77">
        <f>1045.98+4309.04+3820.12+1872.01+4253.49+3044.79+1191.19</f>
        <v>19536.62</v>
      </c>
      <c r="M101" s="78">
        <f>K101-L101</f>
        <v>0</v>
      </c>
      <c r="N101" s="100">
        <f>6+3+8+7+1+1+1+2+1+1+1+1</f>
        <v>33</v>
      </c>
      <c r="O101" s="81">
        <f>11911.17+23136+18060.17+1977.84+2091.97+19535.65+19124.11+3199.71</f>
        <v>99036.62</v>
      </c>
      <c r="P101" s="81">
        <f>11911.17+23136+18060.17+1977.84+2091.97+19535.65+19124.11+3199.71</f>
        <v>99036.62</v>
      </c>
      <c r="Q101" s="188">
        <f t="shared" si="3"/>
        <v>0</v>
      </c>
      <c r="R101" s="141"/>
    </row>
    <row r="102" spans="1:18" s="13" customFormat="1" ht="15.75" hidden="1" x14ac:dyDescent="0.25">
      <c r="A102" s="10"/>
      <c r="B102" s="30" t="s">
        <v>66</v>
      </c>
      <c r="C102" s="181" t="s">
        <v>17</v>
      </c>
      <c r="D102" s="182"/>
      <c r="E102" s="183" t="s">
        <v>21</v>
      </c>
      <c r="F102" s="73" t="s">
        <v>439</v>
      </c>
      <c r="G102" s="184" t="s">
        <v>118</v>
      </c>
      <c r="H102" s="181">
        <v>6</v>
      </c>
      <c r="I102" s="185">
        <v>1</v>
      </c>
      <c r="J102" s="96">
        <v>1</v>
      </c>
      <c r="K102" s="77">
        <v>1152.5999999999999</v>
      </c>
      <c r="L102" s="77">
        <v>1152.5999999999999</v>
      </c>
      <c r="M102" s="187">
        <f t="shared" si="4"/>
        <v>0</v>
      </c>
      <c r="N102" s="100">
        <v>16</v>
      </c>
      <c r="O102" s="186">
        <v>66871.69</v>
      </c>
      <c r="P102" s="186">
        <v>66871.69</v>
      </c>
      <c r="Q102" s="79">
        <f t="shared" si="3"/>
        <v>0</v>
      </c>
    </row>
    <row r="103" spans="1:18" s="13" customFormat="1" ht="15.75" x14ac:dyDescent="0.25">
      <c r="A103" s="10"/>
      <c r="B103" s="62" t="s">
        <v>137</v>
      </c>
      <c r="C103" s="181" t="s">
        <v>17</v>
      </c>
      <c r="D103" s="182"/>
      <c r="E103" s="194" t="s">
        <v>35</v>
      </c>
      <c r="F103" s="73" t="s">
        <v>369</v>
      </c>
      <c r="G103" s="74" t="s">
        <v>112</v>
      </c>
      <c r="H103" s="75">
        <v>25</v>
      </c>
      <c r="I103" s="76">
        <v>13</v>
      </c>
      <c r="J103" s="96">
        <f>3+3+1+4+1</f>
        <v>12</v>
      </c>
      <c r="K103" s="77">
        <f>504.26+845.24+3380.96+422.62</f>
        <v>5153.08</v>
      </c>
      <c r="L103" s="77">
        <f>504.26+845.24+3380.96+422.62</f>
        <v>5153.08</v>
      </c>
      <c r="M103" s="78">
        <f>K103-L103</f>
        <v>0</v>
      </c>
      <c r="N103" s="100">
        <f>5+1+1+2+1</f>
        <v>10</v>
      </c>
      <c r="O103" s="81">
        <f>2617.36+422.62+3852.18+3380.96</f>
        <v>10273.119999999999</v>
      </c>
      <c r="P103" s="81">
        <f>2617.36+422.62+3852.18+3380.96</f>
        <v>10273.119999999999</v>
      </c>
      <c r="Q103" s="188">
        <f t="shared" si="3"/>
        <v>0</v>
      </c>
      <c r="R103" s="141"/>
    </row>
    <row r="104" spans="1:18" s="13" customFormat="1" ht="15.75" hidden="1" x14ac:dyDescent="0.25">
      <c r="A104" s="10"/>
      <c r="B104" s="62" t="s">
        <v>137</v>
      </c>
      <c r="C104" s="181" t="s">
        <v>17</v>
      </c>
      <c r="D104" s="182"/>
      <c r="E104" s="194" t="s">
        <v>35</v>
      </c>
      <c r="F104" s="73" t="s">
        <v>429</v>
      </c>
      <c r="G104" s="184" t="s">
        <v>117</v>
      </c>
      <c r="H104" s="181">
        <v>2</v>
      </c>
      <c r="I104" s="185">
        <v>1</v>
      </c>
      <c r="J104" s="190">
        <v>1</v>
      </c>
      <c r="K104" s="193">
        <v>1921</v>
      </c>
      <c r="L104" s="193">
        <v>1921</v>
      </c>
      <c r="M104" s="78">
        <f t="shared" si="4"/>
        <v>0</v>
      </c>
      <c r="N104" s="114">
        <v>2</v>
      </c>
      <c r="O104" s="186">
        <v>10565.5</v>
      </c>
      <c r="P104" s="186">
        <v>10565.5</v>
      </c>
      <c r="Q104" s="79">
        <f t="shared" si="3"/>
        <v>0</v>
      </c>
    </row>
    <row r="105" spans="1:18" s="13" customFormat="1" ht="15.75" x14ac:dyDescent="0.25">
      <c r="A105" s="10"/>
      <c r="B105" s="30" t="s">
        <v>67</v>
      </c>
      <c r="C105" s="181" t="s">
        <v>17</v>
      </c>
      <c r="D105" s="182"/>
      <c r="E105" s="194" t="s">
        <v>21</v>
      </c>
      <c r="F105" s="73" t="s">
        <v>370</v>
      </c>
      <c r="G105" s="74" t="s">
        <v>112</v>
      </c>
      <c r="H105" s="75">
        <v>22</v>
      </c>
      <c r="I105" s="76">
        <v>11</v>
      </c>
      <c r="J105" s="96">
        <f>2+1+1+2+1+1+2+2+1</f>
        <v>13</v>
      </c>
      <c r="K105" s="77">
        <f>3319.85+1198.9+864.45+7235.32+1947.89+5377.75</f>
        <v>19944.16</v>
      </c>
      <c r="L105" s="77">
        <f>3319.85+1198.9+864.45+7235.32+1947.89+5377.75</f>
        <v>19944.16</v>
      </c>
      <c r="M105" s="78">
        <f>K105-L105</f>
        <v>0</v>
      </c>
      <c r="N105" s="100">
        <f>4+9+4+4+1+3+1+3+1</f>
        <v>30</v>
      </c>
      <c r="O105" s="81">
        <f>29696.65+38129.03+13567.9+20687.05+2022.79+8145.77+17250.05</f>
        <v>129499.23999999999</v>
      </c>
      <c r="P105" s="81">
        <f>29696.65+38129.03+13567.9+20687.05+2022.79+8145.77+17250.05</f>
        <v>129499.23999999999</v>
      </c>
      <c r="Q105" s="188">
        <f t="shared" si="3"/>
        <v>0</v>
      </c>
      <c r="R105" s="141"/>
    </row>
    <row r="106" spans="1:18" s="13" customFormat="1" ht="15.75" hidden="1" x14ac:dyDescent="0.25">
      <c r="A106" s="10"/>
      <c r="B106" s="30" t="s">
        <v>67</v>
      </c>
      <c r="C106" s="181" t="s">
        <v>17</v>
      </c>
      <c r="D106" s="182"/>
      <c r="E106" s="194" t="s">
        <v>21</v>
      </c>
      <c r="F106" s="73" t="s">
        <v>440</v>
      </c>
      <c r="G106" s="184" t="s">
        <v>118</v>
      </c>
      <c r="H106" s="181">
        <v>9</v>
      </c>
      <c r="I106" s="185">
        <v>1</v>
      </c>
      <c r="J106" s="96">
        <v>1</v>
      </c>
      <c r="K106" s="77">
        <v>3476.24</v>
      </c>
      <c r="L106" s="77">
        <v>3476.24</v>
      </c>
      <c r="M106" s="78">
        <f t="shared" si="4"/>
        <v>0</v>
      </c>
      <c r="N106" s="100">
        <v>12</v>
      </c>
      <c r="O106" s="186">
        <v>49443.59</v>
      </c>
      <c r="P106" s="186">
        <v>49443.59</v>
      </c>
      <c r="Q106" s="79">
        <f t="shared" si="3"/>
        <v>0</v>
      </c>
    </row>
    <row r="107" spans="1:18" s="13" customFormat="1" ht="15.75" x14ac:dyDescent="0.25">
      <c r="A107" s="10"/>
      <c r="B107" s="30" t="s">
        <v>68</v>
      </c>
      <c r="C107" s="181" t="s">
        <v>17</v>
      </c>
      <c r="D107" s="182"/>
      <c r="E107" s="194" t="s">
        <v>32</v>
      </c>
      <c r="F107" s="73" t="s">
        <v>371</v>
      </c>
      <c r="G107" s="74" t="s">
        <v>112</v>
      </c>
      <c r="H107" s="75">
        <v>14</v>
      </c>
      <c r="I107" s="76">
        <v>9</v>
      </c>
      <c r="J107" s="96">
        <f>2+1+2+5</f>
        <v>10</v>
      </c>
      <c r="K107" s="77">
        <f>1128.59+422.62+1152.6+4557.81</f>
        <v>7261.6200000000008</v>
      </c>
      <c r="L107" s="77">
        <f>1128.59+422.62+1152.6+4557.81</f>
        <v>7261.6200000000008</v>
      </c>
      <c r="M107" s="78">
        <f>K107-L107</f>
        <v>0</v>
      </c>
      <c r="N107" s="100">
        <f>6+5+1+4+2</f>
        <v>18</v>
      </c>
      <c r="O107" s="81">
        <f>7813.73+8523.5+1452.28+12582.19</f>
        <v>30371.699999999997</v>
      </c>
      <c r="P107" s="81">
        <f>7813.73+8523.5+1452.28+12582.19</f>
        <v>30371.699999999997</v>
      </c>
      <c r="Q107" s="188">
        <f t="shared" si="3"/>
        <v>0</v>
      </c>
      <c r="R107" s="141"/>
    </row>
    <row r="108" spans="1:18" s="13" customFormat="1" ht="15.75" hidden="1" x14ac:dyDescent="0.25">
      <c r="A108" s="10"/>
      <c r="B108" s="30" t="s">
        <v>68</v>
      </c>
      <c r="C108" s="181" t="s">
        <v>17</v>
      </c>
      <c r="D108" s="182"/>
      <c r="E108" s="194" t="s">
        <v>32</v>
      </c>
      <c r="F108" s="73" t="s">
        <v>430</v>
      </c>
      <c r="G108" s="195" t="s">
        <v>117</v>
      </c>
      <c r="H108" s="181">
        <v>1</v>
      </c>
      <c r="I108" s="185"/>
      <c r="J108" s="96"/>
      <c r="K108" s="77"/>
      <c r="L108" s="77"/>
      <c r="M108" s="78">
        <f t="shared" si="4"/>
        <v>0</v>
      </c>
      <c r="N108" s="100"/>
      <c r="O108" s="77"/>
      <c r="P108" s="77"/>
      <c r="Q108" s="79">
        <f t="shared" si="3"/>
        <v>0</v>
      </c>
    </row>
    <row r="109" spans="1:18" s="15" customFormat="1" ht="15.75" x14ac:dyDescent="0.25">
      <c r="A109" s="14"/>
      <c r="B109" s="28" t="s">
        <v>69</v>
      </c>
      <c r="C109" s="181" t="s">
        <v>17</v>
      </c>
      <c r="D109" s="182"/>
      <c r="E109" s="183" t="s">
        <v>20</v>
      </c>
      <c r="F109" s="73" t="s">
        <v>372</v>
      </c>
      <c r="G109" s="74" t="s">
        <v>112</v>
      </c>
      <c r="H109" s="75">
        <v>5</v>
      </c>
      <c r="I109" s="76">
        <v>3</v>
      </c>
      <c r="J109" s="96">
        <f>1+1+1+1</f>
        <v>4</v>
      </c>
      <c r="K109" s="77">
        <f>422.62+17390.69+3114.71</f>
        <v>20928.019999999997</v>
      </c>
      <c r="L109" s="77">
        <f>422.62+17390.69+3114.71</f>
        <v>20928.019999999997</v>
      </c>
      <c r="M109" s="78">
        <f t="shared" si="4"/>
        <v>0</v>
      </c>
      <c r="N109" s="100">
        <f>3+2+1+1+1</f>
        <v>8</v>
      </c>
      <c r="O109" s="77">
        <f>7210.31+3647.96+1306.28+1267.86+2697.06</f>
        <v>16129.470000000001</v>
      </c>
      <c r="P109" s="77">
        <f>7210.31+3647.96+1306.28+1267.86+2697.06</f>
        <v>16129.470000000001</v>
      </c>
      <c r="Q109" s="188">
        <f t="shared" si="3"/>
        <v>0</v>
      </c>
      <c r="R109" s="141"/>
    </row>
    <row r="110" spans="1:18" s="15" customFormat="1" ht="15.75" x14ac:dyDescent="0.25">
      <c r="A110" s="14"/>
      <c r="B110" s="200" t="s">
        <v>502</v>
      </c>
      <c r="C110" s="181"/>
      <c r="D110" s="182"/>
      <c r="E110" s="183"/>
      <c r="F110" s="73"/>
      <c r="G110" s="74" t="s">
        <v>112</v>
      </c>
      <c r="H110" s="75">
        <v>6</v>
      </c>
      <c r="I110" s="76"/>
      <c r="J110" s="96"/>
      <c r="K110" s="77"/>
      <c r="L110" s="77"/>
      <c r="M110" s="78">
        <f t="shared" si="4"/>
        <v>0</v>
      </c>
      <c r="N110" s="100"/>
      <c r="O110" s="77"/>
      <c r="P110" s="77"/>
      <c r="Q110" s="188"/>
      <c r="R110" s="141"/>
    </row>
    <row r="111" spans="1:18" s="15" customFormat="1" ht="15.75" hidden="1" x14ac:dyDescent="0.25">
      <c r="A111" s="14"/>
      <c r="B111" s="200" t="s">
        <v>502</v>
      </c>
      <c r="C111" s="181"/>
      <c r="D111" s="182"/>
      <c r="E111" s="183"/>
      <c r="F111" s="73"/>
      <c r="G111" s="195" t="s">
        <v>117</v>
      </c>
      <c r="H111" s="75">
        <v>1</v>
      </c>
      <c r="I111" s="76"/>
      <c r="J111" s="96"/>
      <c r="K111" s="77"/>
      <c r="L111" s="77"/>
      <c r="M111" s="187"/>
      <c r="N111" s="100"/>
      <c r="O111" s="77"/>
      <c r="P111" s="77"/>
      <c r="Q111" s="188"/>
      <c r="R111" s="141"/>
    </row>
    <row r="112" spans="1:18" s="13" customFormat="1" ht="15.75" x14ac:dyDescent="0.25">
      <c r="A112" s="10"/>
      <c r="B112" s="62" t="s">
        <v>70</v>
      </c>
      <c r="C112" s="181" t="s">
        <v>17</v>
      </c>
      <c r="D112" s="182"/>
      <c r="E112" s="183" t="s">
        <v>20</v>
      </c>
      <c r="F112" s="73" t="s">
        <v>373</v>
      </c>
      <c r="G112" s="74" t="s">
        <v>112</v>
      </c>
      <c r="H112" s="75">
        <v>10</v>
      </c>
      <c r="I112" s="76">
        <v>5</v>
      </c>
      <c r="J112" s="96">
        <f>2+2</f>
        <v>4</v>
      </c>
      <c r="K112" s="77">
        <v>19498</v>
      </c>
      <c r="L112" s="77">
        <v>19498</v>
      </c>
      <c r="M112" s="78">
        <f>K112-L112</f>
        <v>0</v>
      </c>
      <c r="N112" s="100">
        <f>2+3+4+2</f>
        <v>11</v>
      </c>
      <c r="O112" s="81">
        <f>7606.2+16795.84</f>
        <v>24402.04</v>
      </c>
      <c r="P112" s="81">
        <f>7606.2+16795.84</f>
        <v>24402.04</v>
      </c>
      <c r="Q112" s="79">
        <f t="shared" si="3"/>
        <v>0</v>
      </c>
      <c r="R112" s="141"/>
    </row>
    <row r="113" spans="1:19" s="13" customFormat="1" ht="15.75" hidden="1" x14ac:dyDescent="0.25">
      <c r="A113" s="10"/>
      <c r="B113" s="62" t="s">
        <v>70</v>
      </c>
      <c r="C113" s="181" t="s">
        <v>17</v>
      </c>
      <c r="D113" s="182"/>
      <c r="E113" s="183" t="s">
        <v>20</v>
      </c>
      <c r="F113" s="73" t="s">
        <v>460</v>
      </c>
      <c r="G113" s="184" t="s">
        <v>114</v>
      </c>
      <c r="H113" s="181">
        <v>28</v>
      </c>
      <c r="I113" s="185">
        <v>5</v>
      </c>
      <c r="J113" s="190">
        <v>5</v>
      </c>
      <c r="K113" s="77">
        <v>1921</v>
      </c>
      <c r="L113" s="77">
        <v>1921</v>
      </c>
      <c r="M113" s="187">
        <f t="shared" si="4"/>
        <v>0</v>
      </c>
      <c r="N113" s="100">
        <v>29</v>
      </c>
      <c r="O113" s="186">
        <v>60028.44</v>
      </c>
      <c r="P113" s="186">
        <v>60028.44</v>
      </c>
      <c r="Q113" s="188">
        <f t="shared" si="3"/>
        <v>0</v>
      </c>
    </row>
    <row r="114" spans="1:19" s="15" customFormat="1" ht="15.75" x14ac:dyDescent="0.25">
      <c r="A114" s="14"/>
      <c r="B114" s="80" t="s">
        <v>71</v>
      </c>
      <c r="C114" s="181" t="s">
        <v>17</v>
      </c>
      <c r="D114" s="182"/>
      <c r="E114" s="183" t="s">
        <v>32</v>
      </c>
      <c r="F114" s="73" t="s">
        <v>374</v>
      </c>
      <c r="G114" s="74" t="s">
        <v>112</v>
      </c>
      <c r="H114" s="75">
        <v>15</v>
      </c>
      <c r="I114" s="76">
        <v>7</v>
      </c>
      <c r="J114" s="96">
        <f>3+1+2+1+1</f>
        <v>8</v>
      </c>
      <c r="K114" s="77">
        <f>1536.8+461.04+1748.88+633.93</f>
        <v>4380.6500000000005</v>
      </c>
      <c r="L114" s="77">
        <f>1536.8+461.04+1748.88+633.93</f>
        <v>4380.6500000000005</v>
      </c>
      <c r="M114" s="78">
        <f>K114-L114</f>
        <v>0</v>
      </c>
      <c r="N114" s="100">
        <f>3+2+1+1+2</f>
        <v>9</v>
      </c>
      <c r="O114" s="81">
        <f>9567.93+3616.67+403.41+14275.52</f>
        <v>27863.53</v>
      </c>
      <c r="P114" s="81">
        <f>9567.93+3616.67+403.41+14275.52</f>
        <v>27863.53</v>
      </c>
      <c r="Q114" s="79">
        <f t="shared" si="3"/>
        <v>0</v>
      </c>
      <c r="R114" s="141"/>
      <c r="S114" s="36"/>
    </row>
    <row r="115" spans="1:19" s="15" customFormat="1" ht="15.75" hidden="1" x14ac:dyDescent="0.25">
      <c r="A115" s="14"/>
      <c r="B115" s="80" t="s">
        <v>71</v>
      </c>
      <c r="C115" s="181" t="s">
        <v>17</v>
      </c>
      <c r="D115" s="182"/>
      <c r="E115" s="183" t="s">
        <v>32</v>
      </c>
      <c r="F115" s="73" t="s">
        <v>431</v>
      </c>
      <c r="G115" s="184" t="s">
        <v>115</v>
      </c>
      <c r="H115" s="181">
        <v>6</v>
      </c>
      <c r="I115" s="196">
        <v>4</v>
      </c>
      <c r="J115" s="97">
        <v>4</v>
      </c>
      <c r="K115" s="77">
        <v>5570.9</v>
      </c>
      <c r="L115" s="77">
        <v>5570.9</v>
      </c>
      <c r="M115" s="187">
        <f t="shared" si="4"/>
        <v>0</v>
      </c>
      <c r="N115" s="114">
        <f>5</f>
        <v>5</v>
      </c>
      <c r="O115" s="77">
        <v>6595.5</v>
      </c>
      <c r="P115" s="77">
        <v>6595.5</v>
      </c>
      <c r="Q115" s="188">
        <f t="shared" si="3"/>
        <v>0</v>
      </c>
    </row>
    <row r="116" spans="1:19" s="13" customFormat="1" ht="15.75" x14ac:dyDescent="0.25">
      <c r="A116" s="10"/>
      <c r="B116" s="62" t="s">
        <v>319</v>
      </c>
      <c r="C116" s="181" t="s">
        <v>17</v>
      </c>
      <c r="D116" s="182"/>
      <c r="E116" s="183" t="s">
        <v>20</v>
      </c>
      <c r="F116" s="73" t="s">
        <v>375</v>
      </c>
      <c r="G116" s="74" t="s">
        <v>112</v>
      </c>
      <c r="H116" s="75">
        <v>20</v>
      </c>
      <c r="I116" s="76">
        <v>8</v>
      </c>
      <c r="J116" s="96">
        <f>2+1+4+3</f>
        <v>10</v>
      </c>
      <c r="K116" s="77">
        <f>710.77+1523.35+6753.23+7215.52+1437.48</f>
        <v>17640.349999999999</v>
      </c>
      <c r="L116" s="77">
        <f>710.77+1523.35+6753.23+7215.52+1437.48</f>
        <v>17640.349999999999</v>
      </c>
      <c r="M116" s="78">
        <f t="shared" si="4"/>
        <v>0</v>
      </c>
      <c r="N116" s="100">
        <f>3+1+2+1</f>
        <v>7</v>
      </c>
      <c r="O116" s="77">
        <f>13419.94+726.71+2846.77+3770.56</f>
        <v>20763.980000000003</v>
      </c>
      <c r="P116" s="77">
        <f>13419.94+726.71+2846.77+3770.56</f>
        <v>20763.980000000003</v>
      </c>
      <c r="Q116" s="79">
        <f>O116-P116</f>
        <v>0</v>
      </c>
      <c r="R116" s="141"/>
    </row>
    <row r="117" spans="1:19" s="15" customFormat="1" ht="15.75" x14ac:dyDescent="0.25">
      <c r="A117" s="14"/>
      <c r="B117" s="62" t="s">
        <v>150</v>
      </c>
      <c r="C117" s="181" t="s">
        <v>17</v>
      </c>
      <c r="D117" s="182"/>
      <c r="E117" s="183" t="s">
        <v>35</v>
      </c>
      <c r="F117" s="73" t="s">
        <v>376</v>
      </c>
      <c r="G117" s="74" t="s">
        <v>112</v>
      </c>
      <c r="H117" s="75">
        <v>14</v>
      </c>
      <c r="I117" s="76">
        <v>6</v>
      </c>
      <c r="J117" s="97">
        <f>1+1+2+2</f>
        <v>6</v>
      </c>
      <c r="K117" s="77">
        <f>1343.65+384.2+1690.4+4889.84</f>
        <v>8308.09</v>
      </c>
      <c r="L117" s="77">
        <f>1343.65+384.2+1690.4+4889.84</f>
        <v>8308.09</v>
      </c>
      <c r="M117" s="78">
        <f t="shared" si="4"/>
        <v>0</v>
      </c>
      <c r="N117" s="114">
        <f>8+1+1+2+3+1+1</f>
        <v>17</v>
      </c>
      <c r="O117" s="77">
        <f>5997.32+3719.39+3054.34+13138.17+6578.46</f>
        <v>32487.68</v>
      </c>
      <c r="P117" s="77">
        <f>5997.32+3719.39+3054.34+13138.17+6578.46</f>
        <v>32487.68</v>
      </c>
      <c r="Q117" s="79">
        <f t="shared" si="3"/>
        <v>0</v>
      </c>
      <c r="R117" s="141"/>
    </row>
    <row r="118" spans="1:19" s="15" customFormat="1" ht="15.75" hidden="1" x14ac:dyDescent="0.25">
      <c r="A118" s="14"/>
      <c r="B118" s="191" t="s">
        <v>150</v>
      </c>
      <c r="C118" s="181" t="s">
        <v>17</v>
      </c>
      <c r="D118" s="182"/>
      <c r="E118" s="183" t="s">
        <v>32</v>
      </c>
      <c r="F118" s="73" t="s">
        <v>487</v>
      </c>
      <c r="G118" s="184" t="s">
        <v>117</v>
      </c>
      <c r="H118" s="181">
        <v>2</v>
      </c>
      <c r="I118" s="196"/>
      <c r="J118" s="97"/>
      <c r="K118" s="77"/>
      <c r="L118" s="193"/>
      <c r="M118" s="187">
        <f t="shared" si="4"/>
        <v>0</v>
      </c>
      <c r="N118" s="101">
        <v>1</v>
      </c>
      <c r="O118" s="77">
        <v>4226.2</v>
      </c>
      <c r="P118" s="77">
        <v>4226.2</v>
      </c>
      <c r="Q118" s="188">
        <f t="shared" si="3"/>
        <v>0</v>
      </c>
    </row>
    <row r="119" spans="1:19" s="13" customFormat="1" ht="15.75" x14ac:dyDescent="0.25">
      <c r="A119" s="10"/>
      <c r="B119" s="30" t="s">
        <v>72</v>
      </c>
      <c r="C119" s="181" t="s">
        <v>17</v>
      </c>
      <c r="D119" s="182"/>
      <c r="E119" s="183" t="s">
        <v>21</v>
      </c>
      <c r="F119" s="73" t="s">
        <v>377</v>
      </c>
      <c r="G119" s="74" t="s">
        <v>112</v>
      </c>
      <c r="H119" s="75">
        <v>16</v>
      </c>
      <c r="I119" s="76">
        <v>7</v>
      </c>
      <c r="J119" s="96">
        <f>1+1+1+1+6</f>
        <v>10</v>
      </c>
      <c r="K119" s="77">
        <f>633.93+1415.78+1610.18+1394.65</f>
        <v>5054.5400000000009</v>
      </c>
      <c r="L119" s="77">
        <f>633.93+1415.78+1610.18+1394.65</f>
        <v>5054.5400000000009</v>
      </c>
      <c r="M119" s="78">
        <f>K119-L119</f>
        <v>0</v>
      </c>
      <c r="N119" s="100">
        <f>1+3+1+1+1+3+1+3</f>
        <v>14</v>
      </c>
      <c r="O119" s="81">
        <f>1950.74+10237.13+6595.95+3861.21+1348.53+10328.94</f>
        <v>34322.5</v>
      </c>
      <c r="P119" s="81">
        <f>1950.74+10237.13+6595.95+3861.21+1348.53+10328.94</f>
        <v>34322.5</v>
      </c>
      <c r="Q119" s="79">
        <f t="shared" si="3"/>
        <v>0</v>
      </c>
      <c r="R119" s="141"/>
    </row>
    <row r="120" spans="1:19" s="13" customFormat="1" ht="15.75" hidden="1" x14ac:dyDescent="0.25">
      <c r="A120" s="10"/>
      <c r="B120" s="30" t="s">
        <v>72</v>
      </c>
      <c r="C120" s="181" t="s">
        <v>17</v>
      </c>
      <c r="D120" s="182"/>
      <c r="E120" s="183" t="s">
        <v>21</v>
      </c>
      <c r="F120" s="73" t="s">
        <v>441</v>
      </c>
      <c r="G120" s="184" t="s">
        <v>118</v>
      </c>
      <c r="H120" s="181">
        <v>6</v>
      </c>
      <c r="I120" s="185">
        <v>1</v>
      </c>
      <c r="J120" s="96">
        <v>1</v>
      </c>
      <c r="K120" s="77">
        <v>1728.9</v>
      </c>
      <c r="L120" s="77">
        <v>153.52000000000001</v>
      </c>
      <c r="M120" s="187">
        <f t="shared" si="4"/>
        <v>1575.38</v>
      </c>
      <c r="N120" s="100">
        <v>13</v>
      </c>
      <c r="O120" s="186">
        <v>45577.03</v>
      </c>
      <c r="P120" s="186">
        <v>45577.03</v>
      </c>
      <c r="Q120" s="188">
        <f t="shared" si="3"/>
        <v>0</v>
      </c>
    </row>
    <row r="121" spans="1:19" s="15" customFormat="1" ht="15.75" x14ac:dyDescent="0.25">
      <c r="A121" s="14"/>
      <c r="B121" s="84" t="s">
        <v>73</v>
      </c>
      <c r="C121" s="181" t="s">
        <v>17</v>
      </c>
      <c r="D121" s="182"/>
      <c r="E121" s="183" t="s">
        <v>74</v>
      </c>
      <c r="F121" s="73" t="s">
        <v>378</v>
      </c>
      <c r="G121" s="74" t="s">
        <v>112</v>
      </c>
      <c r="H121" s="75">
        <v>23</v>
      </c>
      <c r="I121" s="76">
        <v>15</v>
      </c>
      <c r="J121" s="96">
        <f>9+8+2+2</f>
        <v>21</v>
      </c>
      <c r="K121" s="77">
        <f>6305.33+12574.83+4899.84</f>
        <v>23780</v>
      </c>
      <c r="L121" s="77">
        <f>6305.33+12574.83+4899.84</f>
        <v>23780</v>
      </c>
      <c r="M121" s="78">
        <f>K121-L121</f>
        <v>0</v>
      </c>
      <c r="N121" s="100">
        <f>5+3+3+1</f>
        <v>12</v>
      </c>
      <c r="O121" s="81">
        <f>5416.39+9506.99+12269.39+7610.68+1928.68</f>
        <v>36732.129999999997</v>
      </c>
      <c r="P121" s="81">
        <f>5416.39+9506.99+12269.39+7610.68+1928.68</f>
        <v>36732.129999999997</v>
      </c>
      <c r="Q121" s="79">
        <f t="shared" si="3"/>
        <v>0</v>
      </c>
      <c r="R121" s="141"/>
    </row>
    <row r="122" spans="1:19" s="15" customFormat="1" ht="15.75" hidden="1" x14ac:dyDescent="0.25">
      <c r="A122" s="14"/>
      <c r="B122" s="84" t="s">
        <v>73</v>
      </c>
      <c r="C122" s="181" t="s">
        <v>17</v>
      </c>
      <c r="D122" s="182"/>
      <c r="E122" s="183" t="s">
        <v>74</v>
      </c>
      <c r="F122" s="73" t="s">
        <v>282</v>
      </c>
      <c r="G122" s="184" t="s">
        <v>114</v>
      </c>
      <c r="H122" s="181"/>
      <c r="I122" s="185"/>
      <c r="J122" s="190"/>
      <c r="K122" s="77"/>
      <c r="L122" s="77"/>
      <c r="M122" s="187">
        <f t="shared" si="4"/>
        <v>0</v>
      </c>
      <c r="N122" s="101">
        <v>1</v>
      </c>
      <c r="O122" s="186">
        <v>19379.400000000001</v>
      </c>
      <c r="P122" s="186">
        <v>19379.400000000001</v>
      </c>
      <c r="Q122" s="188">
        <f t="shared" si="3"/>
        <v>0</v>
      </c>
    </row>
    <row r="123" spans="1:19" s="13" customFormat="1" ht="15.75" x14ac:dyDescent="0.25">
      <c r="A123" s="10"/>
      <c r="B123" s="30" t="s">
        <v>135</v>
      </c>
      <c r="C123" s="181" t="s">
        <v>17</v>
      </c>
      <c r="D123" s="182"/>
      <c r="E123" s="194" t="s">
        <v>35</v>
      </c>
      <c r="F123" s="73" t="s">
        <v>379</v>
      </c>
      <c r="G123" s="74" t="s">
        <v>112</v>
      </c>
      <c r="H123" s="75">
        <v>21</v>
      </c>
      <c r="I123" s="76">
        <v>14</v>
      </c>
      <c r="J123" s="96">
        <f>1+6+5+3</f>
        <v>15</v>
      </c>
      <c r="K123" s="77">
        <f>697.32+4374.12+5747.44</f>
        <v>10818.88</v>
      </c>
      <c r="L123" s="77">
        <f>697.32+4374.12+5747.44</f>
        <v>10818.88</v>
      </c>
      <c r="M123" s="78">
        <f>K123-L123</f>
        <v>0</v>
      </c>
      <c r="N123" s="100">
        <f>2+5+1+2+2+2</f>
        <v>14</v>
      </c>
      <c r="O123" s="81">
        <f>6432.89+2283.68+4932.13</f>
        <v>13648.7</v>
      </c>
      <c r="P123" s="81">
        <f>6432.89+2283.68+4932.13</f>
        <v>13648.7</v>
      </c>
      <c r="Q123" s="188">
        <f t="shared" si="3"/>
        <v>0</v>
      </c>
      <c r="R123" s="141"/>
    </row>
    <row r="124" spans="1:19" s="13" customFormat="1" ht="15.75" hidden="1" x14ac:dyDescent="0.25">
      <c r="A124" s="10"/>
      <c r="B124" s="30" t="s">
        <v>135</v>
      </c>
      <c r="C124" s="181" t="s">
        <v>17</v>
      </c>
      <c r="D124" s="182"/>
      <c r="E124" s="194" t="s">
        <v>35</v>
      </c>
      <c r="F124" s="73" t="s">
        <v>432</v>
      </c>
      <c r="G124" s="184" t="s">
        <v>115</v>
      </c>
      <c r="H124" s="181"/>
      <c r="I124" s="185"/>
      <c r="J124" s="96"/>
      <c r="K124" s="77"/>
      <c r="L124" s="77"/>
      <c r="M124" s="78">
        <f t="shared" si="4"/>
        <v>0</v>
      </c>
      <c r="N124" s="100">
        <v>1</v>
      </c>
      <c r="O124" s="186">
        <v>2689.4</v>
      </c>
      <c r="P124" s="186">
        <v>2689.4</v>
      </c>
      <c r="Q124" s="79">
        <f t="shared" si="3"/>
        <v>0</v>
      </c>
    </row>
    <row r="125" spans="1:19" s="13" customFormat="1" ht="15.75" x14ac:dyDescent="0.25">
      <c r="A125" s="10"/>
      <c r="B125" s="30" t="s">
        <v>145</v>
      </c>
      <c r="C125" s="181" t="s">
        <v>17</v>
      </c>
      <c r="D125" s="182"/>
      <c r="E125" s="194" t="s">
        <v>20</v>
      </c>
      <c r="F125" s="73" t="s">
        <v>380</v>
      </c>
      <c r="G125" s="74" t="s">
        <v>112</v>
      </c>
      <c r="H125" s="75">
        <v>8</v>
      </c>
      <c r="I125" s="82">
        <v>4</v>
      </c>
      <c r="J125" s="96">
        <f>2+1+1+2</f>
        <v>6</v>
      </c>
      <c r="K125" s="77">
        <f>5169.72+1100+538.84+4293.82+3949.22</f>
        <v>15051.6</v>
      </c>
      <c r="L125" s="77">
        <f>5169.72+1100+538.84+4293.82+3949.22</f>
        <v>15051.6</v>
      </c>
      <c r="M125" s="78">
        <f>K125-L125</f>
        <v>0</v>
      </c>
      <c r="N125" s="100">
        <f>1+1+2+1</f>
        <v>5</v>
      </c>
      <c r="O125" s="81">
        <f>5120.23+3915.15+1114.12</f>
        <v>10149.5</v>
      </c>
      <c r="P125" s="81">
        <f>5120.23+3915.15+1114.12</f>
        <v>10149.5</v>
      </c>
      <c r="Q125" s="188">
        <f t="shared" si="3"/>
        <v>0</v>
      </c>
      <c r="R125" s="141"/>
    </row>
    <row r="126" spans="1:19" s="13" customFormat="1" ht="15.75" hidden="1" x14ac:dyDescent="0.25">
      <c r="A126" s="10"/>
      <c r="B126" s="30" t="s">
        <v>145</v>
      </c>
      <c r="C126" s="181" t="s">
        <v>17</v>
      </c>
      <c r="D126" s="182"/>
      <c r="E126" s="194" t="s">
        <v>20</v>
      </c>
      <c r="F126" s="73" t="s">
        <v>461</v>
      </c>
      <c r="G126" s="184" t="s">
        <v>114</v>
      </c>
      <c r="H126" s="181">
        <v>2</v>
      </c>
      <c r="I126" s="185">
        <v>1</v>
      </c>
      <c r="J126" s="190">
        <v>1</v>
      </c>
      <c r="K126" s="77"/>
      <c r="L126" s="77"/>
      <c r="M126" s="78">
        <f t="shared" si="4"/>
        <v>0</v>
      </c>
      <c r="N126" s="100">
        <v>10</v>
      </c>
      <c r="O126" s="186">
        <v>19379.400000000001</v>
      </c>
      <c r="P126" s="186">
        <v>19379.400000000001</v>
      </c>
      <c r="Q126" s="188">
        <f t="shared" si="3"/>
        <v>0</v>
      </c>
    </row>
    <row r="127" spans="1:19" s="13" customFormat="1" ht="15.75" x14ac:dyDescent="0.25">
      <c r="A127" s="10"/>
      <c r="B127" s="62" t="s">
        <v>76</v>
      </c>
      <c r="C127" s="181" t="s">
        <v>17</v>
      </c>
      <c r="D127" s="182"/>
      <c r="E127" s="183" t="s">
        <v>20</v>
      </c>
      <c r="F127" s="73" t="s">
        <v>381</v>
      </c>
      <c r="G127" s="74" t="s">
        <v>112</v>
      </c>
      <c r="H127" s="75">
        <v>19</v>
      </c>
      <c r="I127" s="76">
        <v>13</v>
      </c>
      <c r="J127" s="96">
        <f>1+6+3+1+3+1+2</f>
        <v>17</v>
      </c>
      <c r="K127" s="77">
        <f>6556.06+2806.39+2697.06+1267.86+11775.51+1557.35</f>
        <v>26660.23</v>
      </c>
      <c r="L127" s="77">
        <f>6556.06+2806.39+2697.06+1267.86+11775.51+1557.35</f>
        <v>26660.23</v>
      </c>
      <c r="M127" s="78">
        <f>K127-L127</f>
        <v>0</v>
      </c>
      <c r="N127" s="100">
        <f>5+6+2+1+1</f>
        <v>15</v>
      </c>
      <c r="O127" s="81">
        <f>11527.9+19846.52+1011.91+9641+2451.87+10072.83</f>
        <v>54552.030000000006</v>
      </c>
      <c r="P127" s="81">
        <f>11527.9+19846.52+1011.91+9641+2451.87+10072.83</f>
        <v>54552.030000000006</v>
      </c>
      <c r="Q127" s="188">
        <f t="shared" si="3"/>
        <v>0</v>
      </c>
      <c r="R127" s="141"/>
    </row>
    <row r="128" spans="1:19" s="13" customFormat="1" ht="15.75" hidden="1" x14ac:dyDescent="0.25">
      <c r="A128" s="10"/>
      <c r="B128" s="62" t="s">
        <v>76</v>
      </c>
      <c r="C128" s="181" t="s">
        <v>17</v>
      </c>
      <c r="D128" s="182"/>
      <c r="E128" s="183" t="s">
        <v>20</v>
      </c>
      <c r="F128" s="73" t="s">
        <v>462</v>
      </c>
      <c r="G128" s="184" t="s">
        <v>114</v>
      </c>
      <c r="H128" s="181">
        <v>8</v>
      </c>
      <c r="I128" s="185">
        <v>1</v>
      </c>
      <c r="J128" s="190">
        <v>1</v>
      </c>
      <c r="K128" s="77"/>
      <c r="L128" s="77"/>
      <c r="M128" s="78">
        <f t="shared" si="4"/>
        <v>0</v>
      </c>
      <c r="N128" s="100">
        <v>8</v>
      </c>
      <c r="O128" s="186">
        <v>27398.29</v>
      </c>
      <c r="P128" s="186">
        <v>27398.29</v>
      </c>
      <c r="Q128" s="188">
        <f t="shared" si="3"/>
        <v>0</v>
      </c>
    </row>
    <row r="129" spans="1:18" s="13" customFormat="1" ht="15.75" x14ac:dyDescent="0.25">
      <c r="A129" s="10"/>
      <c r="B129" s="30" t="s">
        <v>77</v>
      </c>
      <c r="C129" s="181" t="s">
        <v>17</v>
      </c>
      <c r="D129" s="182"/>
      <c r="E129" s="183" t="s">
        <v>32</v>
      </c>
      <c r="F129" s="73" t="s">
        <v>388</v>
      </c>
      <c r="G129" s="74" t="s">
        <v>112</v>
      </c>
      <c r="H129" s="75">
        <v>10</v>
      </c>
      <c r="I129" s="76">
        <v>7</v>
      </c>
      <c r="J129" s="96">
        <f>2+2+2+6</f>
        <v>12</v>
      </c>
      <c r="K129" s="77">
        <f>2440.63+1507.02+2101.48</f>
        <v>6049.13</v>
      </c>
      <c r="L129" s="77">
        <f>2440.63+1507.02+2101.48</f>
        <v>6049.13</v>
      </c>
      <c r="M129" s="78">
        <f>K129-L129</f>
        <v>0</v>
      </c>
      <c r="N129" s="100">
        <f>5+2+3+3+1+1</f>
        <v>15</v>
      </c>
      <c r="O129" s="81">
        <f>11716.73+6848.82+4046.18+11166.34+8845.95</f>
        <v>42624.020000000004</v>
      </c>
      <c r="P129" s="81">
        <f>11716.73+6848.82+4046.18+11166.34+8845.95</f>
        <v>42624.020000000004</v>
      </c>
      <c r="Q129" s="188">
        <f t="shared" si="3"/>
        <v>0</v>
      </c>
      <c r="R129" s="141"/>
    </row>
    <row r="130" spans="1:18" s="13" customFormat="1" ht="15.75" hidden="1" x14ac:dyDescent="0.25">
      <c r="A130" s="10"/>
      <c r="B130" s="30" t="s">
        <v>77</v>
      </c>
      <c r="C130" s="181" t="s">
        <v>17</v>
      </c>
      <c r="D130" s="182"/>
      <c r="E130" s="183" t="s">
        <v>32</v>
      </c>
      <c r="F130" s="73" t="s">
        <v>433</v>
      </c>
      <c r="G130" s="184" t="s">
        <v>117</v>
      </c>
      <c r="H130" s="181">
        <v>1</v>
      </c>
      <c r="I130" s="185">
        <v>1</v>
      </c>
      <c r="J130" s="96">
        <v>1</v>
      </c>
      <c r="K130" s="77">
        <v>1921</v>
      </c>
      <c r="L130" s="77">
        <v>1921</v>
      </c>
      <c r="M130" s="78">
        <f t="shared" si="4"/>
        <v>0</v>
      </c>
      <c r="N130" s="100">
        <v>6</v>
      </c>
      <c r="O130" s="186">
        <v>18164.11</v>
      </c>
      <c r="P130" s="186">
        <v>18164.11</v>
      </c>
      <c r="Q130" s="79">
        <f t="shared" si="3"/>
        <v>0</v>
      </c>
    </row>
    <row r="131" spans="1:18" s="13" customFormat="1" ht="15.75" x14ac:dyDescent="0.25">
      <c r="A131" s="10"/>
      <c r="B131" s="30" t="s">
        <v>321</v>
      </c>
      <c r="C131" s="181" t="s">
        <v>17</v>
      </c>
      <c r="D131" s="182"/>
      <c r="E131" s="183" t="s">
        <v>21</v>
      </c>
      <c r="F131" s="73" t="s">
        <v>489</v>
      </c>
      <c r="G131" s="184" t="s">
        <v>112</v>
      </c>
      <c r="H131" s="181">
        <v>3</v>
      </c>
      <c r="I131" s="185"/>
      <c r="J131" s="96"/>
      <c r="K131" s="77"/>
      <c r="L131" s="77"/>
      <c r="M131" s="78">
        <f t="shared" si="4"/>
        <v>0</v>
      </c>
      <c r="N131" s="100"/>
      <c r="O131" s="186"/>
      <c r="P131" s="186"/>
      <c r="Q131" s="79"/>
      <c r="R131" s="141"/>
    </row>
    <row r="132" spans="1:18" s="13" customFormat="1" ht="30" x14ac:dyDescent="0.25">
      <c r="A132" s="10"/>
      <c r="B132" s="62" t="s">
        <v>79</v>
      </c>
      <c r="C132" s="181" t="s">
        <v>304</v>
      </c>
      <c r="D132" s="182" t="s">
        <v>385</v>
      </c>
      <c r="E132" s="183" t="s">
        <v>18</v>
      </c>
      <c r="F132" s="73" t="s">
        <v>389</v>
      </c>
      <c r="G132" s="74" t="s">
        <v>112</v>
      </c>
      <c r="H132" s="75">
        <v>12</v>
      </c>
      <c r="I132" s="76">
        <v>7</v>
      </c>
      <c r="J132" s="96">
        <f>2+5+2</f>
        <v>9</v>
      </c>
      <c r="K132" s="77">
        <f>2091.97+3190.2+5703.08+6368.88</f>
        <v>17354.13</v>
      </c>
      <c r="L132" s="77">
        <f>2091.97+3190.2+5703.08+6368.88</f>
        <v>17354.13</v>
      </c>
      <c r="M132" s="78">
        <f t="shared" si="4"/>
        <v>0</v>
      </c>
      <c r="N132" s="100">
        <f>2+2+1+2+1</f>
        <v>8</v>
      </c>
      <c r="O132" s="81">
        <f>1547.4+4166.12+7835.61+1675.01+4717.63+6039.62</f>
        <v>25981.39</v>
      </c>
      <c r="P132" s="81">
        <f>1547.4+4166.12+7835.61+1675.01+4717.63+6039.62</f>
        <v>25981.39</v>
      </c>
      <c r="Q132" s="188">
        <f t="shared" si="3"/>
        <v>0</v>
      </c>
      <c r="R132" s="141"/>
    </row>
    <row r="133" spans="1:18" s="13" customFormat="1" ht="30" hidden="1" x14ac:dyDescent="0.25">
      <c r="A133" s="10"/>
      <c r="B133" s="62" t="s">
        <v>79</v>
      </c>
      <c r="C133" s="181" t="s">
        <v>304</v>
      </c>
      <c r="D133" s="182" t="s">
        <v>475</v>
      </c>
      <c r="E133" s="183" t="s">
        <v>18</v>
      </c>
      <c r="F133" s="73" t="s">
        <v>329</v>
      </c>
      <c r="G133" s="184" t="s">
        <v>113</v>
      </c>
      <c r="H133" s="181">
        <v>36</v>
      </c>
      <c r="I133" s="192">
        <v>12</v>
      </c>
      <c r="J133" s="98">
        <v>13</v>
      </c>
      <c r="K133" s="186">
        <v>21353</v>
      </c>
      <c r="L133" s="186">
        <v>21353</v>
      </c>
      <c r="M133" s="78">
        <f t="shared" si="4"/>
        <v>0</v>
      </c>
      <c r="N133" s="100">
        <v>14</v>
      </c>
      <c r="O133" s="186">
        <v>51293</v>
      </c>
      <c r="P133" s="186">
        <v>44239</v>
      </c>
      <c r="Q133" s="79">
        <f t="shared" si="3"/>
        <v>7054</v>
      </c>
    </row>
    <row r="134" spans="1:18" s="13" customFormat="1" ht="15.75" x14ac:dyDescent="0.25">
      <c r="A134" s="10"/>
      <c r="B134" s="62" t="s">
        <v>151</v>
      </c>
      <c r="C134" s="181" t="s">
        <v>17</v>
      </c>
      <c r="D134" s="182"/>
      <c r="E134" s="183" t="s">
        <v>32</v>
      </c>
      <c r="F134" s="73" t="s">
        <v>390</v>
      </c>
      <c r="G134" s="74" t="s">
        <v>112</v>
      </c>
      <c r="H134" s="75">
        <v>37</v>
      </c>
      <c r="I134" s="82">
        <v>21</v>
      </c>
      <c r="J134" s="96">
        <f>1+3+3+5+3+9</f>
        <v>24</v>
      </c>
      <c r="K134" s="81">
        <f>2317+4640.19+5864.19+10765</f>
        <v>23586.379999999997</v>
      </c>
      <c r="L134" s="81">
        <f>2317+4640.19+5864.19+10765</f>
        <v>23586.379999999997</v>
      </c>
      <c r="M134" s="78">
        <f>K134-L134</f>
        <v>0</v>
      </c>
      <c r="N134" s="100">
        <f>9+3+5+1+4+4</f>
        <v>26</v>
      </c>
      <c r="O134" s="81">
        <f>10726.94+18822.65+5703.53+12846.53+1320.36+4050.1</f>
        <v>53470.11</v>
      </c>
      <c r="P134" s="81">
        <f>10726.94+18822.65+5703.53+12846.53+1320.36+4050.1</f>
        <v>53470.11</v>
      </c>
      <c r="Q134" s="188">
        <f t="shared" si="3"/>
        <v>0</v>
      </c>
      <c r="R134" s="141"/>
    </row>
    <row r="135" spans="1:18" s="13" customFormat="1" ht="15.75" hidden="1" x14ac:dyDescent="0.25">
      <c r="A135" s="10"/>
      <c r="B135" s="62" t="s">
        <v>151</v>
      </c>
      <c r="C135" s="181" t="s">
        <v>17</v>
      </c>
      <c r="D135" s="182"/>
      <c r="E135" s="183" t="s">
        <v>32</v>
      </c>
      <c r="F135" s="73" t="s">
        <v>434</v>
      </c>
      <c r="G135" s="184" t="s">
        <v>117</v>
      </c>
      <c r="H135" s="181">
        <v>8</v>
      </c>
      <c r="I135" s="185"/>
      <c r="J135" s="96"/>
      <c r="K135" s="77"/>
      <c r="L135" s="77"/>
      <c r="M135" s="78">
        <f t="shared" si="4"/>
        <v>0</v>
      </c>
      <c r="N135" s="100">
        <v>12</v>
      </c>
      <c r="O135" s="186">
        <v>22129.3</v>
      </c>
      <c r="P135" s="186">
        <v>22129.3</v>
      </c>
      <c r="Q135" s="79">
        <f t="shared" si="3"/>
        <v>0</v>
      </c>
    </row>
    <row r="136" spans="1:18" s="13" customFormat="1" ht="15.75" x14ac:dyDescent="0.25">
      <c r="A136" s="10"/>
      <c r="B136" s="62" t="s">
        <v>80</v>
      </c>
      <c r="C136" s="181" t="s">
        <v>17</v>
      </c>
      <c r="D136" s="182"/>
      <c r="E136" s="183" t="s">
        <v>81</v>
      </c>
      <c r="F136" s="73" t="s">
        <v>417</v>
      </c>
      <c r="G136" s="74" t="s">
        <v>112</v>
      </c>
      <c r="H136" s="75"/>
      <c r="I136" s="76"/>
      <c r="J136" s="96"/>
      <c r="K136" s="77">
        <f>749.19+8649.27</f>
        <v>9398.4600000000009</v>
      </c>
      <c r="L136" s="77">
        <f>749.19+8649.27</f>
        <v>9398.4600000000009</v>
      </c>
      <c r="M136" s="78">
        <f>K136-L136</f>
        <v>0</v>
      </c>
      <c r="N136" s="100">
        <f>2+2</f>
        <v>4</v>
      </c>
      <c r="O136" s="81">
        <f>3040.94</f>
        <v>3040.94</v>
      </c>
      <c r="P136" s="81">
        <f>3040.94</f>
        <v>3040.94</v>
      </c>
      <c r="Q136" s="188">
        <f t="shared" si="3"/>
        <v>0</v>
      </c>
      <c r="R136" s="141"/>
    </row>
    <row r="137" spans="1:18" s="13" customFormat="1" ht="15.75" hidden="1" x14ac:dyDescent="0.25">
      <c r="A137" s="10"/>
      <c r="B137" s="62" t="s">
        <v>80</v>
      </c>
      <c r="C137" s="181" t="s">
        <v>17</v>
      </c>
      <c r="D137" s="182"/>
      <c r="E137" s="183" t="s">
        <v>81</v>
      </c>
      <c r="F137" s="73" t="s">
        <v>285</v>
      </c>
      <c r="G137" s="184" t="s">
        <v>114</v>
      </c>
      <c r="H137" s="181"/>
      <c r="I137" s="185"/>
      <c r="J137" s="190"/>
      <c r="K137" s="77">
        <v>2113.1</v>
      </c>
      <c r="L137" s="77">
        <v>2113.1</v>
      </c>
      <c r="M137" s="78">
        <f t="shared" si="4"/>
        <v>0</v>
      </c>
      <c r="N137" s="100">
        <v>23</v>
      </c>
      <c r="O137" s="186">
        <v>47615.74</v>
      </c>
      <c r="P137" s="186">
        <v>47615.74</v>
      </c>
      <c r="Q137" s="188">
        <f t="shared" si="3"/>
        <v>0</v>
      </c>
    </row>
    <row r="138" spans="1:18" s="13" customFormat="1" ht="15.75" x14ac:dyDescent="0.25">
      <c r="A138" s="10"/>
      <c r="B138" s="30" t="s">
        <v>82</v>
      </c>
      <c r="C138" s="181" t="s">
        <v>17</v>
      </c>
      <c r="D138" s="182"/>
      <c r="E138" s="183" t="s">
        <v>20</v>
      </c>
      <c r="F138" s="73" t="s">
        <v>394</v>
      </c>
      <c r="G138" s="74" t="s">
        <v>112</v>
      </c>
      <c r="H138" s="75">
        <v>10</v>
      </c>
      <c r="I138" s="76">
        <v>7</v>
      </c>
      <c r="J138" s="96">
        <f>4+3</f>
        <v>7</v>
      </c>
      <c r="K138" s="77">
        <f>7750.47</f>
        <v>7750.47</v>
      </c>
      <c r="L138" s="77">
        <f>7750.47</f>
        <v>7750.47</v>
      </c>
      <c r="M138" s="78">
        <f>K138-L138</f>
        <v>0</v>
      </c>
      <c r="N138" s="100">
        <f>3+5+1+1</f>
        <v>10</v>
      </c>
      <c r="O138" s="81">
        <f>5975.84+23579.15+1426.34</f>
        <v>30981.33</v>
      </c>
      <c r="P138" s="81">
        <f>5975.84+23579.15+1426.34</f>
        <v>30981.33</v>
      </c>
      <c r="Q138" s="188">
        <f t="shared" si="3"/>
        <v>0</v>
      </c>
      <c r="R138" s="141"/>
    </row>
    <row r="139" spans="1:18" s="13" customFormat="1" ht="15.75" hidden="1" x14ac:dyDescent="0.25">
      <c r="A139" s="10"/>
      <c r="B139" s="30" t="s">
        <v>82</v>
      </c>
      <c r="C139" s="181" t="s">
        <v>17</v>
      </c>
      <c r="D139" s="182"/>
      <c r="E139" s="183" t="s">
        <v>20</v>
      </c>
      <c r="F139" s="73" t="s">
        <v>463</v>
      </c>
      <c r="G139" s="184" t="s">
        <v>114</v>
      </c>
      <c r="H139" s="181">
        <v>15</v>
      </c>
      <c r="I139" s="185">
        <v>3</v>
      </c>
      <c r="J139" s="190">
        <v>3</v>
      </c>
      <c r="K139" s="77">
        <v>5378.8</v>
      </c>
      <c r="L139" s="77">
        <v>5378.8</v>
      </c>
      <c r="M139" s="78">
        <f t="shared" si="4"/>
        <v>0</v>
      </c>
      <c r="N139" s="100">
        <v>13</v>
      </c>
      <c r="O139" s="186">
        <v>40552.51</v>
      </c>
      <c r="P139" s="186">
        <v>31523.81</v>
      </c>
      <c r="Q139" s="188">
        <f t="shared" si="3"/>
        <v>9028.7000000000007</v>
      </c>
    </row>
    <row r="140" spans="1:18" s="13" customFormat="1" ht="15.75" x14ac:dyDescent="0.25">
      <c r="A140" s="10"/>
      <c r="B140" s="30" t="s">
        <v>309</v>
      </c>
      <c r="C140" s="181"/>
      <c r="D140" s="182"/>
      <c r="E140" s="183" t="s">
        <v>20</v>
      </c>
      <c r="F140" s="73" t="s">
        <v>391</v>
      </c>
      <c r="G140" s="184" t="s">
        <v>112</v>
      </c>
      <c r="H140" s="181">
        <v>11</v>
      </c>
      <c r="I140" s="185">
        <v>5</v>
      </c>
      <c r="J140" s="190">
        <f>1+5</f>
        <v>6</v>
      </c>
      <c r="K140" s="77">
        <f>3606.1+3402.77</f>
        <v>7008.87</v>
      </c>
      <c r="L140" s="77">
        <f>3606.1+3402.77</f>
        <v>7008.87</v>
      </c>
      <c r="M140" s="78">
        <f t="shared" si="4"/>
        <v>0</v>
      </c>
      <c r="N140" s="100">
        <f>1+5+1+3</f>
        <v>10</v>
      </c>
      <c r="O140" s="186">
        <f>3088.97+13147.65+1267.86+5955.71</f>
        <v>23460.19</v>
      </c>
      <c r="P140" s="186">
        <f>3088.97+13147.65+1267.86+5955.71</f>
        <v>23460.19</v>
      </c>
      <c r="Q140" s="188">
        <f t="shared" si="3"/>
        <v>0</v>
      </c>
      <c r="R140" s="141"/>
    </row>
    <row r="141" spans="1:18" s="13" customFormat="1" ht="15.75" x14ac:dyDescent="0.25">
      <c r="A141" s="10"/>
      <c r="B141" s="30" t="s">
        <v>152</v>
      </c>
      <c r="C141" s="181" t="s">
        <v>17</v>
      </c>
      <c r="D141" s="182"/>
      <c r="E141" s="183" t="s">
        <v>35</v>
      </c>
      <c r="F141" s="73" t="s">
        <v>392</v>
      </c>
      <c r="G141" s="74" t="s">
        <v>112</v>
      </c>
      <c r="H141" s="75">
        <v>7</v>
      </c>
      <c r="I141" s="76">
        <v>6</v>
      </c>
      <c r="J141" s="96">
        <f>1+1+2+1+1</f>
        <v>6</v>
      </c>
      <c r="K141" s="77">
        <f>403.41+845.24+2113.1</f>
        <v>3361.75</v>
      </c>
      <c r="L141" s="77">
        <f>403.41+845.24+2113.1</f>
        <v>3361.75</v>
      </c>
      <c r="M141" s="78">
        <f t="shared" si="4"/>
        <v>0</v>
      </c>
      <c r="N141" s="100">
        <f>2+2+2+1+1+1</f>
        <v>9</v>
      </c>
      <c r="O141" s="81">
        <f>1690.48+3050.26+3661.61+4648.82+1267.86+1690.48+9282.42+4052.53</f>
        <v>29344.46</v>
      </c>
      <c r="P141" s="81">
        <f>1690.48+3050.26+3661.61+4648.82+1267.86+1690.48+9282.42+4052.53</f>
        <v>29344.46</v>
      </c>
      <c r="Q141" s="188">
        <f t="shared" si="3"/>
        <v>0</v>
      </c>
      <c r="R141" s="141"/>
    </row>
    <row r="142" spans="1:18" s="13" customFormat="1" ht="15.75" hidden="1" x14ac:dyDescent="0.25">
      <c r="A142" s="10"/>
      <c r="B142" s="30" t="s">
        <v>152</v>
      </c>
      <c r="C142" s="181" t="s">
        <v>17</v>
      </c>
      <c r="D142" s="182"/>
      <c r="E142" s="183" t="s">
        <v>32</v>
      </c>
      <c r="F142" s="73"/>
      <c r="G142" s="184" t="s">
        <v>117</v>
      </c>
      <c r="H142" s="181"/>
      <c r="I142" s="185"/>
      <c r="J142" s="96"/>
      <c r="K142" s="77"/>
      <c r="L142" s="77"/>
      <c r="M142" s="78">
        <f t="shared" si="4"/>
        <v>0</v>
      </c>
      <c r="N142" s="100"/>
      <c r="O142" s="186"/>
      <c r="P142" s="186"/>
      <c r="Q142" s="79">
        <f t="shared" si="3"/>
        <v>0</v>
      </c>
    </row>
    <row r="143" spans="1:18" s="13" customFormat="1" ht="15.75" x14ac:dyDescent="0.25">
      <c r="A143" s="10"/>
      <c r="B143" s="30" t="s">
        <v>83</v>
      </c>
      <c r="C143" s="181" t="s">
        <v>17</v>
      </c>
      <c r="D143" s="182"/>
      <c r="E143" s="183" t="s">
        <v>20</v>
      </c>
      <c r="F143" s="73" t="s">
        <v>393</v>
      </c>
      <c r="G143" s="74" t="s">
        <v>112</v>
      </c>
      <c r="H143" s="75">
        <v>12</v>
      </c>
      <c r="I143" s="76">
        <v>6</v>
      </c>
      <c r="J143" s="96">
        <f>1+1+2+1+1+1</f>
        <v>7</v>
      </c>
      <c r="K143" s="77">
        <f>768.4+2535.72+845.24+14407.5</f>
        <v>18556.86</v>
      </c>
      <c r="L143" s="77">
        <f>768.4+2535.72+845.24+14407.5</f>
        <v>18556.86</v>
      </c>
      <c r="M143" s="78">
        <f>K143-L143</f>
        <v>0</v>
      </c>
      <c r="N143" s="100">
        <f>1+2+1+1+1+2</f>
        <v>8</v>
      </c>
      <c r="O143" s="81">
        <f>5837.09+1922.92+4288.54+1686.25</f>
        <v>13734.8</v>
      </c>
      <c r="P143" s="81">
        <f>5837.09+1922.92+4288.54+1686.25</f>
        <v>13734.8</v>
      </c>
      <c r="Q143" s="188">
        <f t="shared" si="3"/>
        <v>0</v>
      </c>
      <c r="R143" s="141"/>
    </row>
    <row r="144" spans="1:18" s="13" customFormat="1" ht="15.75" hidden="1" x14ac:dyDescent="0.25">
      <c r="A144" s="10"/>
      <c r="B144" s="30" t="s">
        <v>83</v>
      </c>
      <c r="C144" s="181" t="s">
        <v>17</v>
      </c>
      <c r="D144" s="182"/>
      <c r="E144" s="183" t="s">
        <v>20</v>
      </c>
      <c r="F144" s="73" t="s">
        <v>464</v>
      </c>
      <c r="G144" s="184" t="s">
        <v>114</v>
      </c>
      <c r="H144" s="181">
        <v>24</v>
      </c>
      <c r="I144" s="185">
        <v>3</v>
      </c>
      <c r="J144" s="190">
        <v>3</v>
      </c>
      <c r="K144" s="77">
        <v>5494.06</v>
      </c>
      <c r="L144" s="77">
        <v>5494.06</v>
      </c>
      <c r="M144" s="78">
        <f t="shared" si="4"/>
        <v>0</v>
      </c>
      <c r="N144" s="100">
        <v>26</v>
      </c>
      <c r="O144" s="186">
        <v>77239.070000000007</v>
      </c>
      <c r="P144" s="186">
        <v>77239.070000000007</v>
      </c>
      <c r="Q144" s="188">
        <f t="shared" si="3"/>
        <v>0</v>
      </c>
    </row>
    <row r="145" spans="1:18" s="13" customFormat="1" ht="15.75" hidden="1" x14ac:dyDescent="0.25">
      <c r="A145" s="10"/>
      <c r="B145" s="30" t="s">
        <v>310</v>
      </c>
      <c r="C145" s="181" t="s">
        <v>17</v>
      </c>
      <c r="D145" s="182"/>
      <c r="E145" s="183" t="s">
        <v>20</v>
      </c>
      <c r="F145" s="73"/>
      <c r="G145" s="184" t="s">
        <v>114</v>
      </c>
      <c r="H145" s="181"/>
      <c r="I145" s="185"/>
      <c r="J145" s="190"/>
      <c r="K145" s="77"/>
      <c r="L145" s="77"/>
      <c r="M145" s="78"/>
      <c r="N145" s="100"/>
      <c r="O145" s="186"/>
      <c r="P145" s="186"/>
      <c r="Q145" s="188">
        <f t="shared" si="3"/>
        <v>0</v>
      </c>
    </row>
    <row r="146" spans="1:18" s="13" customFormat="1" ht="15.75" hidden="1" x14ac:dyDescent="0.25">
      <c r="A146" s="10"/>
      <c r="B146" s="30" t="s">
        <v>84</v>
      </c>
      <c r="C146" s="181" t="s">
        <v>17</v>
      </c>
      <c r="D146" s="182"/>
      <c r="E146" s="183" t="s">
        <v>20</v>
      </c>
      <c r="F146" s="73" t="s">
        <v>287</v>
      </c>
      <c r="G146" s="184" t="s">
        <v>114</v>
      </c>
      <c r="H146" s="181"/>
      <c r="I146" s="185"/>
      <c r="J146" s="190"/>
      <c r="K146" s="77"/>
      <c r="L146" s="77"/>
      <c r="M146" s="187">
        <f t="shared" si="4"/>
        <v>0</v>
      </c>
      <c r="N146" s="100"/>
      <c r="O146" s="186"/>
      <c r="P146" s="186"/>
      <c r="Q146" s="188">
        <f t="shared" si="3"/>
        <v>0</v>
      </c>
    </row>
    <row r="147" spans="1:18" s="13" customFormat="1" ht="45" x14ac:dyDescent="0.25">
      <c r="A147" s="10"/>
      <c r="B147" s="30" t="s">
        <v>85</v>
      </c>
      <c r="C147" s="181" t="s">
        <v>304</v>
      </c>
      <c r="D147" s="182" t="s">
        <v>415</v>
      </c>
      <c r="E147" s="183" t="s">
        <v>20</v>
      </c>
      <c r="F147" s="73" t="s">
        <v>395</v>
      </c>
      <c r="G147" s="74" t="s">
        <v>112</v>
      </c>
      <c r="H147" s="75">
        <v>13</v>
      </c>
      <c r="I147" s="76">
        <v>4</v>
      </c>
      <c r="J147" s="96"/>
      <c r="K147" s="77">
        <f>4800.58</f>
        <v>4800.58</v>
      </c>
      <c r="L147" s="77">
        <f>4800.58</f>
        <v>4800.58</v>
      </c>
      <c r="M147" s="78">
        <f t="shared" si="4"/>
        <v>0</v>
      </c>
      <c r="N147" s="100"/>
      <c r="O147" s="81">
        <f>3917.73+8936.21</f>
        <v>12853.939999999999</v>
      </c>
      <c r="P147" s="81">
        <f>3917.73+8936.21</f>
        <v>12853.939999999999</v>
      </c>
      <c r="Q147" s="79">
        <f t="shared" si="3"/>
        <v>0</v>
      </c>
      <c r="R147" s="141"/>
    </row>
    <row r="148" spans="1:18" s="13" customFormat="1" ht="15.75" x14ac:dyDescent="0.25">
      <c r="A148" s="10"/>
      <c r="B148" s="27" t="s">
        <v>86</v>
      </c>
      <c r="C148" s="181" t="s">
        <v>17</v>
      </c>
      <c r="D148" s="182"/>
      <c r="E148" s="194" t="s">
        <v>20</v>
      </c>
      <c r="F148" s="73" t="s">
        <v>396</v>
      </c>
      <c r="G148" s="74" t="s">
        <v>112</v>
      </c>
      <c r="H148" s="75">
        <v>10</v>
      </c>
      <c r="I148" s="76">
        <v>8</v>
      </c>
      <c r="J148" s="96">
        <f>1+3+1+7+2</f>
        <v>14</v>
      </c>
      <c r="K148" s="77">
        <f>950.9+5134.06+2091.97+528.03+8954.46</f>
        <v>17659.419999999998</v>
      </c>
      <c r="L148" s="77">
        <f>950.9+5134.06+2091.97+528.03+8954.46</f>
        <v>17659.419999999998</v>
      </c>
      <c r="M148" s="78">
        <f t="shared" si="4"/>
        <v>0</v>
      </c>
      <c r="N148" s="100">
        <f>15+4+2+1+2</f>
        <v>24</v>
      </c>
      <c r="O148" s="81">
        <f>30236.61+18366.75+8887.09+1077.68</f>
        <v>58568.13</v>
      </c>
      <c r="P148" s="81">
        <f>30236.61+18366.75+8887.09+1077.68</f>
        <v>58568.13</v>
      </c>
      <c r="Q148" s="188">
        <f t="shared" si="3"/>
        <v>0</v>
      </c>
      <c r="R148" s="141"/>
    </row>
    <row r="149" spans="1:18" s="13" customFormat="1" ht="15.75" hidden="1" x14ac:dyDescent="0.25">
      <c r="A149" s="10"/>
      <c r="B149" s="27" t="s">
        <v>86</v>
      </c>
      <c r="C149" s="181" t="s">
        <v>17</v>
      </c>
      <c r="D149" s="182"/>
      <c r="E149" s="194" t="s">
        <v>20</v>
      </c>
      <c r="F149" s="73" t="s">
        <v>465</v>
      </c>
      <c r="G149" s="184" t="s">
        <v>114</v>
      </c>
      <c r="H149" s="181">
        <v>2</v>
      </c>
      <c r="I149" s="185"/>
      <c r="J149" s="190"/>
      <c r="K149" s="77"/>
      <c r="L149" s="77"/>
      <c r="M149" s="78">
        <f t="shared" si="4"/>
        <v>0</v>
      </c>
      <c r="N149" s="100">
        <v>9</v>
      </c>
      <c r="O149" s="186">
        <v>15209.53</v>
      </c>
      <c r="P149" s="186">
        <v>15209.53</v>
      </c>
      <c r="Q149" s="188">
        <f t="shared" si="3"/>
        <v>0</v>
      </c>
    </row>
    <row r="150" spans="1:18" s="13" customFormat="1" ht="15.75" x14ac:dyDescent="0.25">
      <c r="A150" s="10"/>
      <c r="B150" s="62" t="s">
        <v>312</v>
      </c>
      <c r="C150" s="181" t="s">
        <v>17</v>
      </c>
      <c r="D150" s="182"/>
      <c r="E150" s="194" t="s">
        <v>20</v>
      </c>
      <c r="F150" s="73" t="s">
        <v>320</v>
      </c>
      <c r="G150" s="74" t="s">
        <v>112</v>
      </c>
      <c r="H150" s="75">
        <v>12</v>
      </c>
      <c r="I150" s="76">
        <v>3</v>
      </c>
      <c r="J150" s="96">
        <f>1+1+1</f>
        <v>3</v>
      </c>
      <c r="K150" s="77">
        <f>3319.49+845.24</f>
        <v>4164.7299999999996</v>
      </c>
      <c r="L150" s="77">
        <f>3319.49+845.24</f>
        <v>4164.7299999999996</v>
      </c>
      <c r="M150" s="78">
        <f t="shared" si="4"/>
        <v>0</v>
      </c>
      <c r="N150" s="100">
        <f>5+6+1</f>
        <v>12</v>
      </c>
      <c r="O150" s="81">
        <f>4226.2+6627.45</f>
        <v>10853.65</v>
      </c>
      <c r="P150" s="81">
        <f>4226.2+6627.45</f>
        <v>10853.65</v>
      </c>
      <c r="Q150" s="188"/>
      <c r="R150" s="141"/>
    </row>
    <row r="151" spans="1:18" s="13" customFormat="1" ht="15.75" x14ac:dyDescent="0.25">
      <c r="A151" s="10"/>
      <c r="B151" s="62" t="s">
        <v>494</v>
      </c>
      <c r="C151" s="181" t="s">
        <v>17</v>
      </c>
      <c r="D151" s="182"/>
      <c r="E151" s="194" t="s">
        <v>20</v>
      </c>
      <c r="F151" s="73" t="s">
        <v>497</v>
      </c>
      <c r="G151" s="74" t="s">
        <v>112</v>
      </c>
      <c r="H151" s="75">
        <v>8</v>
      </c>
      <c r="I151" s="76">
        <v>4</v>
      </c>
      <c r="J151" s="96">
        <f>1+1+1+1</f>
        <v>4</v>
      </c>
      <c r="K151" s="77">
        <f>3379+5494.06</f>
        <v>8873.0600000000013</v>
      </c>
      <c r="L151" s="77">
        <f>3379+5494.06</f>
        <v>8873.0600000000013</v>
      </c>
      <c r="M151" s="78">
        <f t="shared" si="4"/>
        <v>0</v>
      </c>
      <c r="N151" s="100"/>
      <c r="O151" s="81"/>
      <c r="P151" s="81"/>
      <c r="Q151" s="188"/>
      <c r="R151" s="141"/>
    </row>
    <row r="152" spans="1:18" s="13" customFormat="1" ht="15.75" hidden="1" x14ac:dyDescent="0.25">
      <c r="A152" s="10"/>
      <c r="B152" s="62" t="s">
        <v>494</v>
      </c>
      <c r="C152" s="181" t="s">
        <v>17</v>
      </c>
      <c r="D152" s="182"/>
      <c r="E152" s="194" t="s">
        <v>20</v>
      </c>
      <c r="F152" s="73" t="s">
        <v>507</v>
      </c>
      <c r="G152" s="74" t="s">
        <v>114</v>
      </c>
      <c r="H152" s="75">
        <v>21</v>
      </c>
      <c r="I152" s="76"/>
      <c r="J152" s="96"/>
      <c r="K152" s="77"/>
      <c r="L152" s="77"/>
      <c r="M152" s="187"/>
      <c r="N152" s="100"/>
      <c r="O152" s="81"/>
      <c r="P152" s="81"/>
      <c r="Q152" s="188">
        <f t="shared" ref="Q152:Q195" si="5">O152-P152</f>
        <v>0</v>
      </c>
      <c r="R152" s="141"/>
    </row>
    <row r="153" spans="1:18" s="13" customFormat="1" ht="15.75" x14ac:dyDescent="0.25">
      <c r="A153" s="10"/>
      <c r="B153" s="30" t="s">
        <v>88</v>
      </c>
      <c r="C153" s="181" t="s">
        <v>17</v>
      </c>
      <c r="D153" s="182"/>
      <c r="E153" s="183" t="s">
        <v>89</v>
      </c>
      <c r="F153" s="73" t="s">
        <v>397</v>
      </c>
      <c r="G153" s="74" t="s">
        <v>112</v>
      </c>
      <c r="H153" s="75">
        <v>5</v>
      </c>
      <c r="I153" s="76">
        <v>5</v>
      </c>
      <c r="J153" s="96">
        <f>1+3+1</f>
        <v>5</v>
      </c>
      <c r="K153" s="77">
        <f>4226.2+2394.91+6485.1+556.71</f>
        <v>13662.919999999998</v>
      </c>
      <c r="L153" s="77">
        <f>4226.2+2394.91+6485.1+556.71</f>
        <v>13662.919999999998</v>
      </c>
      <c r="M153" s="78">
        <f>K153-L153</f>
        <v>0</v>
      </c>
      <c r="N153" s="100">
        <f>4+1+3+1+2+2+1+1</f>
        <v>15</v>
      </c>
      <c r="O153" s="81">
        <f>11967.83+2831.55+10544.37+9418.99+3799.13+1798.04+2548.4-12193.52</f>
        <v>30714.789999999997</v>
      </c>
      <c r="P153" s="81">
        <f>11967.83+2831.55+10544.37+9418.99+3799.13+1798.04+2548.4-12193.52</f>
        <v>30714.789999999997</v>
      </c>
      <c r="Q153" s="79">
        <f t="shared" si="5"/>
        <v>0</v>
      </c>
      <c r="R153" s="141"/>
    </row>
    <row r="154" spans="1:18" s="13" customFormat="1" ht="15.75" hidden="1" x14ac:dyDescent="0.25">
      <c r="A154" s="10"/>
      <c r="B154" s="30" t="s">
        <v>88</v>
      </c>
      <c r="C154" s="181" t="s">
        <v>17</v>
      </c>
      <c r="D154" s="182"/>
      <c r="E154" s="183" t="s">
        <v>89</v>
      </c>
      <c r="F154" s="73" t="s">
        <v>442</v>
      </c>
      <c r="G154" s="184" t="s">
        <v>118</v>
      </c>
      <c r="H154" s="181">
        <v>1</v>
      </c>
      <c r="I154" s="185"/>
      <c r="J154" s="96"/>
      <c r="K154" s="77"/>
      <c r="L154" s="77"/>
      <c r="M154" s="187">
        <f t="shared" si="4"/>
        <v>0</v>
      </c>
      <c r="N154" s="100">
        <v>3</v>
      </c>
      <c r="O154" s="186">
        <v>11020.82</v>
      </c>
      <c r="P154" s="186">
        <v>11020.82</v>
      </c>
      <c r="Q154" s="188">
        <f t="shared" si="5"/>
        <v>0</v>
      </c>
    </row>
    <row r="155" spans="1:18" s="13" customFormat="1" ht="15.75" hidden="1" x14ac:dyDescent="0.25">
      <c r="A155" s="10"/>
      <c r="B155" s="30" t="s">
        <v>88</v>
      </c>
      <c r="C155" s="181" t="s">
        <v>17</v>
      </c>
      <c r="D155" s="182"/>
      <c r="E155" s="194" t="s">
        <v>505</v>
      </c>
      <c r="F155" s="73" t="s">
        <v>506</v>
      </c>
      <c r="G155" s="184" t="s">
        <v>114</v>
      </c>
      <c r="H155" s="181">
        <v>4</v>
      </c>
      <c r="I155" s="185"/>
      <c r="J155" s="96"/>
      <c r="K155" s="77"/>
      <c r="L155" s="77"/>
      <c r="M155" s="187"/>
      <c r="N155" s="100"/>
      <c r="O155" s="186"/>
      <c r="P155" s="186"/>
      <c r="Q155" s="188">
        <f t="shared" si="5"/>
        <v>0</v>
      </c>
    </row>
    <row r="156" spans="1:18" s="13" customFormat="1" ht="15.75" x14ac:dyDescent="0.25">
      <c r="A156" s="10"/>
      <c r="B156" s="30" t="s">
        <v>90</v>
      </c>
      <c r="C156" s="181" t="s">
        <v>17</v>
      </c>
      <c r="D156" s="182"/>
      <c r="E156" s="194" t="s">
        <v>20</v>
      </c>
      <c r="F156" s="73" t="s">
        <v>398</v>
      </c>
      <c r="G156" s="74" t="s">
        <v>112</v>
      </c>
      <c r="H156" s="75">
        <v>8</v>
      </c>
      <c r="I156" s="76">
        <v>3</v>
      </c>
      <c r="J156" s="96">
        <f>1+1+1</f>
        <v>3</v>
      </c>
      <c r="K156" s="77">
        <f>422.62+4662.44</f>
        <v>5085.0599999999995</v>
      </c>
      <c r="L156" s="77">
        <f>422.62+4662.44</f>
        <v>5085.0599999999995</v>
      </c>
      <c r="M156" s="78">
        <f>K156-L156</f>
        <v>0</v>
      </c>
      <c r="N156" s="100">
        <f>1+1+1+1</f>
        <v>4</v>
      </c>
      <c r="O156" s="81">
        <f>2122.67+787.61+15453.48</f>
        <v>18363.759999999998</v>
      </c>
      <c r="P156" s="81">
        <f>2122.67+787.61+15453.48</f>
        <v>18363.759999999998</v>
      </c>
      <c r="Q156" s="79">
        <f t="shared" si="5"/>
        <v>0</v>
      </c>
      <c r="R156" s="141"/>
    </row>
    <row r="157" spans="1:18" s="13" customFormat="1" ht="15.75" hidden="1" x14ac:dyDescent="0.25">
      <c r="A157" s="10"/>
      <c r="B157" s="30" t="s">
        <v>90</v>
      </c>
      <c r="C157" s="181" t="s">
        <v>17</v>
      </c>
      <c r="D157" s="182"/>
      <c r="E157" s="194" t="s">
        <v>20</v>
      </c>
      <c r="F157" s="73" t="s">
        <v>466</v>
      </c>
      <c r="G157" s="184" t="s">
        <v>114</v>
      </c>
      <c r="H157" s="181">
        <v>13</v>
      </c>
      <c r="I157" s="185">
        <v>3</v>
      </c>
      <c r="J157" s="190">
        <v>3</v>
      </c>
      <c r="K157" s="77">
        <v>3265.7</v>
      </c>
      <c r="L157" s="77">
        <v>3265.7</v>
      </c>
      <c r="M157" s="78">
        <f t="shared" si="4"/>
        <v>0</v>
      </c>
      <c r="N157" s="100">
        <v>23</v>
      </c>
      <c r="O157" s="186">
        <v>77320.7</v>
      </c>
      <c r="P157" s="186">
        <v>71672.960000000006</v>
      </c>
      <c r="Q157" s="188">
        <f t="shared" si="5"/>
        <v>5647.7399999999907</v>
      </c>
    </row>
    <row r="158" spans="1:18" s="13" customFormat="1" ht="15.75" x14ac:dyDescent="0.25">
      <c r="A158" s="10"/>
      <c r="B158" s="30" t="s">
        <v>91</v>
      </c>
      <c r="C158" s="181" t="s">
        <v>17</v>
      </c>
      <c r="D158" s="182"/>
      <c r="E158" s="194" t="s">
        <v>20</v>
      </c>
      <c r="F158" s="73" t="s">
        <v>399</v>
      </c>
      <c r="G158" s="74" t="s">
        <v>112</v>
      </c>
      <c r="H158" s="75"/>
      <c r="I158" s="76"/>
      <c r="J158" s="96"/>
      <c r="K158" s="77"/>
      <c r="L158" s="77"/>
      <c r="M158" s="78">
        <f>K158-L158</f>
        <v>0</v>
      </c>
      <c r="N158" s="100"/>
      <c r="O158" s="81"/>
      <c r="P158" s="81"/>
      <c r="Q158" s="79">
        <f t="shared" si="5"/>
        <v>0</v>
      </c>
      <c r="R158" s="141"/>
    </row>
    <row r="159" spans="1:18" s="13" customFormat="1" ht="15.75" hidden="1" x14ac:dyDescent="0.25">
      <c r="A159" s="10"/>
      <c r="B159" s="62" t="s">
        <v>138</v>
      </c>
      <c r="C159" s="181" t="s">
        <v>17</v>
      </c>
      <c r="D159" s="182"/>
      <c r="E159" s="194" t="s">
        <v>20</v>
      </c>
      <c r="F159" s="73" t="s">
        <v>467</v>
      </c>
      <c r="G159" s="184" t="s">
        <v>114</v>
      </c>
      <c r="H159" s="181">
        <v>6</v>
      </c>
      <c r="I159" s="185">
        <v>1</v>
      </c>
      <c r="J159" s="190">
        <v>1</v>
      </c>
      <c r="K159" s="193"/>
      <c r="L159" s="193"/>
      <c r="M159" s="78">
        <f t="shared" si="4"/>
        <v>0</v>
      </c>
      <c r="N159" s="114">
        <v>6</v>
      </c>
      <c r="O159" s="186">
        <v>12214.4</v>
      </c>
      <c r="P159" s="186">
        <v>6259.3</v>
      </c>
      <c r="Q159" s="188">
        <f t="shared" si="5"/>
        <v>5955.0999999999995</v>
      </c>
    </row>
    <row r="160" spans="1:18" s="13" customFormat="1" ht="15.75" x14ac:dyDescent="0.25">
      <c r="A160" s="10"/>
      <c r="B160" s="62" t="s">
        <v>138</v>
      </c>
      <c r="C160" s="181" t="s">
        <v>17</v>
      </c>
      <c r="D160" s="182"/>
      <c r="E160" s="194" t="s">
        <v>20</v>
      </c>
      <c r="F160" s="73" t="s">
        <v>400</v>
      </c>
      <c r="G160" s="74" t="s">
        <v>112</v>
      </c>
      <c r="H160" s="75">
        <v>9</v>
      </c>
      <c r="I160" s="82">
        <v>3</v>
      </c>
      <c r="J160" s="96">
        <f>3+1</f>
        <v>4</v>
      </c>
      <c r="K160" s="77">
        <f>2224.52</f>
        <v>2224.52</v>
      </c>
      <c r="L160" s="77">
        <f>2224.52</f>
        <v>2224.52</v>
      </c>
      <c r="M160" s="78">
        <f t="shared" si="4"/>
        <v>0</v>
      </c>
      <c r="N160" s="100">
        <f>5+4</f>
        <v>9</v>
      </c>
      <c r="O160" s="81">
        <f>8995.87+8641.99</f>
        <v>17637.86</v>
      </c>
      <c r="P160" s="81">
        <f>8995.87+8641.99</f>
        <v>17637.86</v>
      </c>
      <c r="Q160" s="79">
        <f t="shared" si="5"/>
        <v>0</v>
      </c>
      <c r="R160" s="141"/>
    </row>
    <row r="161" spans="1:18" s="13" customFormat="1" ht="15.75" x14ac:dyDescent="0.25">
      <c r="A161" s="10"/>
      <c r="B161" s="62" t="s">
        <v>157</v>
      </c>
      <c r="C161" s="181" t="s">
        <v>17</v>
      </c>
      <c r="D161" s="182"/>
      <c r="E161" s="194" t="s">
        <v>20</v>
      </c>
      <c r="F161" s="73" t="s">
        <v>401</v>
      </c>
      <c r="G161" s="74" t="s">
        <v>112</v>
      </c>
      <c r="H161" s="75">
        <v>10</v>
      </c>
      <c r="I161" s="82"/>
      <c r="J161" s="96"/>
      <c r="K161" s="77"/>
      <c r="L161" s="77"/>
      <c r="M161" s="78">
        <f t="shared" ref="M161:M193" si="6">K161-L161</f>
        <v>0</v>
      </c>
      <c r="N161" s="100"/>
      <c r="O161" s="81"/>
      <c r="P161" s="81"/>
      <c r="Q161" s="188">
        <f t="shared" si="5"/>
        <v>0</v>
      </c>
      <c r="R161" s="141"/>
    </row>
    <row r="162" spans="1:18" s="13" customFormat="1" ht="15.75" hidden="1" x14ac:dyDescent="0.25">
      <c r="A162" s="10"/>
      <c r="B162" s="62" t="s">
        <v>157</v>
      </c>
      <c r="C162" s="181" t="s">
        <v>17</v>
      </c>
      <c r="D162" s="182"/>
      <c r="E162" s="194" t="s">
        <v>20</v>
      </c>
      <c r="F162" s="73"/>
      <c r="G162" s="184" t="s">
        <v>114</v>
      </c>
      <c r="H162" s="181"/>
      <c r="I162" s="185"/>
      <c r="J162" s="190"/>
      <c r="K162" s="193"/>
      <c r="L162" s="193"/>
      <c r="M162" s="187">
        <f t="shared" si="6"/>
        <v>0</v>
      </c>
      <c r="N162" s="114"/>
      <c r="O162" s="186"/>
      <c r="P162" s="186"/>
      <c r="Q162" s="188">
        <f t="shared" si="5"/>
        <v>0</v>
      </c>
    </row>
    <row r="163" spans="1:18" s="15" customFormat="1" ht="15.75" x14ac:dyDescent="0.25">
      <c r="A163" s="14"/>
      <c r="B163" s="80" t="s">
        <v>92</v>
      </c>
      <c r="C163" s="181" t="s">
        <v>17</v>
      </c>
      <c r="D163" s="182"/>
      <c r="E163" s="194" t="s">
        <v>20</v>
      </c>
      <c r="F163" s="73" t="s">
        <v>402</v>
      </c>
      <c r="G163" s="74" t="s">
        <v>112</v>
      </c>
      <c r="H163" s="75">
        <v>7</v>
      </c>
      <c r="I163" s="76">
        <v>3</v>
      </c>
      <c r="J163" s="96">
        <f>1+2</f>
        <v>3</v>
      </c>
      <c r="K163" s="77">
        <f>1951.74+1335.1</f>
        <v>3286.84</v>
      </c>
      <c r="L163" s="77">
        <f>1951.74+1335.1</f>
        <v>3286.84</v>
      </c>
      <c r="M163" s="78">
        <f>K163-L163</f>
        <v>0</v>
      </c>
      <c r="N163" s="100">
        <f>4+1+1</f>
        <v>6</v>
      </c>
      <c r="O163" s="81">
        <f>12624.74+2697.06+1225.93</f>
        <v>16547.73</v>
      </c>
      <c r="P163" s="81">
        <f>12624.74+2697.06+1225.93</f>
        <v>16547.73</v>
      </c>
      <c r="Q163" s="188">
        <f t="shared" si="5"/>
        <v>0</v>
      </c>
      <c r="R163" s="141"/>
    </row>
    <row r="164" spans="1:18" s="15" customFormat="1" ht="15.75" hidden="1" x14ac:dyDescent="0.25">
      <c r="A164" s="14"/>
      <c r="B164" s="80" t="s">
        <v>92</v>
      </c>
      <c r="C164" s="181" t="s">
        <v>17</v>
      </c>
      <c r="D164" s="182"/>
      <c r="E164" s="194" t="s">
        <v>20</v>
      </c>
      <c r="F164" s="73" t="s">
        <v>129</v>
      </c>
      <c r="G164" s="184" t="s">
        <v>114</v>
      </c>
      <c r="H164" s="181"/>
      <c r="I164" s="185"/>
      <c r="J164" s="190"/>
      <c r="K164" s="77"/>
      <c r="L164" s="77"/>
      <c r="M164" s="187">
        <f t="shared" si="6"/>
        <v>0</v>
      </c>
      <c r="N164" s="114"/>
      <c r="O164" s="186"/>
      <c r="P164" s="186"/>
      <c r="Q164" s="188">
        <f t="shared" si="5"/>
        <v>0</v>
      </c>
    </row>
    <row r="165" spans="1:18" s="13" customFormat="1" ht="15.75" x14ac:dyDescent="0.25">
      <c r="A165" s="10"/>
      <c r="B165" s="30" t="s">
        <v>93</v>
      </c>
      <c r="C165" s="181" t="s">
        <v>17</v>
      </c>
      <c r="D165" s="182"/>
      <c r="E165" s="183" t="s">
        <v>94</v>
      </c>
      <c r="F165" s="73" t="s">
        <v>403</v>
      </c>
      <c r="G165" s="74" t="s">
        <v>112</v>
      </c>
      <c r="H165" s="75">
        <v>7</v>
      </c>
      <c r="I165" s="76">
        <v>2</v>
      </c>
      <c r="J165" s="96">
        <f>2</f>
        <v>2</v>
      </c>
      <c r="K165" s="77">
        <f>2336.84</f>
        <v>2336.84</v>
      </c>
      <c r="L165" s="77">
        <f>2336.84</f>
        <v>2336.84</v>
      </c>
      <c r="M165" s="78">
        <f>K165-L165</f>
        <v>0</v>
      </c>
      <c r="N165" s="100">
        <f>3+8</f>
        <v>11</v>
      </c>
      <c r="O165" s="81">
        <f>20117.75</f>
        <v>20117.75</v>
      </c>
      <c r="P165" s="81">
        <f>20117.75</f>
        <v>20117.75</v>
      </c>
      <c r="Q165" s="188">
        <f t="shared" si="5"/>
        <v>0</v>
      </c>
      <c r="R165" s="141"/>
    </row>
    <row r="166" spans="1:18" s="13" customFormat="1" ht="15.75" hidden="1" x14ac:dyDescent="0.25">
      <c r="A166" s="10"/>
      <c r="B166" s="30" t="s">
        <v>93</v>
      </c>
      <c r="C166" s="181" t="s">
        <v>17</v>
      </c>
      <c r="D166" s="182"/>
      <c r="E166" s="183" t="s">
        <v>94</v>
      </c>
      <c r="F166" s="73" t="s">
        <v>130</v>
      </c>
      <c r="G166" s="184" t="s">
        <v>114</v>
      </c>
      <c r="H166" s="181"/>
      <c r="I166" s="185"/>
      <c r="J166" s="190"/>
      <c r="K166" s="77"/>
      <c r="L166" s="77"/>
      <c r="M166" s="187">
        <f t="shared" si="6"/>
        <v>0</v>
      </c>
      <c r="N166" s="100"/>
      <c r="O166" s="186"/>
      <c r="P166" s="186"/>
      <c r="Q166" s="188">
        <f t="shared" si="5"/>
        <v>0</v>
      </c>
    </row>
    <row r="167" spans="1:18" s="13" customFormat="1" ht="15.75" hidden="1" x14ac:dyDescent="0.25">
      <c r="A167" s="10"/>
      <c r="B167" s="30" t="s">
        <v>93</v>
      </c>
      <c r="C167" s="181" t="s">
        <v>17</v>
      </c>
      <c r="D167" s="182"/>
      <c r="E167" s="183" t="s">
        <v>94</v>
      </c>
      <c r="F167" s="73" t="s">
        <v>240</v>
      </c>
      <c r="G167" s="184" t="s">
        <v>118</v>
      </c>
      <c r="H167" s="181"/>
      <c r="I167" s="185"/>
      <c r="J167" s="96"/>
      <c r="K167" s="77"/>
      <c r="L167" s="77"/>
      <c r="M167" s="78">
        <f t="shared" si="6"/>
        <v>0</v>
      </c>
      <c r="N167" s="100"/>
      <c r="O167" s="186"/>
      <c r="P167" s="186"/>
      <c r="Q167" s="188">
        <f t="shared" si="5"/>
        <v>0</v>
      </c>
    </row>
    <row r="168" spans="1:18" s="13" customFormat="1" ht="15.75" x14ac:dyDescent="0.25">
      <c r="A168" s="10"/>
      <c r="B168" s="30" t="s">
        <v>95</v>
      </c>
      <c r="C168" s="181" t="s">
        <v>17</v>
      </c>
      <c r="D168" s="182"/>
      <c r="E168" s="194" t="s">
        <v>20</v>
      </c>
      <c r="F168" s="73" t="s">
        <v>404</v>
      </c>
      <c r="G168" s="74" t="s">
        <v>112</v>
      </c>
      <c r="H168" s="75">
        <v>14</v>
      </c>
      <c r="I168" s="76">
        <v>6</v>
      </c>
      <c r="J168" s="96">
        <f>1+4+4</f>
        <v>9</v>
      </c>
      <c r="K168" s="77">
        <f>1061.35+5770.05</f>
        <v>6831.4</v>
      </c>
      <c r="L168" s="77">
        <f>1061.35+5770.05</f>
        <v>6831.4</v>
      </c>
      <c r="M168" s="78">
        <f>K168-L168</f>
        <v>0</v>
      </c>
      <c r="N168" s="100">
        <f>1+6+1+4</f>
        <v>12</v>
      </c>
      <c r="O168" s="81">
        <f>11603.82+7559.28+6777.29</f>
        <v>25940.39</v>
      </c>
      <c r="P168" s="81">
        <f>11603.82+7559.28+6777.29</f>
        <v>25940.39</v>
      </c>
      <c r="Q168" s="79">
        <f t="shared" si="5"/>
        <v>0</v>
      </c>
      <c r="R168" s="141"/>
    </row>
    <row r="169" spans="1:18" s="13" customFormat="1" ht="15.75" hidden="1" x14ac:dyDescent="0.25">
      <c r="A169" s="10"/>
      <c r="B169" s="30" t="s">
        <v>95</v>
      </c>
      <c r="C169" s="181" t="s">
        <v>17</v>
      </c>
      <c r="D169" s="182"/>
      <c r="E169" s="194" t="s">
        <v>20</v>
      </c>
      <c r="F169" s="73" t="s">
        <v>291</v>
      </c>
      <c r="G169" s="184" t="s">
        <v>114</v>
      </c>
      <c r="H169" s="181">
        <v>7</v>
      </c>
      <c r="I169" s="185">
        <v>1</v>
      </c>
      <c r="J169" s="190">
        <v>1</v>
      </c>
      <c r="K169" s="77"/>
      <c r="L169" s="77"/>
      <c r="M169" s="78">
        <f t="shared" si="6"/>
        <v>0</v>
      </c>
      <c r="N169" s="100">
        <v>11</v>
      </c>
      <c r="O169" s="186">
        <v>27182.15</v>
      </c>
      <c r="P169" s="186">
        <v>27182.15</v>
      </c>
      <c r="Q169" s="188">
        <f t="shared" si="5"/>
        <v>0</v>
      </c>
    </row>
    <row r="170" spans="1:18" s="13" customFormat="1" ht="15.75" x14ac:dyDescent="0.25">
      <c r="A170" s="10"/>
      <c r="B170" s="30" t="s">
        <v>96</v>
      </c>
      <c r="C170" s="181" t="s">
        <v>17</v>
      </c>
      <c r="D170" s="182"/>
      <c r="E170" s="194" t="s">
        <v>97</v>
      </c>
      <c r="F170" s="73" t="s">
        <v>405</v>
      </c>
      <c r="G170" s="74" t="s">
        <v>112</v>
      </c>
      <c r="H170" s="75">
        <v>1</v>
      </c>
      <c r="I170" s="76">
        <v>1</v>
      </c>
      <c r="J170" s="96">
        <f>2</f>
        <v>2</v>
      </c>
      <c r="K170" s="77"/>
      <c r="L170" s="77"/>
      <c r="M170" s="78">
        <f>K170-L170</f>
        <v>0</v>
      </c>
      <c r="N170" s="103">
        <f>1+2+1</f>
        <v>4</v>
      </c>
      <c r="O170" s="77">
        <f>1742.31+9358.48</f>
        <v>11100.789999999999</v>
      </c>
      <c r="P170" s="77">
        <f>1742.31+9358.48</f>
        <v>11100.789999999999</v>
      </c>
      <c r="Q170" s="79">
        <f t="shared" si="5"/>
        <v>0</v>
      </c>
      <c r="R170" s="141"/>
    </row>
    <row r="171" spans="1:18" s="13" customFormat="1" ht="15.75" hidden="1" x14ac:dyDescent="0.25">
      <c r="A171" s="10"/>
      <c r="B171" s="30" t="s">
        <v>96</v>
      </c>
      <c r="C171" s="181" t="s">
        <v>17</v>
      </c>
      <c r="D171" s="182"/>
      <c r="E171" s="194" t="s">
        <v>97</v>
      </c>
      <c r="F171" s="73" t="s">
        <v>468</v>
      </c>
      <c r="G171" s="184" t="s">
        <v>114</v>
      </c>
      <c r="H171" s="181">
        <v>1</v>
      </c>
      <c r="I171" s="185"/>
      <c r="J171" s="190"/>
      <c r="K171" s="77"/>
      <c r="L171" s="77"/>
      <c r="M171" s="78">
        <f t="shared" si="6"/>
        <v>0</v>
      </c>
      <c r="N171" s="100">
        <v>3</v>
      </c>
      <c r="O171" s="186">
        <v>3682</v>
      </c>
      <c r="P171" s="186"/>
      <c r="Q171" s="188">
        <f t="shared" si="5"/>
        <v>3682</v>
      </c>
    </row>
    <row r="172" spans="1:18" s="13" customFormat="1" ht="15.75" x14ac:dyDescent="0.25">
      <c r="A172" s="10"/>
      <c r="B172" s="30" t="s">
        <v>98</v>
      </c>
      <c r="C172" s="181" t="s">
        <v>17</v>
      </c>
      <c r="D172" s="182"/>
      <c r="E172" s="194" t="s">
        <v>35</v>
      </c>
      <c r="F172" s="73" t="s">
        <v>406</v>
      </c>
      <c r="G172" s="74" t="s">
        <v>112</v>
      </c>
      <c r="H172" s="75">
        <v>25</v>
      </c>
      <c r="I172" s="76">
        <v>16</v>
      </c>
      <c r="J172" s="96">
        <f>1+2+1+1+4</f>
        <v>9</v>
      </c>
      <c r="K172" s="77">
        <f>845.24+1764.25+8353.03+1298.98+7610.68</f>
        <v>19872.18</v>
      </c>
      <c r="L172" s="77">
        <f>845.24+1764.25+8353.03+1298.98+7610.68</f>
        <v>19872.18</v>
      </c>
      <c r="M172" s="78">
        <f>K172-L172</f>
        <v>0</v>
      </c>
      <c r="N172" s="100">
        <f>9+1+1+4+2+1+2+4</f>
        <v>24</v>
      </c>
      <c r="O172" s="81">
        <f>73585.55</f>
        <v>73585.55</v>
      </c>
      <c r="P172" s="81">
        <f>73585.55</f>
        <v>73585.55</v>
      </c>
      <c r="Q172" s="79">
        <f t="shared" si="5"/>
        <v>0</v>
      </c>
      <c r="R172" s="141"/>
    </row>
    <row r="173" spans="1:18" s="13" customFormat="1" ht="15.75" hidden="1" x14ac:dyDescent="0.25">
      <c r="A173" s="10"/>
      <c r="B173" s="30" t="s">
        <v>98</v>
      </c>
      <c r="C173" s="181" t="s">
        <v>17</v>
      </c>
      <c r="D173" s="182"/>
      <c r="E173" s="194" t="s">
        <v>35</v>
      </c>
      <c r="F173" s="73" t="s">
        <v>435</v>
      </c>
      <c r="G173" s="195" t="s">
        <v>117</v>
      </c>
      <c r="H173" s="181">
        <v>2</v>
      </c>
      <c r="I173" s="185">
        <v>1</v>
      </c>
      <c r="J173" s="96">
        <v>1</v>
      </c>
      <c r="K173" s="77">
        <v>1162.21</v>
      </c>
      <c r="L173" s="77">
        <v>1162.21</v>
      </c>
      <c r="M173" s="78">
        <f t="shared" si="6"/>
        <v>0</v>
      </c>
      <c r="N173" s="100">
        <f>4</f>
        <v>4</v>
      </c>
      <c r="O173" s="77">
        <v>10721.75</v>
      </c>
      <c r="P173" s="77">
        <v>10721.75</v>
      </c>
      <c r="Q173" s="188">
        <f t="shared" si="5"/>
        <v>0</v>
      </c>
    </row>
    <row r="174" spans="1:18" s="13" customFormat="1" ht="15.75" x14ac:dyDescent="0.25">
      <c r="A174" s="10"/>
      <c r="B174" s="30" t="s">
        <v>488</v>
      </c>
      <c r="C174" s="181" t="s">
        <v>17</v>
      </c>
      <c r="D174" s="182"/>
      <c r="E174" s="194" t="s">
        <v>97</v>
      </c>
      <c r="F174" s="73" t="s">
        <v>498</v>
      </c>
      <c r="G174" s="195" t="s">
        <v>112</v>
      </c>
      <c r="H174" s="181">
        <v>6</v>
      </c>
      <c r="I174" s="185">
        <v>4</v>
      </c>
      <c r="J174" s="96">
        <f>4</f>
        <v>4</v>
      </c>
      <c r="K174" s="77">
        <v>1535.8</v>
      </c>
      <c r="L174" s="77">
        <v>1535.8</v>
      </c>
      <c r="M174" s="78">
        <f t="shared" si="6"/>
        <v>0</v>
      </c>
      <c r="N174" s="100"/>
      <c r="O174" s="77"/>
      <c r="P174" s="77"/>
      <c r="Q174" s="188"/>
    </row>
    <row r="175" spans="1:18" s="15" customFormat="1" ht="15.75" x14ac:dyDescent="0.25">
      <c r="A175" s="14"/>
      <c r="B175" s="84" t="s">
        <v>99</v>
      </c>
      <c r="C175" s="181" t="s">
        <v>17</v>
      </c>
      <c r="D175" s="182"/>
      <c r="E175" s="183" t="s">
        <v>32</v>
      </c>
      <c r="F175" s="73" t="s">
        <v>418</v>
      </c>
      <c r="G175" s="74" t="s">
        <v>112</v>
      </c>
      <c r="H175" s="75"/>
      <c r="I175" s="76"/>
      <c r="J175" s="96"/>
      <c r="K175" s="77"/>
      <c r="L175" s="77"/>
      <c r="M175" s="78">
        <f t="shared" si="6"/>
        <v>0</v>
      </c>
      <c r="N175" s="100"/>
      <c r="O175" s="81"/>
      <c r="P175" s="81"/>
      <c r="Q175" s="79">
        <f t="shared" si="5"/>
        <v>0</v>
      </c>
      <c r="R175" s="141"/>
    </row>
    <row r="176" spans="1:18" s="15" customFormat="1" ht="15.75" hidden="1" x14ac:dyDescent="0.25">
      <c r="A176" s="14"/>
      <c r="B176" s="84" t="s">
        <v>99</v>
      </c>
      <c r="C176" s="181" t="s">
        <v>17</v>
      </c>
      <c r="D176" s="182"/>
      <c r="E176" s="183" t="s">
        <v>32</v>
      </c>
      <c r="F176" s="73" t="s">
        <v>423</v>
      </c>
      <c r="G176" s="195" t="s">
        <v>117</v>
      </c>
      <c r="H176" s="181"/>
      <c r="I176" s="185"/>
      <c r="J176" s="190"/>
      <c r="K176" s="77"/>
      <c r="L176" s="77"/>
      <c r="M176" s="78">
        <f t="shared" si="6"/>
        <v>0</v>
      </c>
      <c r="N176" s="114"/>
      <c r="O176" s="77"/>
      <c r="P176" s="77"/>
      <c r="Q176" s="188">
        <f t="shared" si="5"/>
        <v>0</v>
      </c>
    </row>
    <row r="177" spans="1:18" s="15" customFormat="1" ht="30" x14ac:dyDescent="0.25">
      <c r="A177" s="14"/>
      <c r="B177" s="30" t="s">
        <v>144</v>
      </c>
      <c r="C177" s="181" t="s">
        <v>304</v>
      </c>
      <c r="D177" s="182" t="s">
        <v>313</v>
      </c>
      <c r="E177" s="194" t="s">
        <v>97</v>
      </c>
      <c r="F177" s="73" t="s">
        <v>407</v>
      </c>
      <c r="G177" s="66" t="s">
        <v>112</v>
      </c>
      <c r="H177" s="75">
        <v>13</v>
      </c>
      <c r="I177" s="76">
        <v>12</v>
      </c>
      <c r="J177" s="98">
        <f>2+2+1+3+1+1+5</f>
        <v>15</v>
      </c>
      <c r="K177" s="77">
        <f>950.9+1449.39+2272.32+2785.92</f>
        <v>7458.5300000000007</v>
      </c>
      <c r="L177" s="77">
        <f>950.9+1449.39+2272.32+2785.92</f>
        <v>7458.5300000000007</v>
      </c>
      <c r="M177" s="78">
        <f>K177-L177</f>
        <v>0</v>
      </c>
      <c r="N177" s="100">
        <f>3+2+1+1+1</f>
        <v>8</v>
      </c>
      <c r="O177" s="77">
        <f>5020.57+5566.06+2694.94+845.24</f>
        <v>14126.810000000001</v>
      </c>
      <c r="P177" s="77">
        <f>5020.57+5566.06+2694.94+845.24</f>
        <v>14126.810000000001</v>
      </c>
      <c r="Q177" s="79">
        <f t="shared" si="5"/>
        <v>0</v>
      </c>
      <c r="R177" s="141"/>
    </row>
    <row r="178" spans="1:18" s="15" customFormat="1" ht="15.75" hidden="1" x14ac:dyDescent="0.25">
      <c r="A178" s="14"/>
      <c r="B178" s="30" t="s">
        <v>488</v>
      </c>
      <c r="C178" s="181"/>
      <c r="D178" s="182"/>
      <c r="E178" s="194"/>
      <c r="F178" s="73"/>
      <c r="G178" s="66" t="s">
        <v>114</v>
      </c>
      <c r="H178" s="75">
        <v>16</v>
      </c>
      <c r="I178" s="76">
        <v>6</v>
      </c>
      <c r="J178" s="98">
        <v>6</v>
      </c>
      <c r="K178" s="77"/>
      <c r="L178" s="77"/>
      <c r="M178" s="187"/>
      <c r="N178" s="100"/>
      <c r="O178" s="77"/>
      <c r="P178" s="77"/>
      <c r="Q178" s="188">
        <f t="shared" si="5"/>
        <v>0</v>
      </c>
    </row>
    <row r="179" spans="1:18" s="15" customFormat="1" ht="15.75" hidden="1" x14ac:dyDescent="0.25">
      <c r="A179" s="14"/>
      <c r="B179" s="30" t="s">
        <v>488</v>
      </c>
      <c r="C179" s="181"/>
      <c r="D179" s="182"/>
      <c r="E179" s="194"/>
      <c r="F179" s="73"/>
      <c r="G179" s="66" t="s">
        <v>113</v>
      </c>
      <c r="H179" s="75">
        <v>11</v>
      </c>
      <c r="I179" s="76">
        <v>5</v>
      </c>
      <c r="J179" s="98">
        <v>5</v>
      </c>
      <c r="K179" s="77">
        <v>7271</v>
      </c>
      <c r="L179" s="77">
        <v>6109</v>
      </c>
      <c r="M179" s="78">
        <f t="shared" ref="M179" si="7">K179-L179</f>
        <v>1162</v>
      </c>
      <c r="N179" s="100"/>
      <c r="O179" s="77"/>
      <c r="P179" s="77"/>
      <c r="Q179" s="79"/>
    </row>
    <row r="180" spans="1:18" s="15" customFormat="1" ht="30" hidden="1" x14ac:dyDescent="0.25">
      <c r="A180" s="14"/>
      <c r="B180" s="201" t="s">
        <v>144</v>
      </c>
      <c r="C180" s="181" t="s">
        <v>446</v>
      </c>
      <c r="D180" s="182" t="s">
        <v>313</v>
      </c>
      <c r="E180" s="183" t="s">
        <v>20</v>
      </c>
      <c r="F180" s="73" t="s">
        <v>485</v>
      </c>
      <c r="G180" s="195" t="s">
        <v>114</v>
      </c>
      <c r="H180" s="181">
        <v>21</v>
      </c>
      <c r="I180" s="192">
        <v>5</v>
      </c>
      <c r="J180" s="202">
        <v>5</v>
      </c>
      <c r="K180" s="77">
        <v>1921</v>
      </c>
      <c r="L180" s="77">
        <v>1921</v>
      </c>
      <c r="M180" s="78">
        <f t="shared" si="6"/>
        <v>0</v>
      </c>
      <c r="N180" s="101">
        <v>19</v>
      </c>
      <c r="O180" s="186">
        <v>36779.199999999997</v>
      </c>
      <c r="P180" s="186">
        <v>34281.9</v>
      </c>
      <c r="Q180" s="188">
        <f t="shared" ref="Q180" si="8">O180-P180</f>
        <v>2497.2999999999956</v>
      </c>
    </row>
    <row r="181" spans="1:18" s="21" customFormat="1" ht="45" x14ac:dyDescent="0.25">
      <c r="A181" s="1"/>
      <c r="B181" s="30" t="s">
        <v>100</v>
      </c>
      <c r="C181" s="181" t="s">
        <v>304</v>
      </c>
      <c r="D181" s="182" t="s">
        <v>416</v>
      </c>
      <c r="E181" s="194" t="s">
        <v>20</v>
      </c>
      <c r="F181" s="73" t="s">
        <v>408</v>
      </c>
      <c r="G181" s="27" t="s">
        <v>112</v>
      </c>
      <c r="H181" s="75">
        <v>12</v>
      </c>
      <c r="I181" s="76">
        <v>6</v>
      </c>
      <c r="J181" s="98">
        <f>5+1</f>
        <v>6</v>
      </c>
      <c r="K181" s="86">
        <f>6524.55+600.31</f>
        <v>7124.8600000000006</v>
      </c>
      <c r="L181" s="86">
        <f>6524.55+600.31</f>
        <v>7124.8600000000006</v>
      </c>
      <c r="M181" s="78">
        <f>K181-L181</f>
        <v>0</v>
      </c>
      <c r="N181" s="100">
        <f>1+3</f>
        <v>4</v>
      </c>
      <c r="O181" s="87">
        <f>10770.58+2113.01</f>
        <v>12883.59</v>
      </c>
      <c r="P181" s="87">
        <f>10770.58+2113.01</f>
        <v>12883.59</v>
      </c>
      <c r="Q181" s="79">
        <f t="shared" si="5"/>
        <v>0</v>
      </c>
      <c r="R181" s="141"/>
    </row>
    <row r="182" spans="1:18" s="21" customFormat="1" ht="60" hidden="1" x14ac:dyDescent="0.25">
      <c r="A182" s="1"/>
      <c r="B182" s="30" t="s">
        <v>100</v>
      </c>
      <c r="C182" s="203" t="s">
        <v>125</v>
      </c>
      <c r="D182" s="182" t="s">
        <v>126</v>
      </c>
      <c r="E182" s="194" t="s">
        <v>20</v>
      </c>
      <c r="F182" s="73" t="s">
        <v>486</v>
      </c>
      <c r="G182" s="200" t="s">
        <v>114</v>
      </c>
      <c r="H182" s="181">
        <v>8</v>
      </c>
      <c r="I182" s="192"/>
      <c r="J182" s="202"/>
      <c r="K182" s="86"/>
      <c r="L182" s="86"/>
      <c r="M182" s="78">
        <f t="shared" si="6"/>
        <v>0</v>
      </c>
      <c r="N182" s="100"/>
      <c r="O182" s="204"/>
      <c r="P182" s="204"/>
      <c r="Q182" s="188">
        <f t="shared" si="5"/>
        <v>0</v>
      </c>
    </row>
    <row r="183" spans="1:18" s="13" customFormat="1" ht="15.75" x14ac:dyDescent="0.25">
      <c r="A183" s="10"/>
      <c r="B183" s="62" t="s">
        <v>101</v>
      </c>
      <c r="C183" s="181" t="s">
        <v>17</v>
      </c>
      <c r="D183" s="182"/>
      <c r="E183" s="194" t="s">
        <v>20</v>
      </c>
      <c r="F183" s="73" t="s">
        <v>409</v>
      </c>
      <c r="G183" s="74" t="s">
        <v>112</v>
      </c>
      <c r="H183" s="75">
        <v>10</v>
      </c>
      <c r="I183" s="76">
        <v>5</v>
      </c>
      <c r="J183" s="96">
        <f>1+5+1+1</f>
        <v>8</v>
      </c>
      <c r="K183" s="77">
        <f>1045.98+3354.45+1225.93</f>
        <v>5626.3600000000006</v>
      </c>
      <c r="L183" s="77">
        <f>1045.98+3354.45+1225.93</f>
        <v>5626.3600000000006</v>
      </c>
      <c r="M183" s="78">
        <f t="shared" si="6"/>
        <v>0</v>
      </c>
      <c r="N183" s="100">
        <f>5+2+1+1</f>
        <v>9</v>
      </c>
      <c r="O183" s="81">
        <f>6288.07+3061.62+3426.18</f>
        <v>12775.869999999999</v>
      </c>
      <c r="P183" s="81">
        <f>6288.07+3061.62+3426.18</f>
        <v>12775.869999999999</v>
      </c>
      <c r="Q183" s="79">
        <f t="shared" si="5"/>
        <v>0</v>
      </c>
      <c r="R183" s="141"/>
    </row>
    <row r="184" spans="1:18" s="13" customFormat="1" ht="15.75" x14ac:dyDescent="0.25">
      <c r="A184" s="10"/>
      <c r="B184" s="62" t="s">
        <v>146</v>
      </c>
      <c r="C184" s="181" t="s">
        <v>17</v>
      </c>
      <c r="D184" s="182"/>
      <c r="E184" s="194" t="s">
        <v>20</v>
      </c>
      <c r="F184" s="73" t="s">
        <v>410</v>
      </c>
      <c r="G184" s="74" t="s">
        <v>112</v>
      </c>
      <c r="H184" s="75">
        <v>9</v>
      </c>
      <c r="I184" s="76">
        <v>7</v>
      </c>
      <c r="J184" s="96">
        <f>4+1+1</f>
        <v>6</v>
      </c>
      <c r="K184" s="77">
        <f>4610.77+1568.98</f>
        <v>6179.75</v>
      </c>
      <c r="L184" s="77">
        <f>4610.77+1568.98</f>
        <v>6179.75</v>
      </c>
      <c r="M184" s="78">
        <f t="shared" si="6"/>
        <v>0</v>
      </c>
      <c r="N184" s="100">
        <f>5+1+1+2</f>
        <v>9</v>
      </c>
      <c r="O184" s="81">
        <f>13579.06+1287.07+2636.18+26196.83</f>
        <v>43699.14</v>
      </c>
      <c r="P184" s="81">
        <f>13579.06+1287.07+2636.18+26196.83</f>
        <v>43699.14</v>
      </c>
      <c r="Q184" s="188">
        <f t="shared" si="5"/>
        <v>0</v>
      </c>
      <c r="R184" s="141"/>
    </row>
    <row r="185" spans="1:18" s="13" customFormat="1" ht="15.75" hidden="1" x14ac:dyDescent="0.25">
      <c r="A185" s="10"/>
      <c r="B185" s="62" t="s">
        <v>146</v>
      </c>
      <c r="C185" s="181" t="s">
        <v>17</v>
      </c>
      <c r="D185" s="182"/>
      <c r="E185" s="183" t="s">
        <v>21</v>
      </c>
      <c r="F185" s="73" t="s">
        <v>443</v>
      </c>
      <c r="G185" s="184" t="s">
        <v>118</v>
      </c>
      <c r="H185" s="181">
        <v>4</v>
      </c>
      <c r="I185" s="192">
        <v>1</v>
      </c>
      <c r="J185" s="190">
        <v>1</v>
      </c>
      <c r="K185" s="193">
        <v>1152.5999999999999</v>
      </c>
      <c r="L185" s="193">
        <v>1152.5999999999999</v>
      </c>
      <c r="M185" s="187">
        <f t="shared" si="6"/>
        <v>0</v>
      </c>
      <c r="N185" s="114">
        <v>5</v>
      </c>
      <c r="O185" s="186">
        <v>5349.99</v>
      </c>
      <c r="P185" s="186">
        <v>5349.99</v>
      </c>
      <c r="Q185" s="79">
        <f t="shared" si="5"/>
        <v>0</v>
      </c>
    </row>
    <row r="186" spans="1:18" s="13" customFormat="1" ht="15.75" x14ac:dyDescent="0.25">
      <c r="A186" s="10"/>
      <c r="B186" s="27" t="s">
        <v>102</v>
      </c>
      <c r="C186" s="181" t="s">
        <v>17</v>
      </c>
      <c r="D186" s="182"/>
      <c r="E186" s="194" t="s">
        <v>20</v>
      </c>
      <c r="F186" s="73" t="s">
        <v>411</v>
      </c>
      <c r="G186" s="74" t="s">
        <v>112</v>
      </c>
      <c r="H186" s="75">
        <v>10</v>
      </c>
      <c r="I186" s="76">
        <v>5</v>
      </c>
      <c r="J186" s="96">
        <f>1+1+2+1</f>
        <v>5</v>
      </c>
      <c r="K186" s="77">
        <f>845.24+845.24+1690.48+1394.65</f>
        <v>4775.6100000000006</v>
      </c>
      <c r="L186" s="77">
        <f>845.24+845.24+1690.48+1394.65</f>
        <v>4775.6100000000006</v>
      </c>
      <c r="M186" s="78">
        <f>K186-L186</f>
        <v>0</v>
      </c>
      <c r="N186" s="100">
        <f>3+1</f>
        <v>4</v>
      </c>
      <c r="O186" s="81">
        <f>7808.21+30833.77-12193.52+9963.17</f>
        <v>36411.630000000005</v>
      </c>
      <c r="P186" s="81">
        <f>7808.21+30833.77-12193.52+9963.17</f>
        <v>36411.630000000005</v>
      </c>
      <c r="Q186" s="188">
        <f t="shared" si="5"/>
        <v>0</v>
      </c>
      <c r="R186" s="141"/>
    </row>
    <row r="187" spans="1:18" s="13" customFormat="1" ht="15.75" hidden="1" x14ac:dyDescent="0.25">
      <c r="A187" s="10"/>
      <c r="B187" s="27" t="s">
        <v>102</v>
      </c>
      <c r="C187" s="181" t="s">
        <v>17</v>
      </c>
      <c r="D187" s="182"/>
      <c r="E187" s="194" t="s">
        <v>20</v>
      </c>
      <c r="F187" s="73" t="s">
        <v>469</v>
      </c>
      <c r="G187" s="184" t="s">
        <v>114</v>
      </c>
      <c r="H187" s="181">
        <v>6</v>
      </c>
      <c r="I187" s="185">
        <v>3</v>
      </c>
      <c r="J187" s="190">
        <v>3</v>
      </c>
      <c r="K187" s="77"/>
      <c r="L187" s="77"/>
      <c r="M187" s="187">
        <f t="shared" si="6"/>
        <v>0</v>
      </c>
      <c r="N187" s="100">
        <v>6</v>
      </c>
      <c r="O187" s="186">
        <v>16479.12</v>
      </c>
      <c r="P187" s="186">
        <v>16479.12</v>
      </c>
      <c r="Q187" s="188">
        <f t="shared" si="5"/>
        <v>0</v>
      </c>
    </row>
    <row r="188" spans="1:18" s="13" customFormat="1" ht="15.75" x14ac:dyDescent="0.25">
      <c r="A188" s="10"/>
      <c r="B188" s="27" t="s">
        <v>103</v>
      </c>
      <c r="C188" s="181" t="s">
        <v>17</v>
      </c>
      <c r="D188" s="182"/>
      <c r="E188" s="183" t="s">
        <v>20</v>
      </c>
      <c r="F188" s="73" t="s">
        <v>412</v>
      </c>
      <c r="G188" s="74" t="s">
        <v>112</v>
      </c>
      <c r="H188" s="75">
        <v>9</v>
      </c>
      <c r="I188" s="76">
        <v>5</v>
      </c>
      <c r="J188" s="96">
        <f>4+1</f>
        <v>5</v>
      </c>
      <c r="K188" s="77">
        <f>16248.67</f>
        <v>16248.67</v>
      </c>
      <c r="L188" s="77">
        <f>16248.67</f>
        <v>16248.67</v>
      </c>
      <c r="M188" s="78">
        <f>K188-L188</f>
        <v>0</v>
      </c>
      <c r="N188" s="100">
        <f>7+2+1</f>
        <v>10</v>
      </c>
      <c r="O188" s="77">
        <f>20193.14</f>
        <v>20193.14</v>
      </c>
      <c r="P188" s="77">
        <f>20193.14</f>
        <v>20193.14</v>
      </c>
      <c r="Q188" s="188">
        <f t="shared" si="5"/>
        <v>0</v>
      </c>
      <c r="R188" s="141"/>
    </row>
    <row r="189" spans="1:18" s="13" customFormat="1" ht="15.75" hidden="1" x14ac:dyDescent="0.25">
      <c r="A189" s="10"/>
      <c r="B189" s="27" t="s">
        <v>103</v>
      </c>
      <c r="C189" s="181" t="s">
        <v>17</v>
      </c>
      <c r="D189" s="182"/>
      <c r="E189" s="183" t="s">
        <v>20</v>
      </c>
      <c r="F189" s="73" t="s">
        <v>470</v>
      </c>
      <c r="G189" s="184" t="s">
        <v>114</v>
      </c>
      <c r="H189" s="181">
        <v>10</v>
      </c>
      <c r="I189" s="185">
        <v>1</v>
      </c>
      <c r="J189" s="190">
        <v>1</v>
      </c>
      <c r="K189" s="77"/>
      <c r="L189" s="77"/>
      <c r="M189" s="187">
        <f t="shared" si="6"/>
        <v>0</v>
      </c>
      <c r="N189" s="100">
        <v>4</v>
      </c>
      <c r="O189" s="186">
        <v>10431.89</v>
      </c>
      <c r="P189" s="186">
        <v>10431.89</v>
      </c>
      <c r="Q189" s="188">
        <f t="shared" si="5"/>
        <v>0</v>
      </c>
    </row>
    <row r="190" spans="1:18" s="15" customFormat="1" ht="15.75" x14ac:dyDescent="0.25">
      <c r="A190" s="14"/>
      <c r="B190" s="28" t="s">
        <v>104</v>
      </c>
      <c r="C190" s="181" t="s">
        <v>17</v>
      </c>
      <c r="D190" s="182"/>
      <c r="E190" s="183" t="s">
        <v>20</v>
      </c>
      <c r="F190" s="73" t="s">
        <v>413</v>
      </c>
      <c r="G190" s="74" t="s">
        <v>112</v>
      </c>
      <c r="H190" s="75">
        <v>9</v>
      </c>
      <c r="I190" s="76">
        <v>4</v>
      </c>
      <c r="J190" s="96">
        <f>3+1</f>
        <v>4</v>
      </c>
      <c r="K190" s="77">
        <f>5112.82+422.64</f>
        <v>5535.46</v>
      </c>
      <c r="L190" s="77">
        <f>5112.82+422.64</f>
        <v>5535.46</v>
      </c>
      <c r="M190" s="78">
        <f>K190-L190</f>
        <v>0</v>
      </c>
      <c r="N190" s="100">
        <f>4+1+1+2</f>
        <v>8</v>
      </c>
      <c r="O190" s="81">
        <f>7087.22+3426.18+3496.22</f>
        <v>14009.619999999999</v>
      </c>
      <c r="P190" s="81">
        <f>7087.22+3426.18+3496.22</f>
        <v>14009.619999999999</v>
      </c>
      <c r="Q190" s="188">
        <f t="shared" si="5"/>
        <v>0</v>
      </c>
      <c r="R190" s="141"/>
    </row>
    <row r="191" spans="1:18" s="15" customFormat="1" ht="15.75" hidden="1" x14ac:dyDescent="0.25">
      <c r="A191" s="14"/>
      <c r="B191" s="28" t="s">
        <v>104</v>
      </c>
      <c r="C191" s="181" t="s">
        <v>17</v>
      </c>
      <c r="D191" s="182"/>
      <c r="E191" s="183" t="s">
        <v>20</v>
      </c>
      <c r="F191" s="73" t="s">
        <v>471</v>
      </c>
      <c r="G191" s="184" t="s">
        <v>114</v>
      </c>
      <c r="H191" s="181">
        <v>26</v>
      </c>
      <c r="I191" s="185">
        <v>4</v>
      </c>
      <c r="J191" s="190">
        <v>4</v>
      </c>
      <c r="K191" s="77">
        <v>1267.8599999999999</v>
      </c>
      <c r="L191" s="77">
        <v>1267.8599999999999</v>
      </c>
      <c r="M191" s="187">
        <f t="shared" si="6"/>
        <v>0</v>
      </c>
      <c r="N191" s="114">
        <v>15</v>
      </c>
      <c r="O191" s="186">
        <v>24277.65</v>
      </c>
      <c r="P191" s="186">
        <v>24277.65</v>
      </c>
      <c r="Q191" s="188">
        <f t="shared" si="5"/>
        <v>0</v>
      </c>
    </row>
    <row r="192" spans="1:18" s="13" customFormat="1" ht="15.75" hidden="1" x14ac:dyDescent="0.25">
      <c r="A192" s="10"/>
      <c r="B192" s="30" t="s">
        <v>26</v>
      </c>
      <c r="C192" s="181" t="s">
        <v>17</v>
      </c>
      <c r="D192" s="182"/>
      <c r="E192" s="183" t="s">
        <v>32</v>
      </c>
      <c r="F192" s="73" t="s">
        <v>246</v>
      </c>
      <c r="G192" s="74" t="s">
        <v>117</v>
      </c>
      <c r="H192" s="75"/>
      <c r="I192" s="76"/>
      <c r="J192" s="96"/>
      <c r="K192" s="77"/>
      <c r="L192" s="77"/>
      <c r="M192" s="78">
        <f t="shared" si="6"/>
        <v>0</v>
      </c>
      <c r="N192" s="100">
        <v>5</v>
      </c>
      <c r="O192" s="81">
        <v>7808.15</v>
      </c>
      <c r="P192" s="81">
        <v>7808.15</v>
      </c>
      <c r="Q192" s="188">
        <f t="shared" si="5"/>
        <v>0</v>
      </c>
    </row>
    <row r="193" spans="1:18" s="13" customFormat="1" ht="15.75" hidden="1" x14ac:dyDescent="0.25">
      <c r="A193" s="10"/>
      <c r="B193" s="30" t="s">
        <v>105</v>
      </c>
      <c r="C193" s="181" t="s">
        <v>17</v>
      </c>
      <c r="D193" s="182"/>
      <c r="E193" s="194" t="s">
        <v>35</v>
      </c>
      <c r="F193" s="73" t="s">
        <v>436</v>
      </c>
      <c r="G193" s="184" t="s">
        <v>117</v>
      </c>
      <c r="H193" s="181"/>
      <c r="I193" s="192"/>
      <c r="J193" s="96"/>
      <c r="K193" s="77"/>
      <c r="L193" s="77"/>
      <c r="M193" s="187">
        <f t="shared" si="6"/>
        <v>0</v>
      </c>
      <c r="N193" s="100"/>
      <c r="O193" s="186"/>
      <c r="P193" s="186"/>
      <c r="Q193" s="79">
        <f t="shared" si="5"/>
        <v>0</v>
      </c>
    </row>
    <row r="194" spans="1:18" s="13" customFormat="1" ht="15.75" x14ac:dyDescent="0.25">
      <c r="A194" s="10"/>
      <c r="B194" s="62" t="s">
        <v>106</v>
      </c>
      <c r="C194" s="181" t="s">
        <v>17</v>
      </c>
      <c r="D194" s="205"/>
      <c r="E194" s="194" t="s">
        <v>20</v>
      </c>
      <c r="F194" s="73" t="s">
        <v>414</v>
      </c>
      <c r="G194" s="74" t="s">
        <v>112</v>
      </c>
      <c r="H194" s="75">
        <v>9</v>
      </c>
      <c r="I194" s="76"/>
      <c r="J194" s="96">
        <f>1</f>
        <v>1</v>
      </c>
      <c r="K194" s="77"/>
      <c r="L194" s="77"/>
      <c r="M194" s="78">
        <f>K194-L194</f>
        <v>0</v>
      </c>
      <c r="N194" s="100">
        <f>3+1</f>
        <v>4</v>
      </c>
      <c r="O194" s="81">
        <f>15956.85+4551.62</f>
        <v>20508.47</v>
      </c>
      <c r="P194" s="81">
        <f>15956.85+4551.62</f>
        <v>20508.47</v>
      </c>
      <c r="Q194" s="188">
        <f t="shared" si="5"/>
        <v>0</v>
      </c>
      <c r="R194" s="141"/>
    </row>
    <row r="195" spans="1:18" hidden="1" x14ac:dyDescent="0.25">
      <c r="A195" s="7"/>
      <c r="B195" s="66"/>
      <c r="C195" s="206"/>
      <c r="D195" s="195"/>
      <c r="E195" s="195"/>
      <c r="F195" s="73"/>
      <c r="G195" s="195" t="s">
        <v>131</v>
      </c>
      <c r="H195" s="207">
        <f t="shared" ref="H195:P195" si="9">SUM(H10:H194)</f>
        <v>1680</v>
      </c>
      <c r="I195" s="212">
        <f t="shared" si="9"/>
        <v>743</v>
      </c>
      <c r="J195" s="208">
        <f t="shared" si="9"/>
        <v>867</v>
      </c>
      <c r="K195" s="209">
        <f t="shared" si="9"/>
        <v>1135224.3550000004</v>
      </c>
      <c r="L195" s="209">
        <f t="shared" si="9"/>
        <v>1118515.3550000004</v>
      </c>
      <c r="M195" s="210">
        <f>K195-L195</f>
        <v>16709</v>
      </c>
      <c r="N195" s="208">
        <f t="shared" si="9"/>
        <v>1539</v>
      </c>
      <c r="O195" s="211">
        <f t="shared" si="9"/>
        <v>4269391.2</v>
      </c>
      <c r="P195" s="211">
        <f t="shared" si="9"/>
        <v>4199870.7999999989</v>
      </c>
      <c r="Q195" s="79">
        <f t="shared" si="5"/>
        <v>69520.400000001304</v>
      </c>
      <c r="R195" s="129"/>
    </row>
    <row r="196" spans="1:18" hidden="1" x14ac:dyDescent="0.25">
      <c r="K196" s="91" t="s">
        <v>305</v>
      </c>
    </row>
    <row r="197" spans="1:18" ht="45" hidden="1" x14ac:dyDescent="0.25">
      <c r="B197" s="89" t="s">
        <v>316</v>
      </c>
      <c r="F197" s="104" t="s">
        <v>317</v>
      </c>
      <c r="M197" s="142"/>
      <c r="Q197" s="133"/>
    </row>
  </sheetData>
  <autoFilter ref="A9:U197">
    <filterColumn colId="6">
      <filters>
        <filter val="Регіональний центр"/>
      </filters>
    </filterColumn>
  </autoFilter>
  <mergeCells count="7">
    <mergeCell ref="O1:Q1"/>
    <mergeCell ref="A3:Q3"/>
    <mergeCell ref="A4:Q4"/>
    <mergeCell ref="A5:Q5"/>
    <mergeCell ref="B7:G7"/>
    <mergeCell ref="H7:M7"/>
    <mergeCell ref="N7:Q7"/>
  </mergeCells>
  <pageMargins left="0.7" right="0.7" top="0.75" bottom="0.75" header="0.3" footer="0.3"/>
  <pageSetup paperSize="9" orientation="portrait" verticalDpi="0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S198"/>
  <sheetViews>
    <sheetView zoomScale="82" zoomScaleNormal="82" workbookViewId="0">
      <selection activeCell="I10" sqref="I10"/>
    </sheetView>
  </sheetViews>
  <sheetFormatPr defaultRowHeight="15" x14ac:dyDescent="0.25"/>
  <cols>
    <col min="1" max="1" width="1.85546875" style="6" customWidth="1"/>
    <col min="2" max="2" width="38.28515625" style="88" customWidth="1"/>
    <col min="3" max="3" width="6.5703125" style="19" customWidth="1"/>
    <col min="4" max="4" width="17.42578125" style="19" customWidth="1"/>
    <col min="5" max="5" width="19" style="19" customWidth="1"/>
    <col min="6" max="6" width="19" style="89" customWidth="1"/>
    <col min="7" max="7" width="21.7109375" style="89" customWidth="1"/>
    <col min="8" max="9" width="15.7109375" style="90" customWidth="1"/>
    <col min="10" max="10" width="15.7109375" style="99" customWidth="1"/>
    <col min="11" max="13" width="15.7109375" style="91" customWidth="1"/>
    <col min="14" max="14" width="15.7109375" style="99" customWidth="1"/>
    <col min="15" max="17" width="15.7109375" style="92" customWidth="1"/>
    <col min="18" max="18" width="11.7109375" style="6" customWidth="1"/>
    <col min="19" max="19" width="9.42578125" style="6" customWidth="1"/>
    <col min="20" max="21" width="9.140625" style="6" customWidth="1"/>
    <col min="22" max="16384" width="9.140625" style="6"/>
  </cols>
  <sheetData>
    <row r="1" spans="1:18" s="105" customFormat="1" x14ac:dyDescent="0.25">
      <c r="B1" s="60"/>
      <c r="C1" s="4"/>
      <c r="D1" s="4"/>
      <c r="E1" s="4"/>
      <c r="F1" s="63"/>
      <c r="G1" s="63"/>
      <c r="H1" s="64"/>
      <c r="I1" s="64"/>
      <c r="J1" s="93"/>
      <c r="K1" s="65"/>
      <c r="L1" s="65"/>
      <c r="M1" s="65"/>
      <c r="N1" s="93"/>
      <c r="O1" s="362" t="s">
        <v>15</v>
      </c>
      <c r="P1" s="362"/>
      <c r="Q1" s="362"/>
    </row>
    <row r="2" spans="1:18" s="105" customFormat="1" x14ac:dyDescent="0.25">
      <c r="A2" s="7"/>
      <c r="B2" s="215"/>
      <c r="C2" s="107"/>
      <c r="D2" s="107"/>
      <c r="E2" s="107"/>
      <c r="F2" s="66"/>
      <c r="G2" s="66"/>
      <c r="H2" s="214"/>
      <c r="I2" s="214"/>
      <c r="J2" s="94"/>
      <c r="K2" s="67"/>
      <c r="L2" s="67"/>
      <c r="M2" s="67"/>
      <c r="N2" s="94"/>
      <c r="O2" s="68"/>
      <c r="P2" s="68"/>
      <c r="Q2" s="68"/>
    </row>
    <row r="3" spans="1:18" s="105" customFormat="1" x14ac:dyDescent="0.25">
      <c r="A3" s="363" t="s">
        <v>318</v>
      </c>
      <c r="B3" s="364"/>
      <c r="C3" s="363"/>
      <c r="D3" s="363"/>
      <c r="E3" s="363"/>
      <c r="F3" s="364"/>
      <c r="G3" s="364"/>
      <c r="H3" s="365"/>
      <c r="I3" s="366"/>
      <c r="J3" s="367"/>
      <c r="K3" s="364"/>
      <c r="L3" s="364"/>
      <c r="M3" s="364"/>
      <c r="N3" s="364"/>
      <c r="O3" s="364"/>
      <c r="P3" s="364"/>
      <c r="Q3" s="364"/>
    </row>
    <row r="4" spans="1:18" s="105" customFormat="1" x14ac:dyDescent="0.25">
      <c r="A4" s="368">
        <v>43647</v>
      </c>
      <c r="B4" s="369"/>
      <c r="C4" s="370"/>
      <c r="D4" s="370"/>
      <c r="E4" s="370"/>
      <c r="F4" s="369"/>
      <c r="G4" s="369"/>
      <c r="H4" s="371"/>
      <c r="I4" s="372"/>
      <c r="J4" s="373"/>
      <c r="K4" s="369"/>
      <c r="L4" s="369"/>
      <c r="M4" s="369"/>
      <c r="N4" s="369"/>
      <c r="O4" s="369"/>
      <c r="P4" s="369"/>
      <c r="Q4" s="369"/>
    </row>
    <row r="5" spans="1:18" s="105" customFormat="1" x14ac:dyDescent="0.25">
      <c r="A5" s="374" t="s">
        <v>14</v>
      </c>
      <c r="B5" s="367"/>
      <c r="C5" s="374"/>
      <c r="D5" s="374"/>
      <c r="E5" s="374"/>
      <c r="F5" s="367"/>
      <c r="G5" s="367"/>
      <c r="H5" s="366"/>
      <c r="I5" s="366"/>
      <c r="J5" s="367"/>
      <c r="K5" s="367"/>
      <c r="L5" s="367"/>
      <c r="M5" s="367"/>
      <c r="N5" s="367"/>
      <c r="O5" s="367"/>
      <c r="P5" s="367"/>
      <c r="Q5" s="367"/>
    </row>
    <row r="6" spans="1:18" s="105" customFormat="1" x14ac:dyDescent="0.25">
      <c r="A6" s="7"/>
      <c r="B6" s="215"/>
      <c r="C6" s="107"/>
      <c r="D6" s="107"/>
      <c r="E6" s="107"/>
      <c r="F6" s="66"/>
      <c r="G6" s="66"/>
      <c r="H6" s="214"/>
      <c r="I6" s="214"/>
      <c r="J6" s="94"/>
      <c r="K6" s="67"/>
      <c r="L6" s="67"/>
      <c r="M6" s="67"/>
      <c r="N6" s="94"/>
      <c r="O6" s="68"/>
      <c r="P6" s="68"/>
      <c r="Q6" s="68"/>
    </row>
    <row r="7" spans="1:18" x14ac:dyDescent="0.25">
      <c r="A7" s="5" t="s">
        <v>0</v>
      </c>
      <c r="B7" s="364" t="s">
        <v>10</v>
      </c>
      <c r="C7" s="375"/>
      <c r="D7" s="375"/>
      <c r="E7" s="375"/>
      <c r="F7" s="364"/>
      <c r="G7" s="364"/>
      <c r="H7" s="365" t="s">
        <v>472</v>
      </c>
      <c r="I7" s="366"/>
      <c r="J7" s="367"/>
      <c r="K7" s="364"/>
      <c r="L7" s="364"/>
      <c r="M7" s="364"/>
      <c r="N7" s="364" t="s">
        <v>132</v>
      </c>
      <c r="O7" s="364"/>
      <c r="P7" s="364"/>
      <c r="Q7" s="364"/>
    </row>
    <row r="8" spans="1:18" ht="153" x14ac:dyDescent="0.25">
      <c r="A8" s="5"/>
      <c r="B8" s="215" t="s">
        <v>4</v>
      </c>
      <c r="C8" s="107" t="s">
        <v>1</v>
      </c>
      <c r="D8" s="107" t="s">
        <v>3</v>
      </c>
      <c r="E8" s="107" t="s">
        <v>2</v>
      </c>
      <c r="F8" s="122" t="s">
        <v>6</v>
      </c>
      <c r="G8" s="66" t="s">
        <v>5</v>
      </c>
      <c r="H8" s="215" t="s">
        <v>7</v>
      </c>
      <c r="I8" s="215" t="s">
        <v>8</v>
      </c>
      <c r="J8" s="94" t="s">
        <v>9</v>
      </c>
      <c r="K8" s="67" t="s">
        <v>11</v>
      </c>
      <c r="L8" s="67" t="s">
        <v>12</v>
      </c>
      <c r="M8" s="67" t="s">
        <v>13</v>
      </c>
      <c r="N8" s="94" t="s">
        <v>9</v>
      </c>
      <c r="O8" s="68" t="s">
        <v>11</v>
      </c>
      <c r="P8" s="68" t="s">
        <v>12</v>
      </c>
      <c r="Q8" s="68" t="s">
        <v>13</v>
      </c>
    </row>
    <row r="9" spans="1:18" x14ac:dyDescent="0.25">
      <c r="A9" s="9">
        <v>1</v>
      </c>
      <c r="B9" s="61">
        <f>A9+1</f>
        <v>2</v>
      </c>
      <c r="C9" s="9">
        <f t="shared" ref="C9:Q9" si="0">B9+1</f>
        <v>3</v>
      </c>
      <c r="D9" s="9">
        <f t="shared" si="0"/>
        <v>4</v>
      </c>
      <c r="E9" s="9">
        <f t="shared" si="0"/>
        <v>5</v>
      </c>
      <c r="F9" s="69">
        <f t="shared" si="0"/>
        <v>6</v>
      </c>
      <c r="G9" s="69">
        <f t="shared" si="0"/>
        <v>7</v>
      </c>
      <c r="H9" s="70">
        <f t="shared" si="0"/>
        <v>8</v>
      </c>
      <c r="I9" s="70">
        <f t="shared" si="0"/>
        <v>9</v>
      </c>
      <c r="J9" s="95">
        <f t="shared" si="0"/>
        <v>10</v>
      </c>
      <c r="K9" s="71">
        <f t="shared" si="0"/>
        <v>11</v>
      </c>
      <c r="L9" s="71">
        <f t="shared" si="0"/>
        <v>12</v>
      </c>
      <c r="M9" s="71">
        <f t="shared" si="0"/>
        <v>13</v>
      </c>
      <c r="N9" s="95">
        <f t="shared" si="0"/>
        <v>14</v>
      </c>
      <c r="O9" s="72">
        <f t="shared" si="0"/>
        <v>15</v>
      </c>
      <c r="P9" s="72">
        <f t="shared" si="0"/>
        <v>16</v>
      </c>
      <c r="Q9" s="72">
        <f t="shared" si="0"/>
        <v>17</v>
      </c>
    </row>
    <row r="10" spans="1:18" s="13" customFormat="1" ht="30" x14ac:dyDescent="0.25">
      <c r="A10" s="10"/>
      <c r="B10" s="62" t="s">
        <v>16</v>
      </c>
      <c r="C10" s="181" t="s">
        <v>304</v>
      </c>
      <c r="D10" s="182" t="s">
        <v>315</v>
      </c>
      <c r="E10" s="183" t="s">
        <v>18</v>
      </c>
      <c r="F10" s="73" t="s">
        <v>322</v>
      </c>
      <c r="G10" s="74" t="s">
        <v>112</v>
      </c>
      <c r="H10" s="75">
        <v>11</v>
      </c>
      <c r="I10" s="76">
        <v>9</v>
      </c>
      <c r="J10" s="98">
        <f>2+1+3+3</f>
        <v>9</v>
      </c>
      <c r="K10" s="77">
        <f>4792.51+1138.19+504.26+11366.06+4859.68+3954.5</f>
        <v>26615.200000000001</v>
      </c>
      <c r="L10" s="77">
        <f>4792.51+1138.19+504.26+11366.06+4859.68</f>
        <v>22660.7</v>
      </c>
      <c r="M10" s="78">
        <f>K10-L10</f>
        <v>3954.5</v>
      </c>
      <c r="N10" s="100">
        <f>2+5+1+2+1</f>
        <v>11</v>
      </c>
      <c r="O10" s="77">
        <f>9108.77+6924.32+11366.06+8197.52</f>
        <v>35596.67</v>
      </c>
      <c r="P10" s="77">
        <f>9108.77+6924.32+11366.06+8197.52</f>
        <v>35596.67</v>
      </c>
      <c r="Q10" s="79">
        <f>O10-P10</f>
        <v>0</v>
      </c>
      <c r="R10" s="141"/>
    </row>
    <row r="11" spans="1:18" s="13" customFormat="1" ht="30" hidden="1" x14ac:dyDescent="0.25">
      <c r="A11" s="10"/>
      <c r="B11" s="62" t="s">
        <v>16</v>
      </c>
      <c r="C11" s="181" t="s">
        <v>304</v>
      </c>
      <c r="D11" s="182" t="s">
        <v>315</v>
      </c>
      <c r="E11" s="183" t="s">
        <v>18</v>
      </c>
      <c r="F11" s="73" t="s">
        <v>322</v>
      </c>
      <c r="G11" s="184" t="s">
        <v>116</v>
      </c>
      <c r="H11" s="181">
        <v>7</v>
      </c>
      <c r="I11" s="185">
        <v>4</v>
      </c>
      <c r="J11" s="96">
        <v>4</v>
      </c>
      <c r="K11" s="186">
        <v>7070</v>
      </c>
      <c r="L11" s="186">
        <v>4534</v>
      </c>
      <c r="M11" s="187">
        <f t="shared" ref="M11:M84" si="1">K11-L11</f>
        <v>2536</v>
      </c>
      <c r="N11" s="100">
        <v>0</v>
      </c>
      <c r="O11" s="186">
        <v>2945</v>
      </c>
      <c r="P11" s="186">
        <v>2945</v>
      </c>
      <c r="Q11" s="188">
        <f t="shared" ref="Q11:Q80" si="2">O11-P11</f>
        <v>0</v>
      </c>
    </row>
    <row r="12" spans="1:18" s="13" customFormat="1" ht="15.75" x14ac:dyDescent="0.25">
      <c r="A12" s="10"/>
      <c r="B12" s="62" t="s">
        <v>490</v>
      </c>
      <c r="C12" s="181" t="s">
        <v>304</v>
      </c>
      <c r="D12" s="182"/>
      <c r="E12" s="183"/>
      <c r="F12" s="189" t="s">
        <v>501</v>
      </c>
      <c r="G12" s="184" t="s">
        <v>112</v>
      </c>
      <c r="H12" s="181">
        <v>8</v>
      </c>
      <c r="I12" s="185">
        <v>5</v>
      </c>
      <c r="J12" s="96">
        <f>5+1</f>
        <v>6</v>
      </c>
      <c r="K12" s="186">
        <f>8352.39+384.2+1463.8</f>
        <v>10200.39</v>
      </c>
      <c r="L12" s="186">
        <f>8352.39+384.2+1463.8</f>
        <v>10200.39</v>
      </c>
      <c r="M12" s="78">
        <f t="shared" si="1"/>
        <v>0</v>
      </c>
      <c r="N12" s="100"/>
      <c r="O12" s="186"/>
      <c r="P12" s="186"/>
      <c r="Q12" s="188"/>
    </row>
    <row r="13" spans="1:18" s="15" customFormat="1" ht="15.75" x14ac:dyDescent="0.25">
      <c r="A13" s="14"/>
      <c r="B13" s="80" t="s">
        <v>19</v>
      </c>
      <c r="C13" s="181" t="s">
        <v>17</v>
      </c>
      <c r="D13" s="182"/>
      <c r="E13" s="183" t="s">
        <v>20</v>
      </c>
      <c r="F13" s="73" t="s">
        <v>323</v>
      </c>
      <c r="G13" s="74" t="s">
        <v>112</v>
      </c>
      <c r="H13" s="75">
        <v>10</v>
      </c>
      <c r="I13" s="76">
        <v>8</v>
      </c>
      <c r="J13" s="96">
        <f>1+2+5+2+1</f>
        <v>11</v>
      </c>
      <c r="K13" s="77">
        <f>422.62+4792.51+1796.14+1373.52</f>
        <v>8384.7900000000009</v>
      </c>
      <c r="L13" s="77">
        <f>422.62+4792.51+1796.14</f>
        <v>7011.27</v>
      </c>
      <c r="M13" s="78">
        <f t="shared" si="1"/>
        <v>1373.5200000000004</v>
      </c>
      <c r="N13" s="100">
        <f>8+3+1</f>
        <v>12</v>
      </c>
      <c r="O13" s="81">
        <f>6459.36+7124.45</f>
        <v>13583.81</v>
      </c>
      <c r="P13" s="81">
        <f>6459.36+7124.45</f>
        <v>13583.81</v>
      </c>
      <c r="Q13" s="79">
        <f t="shared" si="2"/>
        <v>0</v>
      </c>
      <c r="R13" s="141"/>
    </row>
    <row r="14" spans="1:18" s="15" customFormat="1" ht="15.75" hidden="1" x14ac:dyDescent="0.25">
      <c r="A14" s="14"/>
      <c r="B14" s="80" t="s">
        <v>19</v>
      </c>
      <c r="C14" s="181" t="s">
        <v>17</v>
      </c>
      <c r="D14" s="182"/>
      <c r="E14" s="183" t="s">
        <v>20</v>
      </c>
      <c r="F14" s="73" t="s">
        <v>451</v>
      </c>
      <c r="G14" s="184" t="s">
        <v>114</v>
      </c>
      <c r="H14" s="181">
        <v>5</v>
      </c>
      <c r="I14" s="185">
        <v>1</v>
      </c>
      <c r="J14" s="190">
        <v>1</v>
      </c>
      <c r="K14" s="77">
        <v>1267.68</v>
      </c>
      <c r="L14" s="77">
        <v>1267.68</v>
      </c>
      <c r="M14" s="187">
        <f t="shared" si="1"/>
        <v>0</v>
      </c>
      <c r="N14" s="101">
        <v>9</v>
      </c>
      <c r="O14" s="186">
        <v>16688.7</v>
      </c>
      <c r="P14" s="186">
        <v>16688.7</v>
      </c>
      <c r="Q14" s="188">
        <f t="shared" si="2"/>
        <v>0</v>
      </c>
    </row>
    <row r="15" spans="1:18" s="15" customFormat="1" ht="15.75" x14ac:dyDescent="0.25">
      <c r="A15" s="14"/>
      <c r="B15" s="62" t="s">
        <v>153</v>
      </c>
      <c r="C15" s="181" t="s">
        <v>17</v>
      </c>
      <c r="D15" s="182"/>
      <c r="E15" s="183" t="s">
        <v>20</v>
      </c>
      <c r="F15" s="73" t="s">
        <v>324</v>
      </c>
      <c r="G15" s="74" t="s">
        <v>112</v>
      </c>
      <c r="H15" s="75">
        <v>10</v>
      </c>
      <c r="I15" s="82">
        <v>4</v>
      </c>
      <c r="J15" s="96">
        <f>1+1+2+1+1</f>
        <v>6</v>
      </c>
      <c r="K15" s="77">
        <f>950.9+2451.87+3074.57+845.24+1977.86</f>
        <v>9300.44</v>
      </c>
      <c r="L15" s="77">
        <f>950.9+2451.87+3074.57+845.24</f>
        <v>7322.58</v>
      </c>
      <c r="M15" s="78">
        <f>K15-L15</f>
        <v>1977.8600000000006</v>
      </c>
      <c r="N15" s="114">
        <f>1+2+1+2+1</f>
        <v>7</v>
      </c>
      <c r="O15" s="81">
        <f>422.62+945.61+2484.69+7964.81+1536.8</f>
        <v>13354.529999999999</v>
      </c>
      <c r="P15" s="81">
        <f>422.62+945.61+2484.69+7964.81+1536.8</f>
        <v>13354.529999999999</v>
      </c>
      <c r="Q15" s="79">
        <f t="shared" si="2"/>
        <v>0</v>
      </c>
      <c r="R15" s="141"/>
    </row>
    <row r="16" spans="1:18" s="15" customFormat="1" ht="15.75" hidden="1" x14ac:dyDescent="0.25">
      <c r="A16" s="14"/>
      <c r="B16" s="191" t="s">
        <v>153</v>
      </c>
      <c r="C16" s="181" t="s">
        <v>17</v>
      </c>
      <c r="D16" s="182"/>
      <c r="E16" s="183" t="s">
        <v>20</v>
      </c>
      <c r="F16" s="73" t="s">
        <v>452</v>
      </c>
      <c r="G16" s="184" t="s">
        <v>114</v>
      </c>
      <c r="H16" s="181">
        <v>12</v>
      </c>
      <c r="I16" s="185">
        <v>3</v>
      </c>
      <c r="J16" s="190">
        <v>3</v>
      </c>
      <c r="K16" s="77">
        <v>1267.8599999999999</v>
      </c>
      <c r="L16" s="77">
        <v>1267.8599999999999</v>
      </c>
      <c r="M16" s="187">
        <f t="shared" si="1"/>
        <v>0</v>
      </c>
      <c r="N16" s="101">
        <v>8</v>
      </c>
      <c r="O16" s="186">
        <v>23692.58</v>
      </c>
      <c r="P16" s="186">
        <v>23692.58</v>
      </c>
      <c r="Q16" s="188">
        <f t="shared" si="2"/>
        <v>0</v>
      </c>
    </row>
    <row r="17" spans="1:18" s="13" customFormat="1" ht="15.75" x14ac:dyDescent="0.25">
      <c r="A17" s="10"/>
      <c r="B17" s="30" t="s">
        <v>22</v>
      </c>
      <c r="C17" s="181" t="s">
        <v>17</v>
      </c>
      <c r="D17" s="182"/>
      <c r="E17" s="183" t="s">
        <v>23</v>
      </c>
      <c r="F17" s="73" t="s">
        <v>325</v>
      </c>
      <c r="G17" s="74" t="s">
        <v>112</v>
      </c>
      <c r="H17" s="75">
        <v>17</v>
      </c>
      <c r="I17" s="76">
        <v>10</v>
      </c>
      <c r="J17" s="96">
        <f>1+2+1+9</f>
        <v>13</v>
      </c>
      <c r="K17" s="77">
        <f>2698.64+1402.33+11601.84</f>
        <v>15702.81</v>
      </c>
      <c r="L17" s="77">
        <f>2698.64+1402.33</f>
        <v>4100.9699999999993</v>
      </c>
      <c r="M17" s="78">
        <f>K17-L17</f>
        <v>11601.84</v>
      </c>
      <c r="N17" s="100">
        <f>14+3+7+1+1</f>
        <v>26</v>
      </c>
      <c r="O17" s="81">
        <f>22716.4+4171.06+18768.39+8172.47</f>
        <v>53828.320000000007</v>
      </c>
      <c r="P17" s="81">
        <f>22716.4+4171.06+18768.39</f>
        <v>45655.850000000006</v>
      </c>
      <c r="Q17" s="79">
        <f t="shared" si="2"/>
        <v>8172.4700000000012</v>
      </c>
      <c r="R17" s="141"/>
    </row>
    <row r="18" spans="1:18" s="13" customFormat="1" ht="15.75" hidden="1" x14ac:dyDescent="0.25">
      <c r="A18" s="10"/>
      <c r="B18" s="30" t="s">
        <v>154</v>
      </c>
      <c r="C18" s="181" t="s">
        <v>17</v>
      </c>
      <c r="D18" s="182"/>
      <c r="E18" s="183" t="s">
        <v>20</v>
      </c>
      <c r="F18" s="73" t="s">
        <v>453</v>
      </c>
      <c r="G18" s="184" t="s">
        <v>114</v>
      </c>
      <c r="H18" s="181">
        <v>17</v>
      </c>
      <c r="I18" s="192">
        <v>1</v>
      </c>
      <c r="J18" s="190">
        <v>1</v>
      </c>
      <c r="K18" s="193">
        <v>1152.5999999999999</v>
      </c>
      <c r="L18" s="193">
        <v>1152.5999999999999</v>
      </c>
      <c r="M18" s="187">
        <f t="shared" si="1"/>
        <v>0</v>
      </c>
      <c r="N18" s="114">
        <v>10</v>
      </c>
      <c r="O18" s="186">
        <v>31595.24</v>
      </c>
      <c r="P18" s="186">
        <v>19031.900000000001</v>
      </c>
      <c r="Q18" s="188">
        <f t="shared" si="2"/>
        <v>12563.34</v>
      </c>
    </row>
    <row r="19" spans="1:18" s="13" customFormat="1" ht="15.75" x14ac:dyDescent="0.25">
      <c r="A19" s="10"/>
      <c r="B19" s="30" t="s">
        <v>154</v>
      </c>
      <c r="C19" s="181" t="s">
        <v>17</v>
      </c>
      <c r="D19" s="182"/>
      <c r="E19" s="183" t="s">
        <v>20</v>
      </c>
      <c r="F19" s="73" t="s">
        <v>326</v>
      </c>
      <c r="G19" s="74" t="s">
        <v>112</v>
      </c>
      <c r="H19" s="75">
        <v>18</v>
      </c>
      <c r="I19" s="76">
        <v>7</v>
      </c>
      <c r="J19" s="96">
        <f>1+1+2+2+2</f>
        <v>8</v>
      </c>
      <c r="K19" s="77">
        <f>950.9+864.46+845.24+405.02+739.59</f>
        <v>3805.2100000000005</v>
      </c>
      <c r="L19" s="77">
        <f>950.9+864.46+845.24+405.02+739.59</f>
        <v>3805.2100000000005</v>
      </c>
      <c r="M19" s="78">
        <f t="shared" si="1"/>
        <v>0</v>
      </c>
      <c r="N19" s="100">
        <f>6+3+1+1+1+2</f>
        <v>14</v>
      </c>
      <c r="O19" s="81">
        <f>6681.33+7017+1523.5+9094.74</f>
        <v>24316.57</v>
      </c>
      <c r="P19" s="81">
        <f>6681.33+7017+1523.5+9094.74</f>
        <v>24316.57</v>
      </c>
      <c r="Q19" s="79">
        <f t="shared" si="2"/>
        <v>0</v>
      </c>
      <c r="R19" s="141"/>
    </row>
    <row r="20" spans="1:18" s="13" customFormat="1" ht="15.75" x14ac:dyDescent="0.25">
      <c r="A20" s="10"/>
      <c r="B20" s="62" t="s">
        <v>24</v>
      </c>
      <c r="C20" s="181" t="s">
        <v>17</v>
      </c>
      <c r="D20" s="182"/>
      <c r="E20" s="183" t="s">
        <v>20</v>
      </c>
      <c r="F20" s="73" t="s">
        <v>327</v>
      </c>
      <c r="G20" s="74" t="s">
        <v>112</v>
      </c>
      <c r="H20" s="75">
        <v>6</v>
      </c>
      <c r="I20" s="76">
        <v>3</v>
      </c>
      <c r="J20" s="96">
        <f>3</f>
        <v>3</v>
      </c>
      <c r="K20" s="77">
        <f>1191.02</f>
        <v>1191.02</v>
      </c>
      <c r="L20" s="77">
        <f>1191.02</f>
        <v>1191.02</v>
      </c>
      <c r="M20" s="78">
        <f t="shared" si="1"/>
        <v>0</v>
      </c>
      <c r="N20" s="100">
        <f>1+1</f>
        <v>2</v>
      </c>
      <c r="O20" s="81">
        <f>576.3+1810.93</f>
        <v>2387.23</v>
      </c>
      <c r="P20" s="81">
        <f>576.3+1810.93</f>
        <v>2387.23</v>
      </c>
      <c r="Q20" s="188">
        <f t="shared" si="2"/>
        <v>0</v>
      </c>
      <c r="R20" s="141"/>
    </row>
    <row r="21" spans="1:18" s="13" customFormat="1" ht="15.75" hidden="1" x14ac:dyDescent="0.25">
      <c r="A21" s="10"/>
      <c r="B21" s="62" t="s">
        <v>24</v>
      </c>
      <c r="C21" s="181" t="s">
        <v>17</v>
      </c>
      <c r="D21" s="182"/>
      <c r="E21" s="183" t="s">
        <v>20</v>
      </c>
      <c r="F21" s="73" t="s">
        <v>454</v>
      </c>
      <c r="G21" s="184" t="s">
        <v>114</v>
      </c>
      <c r="H21" s="181">
        <v>8</v>
      </c>
      <c r="I21" s="185"/>
      <c r="J21" s="190"/>
      <c r="K21" s="77"/>
      <c r="L21" s="77"/>
      <c r="M21" s="78">
        <f t="shared" si="1"/>
        <v>0</v>
      </c>
      <c r="N21" s="100">
        <v>14</v>
      </c>
      <c r="O21" s="186">
        <v>14635.6</v>
      </c>
      <c r="P21" s="186">
        <v>14635.6</v>
      </c>
      <c r="Q21" s="188">
        <f t="shared" si="2"/>
        <v>0</v>
      </c>
    </row>
    <row r="22" spans="1:18" s="13" customFormat="1" ht="15.75" x14ac:dyDescent="0.25">
      <c r="A22" s="10"/>
      <c r="B22" s="62" t="s">
        <v>25</v>
      </c>
      <c r="C22" s="181" t="s">
        <v>17</v>
      </c>
      <c r="D22" s="182"/>
      <c r="E22" s="183" t="s">
        <v>20</v>
      </c>
      <c r="F22" s="73" t="s">
        <v>328</v>
      </c>
      <c r="G22" s="74" t="s">
        <v>112</v>
      </c>
      <c r="H22" s="75">
        <v>7</v>
      </c>
      <c r="I22" s="76">
        <v>3</v>
      </c>
      <c r="J22" s="96">
        <f>1+1+1+1</f>
        <v>4</v>
      </c>
      <c r="K22" s="173">
        <f>403.41</f>
        <v>403.41</v>
      </c>
      <c r="L22" s="173">
        <v>403.41</v>
      </c>
      <c r="M22" s="78">
        <f>K22-L22</f>
        <v>0</v>
      </c>
      <c r="N22" s="100">
        <f>6+1+2+2</f>
        <v>11</v>
      </c>
      <c r="O22" s="81">
        <f>14526.7+5595.3+2440.62+2839.24</f>
        <v>25401.86</v>
      </c>
      <c r="P22" s="81">
        <f>14526.7+5595.3+2440.62</f>
        <v>22562.62</v>
      </c>
      <c r="Q22" s="188">
        <f t="shared" si="2"/>
        <v>2839.2400000000016</v>
      </c>
      <c r="R22" s="141"/>
    </row>
    <row r="23" spans="1:18" s="13" customFormat="1" ht="15.75" hidden="1" x14ac:dyDescent="0.25">
      <c r="A23" s="10"/>
      <c r="B23" s="62" t="s">
        <v>25</v>
      </c>
      <c r="C23" s="181" t="s">
        <v>17</v>
      </c>
      <c r="D23" s="182"/>
      <c r="E23" s="183" t="s">
        <v>20</v>
      </c>
      <c r="F23" s="73" t="s">
        <v>455</v>
      </c>
      <c r="G23" s="184" t="s">
        <v>114</v>
      </c>
      <c r="H23" s="181">
        <v>2</v>
      </c>
      <c r="I23" s="185"/>
      <c r="J23" s="190"/>
      <c r="K23" s="77"/>
      <c r="L23" s="77"/>
      <c r="M23" s="78">
        <f t="shared" si="1"/>
        <v>0</v>
      </c>
      <c r="N23" s="100">
        <v>2</v>
      </c>
      <c r="O23" s="186">
        <v>4146.2</v>
      </c>
      <c r="P23" s="186">
        <f>4146.2</f>
        <v>4146.2</v>
      </c>
      <c r="Q23" s="188">
        <f t="shared" si="2"/>
        <v>0</v>
      </c>
    </row>
    <row r="24" spans="1:18" s="13" customFormat="1" ht="15.75" x14ac:dyDescent="0.25">
      <c r="A24" s="10"/>
      <c r="B24" s="62" t="s">
        <v>26</v>
      </c>
      <c r="C24" s="181" t="s">
        <v>17</v>
      </c>
      <c r="D24" s="182"/>
      <c r="E24" s="183" t="s">
        <v>27</v>
      </c>
      <c r="F24" s="73" t="s">
        <v>329</v>
      </c>
      <c r="G24" s="74" t="s">
        <v>112</v>
      </c>
      <c r="H24" s="75">
        <v>13</v>
      </c>
      <c r="I24" s="76">
        <v>7</v>
      </c>
      <c r="J24" s="96">
        <f>2+2+4</f>
        <v>8</v>
      </c>
      <c r="K24" s="77">
        <f>845.24+1056.55+5121.1+26225.35</f>
        <v>33248.239999999998</v>
      </c>
      <c r="L24" s="77">
        <f>845.24+1056.55</f>
        <v>1901.79</v>
      </c>
      <c r="M24" s="78">
        <f t="shared" si="1"/>
        <v>31346.449999999997</v>
      </c>
      <c r="N24" s="100">
        <f>6+1+1+2</f>
        <v>10</v>
      </c>
      <c r="O24" s="81">
        <f>17838.53+2535.75+7238.9</f>
        <v>27613.18</v>
      </c>
      <c r="P24" s="81">
        <f>17838.53+2535.75+7238.9</f>
        <v>27613.18</v>
      </c>
      <c r="Q24" s="188">
        <f t="shared" si="2"/>
        <v>0</v>
      </c>
      <c r="R24" s="141"/>
    </row>
    <row r="25" spans="1:18" s="15" customFormat="1" ht="15.75" x14ac:dyDescent="0.25">
      <c r="A25" s="14"/>
      <c r="B25" s="80" t="s">
        <v>28</v>
      </c>
      <c r="C25" s="181" t="s">
        <v>17</v>
      </c>
      <c r="D25" s="182"/>
      <c r="E25" s="194" t="s">
        <v>29</v>
      </c>
      <c r="F25" s="73" t="s">
        <v>330</v>
      </c>
      <c r="G25" s="74" t="s">
        <v>112</v>
      </c>
      <c r="H25" s="75">
        <v>6</v>
      </c>
      <c r="I25" s="76">
        <v>5</v>
      </c>
      <c r="J25" s="96">
        <f>2+1+2</f>
        <v>5</v>
      </c>
      <c r="K25" s="77">
        <f>6135.14+2440.63</f>
        <v>8575.77</v>
      </c>
      <c r="L25" s="77">
        <f>6135.14</f>
        <v>6135.14</v>
      </c>
      <c r="M25" s="78">
        <f t="shared" si="1"/>
        <v>2440.63</v>
      </c>
      <c r="N25" s="100">
        <f>3+2+4+3</f>
        <v>12</v>
      </c>
      <c r="O25" s="81">
        <f>5310.83+4630.52+14679.01+36087.29</f>
        <v>60707.65</v>
      </c>
      <c r="P25" s="81">
        <f>5310.83+4630.52+14679.01+36087.29</f>
        <v>60707.65</v>
      </c>
      <c r="Q25" s="188">
        <f t="shared" si="2"/>
        <v>0</v>
      </c>
      <c r="R25" s="141"/>
    </row>
    <row r="26" spans="1:18" s="15" customFormat="1" ht="15.75" hidden="1" x14ac:dyDescent="0.25">
      <c r="A26" s="14"/>
      <c r="B26" s="80" t="s">
        <v>28</v>
      </c>
      <c r="C26" s="181" t="s">
        <v>17</v>
      </c>
      <c r="D26" s="182"/>
      <c r="E26" s="194" t="s">
        <v>29</v>
      </c>
      <c r="F26" s="73" t="s">
        <v>420</v>
      </c>
      <c r="G26" s="195" t="s">
        <v>117</v>
      </c>
      <c r="H26" s="181">
        <v>1</v>
      </c>
      <c r="I26" s="196"/>
      <c r="J26" s="97"/>
      <c r="K26" s="77"/>
      <c r="L26" s="77"/>
      <c r="M26" s="78">
        <f t="shared" si="1"/>
        <v>0</v>
      </c>
      <c r="N26" s="101">
        <v>2</v>
      </c>
      <c r="O26" s="186">
        <v>2766.24</v>
      </c>
      <c r="P26" s="186">
        <v>2766.24</v>
      </c>
      <c r="Q26" s="79">
        <f t="shared" si="2"/>
        <v>0</v>
      </c>
    </row>
    <row r="27" spans="1:18" s="15" customFormat="1" ht="15.75" x14ac:dyDescent="0.25">
      <c r="A27" s="14"/>
      <c r="B27" s="191" t="s">
        <v>500</v>
      </c>
      <c r="C27" s="181" t="s">
        <v>17</v>
      </c>
      <c r="D27" s="182"/>
      <c r="E27" s="194"/>
      <c r="F27" s="73" t="s">
        <v>503</v>
      </c>
      <c r="G27" s="195" t="s">
        <v>112</v>
      </c>
      <c r="H27" s="181">
        <v>7</v>
      </c>
      <c r="I27" s="196">
        <v>2</v>
      </c>
      <c r="J27" s="97">
        <f>2</f>
        <v>2</v>
      </c>
      <c r="K27" s="77">
        <v>1202.51</v>
      </c>
      <c r="L27" s="77">
        <v>1202.51</v>
      </c>
      <c r="M27" s="78">
        <f t="shared" si="1"/>
        <v>0</v>
      </c>
      <c r="N27" s="101"/>
      <c r="O27" s="186"/>
      <c r="P27" s="186"/>
      <c r="Q27" s="79"/>
    </row>
    <row r="28" spans="1:18" s="13" customFormat="1" ht="15.75" x14ac:dyDescent="0.25">
      <c r="A28" s="10"/>
      <c r="B28" s="27" t="s">
        <v>30</v>
      </c>
      <c r="C28" s="181" t="s">
        <v>17</v>
      </c>
      <c r="D28" s="182"/>
      <c r="E28" s="194" t="s">
        <v>21</v>
      </c>
      <c r="F28" s="73" t="s">
        <v>333</v>
      </c>
      <c r="G28" s="74" t="s">
        <v>112</v>
      </c>
      <c r="H28" s="75">
        <v>15</v>
      </c>
      <c r="I28" s="76">
        <v>10</v>
      </c>
      <c r="J28" s="96">
        <f>3+1+3+1+4+1</f>
        <v>13</v>
      </c>
      <c r="K28" s="77">
        <f>16637.24+1045.98</f>
        <v>17683.22</v>
      </c>
      <c r="L28" s="77">
        <v>7786.94</v>
      </c>
      <c r="M28" s="78">
        <f t="shared" si="1"/>
        <v>9896.2800000000025</v>
      </c>
      <c r="N28" s="100">
        <f>9+1+3+1+1+1+2+1+1</f>
        <v>20</v>
      </c>
      <c r="O28" s="81">
        <f>77047.8+5703.07</f>
        <v>82750.87</v>
      </c>
      <c r="P28" s="81">
        <v>60237.279999999999</v>
      </c>
      <c r="Q28" s="188">
        <f t="shared" si="2"/>
        <v>22513.589999999997</v>
      </c>
      <c r="R28" s="141"/>
    </row>
    <row r="29" spans="1:18" s="13" customFormat="1" ht="15.75" x14ac:dyDescent="0.25">
      <c r="A29" s="10"/>
      <c r="B29" s="27" t="s">
        <v>491</v>
      </c>
      <c r="C29" s="181" t="s">
        <v>17</v>
      </c>
      <c r="D29" s="182"/>
      <c r="E29" s="183" t="s">
        <v>20</v>
      </c>
      <c r="F29" s="73" t="s">
        <v>495</v>
      </c>
      <c r="G29" s="74" t="s">
        <v>112</v>
      </c>
      <c r="H29" s="75">
        <v>8</v>
      </c>
      <c r="I29" s="76">
        <v>4</v>
      </c>
      <c r="J29" s="96">
        <f>2+2</f>
        <v>4</v>
      </c>
      <c r="K29" s="77">
        <f>1727.9+2093.89</f>
        <v>3821.79</v>
      </c>
      <c r="L29" s="77">
        <f>1727.9+2093.89</f>
        <v>3821.79</v>
      </c>
      <c r="M29" s="78">
        <f t="shared" si="1"/>
        <v>0</v>
      </c>
      <c r="N29" s="100"/>
      <c r="O29" s="81"/>
      <c r="P29" s="81"/>
      <c r="Q29" s="188"/>
      <c r="R29" s="141"/>
    </row>
    <row r="30" spans="1:18" s="13" customFormat="1" ht="15.75" hidden="1" x14ac:dyDescent="0.25">
      <c r="A30" s="10"/>
      <c r="B30" s="27" t="s">
        <v>491</v>
      </c>
      <c r="C30" s="181" t="s">
        <v>17</v>
      </c>
      <c r="D30" s="182"/>
      <c r="E30" s="183" t="s">
        <v>20</v>
      </c>
      <c r="F30" s="73" t="s">
        <v>504</v>
      </c>
      <c r="G30" s="74" t="s">
        <v>114</v>
      </c>
      <c r="H30" s="75">
        <v>6</v>
      </c>
      <c r="I30" s="76"/>
      <c r="J30" s="96"/>
      <c r="K30" s="77"/>
      <c r="L30" s="77"/>
      <c r="M30" s="187"/>
      <c r="N30" s="100"/>
      <c r="O30" s="81"/>
      <c r="P30" s="81"/>
      <c r="Q30" s="188">
        <f t="shared" si="2"/>
        <v>0</v>
      </c>
      <c r="R30" s="141"/>
    </row>
    <row r="31" spans="1:18" s="13" customFormat="1" ht="15.75" hidden="1" x14ac:dyDescent="0.25">
      <c r="A31" s="10"/>
      <c r="B31" s="27" t="s">
        <v>491</v>
      </c>
      <c r="C31" s="181" t="s">
        <v>17</v>
      </c>
      <c r="D31" s="182"/>
      <c r="E31" s="183"/>
      <c r="F31" s="73"/>
      <c r="G31" s="195" t="s">
        <v>117</v>
      </c>
      <c r="H31" s="75">
        <v>1</v>
      </c>
      <c r="I31" s="76"/>
      <c r="J31" s="96"/>
      <c r="K31" s="77"/>
      <c r="L31" s="77"/>
      <c r="M31" s="187"/>
      <c r="N31" s="100"/>
      <c r="O31" s="81"/>
      <c r="P31" s="81"/>
      <c r="Q31" s="188"/>
      <c r="R31" s="141"/>
    </row>
    <row r="32" spans="1:18" s="13" customFormat="1" ht="15.75" x14ac:dyDescent="0.25">
      <c r="A32" s="10"/>
      <c r="B32" s="30" t="s">
        <v>31</v>
      </c>
      <c r="C32" s="181" t="s">
        <v>17</v>
      </c>
      <c r="D32" s="182"/>
      <c r="E32" s="183" t="s">
        <v>32</v>
      </c>
      <c r="F32" s="73" t="s">
        <v>331</v>
      </c>
      <c r="G32" s="74" t="s">
        <v>112</v>
      </c>
      <c r="H32" s="75">
        <v>11</v>
      </c>
      <c r="I32" s="76">
        <v>8</v>
      </c>
      <c r="J32" s="96">
        <f>1+2+3+1+4</f>
        <v>11</v>
      </c>
      <c r="K32" s="77">
        <f>633.93+1045.98+5377.62+950.9+6004.09</f>
        <v>14012.52</v>
      </c>
      <c r="L32" s="77">
        <f>633.93+1045.98+5377.62+950.9</f>
        <v>8008.4299999999994</v>
      </c>
      <c r="M32" s="78">
        <f>K32-L32</f>
        <v>6004.0900000000011</v>
      </c>
      <c r="N32" s="100">
        <f>1+3+3+1+1+2</f>
        <v>11</v>
      </c>
      <c r="O32" s="81">
        <f>2299.8+15239.58+6152.75+2720.49+1483.38+7043.49+11175.04</f>
        <v>46114.530000000006</v>
      </c>
      <c r="P32" s="81">
        <f>2299.8+15239.58+6152.75+2720.49+1483.38</f>
        <v>27896.000000000004</v>
      </c>
      <c r="Q32" s="79">
        <f t="shared" si="2"/>
        <v>18218.530000000002</v>
      </c>
      <c r="R32" s="141"/>
    </row>
    <row r="33" spans="1:18" s="13" customFormat="1" ht="15.75" hidden="1" x14ac:dyDescent="0.25">
      <c r="A33" s="10"/>
      <c r="B33" s="30" t="s">
        <v>31</v>
      </c>
      <c r="C33" s="181" t="s">
        <v>17</v>
      </c>
      <c r="D33" s="182"/>
      <c r="E33" s="183" t="s">
        <v>32</v>
      </c>
      <c r="F33" s="73" t="s">
        <v>422</v>
      </c>
      <c r="G33" s="195" t="s">
        <v>117</v>
      </c>
      <c r="H33" s="181">
        <v>9</v>
      </c>
      <c r="I33" s="185">
        <v>2</v>
      </c>
      <c r="J33" s="96">
        <v>2</v>
      </c>
      <c r="K33" s="77">
        <v>4073.2</v>
      </c>
      <c r="L33" s="77">
        <v>4073.2</v>
      </c>
      <c r="M33" s="187">
        <f t="shared" si="1"/>
        <v>0</v>
      </c>
      <c r="N33" s="100">
        <v>6</v>
      </c>
      <c r="O33" s="77">
        <v>12150.4</v>
      </c>
      <c r="P33" s="77">
        <v>12150.4</v>
      </c>
      <c r="Q33" s="188">
        <f t="shared" si="2"/>
        <v>0</v>
      </c>
    </row>
    <row r="34" spans="1:18" s="15" customFormat="1" ht="15.75" x14ac:dyDescent="0.25">
      <c r="A34" s="14"/>
      <c r="B34" s="80" t="s">
        <v>33</v>
      </c>
      <c r="C34" s="181" t="s">
        <v>17</v>
      </c>
      <c r="D34" s="182"/>
      <c r="E34" s="197" t="s">
        <v>20</v>
      </c>
      <c r="F34" s="73" t="s">
        <v>332</v>
      </c>
      <c r="G34" s="74" t="s">
        <v>112</v>
      </c>
      <c r="H34" s="75">
        <v>7</v>
      </c>
      <c r="I34" s="76">
        <v>4</v>
      </c>
      <c r="J34" s="96">
        <f>1+1+1+1</f>
        <v>4</v>
      </c>
      <c r="K34" s="77">
        <f>845.245+5363.43+5912.72+845.24</f>
        <v>12966.635</v>
      </c>
      <c r="L34" s="77">
        <f>845.245+5363.43+5912.72</f>
        <v>12121.395</v>
      </c>
      <c r="M34" s="78">
        <f>K34-L34</f>
        <v>845.23999999999978</v>
      </c>
      <c r="N34" s="100">
        <f>2+1+1+1+1+2+1</f>
        <v>9</v>
      </c>
      <c r="O34" s="81">
        <f>845.24+1613.64+3380.96+3639.33+1152.6</f>
        <v>10631.77</v>
      </c>
      <c r="P34" s="81">
        <f>845.24+1613.64+3380.96+3639.33</f>
        <v>9479.17</v>
      </c>
      <c r="Q34" s="79">
        <f t="shared" si="2"/>
        <v>1152.6000000000004</v>
      </c>
      <c r="R34" s="141"/>
    </row>
    <row r="35" spans="1:18" s="15" customFormat="1" ht="15.75" hidden="1" x14ac:dyDescent="0.25">
      <c r="A35" s="14"/>
      <c r="B35" s="80" t="s">
        <v>33</v>
      </c>
      <c r="C35" s="181" t="s">
        <v>17</v>
      </c>
      <c r="D35" s="182"/>
      <c r="E35" s="183" t="s">
        <v>20</v>
      </c>
      <c r="F35" s="73" t="s">
        <v>481</v>
      </c>
      <c r="G35" s="184" t="s">
        <v>114</v>
      </c>
      <c r="H35" s="181">
        <v>4</v>
      </c>
      <c r="I35" s="185"/>
      <c r="J35" s="190"/>
      <c r="K35" s="77"/>
      <c r="L35" s="77"/>
      <c r="M35" s="187">
        <f t="shared" si="1"/>
        <v>0</v>
      </c>
      <c r="N35" s="101">
        <v>14</v>
      </c>
      <c r="O35" s="186">
        <v>25645.14</v>
      </c>
      <c r="P35" s="186">
        <v>25645.14</v>
      </c>
      <c r="Q35" s="188">
        <f t="shared" si="2"/>
        <v>0</v>
      </c>
    </row>
    <row r="36" spans="1:18" s="15" customFormat="1" ht="15.75" x14ac:dyDescent="0.25">
      <c r="A36" s="14"/>
      <c r="B36" s="62" t="s">
        <v>147</v>
      </c>
      <c r="C36" s="181" t="s">
        <v>17</v>
      </c>
      <c r="D36" s="182"/>
      <c r="E36" s="183" t="s">
        <v>29</v>
      </c>
      <c r="F36" s="73" t="s">
        <v>334</v>
      </c>
      <c r="G36" s="74" t="s">
        <v>112</v>
      </c>
      <c r="H36" s="75">
        <v>5</v>
      </c>
      <c r="I36" s="192">
        <v>1</v>
      </c>
      <c r="J36" s="97">
        <f>1+1</f>
        <v>2</v>
      </c>
      <c r="K36" s="77">
        <f>1854.88+2824.48</f>
        <v>4679.3600000000006</v>
      </c>
      <c r="L36" s="77">
        <f>1854.88+2824.48</f>
        <v>4679.3600000000006</v>
      </c>
      <c r="M36" s="78">
        <f>K36-L36</f>
        <v>0</v>
      </c>
      <c r="N36" s="114">
        <f>1+1+1</f>
        <v>3</v>
      </c>
      <c r="O36" s="81">
        <f>1394.65+2473.17+1961.49</f>
        <v>5829.31</v>
      </c>
      <c r="P36" s="81">
        <f>1394.65+2473.17+1961.49</f>
        <v>5829.31</v>
      </c>
      <c r="Q36" s="79">
        <f t="shared" si="2"/>
        <v>0</v>
      </c>
      <c r="R36" s="141"/>
    </row>
    <row r="37" spans="1:18" s="15" customFormat="1" ht="15.75" hidden="1" x14ac:dyDescent="0.25">
      <c r="A37" s="14"/>
      <c r="B37" s="191" t="s">
        <v>147</v>
      </c>
      <c r="C37" s="181" t="s">
        <v>17</v>
      </c>
      <c r="D37" s="182"/>
      <c r="E37" s="183" t="s">
        <v>29</v>
      </c>
      <c r="F37" s="73" t="s">
        <v>423</v>
      </c>
      <c r="G37" s="184" t="s">
        <v>117</v>
      </c>
      <c r="H37" s="181">
        <v>5</v>
      </c>
      <c r="I37" s="196">
        <v>3</v>
      </c>
      <c r="J37" s="97">
        <v>3</v>
      </c>
      <c r="K37" s="77">
        <v>5241.5</v>
      </c>
      <c r="L37" s="77">
        <v>5241.5</v>
      </c>
      <c r="M37" s="187">
        <f t="shared" si="1"/>
        <v>0</v>
      </c>
      <c r="N37" s="101">
        <v>4</v>
      </c>
      <c r="O37" s="186">
        <v>4706.45</v>
      </c>
      <c r="P37" s="186">
        <v>4706.45</v>
      </c>
      <c r="Q37" s="188">
        <f t="shared" si="2"/>
        <v>0</v>
      </c>
    </row>
    <row r="38" spans="1:18" s="13" customFormat="1" ht="15.75" x14ac:dyDescent="0.25">
      <c r="A38" s="10"/>
      <c r="B38" s="62" t="s">
        <v>34</v>
      </c>
      <c r="C38" s="181" t="s">
        <v>17</v>
      </c>
      <c r="D38" s="182"/>
      <c r="E38" s="194" t="s">
        <v>35</v>
      </c>
      <c r="F38" s="73" t="s">
        <v>335</v>
      </c>
      <c r="G38" s="74" t="s">
        <v>112</v>
      </c>
      <c r="H38" s="75">
        <v>19</v>
      </c>
      <c r="I38" s="76">
        <v>12</v>
      </c>
      <c r="J38" s="96">
        <f>4+2+2+7</f>
        <v>15</v>
      </c>
      <c r="K38" s="77">
        <f>8288.4+1267.86+845.24+13964.6+11418.26</f>
        <v>35784.36</v>
      </c>
      <c r="L38" s="77">
        <f>8288.4+1267.86+845.24+13964.6+11418.26</f>
        <v>35784.36</v>
      </c>
      <c r="M38" s="78">
        <f>K38-L38</f>
        <v>0</v>
      </c>
      <c r="N38" s="100">
        <f>4+4+6+1+3+1+3</f>
        <v>22</v>
      </c>
      <c r="O38" s="81">
        <f>23915.04+21171.88+6399.1+11460.81</f>
        <v>62946.829999999994</v>
      </c>
      <c r="P38" s="81">
        <f>23915.04+21171.88+6399.1+11460.81</f>
        <v>62946.829999999994</v>
      </c>
      <c r="Q38" s="79">
        <f t="shared" si="2"/>
        <v>0</v>
      </c>
      <c r="R38" s="141"/>
    </row>
    <row r="39" spans="1:18" s="13" customFormat="1" ht="15.75" hidden="1" x14ac:dyDescent="0.25">
      <c r="A39" s="10"/>
      <c r="B39" s="62" t="s">
        <v>34</v>
      </c>
      <c r="C39" s="181" t="s">
        <v>17</v>
      </c>
      <c r="D39" s="182"/>
      <c r="E39" s="194" t="s">
        <v>35</v>
      </c>
      <c r="F39" s="73" t="s">
        <v>424</v>
      </c>
      <c r="G39" s="195" t="s">
        <v>117</v>
      </c>
      <c r="H39" s="181">
        <v>2</v>
      </c>
      <c r="I39" s="185">
        <v>1</v>
      </c>
      <c r="J39" s="96">
        <v>2</v>
      </c>
      <c r="K39" s="77">
        <v>3842</v>
      </c>
      <c r="L39" s="77">
        <v>3842</v>
      </c>
      <c r="M39" s="187">
        <f t="shared" si="1"/>
        <v>0</v>
      </c>
      <c r="N39" s="100">
        <v>3</v>
      </c>
      <c r="O39" s="186">
        <v>9220.7999999999993</v>
      </c>
      <c r="P39" s="186">
        <v>9220.7999999999993</v>
      </c>
      <c r="Q39" s="188">
        <f t="shared" si="2"/>
        <v>0</v>
      </c>
    </row>
    <row r="40" spans="1:18" s="13" customFormat="1" ht="15.75" x14ac:dyDescent="0.25">
      <c r="A40" s="10"/>
      <c r="B40" s="27" t="s">
        <v>36</v>
      </c>
      <c r="C40" s="181" t="s">
        <v>17</v>
      </c>
      <c r="D40" s="182"/>
      <c r="E40" s="194" t="s">
        <v>32</v>
      </c>
      <c r="F40" s="73" t="s">
        <v>336</v>
      </c>
      <c r="G40" s="74" t="s">
        <v>112</v>
      </c>
      <c r="H40" s="75">
        <v>13</v>
      </c>
      <c r="I40" s="76">
        <v>9</v>
      </c>
      <c r="J40" s="96">
        <f>1+3+4+2</f>
        <v>10</v>
      </c>
      <c r="K40" s="77">
        <f>2091.97+4201.22+3643.94+998.92</f>
        <v>10936.050000000001</v>
      </c>
      <c r="L40" s="77">
        <f>2091.97+4201.22+3643.94</f>
        <v>9937.130000000001</v>
      </c>
      <c r="M40" s="78">
        <f t="shared" si="1"/>
        <v>998.92000000000007</v>
      </c>
      <c r="N40" s="100">
        <f>4+2+5+1+1+4</f>
        <v>17</v>
      </c>
      <c r="O40" s="81">
        <f>26828.22+3116.2+14162+4691+13237.22</f>
        <v>62034.64</v>
      </c>
      <c r="P40" s="81">
        <f>26828.22+3116.2+14162+4691</f>
        <v>48797.42</v>
      </c>
      <c r="Q40" s="79">
        <f t="shared" si="2"/>
        <v>13237.220000000001</v>
      </c>
      <c r="R40" s="141"/>
    </row>
    <row r="41" spans="1:18" s="13" customFormat="1" ht="15.75" x14ac:dyDescent="0.25">
      <c r="A41" s="10"/>
      <c r="B41" s="27" t="s">
        <v>38</v>
      </c>
      <c r="C41" s="181" t="s">
        <v>17</v>
      </c>
      <c r="D41" s="182"/>
      <c r="E41" s="183" t="s">
        <v>20</v>
      </c>
      <c r="F41" s="73" t="s">
        <v>338</v>
      </c>
      <c r="G41" s="74" t="s">
        <v>112</v>
      </c>
      <c r="H41" s="75">
        <v>33</v>
      </c>
      <c r="I41" s="76">
        <v>24</v>
      </c>
      <c r="J41" s="96">
        <f>5+9+3+4+4+2+3+3</f>
        <v>33</v>
      </c>
      <c r="K41" s="77">
        <f>4427.07+14262.52+23391.74+11108.38+9141.17+3923.07</f>
        <v>66253.95</v>
      </c>
      <c r="L41" s="77">
        <f>4427.07+14262.52+23391.74+11108.38</f>
        <v>53189.71</v>
      </c>
      <c r="M41" s="78">
        <f t="shared" si="1"/>
        <v>13064.239999999998</v>
      </c>
      <c r="N41" s="100">
        <f>1+14+2+2+2+3</f>
        <v>24</v>
      </c>
      <c r="O41" s="81">
        <f>34449.99+27363.78+23604.86+16739.26+15240.34+16003.48</f>
        <v>133401.71</v>
      </c>
      <c r="P41" s="81">
        <f>34449.99+27363.78+23604.86+16739.26+15240.34</f>
        <v>117398.23</v>
      </c>
      <c r="Q41" s="79">
        <f t="shared" si="2"/>
        <v>16003.479999999996</v>
      </c>
      <c r="R41" s="141"/>
    </row>
    <row r="42" spans="1:18" s="13" customFormat="1" ht="15.75" hidden="1" x14ac:dyDescent="0.25">
      <c r="A42" s="10"/>
      <c r="B42" s="27" t="s">
        <v>38</v>
      </c>
      <c r="C42" s="181" t="s">
        <v>17</v>
      </c>
      <c r="D42" s="182"/>
      <c r="E42" s="183" t="s">
        <v>20</v>
      </c>
      <c r="F42" s="73" t="s">
        <v>268</v>
      </c>
      <c r="G42" s="184" t="s">
        <v>114</v>
      </c>
      <c r="H42" s="181"/>
      <c r="I42" s="185"/>
      <c r="J42" s="190"/>
      <c r="K42" s="77"/>
      <c r="L42" s="77"/>
      <c r="M42" s="187">
        <f t="shared" si="1"/>
        <v>0</v>
      </c>
      <c r="N42" s="100"/>
      <c r="O42" s="186"/>
      <c r="P42" s="186"/>
      <c r="Q42" s="188">
        <f t="shared" si="2"/>
        <v>0</v>
      </c>
    </row>
    <row r="43" spans="1:18" s="13" customFormat="1" ht="15.75" hidden="1" x14ac:dyDescent="0.25">
      <c r="A43" s="10"/>
      <c r="B43" s="27" t="s">
        <v>38</v>
      </c>
      <c r="C43" s="181" t="s">
        <v>17</v>
      </c>
      <c r="D43" s="182"/>
      <c r="E43" s="183" t="s">
        <v>18</v>
      </c>
      <c r="F43" s="73" t="s">
        <v>324</v>
      </c>
      <c r="G43" s="184" t="s">
        <v>116</v>
      </c>
      <c r="H43" s="181">
        <v>3</v>
      </c>
      <c r="I43" s="185">
        <v>6</v>
      </c>
      <c r="J43" s="190">
        <v>6</v>
      </c>
      <c r="K43" s="77"/>
      <c r="L43" s="77"/>
      <c r="M43" s="187">
        <f t="shared" si="1"/>
        <v>0</v>
      </c>
      <c r="N43" s="100"/>
      <c r="O43" s="186"/>
      <c r="P43" s="186"/>
      <c r="Q43" s="188">
        <f t="shared" si="2"/>
        <v>0</v>
      </c>
    </row>
    <row r="44" spans="1:18" s="13" customFormat="1" ht="15.75" hidden="1" x14ac:dyDescent="0.25">
      <c r="A44" s="10"/>
      <c r="B44" s="62" t="s">
        <v>39</v>
      </c>
      <c r="C44" s="181" t="s">
        <v>17</v>
      </c>
      <c r="D44" s="182"/>
      <c r="E44" s="183" t="s">
        <v>20</v>
      </c>
      <c r="F44" s="73" t="s">
        <v>269</v>
      </c>
      <c r="G44" s="184" t="s">
        <v>114</v>
      </c>
      <c r="H44" s="181"/>
      <c r="I44" s="185"/>
      <c r="J44" s="190"/>
      <c r="K44" s="77"/>
      <c r="L44" s="77"/>
      <c r="M44" s="187">
        <f t="shared" si="1"/>
        <v>0</v>
      </c>
      <c r="N44" s="100"/>
      <c r="O44" s="186"/>
      <c r="P44" s="186"/>
      <c r="Q44" s="188">
        <f t="shared" si="2"/>
        <v>0</v>
      </c>
    </row>
    <row r="45" spans="1:18" s="13" customFormat="1" ht="15.75" x14ac:dyDescent="0.25">
      <c r="A45" s="10"/>
      <c r="B45" s="27" t="s">
        <v>40</v>
      </c>
      <c r="C45" s="181" t="s">
        <v>17</v>
      </c>
      <c r="D45" s="182"/>
      <c r="E45" s="194" t="s">
        <v>41</v>
      </c>
      <c r="F45" s="73" t="s">
        <v>339</v>
      </c>
      <c r="G45" s="74" t="s">
        <v>112</v>
      </c>
      <c r="H45" s="75">
        <v>17</v>
      </c>
      <c r="I45" s="76">
        <v>14</v>
      </c>
      <c r="J45" s="96">
        <f>1+1+3+9+4+4</f>
        <v>22</v>
      </c>
      <c r="K45" s="77">
        <f>1045.98+3271.86+15658.52+8166.35+6035.99</f>
        <v>34178.699999999997</v>
      </c>
      <c r="L45" s="77">
        <f>1045.98+3271.86+15658.52+8166.35</f>
        <v>28142.71</v>
      </c>
      <c r="M45" s="78">
        <f>K45-L45</f>
        <v>6035.989999999998</v>
      </c>
      <c r="N45" s="100">
        <f>3+13+6+5+4+2</f>
        <v>33</v>
      </c>
      <c r="O45" s="81">
        <f>17269.31+39990.78+16582.12+23492.44+7068.31+4243.84</f>
        <v>108646.79999999999</v>
      </c>
      <c r="P45" s="81">
        <f>17269.31+39990.78+16582.12+23492.44+7068.31</f>
        <v>104402.95999999999</v>
      </c>
      <c r="Q45" s="79">
        <f t="shared" si="2"/>
        <v>4243.8399999999965</v>
      </c>
      <c r="R45" s="141"/>
    </row>
    <row r="46" spans="1:18" s="13" customFormat="1" ht="15.75" hidden="1" x14ac:dyDescent="0.25">
      <c r="A46" s="10"/>
      <c r="B46" s="27" t="s">
        <v>40</v>
      </c>
      <c r="C46" s="181" t="s">
        <v>17</v>
      </c>
      <c r="D46" s="182"/>
      <c r="E46" s="194" t="s">
        <v>41</v>
      </c>
      <c r="F46" s="73" t="s">
        <v>482</v>
      </c>
      <c r="G46" s="184" t="s">
        <v>114</v>
      </c>
      <c r="H46" s="181"/>
      <c r="I46" s="185"/>
      <c r="J46" s="190"/>
      <c r="K46" s="77"/>
      <c r="L46" s="77"/>
      <c r="M46" s="187">
        <f t="shared" si="1"/>
        <v>0</v>
      </c>
      <c r="N46" s="100">
        <v>1</v>
      </c>
      <c r="O46" s="186">
        <v>3073.6</v>
      </c>
      <c r="P46" s="186">
        <f>3073.6</f>
        <v>3073.6</v>
      </c>
      <c r="Q46" s="188">
        <f t="shared" si="2"/>
        <v>0</v>
      </c>
    </row>
    <row r="47" spans="1:18" s="13" customFormat="1" ht="15.75" x14ac:dyDescent="0.25">
      <c r="A47" s="10"/>
      <c r="B47" s="27" t="s">
        <v>148</v>
      </c>
      <c r="C47" s="181" t="s">
        <v>17</v>
      </c>
      <c r="D47" s="182"/>
      <c r="E47" s="183" t="s">
        <v>20</v>
      </c>
      <c r="F47" s="73" t="s">
        <v>340</v>
      </c>
      <c r="G47" s="74" t="s">
        <v>112</v>
      </c>
      <c r="H47" s="75">
        <v>14</v>
      </c>
      <c r="I47" s="82">
        <v>7</v>
      </c>
      <c r="J47" s="96">
        <f>1+2+1+4</f>
        <v>8</v>
      </c>
      <c r="K47" s="77">
        <f>537.88+2110.03+6723.98</f>
        <v>9371.89</v>
      </c>
      <c r="L47" s="77">
        <f>537.88+2110.03</f>
        <v>2647.9100000000003</v>
      </c>
      <c r="M47" s="78">
        <f>K47-L47</f>
        <v>6723.98</v>
      </c>
      <c r="N47" s="100">
        <f>6+5+3+1+1+1</f>
        <v>17</v>
      </c>
      <c r="O47" s="81">
        <f>9370.6+9456.38+8868.69+5367.27+11572.62</f>
        <v>44635.560000000005</v>
      </c>
      <c r="P47" s="81">
        <f>9370.6+9456.38+8868.69+5367.27+11572.62</f>
        <v>44635.560000000005</v>
      </c>
      <c r="Q47" s="79">
        <f t="shared" si="2"/>
        <v>0</v>
      </c>
      <c r="R47" s="141"/>
    </row>
    <row r="48" spans="1:18" s="13" customFormat="1" ht="15.75" hidden="1" x14ac:dyDescent="0.25">
      <c r="A48" s="10"/>
      <c r="B48" s="27" t="s">
        <v>148</v>
      </c>
      <c r="C48" s="181" t="s">
        <v>17</v>
      </c>
      <c r="D48" s="182"/>
      <c r="E48" s="194" t="s">
        <v>32</v>
      </c>
      <c r="F48" s="73" t="s">
        <v>425</v>
      </c>
      <c r="G48" s="184" t="s">
        <v>117</v>
      </c>
      <c r="H48" s="181">
        <v>8</v>
      </c>
      <c r="I48" s="185">
        <v>1</v>
      </c>
      <c r="J48" s="96">
        <v>1</v>
      </c>
      <c r="K48" s="77">
        <v>1344.7</v>
      </c>
      <c r="L48" s="77">
        <v>1344.7</v>
      </c>
      <c r="M48" s="187">
        <f t="shared" si="1"/>
        <v>0</v>
      </c>
      <c r="N48" s="100">
        <v>4</v>
      </c>
      <c r="O48" s="186">
        <v>12851.49</v>
      </c>
      <c r="P48" s="186">
        <v>12851.49</v>
      </c>
      <c r="Q48" s="188">
        <f t="shared" si="2"/>
        <v>0</v>
      </c>
    </row>
    <row r="49" spans="1:18" s="13" customFormat="1" ht="15.75" x14ac:dyDescent="0.25">
      <c r="A49" s="10"/>
      <c r="B49" s="30" t="s">
        <v>42</v>
      </c>
      <c r="C49" s="181" t="s">
        <v>17</v>
      </c>
      <c r="D49" s="182"/>
      <c r="E49" s="183" t="s">
        <v>23</v>
      </c>
      <c r="F49" s="73" t="s">
        <v>341</v>
      </c>
      <c r="G49" s="74" t="s">
        <v>112</v>
      </c>
      <c r="H49" s="75">
        <v>32</v>
      </c>
      <c r="I49" s="76">
        <v>20</v>
      </c>
      <c r="J49" s="96">
        <f>5+3+5+3+8+3</f>
        <v>27</v>
      </c>
      <c r="K49" s="77">
        <f>7156.22+3849.11+8154.25+4149.36+15912.38</f>
        <v>39221.32</v>
      </c>
      <c r="L49" s="77">
        <f>7156.22+3849.11+8154.25+4149.36</f>
        <v>23308.940000000002</v>
      </c>
      <c r="M49" s="78">
        <f>K49-L49</f>
        <v>15912.379999999997</v>
      </c>
      <c r="N49" s="100">
        <f>4+6+9+2+4+2+2+3+3</f>
        <v>35</v>
      </c>
      <c r="O49" s="81">
        <f>5364.2+26170.88+2849.25+18965.6+9565.56+9423.5</f>
        <v>72338.989999999991</v>
      </c>
      <c r="P49" s="81">
        <f>5364.2+26170.88+2849.25+18965.6+9565.56+9423.5</f>
        <v>72338.989999999991</v>
      </c>
      <c r="Q49" s="79">
        <f t="shared" si="2"/>
        <v>0</v>
      </c>
      <c r="R49" s="141"/>
    </row>
    <row r="50" spans="1:18" s="13" customFormat="1" ht="15.75" hidden="1" x14ac:dyDescent="0.25">
      <c r="A50" s="10"/>
      <c r="B50" s="30" t="s">
        <v>42</v>
      </c>
      <c r="C50" s="181" t="s">
        <v>17</v>
      </c>
      <c r="D50" s="182"/>
      <c r="E50" s="183" t="s">
        <v>23</v>
      </c>
      <c r="F50" s="73" t="s">
        <v>437</v>
      </c>
      <c r="G50" s="184" t="s">
        <v>118</v>
      </c>
      <c r="H50" s="181">
        <v>2</v>
      </c>
      <c r="I50" s="185"/>
      <c r="J50" s="96"/>
      <c r="K50" s="77"/>
      <c r="L50" s="77"/>
      <c r="M50" s="187">
        <f t="shared" si="1"/>
        <v>0</v>
      </c>
      <c r="N50" s="100">
        <v>1</v>
      </c>
      <c r="O50" s="186">
        <v>7766.4</v>
      </c>
      <c r="P50" s="186">
        <v>7766.4</v>
      </c>
      <c r="Q50" s="188">
        <f t="shared" si="2"/>
        <v>0</v>
      </c>
    </row>
    <row r="51" spans="1:18" s="13" customFormat="1" ht="15.75" x14ac:dyDescent="0.25">
      <c r="A51" s="10"/>
      <c r="B51" s="30" t="s">
        <v>173</v>
      </c>
      <c r="C51" s="181" t="s">
        <v>17</v>
      </c>
      <c r="D51" s="182"/>
      <c r="E51" s="184" t="s">
        <v>118</v>
      </c>
      <c r="F51" s="73" t="s">
        <v>342</v>
      </c>
      <c r="G51" s="74" t="s">
        <v>112</v>
      </c>
      <c r="H51" s="75">
        <v>4</v>
      </c>
      <c r="I51" s="76">
        <v>4</v>
      </c>
      <c r="J51" s="96">
        <f>1+2+1</f>
        <v>4</v>
      </c>
      <c r="K51" s="77">
        <f>6833.76+696.36</f>
        <v>7530.12</v>
      </c>
      <c r="L51" s="77">
        <f>6833.76+696.36</f>
        <v>7530.12</v>
      </c>
      <c r="M51" s="78">
        <f>K51-L51</f>
        <v>0</v>
      </c>
      <c r="N51" s="100">
        <f>4+2</f>
        <v>6</v>
      </c>
      <c r="O51" s="81">
        <f>5931.9+4183.92+3158.95</f>
        <v>13274.77</v>
      </c>
      <c r="P51" s="81">
        <f>5931.9+4183.92+3158.95</f>
        <v>13274.77</v>
      </c>
      <c r="Q51" s="79">
        <f t="shared" si="2"/>
        <v>0</v>
      </c>
      <c r="R51" s="141"/>
    </row>
    <row r="52" spans="1:18" s="13" customFormat="1" ht="15.75" hidden="1" x14ac:dyDescent="0.25">
      <c r="A52" s="10"/>
      <c r="B52" s="62" t="s">
        <v>143</v>
      </c>
      <c r="C52" s="181" t="s">
        <v>64</v>
      </c>
      <c r="D52" s="182" t="s">
        <v>444</v>
      </c>
      <c r="E52" s="183" t="s">
        <v>20</v>
      </c>
      <c r="F52" s="73" t="s">
        <v>445</v>
      </c>
      <c r="G52" s="184" t="s">
        <v>114</v>
      </c>
      <c r="H52" s="181">
        <v>15</v>
      </c>
      <c r="I52" s="192">
        <v>3</v>
      </c>
      <c r="J52" s="190">
        <v>3</v>
      </c>
      <c r="K52" s="193"/>
      <c r="L52" s="193"/>
      <c r="M52" s="78">
        <f t="shared" si="1"/>
        <v>0</v>
      </c>
      <c r="N52" s="114">
        <v>18</v>
      </c>
      <c r="O52" s="186">
        <v>27390.400000000001</v>
      </c>
      <c r="P52" s="186">
        <v>27390.400000000001</v>
      </c>
      <c r="Q52" s="188">
        <f t="shared" si="2"/>
        <v>0</v>
      </c>
    </row>
    <row r="53" spans="1:18" s="13" customFormat="1" ht="15.75" hidden="1" x14ac:dyDescent="0.25">
      <c r="A53" s="10"/>
      <c r="B53" s="30" t="s">
        <v>158</v>
      </c>
      <c r="C53" s="181" t="s">
        <v>17</v>
      </c>
      <c r="D53" s="182"/>
      <c r="E53" s="194" t="s">
        <v>32</v>
      </c>
      <c r="F53" s="73" t="s">
        <v>426</v>
      </c>
      <c r="G53" s="184" t="s">
        <v>117</v>
      </c>
      <c r="H53" s="181">
        <v>6</v>
      </c>
      <c r="I53" s="192">
        <v>3</v>
      </c>
      <c r="J53" s="190">
        <v>4</v>
      </c>
      <c r="K53" s="193">
        <v>8452.4</v>
      </c>
      <c r="L53" s="193">
        <v>8452.4</v>
      </c>
      <c r="M53" s="187">
        <f t="shared" si="1"/>
        <v>0</v>
      </c>
      <c r="N53" s="114">
        <v>4</v>
      </c>
      <c r="O53" s="186">
        <v>9789.2000000000007</v>
      </c>
      <c r="P53" s="186">
        <v>9789.2000000000007</v>
      </c>
      <c r="Q53" s="188">
        <f t="shared" si="2"/>
        <v>0</v>
      </c>
    </row>
    <row r="54" spans="1:18" s="15" customFormat="1" ht="15.75" x14ac:dyDescent="0.25">
      <c r="A54" s="14"/>
      <c r="B54" s="80" t="s">
        <v>43</v>
      </c>
      <c r="C54" s="181" t="s">
        <v>17</v>
      </c>
      <c r="D54" s="182"/>
      <c r="E54" s="183" t="s">
        <v>18</v>
      </c>
      <c r="F54" s="73" t="s">
        <v>344</v>
      </c>
      <c r="G54" s="74" t="s">
        <v>112</v>
      </c>
      <c r="H54" s="75">
        <v>20</v>
      </c>
      <c r="I54" s="76">
        <v>15</v>
      </c>
      <c r="J54" s="96">
        <f>1+2+2+5+2+3+2</f>
        <v>17</v>
      </c>
      <c r="K54" s="77">
        <f>1776.93+926.88+3328.29+3172.19</f>
        <v>9204.2900000000009</v>
      </c>
      <c r="L54" s="77">
        <f>1776.93+926.88+3328.29</f>
        <v>6032.1</v>
      </c>
      <c r="M54" s="78">
        <f>K54-L54</f>
        <v>3172.1900000000005</v>
      </c>
      <c r="N54" s="100">
        <f>1+5+4+1+1+1+1</f>
        <v>14</v>
      </c>
      <c r="O54" s="81">
        <f>1223.8+3810.29+4959.02+10043.87+2769.48+2146.91+11926.24</f>
        <v>36879.61</v>
      </c>
      <c r="P54" s="81">
        <f>1223.8+3810.29+4959.02+10043.87+2769.48+2146.91</f>
        <v>24953.370000000003</v>
      </c>
      <c r="Q54" s="79">
        <f t="shared" si="2"/>
        <v>11926.239999999998</v>
      </c>
      <c r="R54" s="141"/>
    </row>
    <row r="55" spans="1:18" s="15" customFormat="1" ht="30" hidden="1" x14ac:dyDescent="0.25">
      <c r="A55" s="14"/>
      <c r="B55" s="62" t="s">
        <v>43</v>
      </c>
      <c r="C55" s="181" t="s">
        <v>304</v>
      </c>
      <c r="D55" s="182" t="s">
        <v>473</v>
      </c>
      <c r="E55" s="183" t="s">
        <v>18</v>
      </c>
      <c r="F55" s="73" t="s">
        <v>323</v>
      </c>
      <c r="G55" s="184" t="s">
        <v>113</v>
      </c>
      <c r="H55" s="181">
        <v>18</v>
      </c>
      <c r="I55" s="198">
        <v>12</v>
      </c>
      <c r="J55" s="199">
        <v>12</v>
      </c>
      <c r="K55" s="77">
        <v>16405</v>
      </c>
      <c r="L55" s="77">
        <v>15748</v>
      </c>
      <c r="M55" s="187">
        <f t="shared" si="1"/>
        <v>657</v>
      </c>
      <c r="N55" s="114">
        <v>13</v>
      </c>
      <c r="O55" s="186">
        <v>29954</v>
      </c>
      <c r="P55" s="186">
        <v>26496</v>
      </c>
      <c r="Q55" s="188">
        <f t="shared" si="2"/>
        <v>3458</v>
      </c>
    </row>
    <row r="56" spans="1:18" s="13" customFormat="1" ht="15.75" x14ac:dyDescent="0.25">
      <c r="A56" s="10"/>
      <c r="B56" s="30" t="s">
        <v>44</v>
      </c>
      <c r="C56" s="181" t="s">
        <v>17</v>
      </c>
      <c r="D56" s="182"/>
      <c r="E56" s="183" t="s">
        <v>20</v>
      </c>
      <c r="F56" s="73" t="s">
        <v>345</v>
      </c>
      <c r="G56" s="74" t="s">
        <v>112</v>
      </c>
      <c r="H56" s="75">
        <v>6</v>
      </c>
      <c r="I56" s="76">
        <v>6</v>
      </c>
      <c r="J56" s="96">
        <f>1+1+1+4</f>
        <v>7</v>
      </c>
      <c r="K56" s="77">
        <f>2422.38+1267.86+15410.58</f>
        <v>19100.82</v>
      </c>
      <c r="L56" s="77">
        <f>2422.38+1267.86+15410.58</f>
        <v>19100.82</v>
      </c>
      <c r="M56" s="78">
        <f>K56-L56</f>
        <v>0</v>
      </c>
      <c r="N56" s="100">
        <f>1+11</f>
        <v>12</v>
      </c>
      <c r="O56" s="81">
        <f>421.62+4603.39+10559.77+72902.04</f>
        <v>88486.819999999992</v>
      </c>
      <c r="P56" s="81">
        <f>421.62+4603.39+10559.77+72902.04</f>
        <v>88486.819999999992</v>
      </c>
      <c r="Q56" s="79">
        <f t="shared" si="2"/>
        <v>0</v>
      </c>
      <c r="R56" s="141"/>
    </row>
    <row r="57" spans="1:18" s="13" customFormat="1" ht="15.75" hidden="1" x14ac:dyDescent="0.25">
      <c r="A57" s="10"/>
      <c r="B57" s="30" t="s">
        <v>44</v>
      </c>
      <c r="C57" s="181" t="s">
        <v>17</v>
      </c>
      <c r="D57" s="182"/>
      <c r="E57" s="183" t="s">
        <v>20</v>
      </c>
      <c r="F57" s="73" t="s">
        <v>483</v>
      </c>
      <c r="G57" s="184" t="s">
        <v>114</v>
      </c>
      <c r="H57" s="181"/>
      <c r="I57" s="185"/>
      <c r="J57" s="190"/>
      <c r="K57" s="77"/>
      <c r="L57" s="77"/>
      <c r="M57" s="78">
        <f t="shared" si="1"/>
        <v>0</v>
      </c>
      <c r="N57" s="100">
        <v>2</v>
      </c>
      <c r="O57" s="186">
        <v>6723.5</v>
      </c>
      <c r="P57" s="186">
        <v>6723.5</v>
      </c>
      <c r="Q57" s="188">
        <f t="shared" si="2"/>
        <v>0</v>
      </c>
    </row>
    <row r="58" spans="1:18" s="13" customFormat="1" ht="15.75" x14ac:dyDescent="0.25">
      <c r="A58" s="10"/>
      <c r="B58" s="30" t="s">
        <v>492</v>
      </c>
      <c r="C58" s="181" t="s">
        <v>17</v>
      </c>
      <c r="D58" s="182"/>
      <c r="E58" s="183" t="s">
        <v>20</v>
      </c>
      <c r="F58" s="73" t="s">
        <v>499</v>
      </c>
      <c r="G58" s="184" t="s">
        <v>112</v>
      </c>
      <c r="H58" s="181">
        <v>9</v>
      </c>
      <c r="I58" s="185">
        <v>1</v>
      </c>
      <c r="J58" s="190">
        <f>1</f>
        <v>1</v>
      </c>
      <c r="K58" s="77">
        <f>1044.98</f>
        <v>1044.98</v>
      </c>
      <c r="L58" s="77">
        <f>1044.98</f>
        <v>1044.98</v>
      </c>
      <c r="M58" s="78">
        <f t="shared" si="1"/>
        <v>0</v>
      </c>
      <c r="N58" s="100"/>
      <c r="O58" s="186"/>
      <c r="P58" s="186"/>
      <c r="Q58" s="79">
        <f t="shared" si="2"/>
        <v>0</v>
      </c>
    </row>
    <row r="59" spans="1:18" s="13" customFormat="1" ht="15.75" x14ac:dyDescent="0.25">
      <c r="A59" s="10"/>
      <c r="B59" s="27" t="s">
        <v>45</v>
      </c>
      <c r="C59" s="181" t="s">
        <v>17</v>
      </c>
      <c r="D59" s="182"/>
      <c r="E59" s="183" t="s">
        <v>20</v>
      </c>
      <c r="F59" s="73" t="s">
        <v>346</v>
      </c>
      <c r="G59" s="74" t="s">
        <v>112</v>
      </c>
      <c r="H59" s="75"/>
      <c r="I59" s="76"/>
      <c r="J59" s="96"/>
      <c r="K59" s="77"/>
      <c r="L59" s="77"/>
      <c r="M59" s="78">
        <f t="shared" si="1"/>
        <v>0</v>
      </c>
      <c r="N59" s="100">
        <f>1</f>
        <v>1</v>
      </c>
      <c r="O59" s="81">
        <f>17995.91+2729.8</f>
        <v>20725.71</v>
      </c>
      <c r="P59" s="81">
        <f>17995.91+2729.8</f>
        <v>20725.71</v>
      </c>
      <c r="Q59" s="79">
        <f t="shared" si="2"/>
        <v>0</v>
      </c>
      <c r="R59" s="141"/>
    </row>
    <row r="60" spans="1:18" s="13" customFormat="1" ht="15.75" hidden="1" x14ac:dyDescent="0.25">
      <c r="A60" s="10"/>
      <c r="B60" s="27" t="s">
        <v>45</v>
      </c>
      <c r="C60" s="181" t="s">
        <v>17</v>
      </c>
      <c r="D60" s="182"/>
      <c r="E60" s="183" t="s">
        <v>20</v>
      </c>
      <c r="F60" s="73" t="s">
        <v>484</v>
      </c>
      <c r="G60" s="184" t="s">
        <v>114</v>
      </c>
      <c r="H60" s="181"/>
      <c r="I60" s="185"/>
      <c r="J60" s="190"/>
      <c r="K60" s="77"/>
      <c r="L60" s="77"/>
      <c r="M60" s="78">
        <f t="shared" si="1"/>
        <v>0</v>
      </c>
      <c r="N60" s="100"/>
      <c r="O60" s="186"/>
      <c r="P60" s="186"/>
      <c r="Q60" s="188">
        <f t="shared" si="2"/>
        <v>0</v>
      </c>
    </row>
    <row r="61" spans="1:18" s="15" customFormat="1" ht="15.75" x14ac:dyDescent="0.25">
      <c r="A61" s="14"/>
      <c r="B61" s="28" t="s">
        <v>46</v>
      </c>
      <c r="C61" s="181" t="s">
        <v>17</v>
      </c>
      <c r="D61" s="182"/>
      <c r="E61" s="183" t="s">
        <v>20</v>
      </c>
      <c r="F61" s="73" t="s">
        <v>347</v>
      </c>
      <c r="G61" s="74" t="s">
        <v>112</v>
      </c>
      <c r="H61" s="75">
        <v>13</v>
      </c>
      <c r="I61" s="76">
        <v>7</v>
      </c>
      <c r="J61" s="96">
        <f>1+2+3+2+4+1</f>
        <v>13</v>
      </c>
      <c r="K61" s="77">
        <f>1045.98+1068.08+8157.32+1778.85+9152.67</f>
        <v>21202.9</v>
      </c>
      <c r="L61" s="77">
        <f>1045.98+1068.08+8157.32+1778.85+9152.67</f>
        <v>21202.9</v>
      </c>
      <c r="M61" s="78">
        <f>K61-L61</f>
        <v>0</v>
      </c>
      <c r="N61" s="100">
        <f>4+4+1+1</f>
        <v>10</v>
      </c>
      <c r="O61" s="81">
        <f>10759.2+10685.34+7362.04</f>
        <v>28806.58</v>
      </c>
      <c r="P61" s="81">
        <f>10759.2+10685.34</f>
        <v>21444.54</v>
      </c>
      <c r="Q61" s="79">
        <f t="shared" si="2"/>
        <v>7362.0400000000009</v>
      </c>
      <c r="R61" s="141"/>
    </row>
    <row r="62" spans="1:18" s="15" customFormat="1" ht="15.75" hidden="1" x14ac:dyDescent="0.25">
      <c r="A62" s="14"/>
      <c r="B62" s="28" t="s">
        <v>46</v>
      </c>
      <c r="C62" s="181" t="s">
        <v>17</v>
      </c>
      <c r="D62" s="182"/>
      <c r="E62" s="183" t="s">
        <v>20</v>
      </c>
      <c r="F62" s="73" t="s">
        <v>273</v>
      </c>
      <c r="G62" s="184" t="s">
        <v>114</v>
      </c>
      <c r="H62" s="181">
        <v>2</v>
      </c>
      <c r="I62" s="185"/>
      <c r="J62" s="190"/>
      <c r="K62" s="77"/>
      <c r="L62" s="77"/>
      <c r="M62" s="78">
        <f t="shared" si="1"/>
        <v>0</v>
      </c>
      <c r="N62" s="101">
        <v>3</v>
      </c>
      <c r="O62" s="186">
        <v>9356.9</v>
      </c>
      <c r="P62" s="186">
        <v>9356.9</v>
      </c>
      <c r="Q62" s="188">
        <f t="shared" si="2"/>
        <v>0</v>
      </c>
    </row>
    <row r="63" spans="1:18" s="13" customFormat="1" ht="45" x14ac:dyDescent="0.25">
      <c r="A63" s="10"/>
      <c r="B63" s="30" t="s">
        <v>47</v>
      </c>
      <c r="C63" s="181" t="s">
        <v>304</v>
      </c>
      <c r="D63" s="182" t="s">
        <v>474</v>
      </c>
      <c r="E63" s="183" t="s">
        <v>18</v>
      </c>
      <c r="F63" s="73" t="s">
        <v>348</v>
      </c>
      <c r="G63" s="74" t="s">
        <v>112</v>
      </c>
      <c r="H63" s="75">
        <v>36</v>
      </c>
      <c r="I63" s="76">
        <v>21</v>
      </c>
      <c r="J63" s="98">
        <f>1+1+3+21+7+2+5+2+7</f>
        <v>49</v>
      </c>
      <c r="K63" s="77">
        <f>30728.27+19236.99</f>
        <v>49965.26</v>
      </c>
      <c r="L63" s="77">
        <v>30067.95</v>
      </c>
      <c r="M63" s="78">
        <f>K63-L63</f>
        <v>19897.310000000001</v>
      </c>
      <c r="N63" s="100">
        <f>7+3+4+10+6+1+2+1+3</f>
        <v>37</v>
      </c>
      <c r="O63" s="81">
        <f>8477.51+15159.83+14079.46+15414.2+17995.91+2065.56+1859.53+9543.86+1728.53+14526.84</f>
        <v>100851.23</v>
      </c>
      <c r="P63" s="81">
        <f>8477.51+15159.83+14079.46+15414.2+17995.91+2065.56+1859.53+9543.86+1728.53+14526.84</f>
        <v>100851.23</v>
      </c>
      <c r="Q63" s="79">
        <f t="shared" si="2"/>
        <v>0</v>
      </c>
      <c r="R63" s="141"/>
    </row>
    <row r="64" spans="1:18" s="13" customFormat="1" ht="45" hidden="1" x14ac:dyDescent="0.25">
      <c r="A64" s="10"/>
      <c r="B64" s="62" t="s">
        <v>120</v>
      </c>
      <c r="C64" s="181" t="s">
        <v>304</v>
      </c>
      <c r="D64" s="182" t="s">
        <v>474</v>
      </c>
      <c r="E64" s="183" t="s">
        <v>18</v>
      </c>
      <c r="F64" s="73" t="s">
        <v>334</v>
      </c>
      <c r="G64" s="184" t="s">
        <v>116</v>
      </c>
      <c r="H64" s="181">
        <v>19</v>
      </c>
      <c r="I64" s="192">
        <v>9</v>
      </c>
      <c r="J64" s="98">
        <v>10</v>
      </c>
      <c r="K64" s="77">
        <v>12583</v>
      </c>
      <c r="L64" s="77">
        <v>11315</v>
      </c>
      <c r="M64" s="78">
        <f t="shared" si="1"/>
        <v>1268</v>
      </c>
      <c r="N64" s="100">
        <v>12</v>
      </c>
      <c r="O64" s="186">
        <v>47383</v>
      </c>
      <c r="P64" s="186">
        <v>45904</v>
      </c>
      <c r="Q64" s="188">
        <f t="shared" si="2"/>
        <v>1479</v>
      </c>
    </row>
    <row r="65" spans="1:18" s="13" customFormat="1" ht="15.75" x14ac:dyDescent="0.25">
      <c r="A65" s="10"/>
      <c r="B65" s="30" t="s">
        <v>134</v>
      </c>
      <c r="C65" s="181" t="s">
        <v>17</v>
      </c>
      <c r="D65" s="182"/>
      <c r="E65" s="183" t="s">
        <v>20</v>
      </c>
      <c r="F65" s="73" t="s">
        <v>349</v>
      </c>
      <c r="G65" s="74" t="s">
        <v>112</v>
      </c>
      <c r="H65" s="75">
        <v>11</v>
      </c>
      <c r="I65" s="76">
        <v>8</v>
      </c>
      <c r="J65" s="96">
        <f>1+4+1+1</f>
        <v>7</v>
      </c>
      <c r="K65" s="77">
        <f>7301.48+1473.89+1911.09+1690.48+845.24</f>
        <v>13222.179999999998</v>
      </c>
      <c r="L65" s="77">
        <f>7301.48+1473.89+1911.09+1690.48</f>
        <v>12376.939999999999</v>
      </c>
      <c r="M65" s="78">
        <f>K65-L65</f>
        <v>845.23999999999978</v>
      </c>
      <c r="N65" s="100">
        <f>4+1+1</f>
        <v>6</v>
      </c>
      <c r="O65" s="81">
        <f>5020.05+3215.31+12312.39+4648.82+32425.98+7889.42</f>
        <v>65511.97</v>
      </c>
      <c r="P65" s="81">
        <f>5020.05+3215.31+12312.39+4648.82+32425.98</f>
        <v>57622.55</v>
      </c>
      <c r="Q65" s="79">
        <f t="shared" si="2"/>
        <v>7889.4199999999983</v>
      </c>
      <c r="R65" s="141"/>
    </row>
    <row r="66" spans="1:18" s="13" customFormat="1" ht="15.75" hidden="1" x14ac:dyDescent="0.25">
      <c r="A66" s="10"/>
      <c r="B66" s="30" t="s">
        <v>134</v>
      </c>
      <c r="C66" s="181" t="s">
        <v>17</v>
      </c>
      <c r="D66" s="182"/>
      <c r="E66" s="183" t="s">
        <v>20</v>
      </c>
      <c r="F66" s="73" t="s">
        <v>456</v>
      </c>
      <c r="G66" s="184" t="s">
        <v>114</v>
      </c>
      <c r="H66" s="181">
        <v>13</v>
      </c>
      <c r="I66" s="185">
        <v>3</v>
      </c>
      <c r="J66" s="190">
        <v>3</v>
      </c>
      <c r="K66" s="77">
        <v>3688.32</v>
      </c>
      <c r="L66" s="77">
        <v>3688.32</v>
      </c>
      <c r="M66" s="78">
        <f t="shared" si="1"/>
        <v>0</v>
      </c>
      <c r="N66" s="100">
        <v>25</v>
      </c>
      <c r="O66" s="186">
        <v>54903.199999999997</v>
      </c>
      <c r="P66" s="186">
        <v>54903.199999999997</v>
      </c>
      <c r="Q66" s="188">
        <f t="shared" si="2"/>
        <v>0</v>
      </c>
    </row>
    <row r="67" spans="1:18" s="13" customFormat="1" ht="15.75" x14ac:dyDescent="0.25">
      <c r="A67" s="10"/>
      <c r="B67" s="62" t="s">
        <v>48</v>
      </c>
      <c r="C67" s="181" t="s">
        <v>17</v>
      </c>
      <c r="D67" s="182"/>
      <c r="E67" s="183" t="s">
        <v>20</v>
      </c>
      <c r="F67" s="73" t="s">
        <v>350</v>
      </c>
      <c r="G67" s="74" t="s">
        <v>112</v>
      </c>
      <c r="H67" s="75">
        <v>10</v>
      </c>
      <c r="I67" s="76">
        <v>7</v>
      </c>
      <c r="J67" s="96">
        <f>1+1+2</f>
        <v>4</v>
      </c>
      <c r="K67" s="77">
        <f>4805.96+2585.78+3065.92+2588.55</f>
        <v>13046.21</v>
      </c>
      <c r="L67" s="77">
        <f>4805.96+2585.78+3065.92+2588.55</f>
        <v>13046.21</v>
      </c>
      <c r="M67" s="78">
        <f t="shared" si="1"/>
        <v>0</v>
      </c>
      <c r="N67" s="100">
        <f>2+1+2</f>
        <v>5</v>
      </c>
      <c r="O67" s="81">
        <f>23174.33+2535.72+11633.02+6993.42+20756.4</f>
        <v>65092.890000000007</v>
      </c>
      <c r="P67" s="81">
        <f>23174.33+2535.72+11633.02+6993.42+20756.4</f>
        <v>65092.890000000007</v>
      </c>
      <c r="Q67" s="79">
        <f t="shared" si="2"/>
        <v>0</v>
      </c>
      <c r="R67" s="141"/>
    </row>
    <row r="68" spans="1:18" s="13" customFormat="1" ht="15.75" x14ac:dyDescent="0.25">
      <c r="A68" s="10"/>
      <c r="B68" s="62" t="s">
        <v>49</v>
      </c>
      <c r="C68" s="181" t="s">
        <v>17</v>
      </c>
      <c r="D68" s="182"/>
      <c r="E68" s="183" t="s">
        <v>50</v>
      </c>
      <c r="F68" s="73" t="s">
        <v>351</v>
      </c>
      <c r="G68" s="74" t="s">
        <v>112</v>
      </c>
      <c r="H68" s="75">
        <v>21</v>
      </c>
      <c r="I68" s="76">
        <v>10</v>
      </c>
      <c r="J68" s="96">
        <f>1+4+8</f>
        <v>13</v>
      </c>
      <c r="K68" s="77">
        <f>525.65+1267.86+6544.72+13939.57</f>
        <v>22277.8</v>
      </c>
      <c r="L68" s="77">
        <f>525.65+1267.86+6544.72</f>
        <v>8338.23</v>
      </c>
      <c r="M68" s="78">
        <f t="shared" si="1"/>
        <v>13939.57</v>
      </c>
      <c r="N68" s="100">
        <f>5+1+3</f>
        <v>9</v>
      </c>
      <c r="O68" s="81">
        <f>7374+1806.93+7275.53+4666.9+2684.03</f>
        <v>23807.39</v>
      </c>
      <c r="P68" s="81">
        <f>7374+1806.93+7275.53+4666.9+2684.03</f>
        <v>23807.39</v>
      </c>
      <c r="Q68" s="188">
        <f t="shared" si="2"/>
        <v>0</v>
      </c>
      <c r="R68" s="141"/>
    </row>
    <row r="69" spans="1:18" s="13" customFormat="1" ht="15.75" hidden="1" x14ac:dyDescent="0.25">
      <c r="A69" s="10"/>
      <c r="B69" s="62" t="s">
        <v>49</v>
      </c>
      <c r="C69" s="181" t="s">
        <v>17</v>
      </c>
      <c r="D69" s="182"/>
      <c r="E69" s="183" t="s">
        <v>50</v>
      </c>
      <c r="F69" s="73" t="s">
        <v>427</v>
      </c>
      <c r="G69" s="184" t="s">
        <v>115</v>
      </c>
      <c r="H69" s="181">
        <v>10</v>
      </c>
      <c r="I69" s="185">
        <v>2</v>
      </c>
      <c r="J69" s="96">
        <v>2</v>
      </c>
      <c r="K69" s="77">
        <v>4905.53</v>
      </c>
      <c r="L69" s="77">
        <v>4905.53</v>
      </c>
      <c r="M69" s="187">
        <f t="shared" si="1"/>
        <v>0</v>
      </c>
      <c r="N69" s="100">
        <v>8</v>
      </c>
      <c r="O69" s="186">
        <v>11237.9</v>
      </c>
      <c r="P69" s="186">
        <v>11237.9</v>
      </c>
      <c r="Q69" s="79">
        <f t="shared" si="2"/>
        <v>0</v>
      </c>
    </row>
    <row r="70" spans="1:18" s="13" customFormat="1" ht="15.75" x14ac:dyDescent="0.25">
      <c r="A70" s="10"/>
      <c r="B70" s="27" t="s">
        <v>51</v>
      </c>
      <c r="C70" s="181" t="s">
        <v>17</v>
      </c>
      <c r="D70" s="182"/>
      <c r="E70" s="183" t="s">
        <v>20</v>
      </c>
      <c r="F70" s="73" t="s">
        <v>186</v>
      </c>
      <c r="G70" s="74" t="s">
        <v>112</v>
      </c>
      <c r="H70" s="75"/>
      <c r="I70" s="76"/>
      <c r="J70" s="96"/>
      <c r="K70" s="77"/>
      <c r="L70" s="77"/>
      <c r="M70" s="78">
        <f>K70-L70</f>
        <v>0</v>
      </c>
      <c r="N70" s="100">
        <f>1</f>
        <v>1</v>
      </c>
      <c r="O70" s="81">
        <v>2451.87</v>
      </c>
      <c r="P70" s="81">
        <v>2451.87</v>
      </c>
      <c r="Q70" s="188">
        <f t="shared" si="2"/>
        <v>0</v>
      </c>
      <c r="R70" s="141"/>
    </row>
    <row r="71" spans="1:18" s="13" customFormat="1" ht="15.75" hidden="1" x14ac:dyDescent="0.25">
      <c r="A71" s="10"/>
      <c r="B71" s="27" t="s">
        <v>51</v>
      </c>
      <c r="C71" s="181" t="s">
        <v>17</v>
      </c>
      <c r="D71" s="182"/>
      <c r="E71" s="183" t="s">
        <v>20</v>
      </c>
      <c r="F71" s="73" t="s">
        <v>276</v>
      </c>
      <c r="G71" s="184" t="s">
        <v>114</v>
      </c>
      <c r="H71" s="181"/>
      <c r="I71" s="185"/>
      <c r="J71" s="190"/>
      <c r="K71" s="77"/>
      <c r="L71" s="77"/>
      <c r="M71" s="187">
        <f t="shared" si="1"/>
        <v>0</v>
      </c>
      <c r="N71" s="100">
        <v>3</v>
      </c>
      <c r="O71" s="186">
        <v>6763.6</v>
      </c>
      <c r="P71" s="186">
        <v>6763.6</v>
      </c>
      <c r="Q71" s="188">
        <f t="shared" si="2"/>
        <v>0</v>
      </c>
    </row>
    <row r="72" spans="1:18" s="13" customFormat="1" ht="15.75" x14ac:dyDescent="0.25">
      <c r="A72" s="10"/>
      <c r="B72" s="62" t="s">
        <v>52</v>
      </c>
      <c r="C72" s="181" t="s">
        <v>17</v>
      </c>
      <c r="D72" s="182"/>
      <c r="E72" s="183" t="s">
        <v>20</v>
      </c>
      <c r="F72" s="73" t="s">
        <v>352</v>
      </c>
      <c r="G72" s="74" t="s">
        <v>112</v>
      </c>
      <c r="H72" s="75">
        <v>9</v>
      </c>
      <c r="I72" s="76">
        <v>3</v>
      </c>
      <c r="J72" s="96">
        <f>1+1+1+1</f>
        <v>4</v>
      </c>
      <c r="K72" s="77">
        <f>10714.2+2747.14+2138.07</f>
        <v>15599.41</v>
      </c>
      <c r="L72" s="77">
        <f>10714.2+2747.14</f>
        <v>13461.34</v>
      </c>
      <c r="M72" s="78">
        <f>K72-L72</f>
        <v>2138.0699999999997</v>
      </c>
      <c r="N72" s="100">
        <f>4+3+1+1+2+3+1</f>
        <v>15</v>
      </c>
      <c r="O72" s="81">
        <f>5977.15+48296.91+7596.86+1061.83+8902.9+6856.31</f>
        <v>78691.960000000006</v>
      </c>
      <c r="P72" s="81">
        <f>5977.15+48296.91+7596.86+1061.83+8902.9</f>
        <v>71835.650000000009</v>
      </c>
      <c r="Q72" s="188">
        <f t="shared" si="2"/>
        <v>6856.3099999999977</v>
      </c>
      <c r="R72" s="141"/>
    </row>
    <row r="73" spans="1:18" s="13" customFormat="1" ht="15.75" hidden="1" x14ac:dyDescent="0.25">
      <c r="A73" s="10"/>
      <c r="B73" s="62" t="s">
        <v>52</v>
      </c>
      <c r="C73" s="181" t="s">
        <v>17</v>
      </c>
      <c r="D73" s="182"/>
      <c r="E73" s="183" t="s">
        <v>20</v>
      </c>
      <c r="F73" s="73" t="s">
        <v>457</v>
      </c>
      <c r="G73" s="184" t="s">
        <v>114</v>
      </c>
      <c r="H73" s="181">
        <v>8</v>
      </c>
      <c r="I73" s="185">
        <v>2</v>
      </c>
      <c r="J73" s="190">
        <v>2</v>
      </c>
      <c r="K73" s="77">
        <v>1152.5999999999999</v>
      </c>
      <c r="L73" s="77">
        <v>1152.5999999999999</v>
      </c>
      <c r="M73" s="187">
        <f t="shared" si="1"/>
        <v>0</v>
      </c>
      <c r="N73" s="100">
        <v>18</v>
      </c>
      <c r="O73" s="186">
        <v>27349.86</v>
      </c>
      <c r="P73" s="186">
        <v>27349.86</v>
      </c>
      <c r="Q73" s="188">
        <f t="shared" si="2"/>
        <v>0</v>
      </c>
    </row>
    <row r="74" spans="1:18" s="13" customFormat="1" ht="15.75" x14ac:dyDescent="0.25">
      <c r="A74" s="10"/>
      <c r="B74" s="27" t="s">
        <v>53</v>
      </c>
      <c r="C74" s="181" t="s">
        <v>17</v>
      </c>
      <c r="D74" s="182"/>
      <c r="E74" s="183" t="s">
        <v>20</v>
      </c>
      <c r="F74" s="73" t="s">
        <v>353</v>
      </c>
      <c r="G74" s="74" t="s">
        <v>112</v>
      </c>
      <c r="H74" s="75">
        <v>7</v>
      </c>
      <c r="I74" s="76">
        <v>6</v>
      </c>
      <c r="J74" s="96">
        <f>2+2+2</f>
        <v>6</v>
      </c>
      <c r="K74" s="77">
        <f>3655.66+6862.24+2535.72</f>
        <v>13053.619999999999</v>
      </c>
      <c r="L74" s="77">
        <f>3655.66+6862.24</f>
        <v>10517.9</v>
      </c>
      <c r="M74" s="78">
        <f t="shared" si="1"/>
        <v>2535.7199999999993</v>
      </c>
      <c r="N74" s="100">
        <f>1+2+2+1+1</f>
        <v>7</v>
      </c>
      <c r="O74" s="81">
        <f>1743.3+3921.71+422.62+5626.45</f>
        <v>11714.08</v>
      </c>
      <c r="P74" s="81">
        <f>422.62+1743.3+3921.71</f>
        <v>6087.63</v>
      </c>
      <c r="Q74" s="188">
        <f t="shared" si="2"/>
        <v>5626.45</v>
      </c>
      <c r="R74" s="141"/>
    </row>
    <row r="75" spans="1:18" s="13" customFormat="1" ht="15.75" x14ac:dyDescent="0.25">
      <c r="A75" s="10"/>
      <c r="B75" s="27" t="s">
        <v>149</v>
      </c>
      <c r="C75" s="181" t="s">
        <v>17</v>
      </c>
      <c r="D75" s="182"/>
      <c r="E75" s="183" t="s">
        <v>383</v>
      </c>
      <c r="F75" s="73" t="s">
        <v>354</v>
      </c>
      <c r="G75" s="74" t="s">
        <v>112</v>
      </c>
      <c r="H75" s="75">
        <v>29</v>
      </c>
      <c r="I75" s="76"/>
      <c r="J75" s="96"/>
      <c r="K75" s="77"/>
      <c r="L75" s="77"/>
      <c r="M75" s="78">
        <f t="shared" si="1"/>
        <v>0</v>
      </c>
      <c r="N75" s="100">
        <f>2+2</f>
        <v>4</v>
      </c>
      <c r="O75" s="81">
        <f>3676.8+3431.65</f>
        <v>7108.4500000000007</v>
      </c>
      <c r="P75" s="81">
        <f>3676.8+3431.65</f>
        <v>7108.4500000000007</v>
      </c>
      <c r="Q75" s="79">
        <f t="shared" si="2"/>
        <v>0</v>
      </c>
      <c r="R75" s="141"/>
    </row>
    <row r="76" spans="1:18" s="13" customFormat="1" ht="15.75" hidden="1" x14ac:dyDescent="0.25">
      <c r="A76" s="10"/>
      <c r="B76" s="27" t="s">
        <v>149</v>
      </c>
      <c r="C76" s="181" t="s">
        <v>17</v>
      </c>
      <c r="D76" s="182"/>
      <c r="E76" s="183" t="s">
        <v>383</v>
      </c>
      <c r="F76" s="73" t="s">
        <v>438</v>
      </c>
      <c r="G76" s="184" t="s">
        <v>118</v>
      </c>
      <c r="H76" s="181">
        <v>6</v>
      </c>
      <c r="I76" s="192"/>
      <c r="J76" s="190"/>
      <c r="K76" s="193"/>
      <c r="L76" s="193"/>
      <c r="M76" s="78">
        <f t="shared" si="1"/>
        <v>0</v>
      </c>
      <c r="N76" s="114">
        <v>7</v>
      </c>
      <c r="O76" s="186">
        <v>9835.52</v>
      </c>
      <c r="P76" s="186">
        <v>9835.52</v>
      </c>
      <c r="Q76" s="188">
        <f t="shared" si="2"/>
        <v>0</v>
      </c>
    </row>
    <row r="77" spans="1:18" s="13" customFormat="1" ht="15.75" x14ac:dyDescent="0.25">
      <c r="A77" s="10"/>
      <c r="B77" s="62" t="s">
        <v>107</v>
      </c>
      <c r="C77" s="181" t="s">
        <v>17</v>
      </c>
      <c r="D77" s="182"/>
      <c r="E77" s="194" t="s">
        <v>20</v>
      </c>
      <c r="F77" s="73" t="s">
        <v>355</v>
      </c>
      <c r="G77" s="74" t="s">
        <v>112</v>
      </c>
      <c r="H77" s="75">
        <v>10</v>
      </c>
      <c r="I77" s="76">
        <v>2</v>
      </c>
      <c r="J77" s="96">
        <f>1+3</f>
        <v>4</v>
      </c>
      <c r="K77" s="77">
        <f>666.63+7071.2+5333.38+13316.37</f>
        <v>26387.58</v>
      </c>
      <c r="L77" s="77">
        <f>666.63+7071.2+5333.38+13316.37</f>
        <v>26387.58</v>
      </c>
      <c r="M77" s="78">
        <f t="shared" si="1"/>
        <v>0</v>
      </c>
      <c r="N77" s="100">
        <f>2+6+1+1</f>
        <v>10</v>
      </c>
      <c r="O77" s="81">
        <f>7612.92+18804.48+9163.33+3260.98+6297.63</f>
        <v>45139.340000000004</v>
      </c>
      <c r="P77" s="81">
        <f>7612.92+18804.48+9163.33+3260.98+6297.63</f>
        <v>45139.340000000004</v>
      </c>
      <c r="Q77" s="79">
        <f t="shared" si="2"/>
        <v>0</v>
      </c>
      <c r="R77" s="141"/>
    </row>
    <row r="78" spans="1:18" s="13" customFormat="1" ht="15.75" x14ac:dyDescent="0.25">
      <c r="A78" s="10"/>
      <c r="B78" s="30" t="s">
        <v>54</v>
      </c>
      <c r="C78" s="181" t="s">
        <v>17</v>
      </c>
      <c r="D78" s="182"/>
      <c r="E78" s="194" t="s">
        <v>20</v>
      </c>
      <c r="F78" s="73" t="s">
        <v>356</v>
      </c>
      <c r="G78" s="74" t="s">
        <v>112</v>
      </c>
      <c r="H78" s="75"/>
      <c r="I78" s="76"/>
      <c r="J78" s="96"/>
      <c r="K78" s="77"/>
      <c r="L78" s="77"/>
      <c r="M78" s="78">
        <f t="shared" si="1"/>
        <v>0</v>
      </c>
      <c r="N78" s="100">
        <f>4+1+1</f>
        <v>6</v>
      </c>
      <c r="O78" s="81">
        <f>17895.28+17443.73+5473.41</f>
        <v>40812.42</v>
      </c>
      <c r="P78" s="81">
        <f>17895.28+17443.73+5473.41</f>
        <v>40812.42</v>
      </c>
      <c r="Q78" s="79">
        <f t="shared" si="2"/>
        <v>0</v>
      </c>
      <c r="R78" s="141"/>
    </row>
    <row r="79" spans="1:18" s="13" customFormat="1" ht="30" x14ac:dyDescent="0.25">
      <c r="A79" s="10"/>
      <c r="B79" s="27" t="s">
        <v>55</v>
      </c>
      <c r="C79" s="181" t="s">
        <v>304</v>
      </c>
      <c r="D79" s="182" t="s">
        <v>387</v>
      </c>
      <c r="E79" s="183" t="s">
        <v>20</v>
      </c>
      <c r="F79" s="73" t="s">
        <v>357</v>
      </c>
      <c r="G79" s="74" t="s">
        <v>112</v>
      </c>
      <c r="H79" s="75">
        <v>14</v>
      </c>
      <c r="I79" s="76">
        <v>9</v>
      </c>
      <c r="J79" s="96">
        <f>3+1</f>
        <v>4</v>
      </c>
      <c r="K79" s="77">
        <f>1267.86+6667.8+5756.15+1180.38</f>
        <v>14872.189999999999</v>
      </c>
      <c r="L79" s="77">
        <f>1267.86+6667.8+5756.15</f>
        <v>13691.81</v>
      </c>
      <c r="M79" s="78">
        <f t="shared" si="1"/>
        <v>1180.3799999999992</v>
      </c>
      <c r="N79" s="100">
        <f>2+1+2+2+2+1</f>
        <v>10</v>
      </c>
      <c r="O79" s="81">
        <f>34854.19+2113.1+6430.67+5463.42+39145.22+2535.72+5132.44</f>
        <v>95674.760000000009</v>
      </c>
      <c r="P79" s="81">
        <f>34854.19+2113.1+6430.67+5463.42+39145.22+2535.72</f>
        <v>90542.32</v>
      </c>
      <c r="Q79" s="188">
        <f t="shared" si="2"/>
        <v>5132.4400000000023</v>
      </c>
      <c r="R79" s="141"/>
    </row>
    <row r="80" spans="1:18" s="13" customFormat="1" ht="30" x14ac:dyDescent="0.25">
      <c r="A80" s="10"/>
      <c r="B80" s="62" t="s">
        <v>56</v>
      </c>
      <c r="C80" s="181" t="s">
        <v>17</v>
      </c>
      <c r="D80" s="182" t="s">
        <v>386</v>
      </c>
      <c r="E80" s="183" t="s">
        <v>18</v>
      </c>
      <c r="F80" s="73" t="s">
        <v>358</v>
      </c>
      <c r="G80" s="74" t="s">
        <v>112</v>
      </c>
      <c r="H80" s="75">
        <v>6</v>
      </c>
      <c r="I80" s="76">
        <v>4</v>
      </c>
      <c r="J80" s="96">
        <f>1+1+2</f>
        <v>4</v>
      </c>
      <c r="K80" s="77">
        <f>678.11+678.11+4865.7</f>
        <v>6221.92</v>
      </c>
      <c r="L80" s="77">
        <f>678.11+678.11</f>
        <v>1356.22</v>
      </c>
      <c r="M80" s="78">
        <f t="shared" si="1"/>
        <v>4865.7</v>
      </c>
      <c r="N80" s="100">
        <f>1</f>
        <v>1</v>
      </c>
      <c r="O80" s="81">
        <f>4395.5</f>
        <v>4395.5</v>
      </c>
      <c r="P80" s="81">
        <f>4395.5</f>
        <v>4395.5</v>
      </c>
      <c r="Q80" s="79">
        <f t="shared" si="2"/>
        <v>0</v>
      </c>
      <c r="R80" s="141"/>
    </row>
    <row r="81" spans="1:18" s="13" customFormat="1" ht="30" hidden="1" x14ac:dyDescent="0.25">
      <c r="A81" s="10"/>
      <c r="B81" s="62" t="s">
        <v>56</v>
      </c>
      <c r="C81" s="181" t="s">
        <v>304</v>
      </c>
      <c r="D81" s="182" t="s">
        <v>386</v>
      </c>
      <c r="E81" s="183" t="s">
        <v>18</v>
      </c>
      <c r="F81" s="73" t="s">
        <v>476</v>
      </c>
      <c r="G81" s="184" t="s">
        <v>113</v>
      </c>
      <c r="H81" s="181">
        <v>6</v>
      </c>
      <c r="I81" s="185">
        <v>3</v>
      </c>
      <c r="J81" s="96">
        <v>3</v>
      </c>
      <c r="K81" s="77">
        <v>4745</v>
      </c>
      <c r="L81" s="77">
        <v>4745</v>
      </c>
      <c r="M81" s="78">
        <f t="shared" si="1"/>
        <v>0</v>
      </c>
      <c r="N81" s="100"/>
      <c r="O81" s="186">
        <v>7612</v>
      </c>
      <c r="P81" s="186">
        <v>7612</v>
      </c>
      <c r="Q81" s="188">
        <f t="shared" ref="Q81:Q149" si="3">O81-P81</f>
        <v>0</v>
      </c>
    </row>
    <row r="82" spans="1:18" s="13" customFormat="1" ht="15.75" x14ac:dyDescent="0.25">
      <c r="A82" s="10"/>
      <c r="B82" s="62" t="s">
        <v>156</v>
      </c>
      <c r="C82" s="181" t="s">
        <v>304</v>
      </c>
      <c r="D82" s="182"/>
      <c r="E82" s="183" t="s">
        <v>20</v>
      </c>
      <c r="F82" s="73" t="s">
        <v>359</v>
      </c>
      <c r="G82" s="74" t="s">
        <v>112</v>
      </c>
      <c r="H82" s="75">
        <v>3</v>
      </c>
      <c r="I82" s="76">
        <v>2</v>
      </c>
      <c r="J82" s="96">
        <f>2</f>
        <v>2</v>
      </c>
      <c r="K82" s="77">
        <f>1690.48</f>
        <v>1690.48</v>
      </c>
      <c r="L82" s="77">
        <f>1690.48</f>
        <v>1690.48</v>
      </c>
      <c r="M82" s="78">
        <f t="shared" si="1"/>
        <v>0</v>
      </c>
      <c r="N82" s="100">
        <f>3+1</f>
        <v>4</v>
      </c>
      <c r="O82" s="81">
        <f>5488.54+2398.37+422.62</f>
        <v>8309.5300000000007</v>
      </c>
      <c r="P82" s="81">
        <f>5488.54+2398.37+422.62</f>
        <v>8309.5300000000007</v>
      </c>
      <c r="Q82" s="79">
        <f t="shared" si="3"/>
        <v>0</v>
      </c>
      <c r="R82" s="141"/>
    </row>
    <row r="83" spans="1:18" s="15" customFormat="1" ht="15.75" x14ac:dyDescent="0.25">
      <c r="A83" s="14"/>
      <c r="B83" s="80" t="s">
        <v>57</v>
      </c>
      <c r="C83" s="181" t="s">
        <v>17</v>
      </c>
      <c r="D83" s="182"/>
      <c r="E83" s="183" t="s">
        <v>20</v>
      </c>
      <c r="F83" s="73" t="s">
        <v>360</v>
      </c>
      <c r="G83" s="74" t="s">
        <v>112</v>
      </c>
      <c r="H83" s="75">
        <v>6</v>
      </c>
      <c r="I83" s="76">
        <v>6</v>
      </c>
      <c r="J83" s="96">
        <f>2+1+1+2</f>
        <v>6</v>
      </c>
      <c r="K83" s="77">
        <f>806.82+1728.9+422.62+2958.34</f>
        <v>5916.68</v>
      </c>
      <c r="L83" s="77">
        <f>806.82+1728.9+422.62</f>
        <v>2958.34</v>
      </c>
      <c r="M83" s="78">
        <f t="shared" si="1"/>
        <v>2958.34</v>
      </c>
      <c r="N83" s="100">
        <f>2+1</f>
        <v>3</v>
      </c>
      <c r="O83" s="81">
        <f>2745.3</f>
        <v>2745.3</v>
      </c>
      <c r="P83" s="81">
        <f>2745.3</f>
        <v>2745.3</v>
      </c>
      <c r="Q83" s="188">
        <f t="shared" si="3"/>
        <v>0</v>
      </c>
      <c r="R83" s="141"/>
    </row>
    <row r="84" spans="1:18" s="15" customFormat="1" ht="15.75" hidden="1" x14ac:dyDescent="0.25">
      <c r="A84" s="14"/>
      <c r="B84" s="80" t="s">
        <v>57</v>
      </c>
      <c r="C84" s="181" t="s">
        <v>17</v>
      </c>
      <c r="D84" s="182"/>
      <c r="E84" s="183" t="s">
        <v>20</v>
      </c>
      <c r="F84" s="73" t="s">
        <v>458</v>
      </c>
      <c r="G84" s="184" t="s">
        <v>114</v>
      </c>
      <c r="H84" s="181">
        <v>28</v>
      </c>
      <c r="I84" s="185">
        <v>3</v>
      </c>
      <c r="J84" s="190">
        <v>3</v>
      </c>
      <c r="K84" s="77">
        <v>3765.16</v>
      </c>
      <c r="L84" s="77">
        <v>3765.16</v>
      </c>
      <c r="M84" s="187">
        <f t="shared" si="1"/>
        <v>0</v>
      </c>
      <c r="N84" s="101">
        <v>16</v>
      </c>
      <c r="O84" s="186">
        <v>36726.400000000001</v>
      </c>
      <c r="P84" s="186">
        <v>35381.699999999997</v>
      </c>
      <c r="Q84" s="188">
        <f t="shared" si="3"/>
        <v>1344.7000000000044</v>
      </c>
    </row>
    <row r="85" spans="1:18" s="13" customFormat="1" ht="15.75" x14ac:dyDescent="0.25">
      <c r="A85" s="10"/>
      <c r="B85" s="62" t="s">
        <v>58</v>
      </c>
      <c r="C85" s="181" t="s">
        <v>17</v>
      </c>
      <c r="D85" s="182"/>
      <c r="E85" s="183" t="s">
        <v>20</v>
      </c>
      <c r="F85" s="73" t="s">
        <v>361</v>
      </c>
      <c r="G85" s="74" t="s">
        <v>112</v>
      </c>
      <c r="H85" s="75">
        <v>6</v>
      </c>
      <c r="I85" s="76">
        <v>4</v>
      </c>
      <c r="J85" s="96">
        <f>1+2+1</f>
        <v>4</v>
      </c>
      <c r="K85" s="77">
        <f>1892.47+3118.94+422.62</f>
        <v>5434.03</v>
      </c>
      <c r="L85" s="77">
        <f>1892.47+3118.94</f>
        <v>5011.41</v>
      </c>
      <c r="M85" s="78">
        <f>K85-L85</f>
        <v>422.61999999999989</v>
      </c>
      <c r="N85" s="100">
        <f>1+1+3</f>
        <v>5</v>
      </c>
      <c r="O85" s="81">
        <f>9196.24+2480.78+2954.11+15214.32</f>
        <v>29845.45</v>
      </c>
      <c r="P85" s="81">
        <f>9196.24+2480.78+2954.11+15214.32</f>
        <v>29845.45</v>
      </c>
      <c r="Q85" s="188">
        <f t="shared" si="3"/>
        <v>0</v>
      </c>
      <c r="R85" s="141"/>
    </row>
    <row r="86" spans="1:18" s="13" customFormat="1" ht="15.75" hidden="1" x14ac:dyDescent="0.25">
      <c r="A86" s="10"/>
      <c r="B86" s="62" t="s">
        <v>58</v>
      </c>
      <c r="C86" s="181" t="s">
        <v>17</v>
      </c>
      <c r="D86" s="182"/>
      <c r="E86" s="183" t="s">
        <v>20</v>
      </c>
      <c r="F86" s="73" t="s">
        <v>478</v>
      </c>
      <c r="G86" s="184" t="s">
        <v>114</v>
      </c>
      <c r="H86" s="181">
        <v>15</v>
      </c>
      <c r="I86" s="185">
        <v>2</v>
      </c>
      <c r="J86" s="190">
        <v>2</v>
      </c>
      <c r="K86" s="77"/>
      <c r="L86" s="77"/>
      <c r="M86" s="187">
        <f t="shared" ref="M86:M160" si="4">K86-L86</f>
        <v>0</v>
      </c>
      <c r="N86" s="100">
        <v>21</v>
      </c>
      <c r="O86" s="186">
        <v>54215.77</v>
      </c>
      <c r="P86" s="186">
        <v>54215.77</v>
      </c>
      <c r="Q86" s="188">
        <f t="shared" si="3"/>
        <v>0</v>
      </c>
    </row>
    <row r="87" spans="1:18" s="13" customFormat="1" ht="15.75" x14ac:dyDescent="0.25">
      <c r="A87" s="10"/>
      <c r="B87" s="62" t="s">
        <v>59</v>
      </c>
      <c r="C87" s="181" t="s">
        <v>17</v>
      </c>
      <c r="D87" s="182"/>
      <c r="E87" s="183" t="s">
        <v>20</v>
      </c>
      <c r="F87" s="73" t="s">
        <v>362</v>
      </c>
      <c r="G87" s="74" t="s">
        <v>112</v>
      </c>
      <c r="H87" s="75">
        <v>10</v>
      </c>
      <c r="I87" s="76">
        <v>8</v>
      </c>
      <c r="J87" s="96">
        <f>1+1+1+3+1+1</f>
        <v>8</v>
      </c>
      <c r="K87" s="77">
        <f>403.41+1431.16+845.24+998.92</f>
        <v>3678.7300000000005</v>
      </c>
      <c r="L87" s="77">
        <f>403.41+1431.16+845.24</f>
        <v>2679.8100000000004</v>
      </c>
      <c r="M87" s="78">
        <f>K87-L87</f>
        <v>998.92000000000007</v>
      </c>
      <c r="N87" s="100">
        <f>1+2+2+1+1+1</f>
        <v>8</v>
      </c>
      <c r="O87" s="81">
        <f>6646.05+1267.86+979.71</f>
        <v>8893.619999999999</v>
      </c>
      <c r="P87" s="81">
        <f>2353.23+5561.68+978.71</f>
        <v>8893.619999999999</v>
      </c>
      <c r="Q87" s="188">
        <f t="shared" si="3"/>
        <v>0</v>
      </c>
      <c r="R87" s="141"/>
    </row>
    <row r="88" spans="1:18" s="13" customFormat="1" ht="15.75" hidden="1" x14ac:dyDescent="0.25">
      <c r="A88" s="10"/>
      <c r="B88" s="62" t="s">
        <v>59</v>
      </c>
      <c r="C88" s="181" t="s">
        <v>17</v>
      </c>
      <c r="D88" s="182"/>
      <c r="E88" s="183" t="s">
        <v>20</v>
      </c>
      <c r="F88" s="73" t="s">
        <v>128</v>
      </c>
      <c r="G88" s="184" t="s">
        <v>114</v>
      </c>
      <c r="H88" s="181"/>
      <c r="I88" s="185"/>
      <c r="J88" s="190"/>
      <c r="K88" s="77"/>
      <c r="L88" s="77"/>
      <c r="M88" s="187">
        <f t="shared" si="4"/>
        <v>0</v>
      </c>
      <c r="N88" s="100"/>
      <c r="O88" s="186"/>
      <c r="P88" s="186"/>
      <c r="Q88" s="188">
        <f t="shared" si="3"/>
        <v>0</v>
      </c>
    </row>
    <row r="89" spans="1:18" s="13" customFormat="1" ht="15.75" x14ac:dyDescent="0.25">
      <c r="A89" s="10"/>
      <c r="B89" s="27" t="s">
        <v>60</v>
      </c>
      <c r="C89" s="181" t="s">
        <v>17</v>
      </c>
      <c r="D89" s="182"/>
      <c r="E89" s="183" t="s">
        <v>20</v>
      </c>
      <c r="F89" s="73" t="s">
        <v>364</v>
      </c>
      <c r="G89" s="74" t="s">
        <v>112</v>
      </c>
      <c r="H89" s="75">
        <v>15</v>
      </c>
      <c r="I89" s="76">
        <v>3</v>
      </c>
      <c r="J89" s="96">
        <f>1+1+1</f>
        <v>3</v>
      </c>
      <c r="K89" s="77">
        <f>634.93+893.27</f>
        <v>1528.1999999999998</v>
      </c>
      <c r="L89" s="77">
        <f>634.93+893.27</f>
        <v>1528.1999999999998</v>
      </c>
      <c r="M89" s="78">
        <f>K89-L89</f>
        <v>0</v>
      </c>
      <c r="N89" s="100">
        <f>4+1+3+1</f>
        <v>9</v>
      </c>
      <c r="O89" s="81">
        <f>15124.53+2065.75+8492.52</f>
        <v>25682.799999999999</v>
      </c>
      <c r="P89" s="81">
        <f>15124.53+2065.75+8492.52</f>
        <v>25682.799999999999</v>
      </c>
      <c r="Q89" s="188">
        <f t="shared" si="3"/>
        <v>0</v>
      </c>
      <c r="R89" s="141"/>
    </row>
    <row r="90" spans="1:18" s="13" customFormat="1" ht="15.75" hidden="1" x14ac:dyDescent="0.25">
      <c r="A90" s="10"/>
      <c r="B90" s="27" t="s">
        <v>60</v>
      </c>
      <c r="C90" s="181" t="s">
        <v>17</v>
      </c>
      <c r="D90" s="182"/>
      <c r="E90" s="183" t="s">
        <v>20</v>
      </c>
      <c r="F90" s="73" t="s">
        <v>479</v>
      </c>
      <c r="G90" s="184" t="s">
        <v>114</v>
      </c>
      <c r="H90" s="181">
        <v>6</v>
      </c>
      <c r="I90" s="185">
        <v>1</v>
      </c>
      <c r="J90" s="190">
        <v>1</v>
      </c>
      <c r="K90" s="77"/>
      <c r="L90" s="77"/>
      <c r="M90" s="187">
        <f t="shared" si="4"/>
        <v>0</v>
      </c>
      <c r="N90" s="100">
        <v>7</v>
      </c>
      <c r="O90" s="186">
        <v>10293.5</v>
      </c>
      <c r="P90" s="186">
        <v>10293.5</v>
      </c>
      <c r="Q90" s="188">
        <f t="shared" si="3"/>
        <v>0</v>
      </c>
    </row>
    <row r="91" spans="1:18" s="13" customFormat="1" ht="15.75" x14ac:dyDescent="0.25">
      <c r="A91" s="10"/>
      <c r="B91" s="27" t="s">
        <v>493</v>
      </c>
      <c r="C91" s="181" t="s">
        <v>17</v>
      </c>
      <c r="D91" s="182"/>
      <c r="E91" s="183" t="s">
        <v>20</v>
      </c>
      <c r="F91" s="73" t="s">
        <v>496</v>
      </c>
      <c r="G91" s="184" t="s">
        <v>112</v>
      </c>
      <c r="H91" s="181">
        <v>9</v>
      </c>
      <c r="I91" s="185">
        <v>5</v>
      </c>
      <c r="J91" s="190">
        <f>3+2+1</f>
        <v>6</v>
      </c>
      <c r="K91" s="77">
        <f>3387.04+3467.41+1267.86</f>
        <v>8122.3099999999995</v>
      </c>
      <c r="L91" s="77">
        <f>3387.04+3467.41</f>
        <v>6854.45</v>
      </c>
      <c r="M91" s="78">
        <f t="shared" si="4"/>
        <v>1267.8599999999997</v>
      </c>
      <c r="N91" s="100"/>
      <c r="O91" s="186"/>
      <c r="P91" s="186"/>
      <c r="Q91" s="79"/>
    </row>
    <row r="92" spans="1:18" s="15" customFormat="1" ht="15.75" x14ac:dyDescent="0.25">
      <c r="A92" s="14"/>
      <c r="B92" s="28" t="s">
        <v>61</v>
      </c>
      <c r="C92" s="181" t="s">
        <v>17</v>
      </c>
      <c r="D92" s="182"/>
      <c r="E92" s="183" t="s">
        <v>20</v>
      </c>
      <c r="F92" s="73" t="s">
        <v>363</v>
      </c>
      <c r="G92" s="74" t="s">
        <v>112</v>
      </c>
      <c r="H92" s="75"/>
      <c r="I92" s="76"/>
      <c r="J92" s="96"/>
      <c r="K92" s="77"/>
      <c r="L92" s="77"/>
      <c r="M92" s="78">
        <f t="shared" si="4"/>
        <v>0</v>
      </c>
      <c r="N92" s="100"/>
      <c r="O92" s="81"/>
      <c r="P92" s="81"/>
      <c r="Q92" s="188">
        <f t="shared" si="3"/>
        <v>0</v>
      </c>
      <c r="R92" s="141"/>
    </row>
    <row r="93" spans="1:18" s="15" customFormat="1" ht="15.75" hidden="1" x14ac:dyDescent="0.25">
      <c r="A93" s="14"/>
      <c r="B93" s="28" t="s">
        <v>61</v>
      </c>
      <c r="C93" s="181" t="s">
        <v>17</v>
      </c>
      <c r="D93" s="182"/>
      <c r="E93" s="183" t="s">
        <v>20</v>
      </c>
      <c r="F93" s="73" t="s">
        <v>121</v>
      </c>
      <c r="G93" s="184" t="s">
        <v>114</v>
      </c>
      <c r="H93" s="181"/>
      <c r="I93" s="185"/>
      <c r="J93" s="190"/>
      <c r="K93" s="77"/>
      <c r="L93" s="77"/>
      <c r="M93" s="187">
        <f t="shared" si="4"/>
        <v>0</v>
      </c>
      <c r="N93" s="101"/>
      <c r="O93" s="186"/>
      <c r="P93" s="186"/>
      <c r="Q93" s="188">
        <f t="shared" si="3"/>
        <v>0</v>
      </c>
    </row>
    <row r="94" spans="1:18" s="15" customFormat="1" ht="15.75" x14ac:dyDescent="0.25">
      <c r="A94" s="14"/>
      <c r="B94" s="200" t="s">
        <v>306</v>
      </c>
      <c r="C94" s="181" t="s">
        <v>17</v>
      </c>
      <c r="D94" s="182"/>
      <c r="E94" s="183" t="s">
        <v>35</v>
      </c>
      <c r="F94" s="73" t="s">
        <v>365</v>
      </c>
      <c r="G94" s="184" t="s">
        <v>112</v>
      </c>
      <c r="H94" s="181">
        <v>25</v>
      </c>
      <c r="I94" s="185">
        <v>15</v>
      </c>
      <c r="J94" s="190">
        <f>1+2+1+3+3+2+3</f>
        <v>15</v>
      </c>
      <c r="K94" s="77">
        <f>1045.98+2658.7+35696.14+4892.46+1024.04+2384.53+10793.24+5320.79</f>
        <v>63815.88</v>
      </c>
      <c r="L94" s="77">
        <f>1045.98+2658.7+35696.14+4892.46+1024.04+2384.53+10793.24+5320.79</f>
        <v>63815.88</v>
      </c>
      <c r="M94" s="78">
        <f>K94-L94</f>
        <v>0</v>
      </c>
      <c r="N94" s="114">
        <f>7+2+2+2+1</f>
        <v>14</v>
      </c>
      <c r="O94" s="186">
        <f>2313.84+6162.57+2330.32+1690.48+3706.14+3107.65</f>
        <v>19311</v>
      </c>
      <c r="P94" s="186">
        <f>2313.84+6162.57+2330.32+1690.48+3706.14+3107.65</f>
        <v>19311</v>
      </c>
      <c r="Q94" s="188">
        <f t="shared" si="3"/>
        <v>0</v>
      </c>
      <c r="R94" s="141"/>
    </row>
    <row r="95" spans="1:18" s="13" customFormat="1" ht="15.75" hidden="1" x14ac:dyDescent="0.25">
      <c r="A95" s="10"/>
      <c r="B95" s="62" t="s">
        <v>306</v>
      </c>
      <c r="C95" s="181" t="s">
        <v>17</v>
      </c>
      <c r="D95" s="182"/>
      <c r="E95" s="183" t="s">
        <v>27</v>
      </c>
      <c r="F95" s="73" t="s">
        <v>421</v>
      </c>
      <c r="G95" s="184" t="s">
        <v>117</v>
      </c>
      <c r="H95" s="181">
        <v>2</v>
      </c>
      <c r="I95" s="185"/>
      <c r="J95" s="96"/>
      <c r="K95" s="77"/>
      <c r="L95" s="77"/>
      <c r="M95" s="78">
        <f>K95-L95</f>
        <v>0</v>
      </c>
      <c r="N95" s="100"/>
      <c r="O95" s="77"/>
      <c r="P95" s="77"/>
      <c r="Q95" s="79">
        <f>O95-P95</f>
        <v>0</v>
      </c>
    </row>
    <row r="96" spans="1:18" s="13" customFormat="1" ht="15.75" x14ac:dyDescent="0.25">
      <c r="A96" s="10"/>
      <c r="B96" s="27" t="s">
        <v>62</v>
      </c>
      <c r="C96" s="181" t="s">
        <v>17</v>
      </c>
      <c r="D96" s="182"/>
      <c r="E96" s="183" t="s">
        <v>35</v>
      </c>
      <c r="F96" s="73" t="s">
        <v>366</v>
      </c>
      <c r="G96" s="74" t="s">
        <v>112</v>
      </c>
      <c r="H96" s="75">
        <v>15</v>
      </c>
      <c r="I96" s="76">
        <v>9</v>
      </c>
      <c r="J96" s="96">
        <f>1+3+1+1+2</f>
        <v>8</v>
      </c>
      <c r="K96" s="77">
        <f>3613.4+1872.01+1394.65+3518.32</f>
        <v>10398.379999999999</v>
      </c>
      <c r="L96" s="77">
        <f>3613.4+1872.01+1394.65</f>
        <v>6880.0599999999995</v>
      </c>
      <c r="M96" s="78">
        <f>K96-L96</f>
        <v>3518.3199999999997</v>
      </c>
      <c r="N96" s="100">
        <f>6+2+1+2+1+3</f>
        <v>15</v>
      </c>
      <c r="O96" s="81">
        <f>19511.33+1270.93+3979.74+2500.85+8530.18+845.24+12787.47</f>
        <v>49425.74</v>
      </c>
      <c r="P96" s="81">
        <f>19511.33+1270.93+3979.74+2500.85+8530.18+845.24</f>
        <v>36638.269999999997</v>
      </c>
      <c r="Q96" s="79">
        <f t="shared" si="3"/>
        <v>12787.470000000001</v>
      </c>
      <c r="R96" s="141"/>
    </row>
    <row r="97" spans="1:18" s="13" customFormat="1" ht="15.75" hidden="1" x14ac:dyDescent="0.25">
      <c r="A97" s="10"/>
      <c r="B97" s="27" t="s">
        <v>62</v>
      </c>
      <c r="C97" s="181" t="s">
        <v>17</v>
      </c>
      <c r="D97" s="182"/>
      <c r="E97" s="183" t="s">
        <v>35</v>
      </c>
      <c r="F97" s="73" t="s">
        <v>428</v>
      </c>
      <c r="G97" s="184" t="s">
        <v>117</v>
      </c>
      <c r="H97" s="181">
        <v>2</v>
      </c>
      <c r="I97" s="185"/>
      <c r="J97" s="96"/>
      <c r="K97" s="77"/>
      <c r="L97" s="77"/>
      <c r="M97" s="78">
        <f t="shared" si="4"/>
        <v>0</v>
      </c>
      <c r="N97" s="100">
        <v>9</v>
      </c>
      <c r="O97" s="186">
        <v>22788.1</v>
      </c>
      <c r="P97" s="186">
        <v>22788.1</v>
      </c>
      <c r="Q97" s="188">
        <f t="shared" si="3"/>
        <v>0</v>
      </c>
    </row>
    <row r="98" spans="1:18" s="13" customFormat="1" ht="15.75" hidden="1" x14ac:dyDescent="0.25">
      <c r="A98" s="10"/>
      <c r="B98" s="27" t="s">
        <v>63</v>
      </c>
      <c r="C98" s="181" t="s">
        <v>64</v>
      </c>
      <c r="D98" s="182" t="s">
        <v>65</v>
      </c>
      <c r="E98" s="183" t="s">
        <v>20</v>
      </c>
      <c r="F98" s="73" t="s">
        <v>480</v>
      </c>
      <c r="G98" s="184" t="s">
        <v>114</v>
      </c>
      <c r="H98" s="181"/>
      <c r="I98" s="185"/>
      <c r="J98" s="190"/>
      <c r="K98" s="77"/>
      <c r="L98" s="77"/>
      <c r="M98" s="187">
        <f t="shared" si="4"/>
        <v>0</v>
      </c>
      <c r="N98" s="100"/>
      <c r="O98" s="186"/>
      <c r="P98" s="186"/>
      <c r="Q98" s="188">
        <f t="shared" si="3"/>
        <v>0</v>
      </c>
    </row>
    <row r="99" spans="1:18" s="13" customFormat="1" ht="15.75" x14ac:dyDescent="0.25">
      <c r="A99" s="10"/>
      <c r="B99" s="27" t="s">
        <v>155</v>
      </c>
      <c r="C99" s="181" t="s">
        <v>17</v>
      </c>
      <c r="D99" s="182"/>
      <c r="E99" s="183" t="s">
        <v>20</v>
      </c>
      <c r="F99" s="73" t="s">
        <v>367</v>
      </c>
      <c r="G99" s="74" t="s">
        <v>112</v>
      </c>
      <c r="H99" s="75">
        <v>9</v>
      </c>
      <c r="I99" s="82">
        <v>5</v>
      </c>
      <c r="J99" s="96">
        <f>1+2+3</f>
        <v>6</v>
      </c>
      <c r="K99" s="77">
        <f>3117.56+2266.78+5307.72</f>
        <v>10692.060000000001</v>
      </c>
      <c r="L99" s="77">
        <f>3117.56+2266.78</f>
        <v>5384.34</v>
      </c>
      <c r="M99" s="78">
        <f>K99-L99</f>
        <v>5307.7200000000012</v>
      </c>
      <c r="N99" s="100">
        <f>1+1+1</f>
        <v>3</v>
      </c>
      <c r="O99" s="81">
        <f>1798.06+2123.67</f>
        <v>3921.73</v>
      </c>
      <c r="P99" s="81">
        <f>1798.06+2123.67</f>
        <v>3921.73</v>
      </c>
      <c r="Q99" s="188">
        <f t="shared" si="3"/>
        <v>0</v>
      </c>
      <c r="R99" s="141"/>
    </row>
    <row r="100" spans="1:18" s="13" customFormat="1" ht="15.75" hidden="1" x14ac:dyDescent="0.25">
      <c r="A100" s="10"/>
      <c r="B100" s="27" t="s">
        <v>155</v>
      </c>
      <c r="C100" s="181" t="s">
        <v>17</v>
      </c>
      <c r="D100" s="182"/>
      <c r="E100" s="183" t="s">
        <v>20</v>
      </c>
      <c r="F100" s="73" t="s">
        <v>459</v>
      </c>
      <c r="G100" s="184" t="s">
        <v>114</v>
      </c>
      <c r="H100" s="181">
        <v>7</v>
      </c>
      <c r="I100" s="185">
        <v>3</v>
      </c>
      <c r="J100" s="190">
        <v>3</v>
      </c>
      <c r="K100" s="77"/>
      <c r="L100" s="77"/>
      <c r="M100" s="187">
        <f t="shared" si="4"/>
        <v>0</v>
      </c>
      <c r="N100" s="100">
        <v>13</v>
      </c>
      <c r="O100" s="186">
        <v>27266.37</v>
      </c>
      <c r="P100" s="186">
        <v>27266.37</v>
      </c>
      <c r="Q100" s="188">
        <f t="shared" si="3"/>
        <v>0</v>
      </c>
    </row>
    <row r="101" spans="1:18" s="13" customFormat="1" ht="15.75" x14ac:dyDescent="0.25">
      <c r="A101" s="10"/>
      <c r="B101" s="30" t="s">
        <v>66</v>
      </c>
      <c r="C101" s="181" t="s">
        <v>17</v>
      </c>
      <c r="D101" s="182"/>
      <c r="E101" s="183" t="s">
        <v>21</v>
      </c>
      <c r="F101" s="73" t="s">
        <v>368</v>
      </c>
      <c r="G101" s="74" t="s">
        <v>112</v>
      </c>
      <c r="H101" s="75">
        <v>19</v>
      </c>
      <c r="I101" s="76">
        <v>13</v>
      </c>
      <c r="J101" s="96">
        <f>1+3+2+3+2+1+2+1</f>
        <v>15</v>
      </c>
      <c r="K101" s="77">
        <f>1045.98+4309.04+3820.12+1872.01+4253.49+3044.79+1191.19+4942.84</f>
        <v>24479.46</v>
      </c>
      <c r="L101" s="77">
        <f>1045.98+4309.04+3820.12+1872.01+4253.49+3044.79+1191.19</f>
        <v>19536.62</v>
      </c>
      <c r="M101" s="78">
        <f>K101-L101</f>
        <v>4942.84</v>
      </c>
      <c r="N101" s="100">
        <f>6+3+8+7+1+1+1+2+1+1+1+1</f>
        <v>33</v>
      </c>
      <c r="O101" s="81">
        <f>11911.17+23136+18060.17+1977.84+2091.97+19535.65+19124.11+3199.71+4430.07</f>
        <v>103466.69</v>
      </c>
      <c r="P101" s="81">
        <f>11911.17+23136+18060.17+1977.84+2091.97+19535.65+19124.11+3199.71</f>
        <v>99036.62</v>
      </c>
      <c r="Q101" s="188">
        <f t="shared" si="3"/>
        <v>4430.070000000007</v>
      </c>
      <c r="R101" s="141"/>
    </row>
    <row r="102" spans="1:18" s="13" customFormat="1" ht="15.75" hidden="1" x14ac:dyDescent="0.25">
      <c r="A102" s="10"/>
      <c r="B102" s="30" t="s">
        <v>66</v>
      </c>
      <c r="C102" s="181" t="s">
        <v>17</v>
      </c>
      <c r="D102" s="182"/>
      <c r="E102" s="183" t="s">
        <v>21</v>
      </c>
      <c r="F102" s="73" t="s">
        <v>439</v>
      </c>
      <c r="G102" s="184" t="s">
        <v>118</v>
      </c>
      <c r="H102" s="181">
        <v>6</v>
      </c>
      <c r="I102" s="185">
        <v>1</v>
      </c>
      <c r="J102" s="96">
        <v>1</v>
      </c>
      <c r="K102" s="77">
        <v>1152.5999999999999</v>
      </c>
      <c r="L102" s="77">
        <v>1152.5999999999999</v>
      </c>
      <c r="M102" s="187">
        <f t="shared" si="4"/>
        <v>0</v>
      </c>
      <c r="N102" s="100">
        <v>16</v>
      </c>
      <c r="O102" s="186">
        <v>66871.69</v>
      </c>
      <c r="P102" s="186">
        <v>66871.69</v>
      </c>
      <c r="Q102" s="79">
        <f t="shared" si="3"/>
        <v>0</v>
      </c>
    </row>
    <row r="103" spans="1:18" s="13" customFormat="1" ht="15.75" x14ac:dyDescent="0.25">
      <c r="A103" s="10"/>
      <c r="B103" s="62" t="s">
        <v>137</v>
      </c>
      <c r="C103" s="181" t="s">
        <v>17</v>
      </c>
      <c r="D103" s="182"/>
      <c r="E103" s="194" t="s">
        <v>35</v>
      </c>
      <c r="F103" s="73" t="s">
        <v>369</v>
      </c>
      <c r="G103" s="74" t="s">
        <v>112</v>
      </c>
      <c r="H103" s="75">
        <v>25</v>
      </c>
      <c r="I103" s="76">
        <v>13</v>
      </c>
      <c r="J103" s="96">
        <f>3+3+1+4+1</f>
        <v>12</v>
      </c>
      <c r="K103" s="77">
        <f>504.26+845.24+3380.96+422.62+2535.72</f>
        <v>7688.7999999999993</v>
      </c>
      <c r="L103" s="77">
        <f>504.26+845.24+3380.96+422.62</f>
        <v>5153.08</v>
      </c>
      <c r="M103" s="78">
        <f>K103-L103</f>
        <v>2535.7199999999993</v>
      </c>
      <c r="N103" s="100">
        <f>5+1+1+2+1</f>
        <v>10</v>
      </c>
      <c r="O103" s="81">
        <f>2617.36+422.62+3852.18+3380.96+422.62</f>
        <v>10695.74</v>
      </c>
      <c r="P103" s="81">
        <f>2617.36+422.62+3852.18+3380.96</f>
        <v>10273.119999999999</v>
      </c>
      <c r="Q103" s="188">
        <f t="shared" si="3"/>
        <v>422.6200000000008</v>
      </c>
      <c r="R103" s="141"/>
    </row>
    <row r="104" spans="1:18" s="13" customFormat="1" ht="15.75" hidden="1" x14ac:dyDescent="0.25">
      <c r="A104" s="10"/>
      <c r="B104" s="62" t="s">
        <v>137</v>
      </c>
      <c r="C104" s="181" t="s">
        <v>17</v>
      </c>
      <c r="D104" s="182"/>
      <c r="E104" s="194" t="s">
        <v>35</v>
      </c>
      <c r="F104" s="73" t="s">
        <v>429</v>
      </c>
      <c r="G104" s="184" t="s">
        <v>117</v>
      </c>
      <c r="H104" s="181">
        <v>2</v>
      </c>
      <c r="I104" s="185">
        <v>1</v>
      </c>
      <c r="J104" s="190">
        <v>1</v>
      </c>
      <c r="K104" s="193">
        <v>1921</v>
      </c>
      <c r="L104" s="193">
        <v>1921</v>
      </c>
      <c r="M104" s="78">
        <f t="shared" si="4"/>
        <v>0</v>
      </c>
      <c r="N104" s="114">
        <v>2</v>
      </c>
      <c r="O104" s="186">
        <v>10565.5</v>
      </c>
      <c r="P104" s="186">
        <v>10565.5</v>
      </c>
      <c r="Q104" s="79">
        <f t="shared" si="3"/>
        <v>0</v>
      </c>
    </row>
    <row r="105" spans="1:18" s="13" customFormat="1" ht="15.75" x14ac:dyDescent="0.25">
      <c r="A105" s="10"/>
      <c r="B105" s="30" t="s">
        <v>67</v>
      </c>
      <c r="C105" s="181" t="s">
        <v>17</v>
      </c>
      <c r="D105" s="182"/>
      <c r="E105" s="194" t="s">
        <v>21</v>
      </c>
      <c r="F105" s="73" t="s">
        <v>370</v>
      </c>
      <c r="G105" s="74" t="s">
        <v>112</v>
      </c>
      <c r="H105" s="75">
        <v>24</v>
      </c>
      <c r="I105" s="76">
        <v>11</v>
      </c>
      <c r="J105" s="96">
        <f>2+1+1+2+1+1+2+2+1</f>
        <v>13</v>
      </c>
      <c r="K105" s="77">
        <f>3319.85+1198.9+864.45+7235.32+1947.89+5377.75+8701.73</f>
        <v>28645.89</v>
      </c>
      <c r="L105" s="77">
        <f>3319.85+1198.9+864.45+7235.32+1947.89+5377.75</f>
        <v>19944.16</v>
      </c>
      <c r="M105" s="78">
        <f>K105-L105</f>
        <v>8701.73</v>
      </c>
      <c r="N105" s="100">
        <f>4+9+4+4+1+3+1+3+1</f>
        <v>30</v>
      </c>
      <c r="O105" s="81">
        <f>29696.65+38129.03+13567.9+20687.05+2022.79+8145.77+17250.05+1233.28</f>
        <v>130732.51999999999</v>
      </c>
      <c r="P105" s="81">
        <f>29696.65+38129.03+13567.9+20687.05+2022.79+8145.77+17250.05</f>
        <v>129499.23999999999</v>
      </c>
      <c r="Q105" s="188">
        <f t="shared" si="3"/>
        <v>1233.2799999999988</v>
      </c>
      <c r="R105" s="141"/>
    </row>
    <row r="106" spans="1:18" s="13" customFormat="1" ht="15.75" hidden="1" x14ac:dyDescent="0.25">
      <c r="A106" s="10"/>
      <c r="B106" s="30" t="s">
        <v>67</v>
      </c>
      <c r="C106" s="181" t="s">
        <v>17</v>
      </c>
      <c r="D106" s="182"/>
      <c r="E106" s="194" t="s">
        <v>21</v>
      </c>
      <c r="F106" s="73" t="s">
        <v>440</v>
      </c>
      <c r="G106" s="184" t="s">
        <v>118</v>
      </c>
      <c r="H106" s="181">
        <v>9</v>
      </c>
      <c r="I106" s="185">
        <v>1</v>
      </c>
      <c r="J106" s="96">
        <v>1</v>
      </c>
      <c r="K106" s="77">
        <v>3476.24</v>
      </c>
      <c r="L106" s="77">
        <v>3476.24</v>
      </c>
      <c r="M106" s="78">
        <f t="shared" si="4"/>
        <v>0</v>
      </c>
      <c r="N106" s="100">
        <v>12</v>
      </c>
      <c r="O106" s="186">
        <v>49443.59</v>
      </c>
      <c r="P106" s="186">
        <v>49443.59</v>
      </c>
      <c r="Q106" s="79">
        <f t="shared" si="3"/>
        <v>0</v>
      </c>
    </row>
    <row r="107" spans="1:18" s="13" customFormat="1" ht="15.75" x14ac:dyDescent="0.25">
      <c r="A107" s="10"/>
      <c r="B107" s="30" t="s">
        <v>68</v>
      </c>
      <c r="C107" s="181" t="s">
        <v>17</v>
      </c>
      <c r="D107" s="182"/>
      <c r="E107" s="194" t="s">
        <v>32</v>
      </c>
      <c r="F107" s="73" t="s">
        <v>371</v>
      </c>
      <c r="G107" s="74" t="s">
        <v>112</v>
      </c>
      <c r="H107" s="75">
        <v>14</v>
      </c>
      <c r="I107" s="76">
        <v>9</v>
      </c>
      <c r="J107" s="96">
        <f>2+1+2+5</f>
        <v>10</v>
      </c>
      <c r="K107" s="77">
        <f>1128.59+422.62+1152.6+4557.81+10981.59</f>
        <v>18243.21</v>
      </c>
      <c r="L107" s="77">
        <f>1128.59+422.62+1152.6+4557.81</f>
        <v>7261.6200000000008</v>
      </c>
      <c r="M107" s="78">
        <f>K107-L107</f>
        <v>10981.589999999998</v>
      </c>
      <c r="N107" s="100">
        <f>6+5+1+4+2</f>
        <v>18</v>
      </c>
      <c r="O107" s="81">
        <f>7813.73+8523.5+1452.28+12582.19+18077.76</f>
        <v>48449.459999999992</v>
      </c>
      <c r="P107" s="81">
        <f>7813.73+8523.5+1452.28+12582.19</f>
        <v>30371.699999999997</v>
      </c>
      <c r="Q107" s="188">
        <f t="shared" si="3"/>
        <v>18077.759999999995</v>
      </c>
      <c r="R107" s="141"/>
    </row>
    <row r="108" spans="1:18" s="13" customFormat="1" ht="15.75" hidden="1" x14ac:dyDescent="0.25">
      <c r="A108" s="10"/>
      <c r="B108" s="30" t="s">
        <v>68</v>
      </c>
      <c r="C108" s="181" t="s">
        <v>17</v>
      </c>
      <c r="D108" s="182"/>
      <c r="E108" s="194" t="s">
        <v>32</v>
      </c>
      <c r="F108" s="73" t="s">
        <v>430</v>
      </c>
      <c r="G108" s="195" t="s">
        <v>117</v>
      </c>
      <c r="H108" s="181">
        <v>1</v>
      </c>
      <c r="I108" s="185"/>
      <c r="J108" s="96"/>
      <c r="K108" s="77"/>
      <c r="L108" s="77"/>
      <c r="M108" s="78">
        <f t="shared" si="4"/>
        <v>0</v>
      </c>
      <c r="N108" s="100"/>
      <c r="O108" s="77"/>
      <c r="P108" s="77"/>
      <c r="Q108" s="79">
        <f t="shared" si="3"/>
        <v>0</v>
      </c>
    </row>
    <row r="109" spans="1:18" s="15" customFormat="1" ht="15.75" x14ac:dyDescent="0.25">
      <c r="A109" s="14"/>
      <c r="B109" s="28" t="s">
        <v>69</v>
      </c>
      <c r="C109" s="181" t="s">
        <v>17</v>
      </c>
      <c r="D109" s="182"/>
      <c r="E109" s="183" t="s">
        <v>20</v>
      </c>
      <c r="F109" s="73" t="s">
        <v>372</v>
      </c>
      <c r="G109" s="74" t="s">
        <v>112</v>
      </c>
      <c r="H109" s="75">
        <v>5</v>
      </c>
      <c r="I109" s="76">
        <v>3</v>
      </c>
      <c r="J109" s="96">
        <f>1+1+1+1</f>
        <v>4</v>
      </c>
      <c r="K109" s="77">
        <f>422.62+17390.69+3114.71+475.45</f>
        <v>21403.469999999998</v>
      </c>
      <c r="L109" s="77">
        <f>422.62+17390.69+3114.71</f>
        <v>20928.019999999997</v>
      </c>
      <c r="M109" s="78">
        <f t="shared" si="4"/>
        <v>475.45000000000073</v>
      </c>
      <c r="N109" s="100">
        <f>3+2+1+1+1</f>
        <v>8</v>
      </c>
      <c r="O109" s="77">
        <f>7210.31+3647.96+1306.28+1267.86+2697.06</f>
        <v>16129.470000000001</v>
      </c>
      <c r="P109" s="77">
        <f>7210.31+3647.96+1306.28+1267.86+2697.06</f>
        <v>16129.470000000001</v>
      </c>
      <c r="Q109" s="188">
        <f t="shared" si="3"/>
        <v>0</v>
      </c>
      <c r="R109" s="141"/>
    </row>
    <row r="110" spans="1:18" s="15" customFormat="1" ht="15.75" x14ac:dyDescent="0.25">
      <c r="A110" s="14"/>
      <c r="B110" s="200" t="s">
        <v>502</v>
      </c>
      <c r="C110" s="181"/>
      <c r="D110" s="182"/>
      <c r="E110" s="183"/>
      <c r="F110" s="73"/>
      <c r="G110" s="74" t="s">
        <v>112</v>
      </c>
      <c r="H110" s="75">
        <v>7</v>
      </c>
      <c r="I110" s="76"/>
      <c r="J110" s="96"/>
      <c r="K110" s="77"/>
      <c r="L110" s="77"/>
      <c r="M110" s="78">
        <f t="shared" si="4"/>
        <v>0</v>
      </c>
      <c r="N110" s="100"/>
      <c r="O110" s="77"/>
      <c r="P110" s="77"/>
      <c r="Q110" s="188"/>
      <c r="R110" s="141"/>
    </row>
    <row r="111" spans="1:18" s="15" customFormat="1" ht="15.75" hidden="1" x14ac:dyDescent="0.25">
      <c r="A111" s="14"/>
      <c r="B111" s="200" t="s">
        <v>502</v>
      </c>
      <c r="C111" s="181"/>
      <c r="D111" s="182"/>
      <c r="E111" s="183"/>
      <c r="F111" s="73"/>
      <c r="G111" s="195" t="s">
        <v>117</v>
      </c>
      <c r="H111" s="75">
        <v>3</v>
      </c>
      <c r="I111" s="76"/>
      <c r="J111" s="96"/>
      <c r="K111" s="77"/>
      <c r="L111" s="77"/>
      <c r="M111" s="187"/>
      <c r="N111" s="100"/>
      <c r="O111" s="77"/>
      <c r="P111" s="77"/>
      <c r="Q111" s="188"/>
      <c r="R111" s="141"/>
    </row>
    <row r="112" spans="1:18" s="13" customFormat="1" ht="15.75" x14ac:dyDescent="0.25">
      <c r="A112" s="10"/>
      <c r="B112" s="62" t="s">
        <v>70</v>
      </c>
      <c r="C112" s="181" t="s">
        <v>17</v>
      </c>
      <c r="D112" s="182"/>
      <c r="E112" s="183" t="s">
        <v>20</v>
      </c>
      <c r="F112" s="73" t="s">
        <v>373</v>
      </c>
      <c r="G112" s="74" t="s">
        <v>112</v>
      </c>
      <c r="H112" s="75">
        <v>10</v>
      </c>
      <c r="I112" s="76">
        <v>7</v>
      </c>
      <c r="J112" s="96">
        <f>2+2+2</f>
        <v>6</v>
      </c>
      <c r="K112" s="77">
        <f>19498+3011.17</f>
        <v>22509.17</v>
      </c>
      <c r="L112" s="77">
        <v>19498</v>
      </c>
      <c r="M112" s="78">
        <f>K112-L112</f>
        <v>3011.1699999999983</v>
      </c>
      <c r="N112" s="100">
        <f>2+3+4+2</f>
        <v>11</v>
      </c>
      <c r="O112" s="81">
        <f>7606.2+16795.84</f>
        <v>24402.04</v>
      </c>
      <c r="P112" s="81">
        <f>7606.2+16795.84</f>
        <v>24402.04</v>
      </c>
      <c r="Q112" s="79">
        <f t="shared" si="3"/>
        <v>0</v>
      </c>
      <c r="R112" s="141"/>
    </row>
    <row r="113" spans="1:19" s="13" customFormat="1" ht="15.75" hidden="1" x14ac:dyDescent="0.25">
      <c r="A113" s="10"/>
      <c r="B113" s="62" t="s">
        <v>70</v>
      </c>
      <c r="C113" s="181" t="s">
        <v>17</v>
      </c>
      <c r="D113" s="182"/>
      <c r="E113" s="183" t="s">
        <v>20</v>
      </c>
      <c r="F113" s="73" t="s">
        <v>460</v>
      </c>
      <c r="G113" s="184" t="s">
        <v>114</v>
      </c>
      <c r="H113" s="181">
        <v>28</v>
      </c>
      <c r="I113" s="185">
        <v>5</v>
      </c>
      <c r="J113" s="190">
        <v>5</v>
      </c>
      <c r="K113" s="77">
        <v>1921</v>
      </c>
      <c r="L113" s="77">
        <v>1921</v>
      </c>
      <c r="M113" s="187">
        <f t="shared" si="4"/>
        <v>0</v>
      </c>
      <c r="N113" s="100">
        <v>29</v>
      </c>
      <c r="O113" s="186">
        <v>60028.44</v>
      </c>
      <c r="P113" s="186">
        <v>60028.44</v>
      </c>
      <c r="Q113" s="188">
        <f t="shared" si="3"/>
        <v>0</v>
      </c>
    </row>
    <row r="114" spans="1:19" s="15" customFormat="1" ht="15.75" x14ac:dyDescent="0.25">
      <c r="A114" s="14"/>
      <c r="B114" s="80" t="s">
        <v>71</v>
      </c>
      <c r="C114" s="181" t="s">
        <v>17</v>
      </c>
      <c r="D114" s="182"/>
      <c r="E114" s="183" t="s">
        <v>32</v>
      </c>
      <c r="F114" s="73" t="s">
        <v>374</v>
      </c>
      <c r="G114" s="74" t="s">
        <v>112</v>
      </c>
      <c r="H114" s="75">
        <v>16</v>
      </c>
      <c r="I114" s="76">
        <v>7</v>
      </c>
      <c r="J114" s="96">
        <f>3+1+2+1+1</f>
        <v>8</v>
      </c>
      <c r="K114" s="77">
        <f>1536.8+461.04+1748.88+633.93+3169.65</f>
        <v>7550.3000000000011</v>
      </c>
      <c r="L114" s="77">
        <f>1536.8+461.04+1748.88+633.93</f>
        <v>4380.6500000000005</v>
      </c>
      <c r="M114" s="78">
        <f>K114-L114</f>
        <v>3169.6500000000005</v>
      </c>
      <c r="N114" s="100">
        <f>3+2+1+1+2</f>
        <v>9</v>
      </c>
      <c r="O114" s="81">
        <f>9567.93+3616.67+403.41+14275.52+10922.18</f>
        <v>38785.71</v>
      </c>
      <c r="P114" s="81">
        <f>9567.93+3616.67+403.41+14275.52</f>
        <v>27863.53</v>
      </c>
      <c r="Q114" s="79">
        <f t="shared" si="3"/>
        <v>10922.18</v>
      </c>
      <c r="R114" s="141"/>
      <c r="S114" s="36"/>
    </row>
    <row r="115" spans="1:19" s="15" customFormat="1" ht="15.75" hidden="1" x14ac:dyDescent="0.25">
      <c r="A115" s="14"/>
      <c r="B115" s="80" t="s">
        <v>71</v>
      </c>
      <c r="C115" s="181" t="s">
        <v>17</v>
      </c>
      <c r="D115" s="182"/>
      <c r="E115" s="183" t="s">
        <v>32</v>
      </c>
      <c r="F115" s="73" t="s">
        <v>431</v>
      </c>
      <c r="G115" s="184" t="s">
        <v>115</v>
      </c>
      <c r="H115" s="181">
        <v>6</v>
      </c>
      <c r="I115" s="196">
        <v>4</v>
      </c>
      <c r="J115" s="97">
        <v>4</v>
      </c>
      <c r="K115" s="217">
        <v>6627.45</v>
      </c>
      <c r="L115" s="217">
        <v>6627.45</v>
      </c>
      <c r="M115" s="187">
        <f t="shared" si="4"/>
        <v>0</v>
      </c>
      <c r="N115" s="114">
        <f>5</f>
        <v>5</v>
      </c>
      <c r="O115" s="77">
        <v>6595.5</v>
      </c>
      <c r="P115" s="77">
        <v>6595.5</v>
      </c>
      <c r="Q115" s="188">
        <f t="shared" si="3"/>
        <v>0</v>
      </c>
    </row>
    <row r="116" spans="1:19" s="13" customFormat="1" ht="15.75" x14ac:dyDescent="0.25">
      <c r="A116" s="10"/>
      <c r="B116" s="62" t="s">
        <v>319</v>
      </c>
      <c r="C116" s="181" t="s">
        <v>17</v>
      </c>
      <c r="D116" s="182"/>
      <c r="E116" s="183" t="s">
        <v>20</v>
      </c>
      <c r="F116" s="73" t="s">
        <v>375</v>
      </c>
      <c r="G116" s="74" t="s">
        <v>112</v>
      </c>
      <c r="H116" s="75">
        <v>24</v>
      </c>
      <c r="I116" s="76">
        <v>8</v>
      </c>
      <c r="J116" s="96">
        <f>2+1+4+3</f>
        <v>10</v>
      </c>
      <c r="K116" s="77">
        <f>710.77+1523.35+6753.23+7215.52+1437.48</f>
        <v>17640.349999999999</v>
      </c>
      <c r="L116" s="77">
        <f>710.77+1523.35+6753.23+7215.52+1437.48</f>
        <v>17640.349999999999</v>
      </c>
      <c r="M116" s="78">
        <f t="shared" si="4"/>
        <v>0</v>
      </c>
      <c r="N116" s="100">
        <f>3+1+2+1</f>
        <v>7</v>
      </c>
      <c r="O116" s="77">
        <f>13419.94+726.71+2846.77+3770.56</f>
        <v>20763.980000000003</v>
      </c>
      <c r="P116" s="77">
        <f>13419.94+726.71+2846.77+3770.56</f>
        <v>20763.980000000003</v>
      </c>
      <c r="Q116" s="79">
        <f>O116-P116</f>
        <v>0</v>
      </c>
      <c r="R116" s="141"/>
    </row>
    <row r="117" spans="1:19" s="15" customFormat="1" ht="15.75" x14ac:dyDescent="0.25">
      <c r="A117" s="14"/>
      <c r="B117" s="62" t="s">
        <v>150</v>
      </c>
      <c r="C117" s="181" t="s">
        <v>17</v>
      </c>
      <c r="D117" s="182"/>
      <c r="E117" s="183" t="s">
        <v>35</v>
      </c>
      <c r="F117" s="73" t="s">
        <v>376</v>
      </c>
      <c r="G117" s="74" t="s">
        <v>112</v>
      </c>
      <c r="H117" s="75">
        <v>14</v>
      </c>
      <c r="I117" s="76">
        <v>7</v>
      </c>
      <c r="J117" s="97">
        <f>1+1+2+2+1</f>
        <v>7</v>
      </c>
      <c r="K117" s="77">
        <f>1343.65+384.2+1690.4+4889.84</f>
        <v>8308.09</v>
      </c>
      <c r="L117" s="77">
        <f>1343.65+384.2+1690.4+4889.84</f>
        <v>8308.09</v>
      </c>
      <c r="M117" s="78">
        <f t="shared" si="4"/>
        <v>0</v>
      </c>
      <c r="N117" s="114">
        <f>8+1+1+2+3+1+1+1</f>
        <v>18</v>
      </c>
      <c r="O117" s="77">
        <f>5997.32+3719.39+3054.34+13138.17+6578.46+6198.68</f>
        <v>38686.36</v>
      </c>
      <c r="P117" s="77">
        <f>5997.32+3719.39+3054.34+13138.17+6578.46</f>
        <v>32487.68</v>
      </c>
      <c r="Q117" s="79">
        <f t="shared" si="3"/>
        <v>6198.68</v>
      </c>
      <c r="R117" s="141"/>
    </row>
    <row r="118" spans="1:19" s="15" customFormat="1" ht="15.75" hidden="1" x14ac:dyDescent="0.25">
      <c r="A118" s="14"/>
      <c r="B118" s="191" t="s">
        <v>150</v>
      </c>
      <c r="C118" s="181" t="s">
        <v>17</v>
      </c>
      <c r="D118" s="182"/>
      <c r="E118" s="183" t="s">
        <v>32</v>
      </c>
      <c r="F118" s="73" t="s">
        <v>487</v>
      </c>
      <c r="G118" s="184" t="s">
        <v>117</v>
      </c>
      <c r="H118" s="181">
        <v>2</v>
      </c>
      <c r="I118" s="196"/>
      <c r="J118" s="97"/>
      <c r="K118" s="77"/>
      <c r="L118" s="193"/>
      <c r="M118" s="187">
        <f t="shared" si="4"/>
        <v>0</v>
      </c>
      <c r="N118" s="101">
        <v>1</v>
      </c>
      <c r="O118" s="77">
        <v>4226.2</v>
      </c>
      <c r="P118" s="77">
        <v>4226.2</v>
      </c>
      <c r="Q118" s="188">
        <f t="shared" si="3"/>
        <v>0</v>
      </c>
    </row>
    <row r="119" spans="1:19" s="13" customFormat="1" ht="15.75" x14ac:dyDescent="0.25">
      <c r="A119" s="10"/>
      <c r="B119" s="30" t="s">
        <v>72</v>
      </c>
      <c r="C119" s="181" t="s">
        <v>17</v>
      </c>
      <c r="D119" s="182"/>
      <c r="E119" s="183" t="s">
        <v>21</v>
      </c>
      <c r="F119" s="73" t="s">
        <v>377</v>
      </c>
      <c r="G119" s="74" t="s">
        <v>112</v>
      </c>
      <c r="H119" s="75">
        <v>17</v>
      </c>
      <c r="I119" s="76">
        <v>7</v>
      </c>
      <c r="J119" s="96">
        <f>1+1+1+1+6</f>
        <v>10</v>
      </c>
      <c r="K119" s="77">
        <f>633.93+1415.78+1610.18+1394.65+18140.86</f>
        <v>23195.4</v>
      </c>
      <c r="L119" s="77">
        <f>633.93+1415.78+1610.18+1394.65</f>
        <v>5054.5400000000009</v>
      </c>
      <c r="M119" s="78">
        <f>K119-L119</f>
        <v>18140.86</v>
      </c>
      <c r="N119" s="100">
        <f>1+3+1+1+1+3+1+3</f>
        <v>14</v>
      </c>
      <c r="O119" s="81">
        <f>1950.74+10237.13+6595.95+3861.21+1348.53+10328.94+50451.86</f>
        <v>84774.36</v>
      </c>
      <c r="P119" s="81">
        <f>1950.74+10237.13+6595.95+3861.21+1348.53+10328.94</f>
        <v>34322.5</v>
      </c>
      <c r="Q119" s="79">
        <f t="shared" si="3"/>
        <v>50451.86</v>
      </c>
      <c r="R119" s="141"/>
    </row>
    <row r="120" spans="1:19" s="13" customFormat="1" ht="15.75" hidden="1" x14ac:dyDescent="0.25">
      <c r="A120" s="10"/>
      <c r="B120" s="30" t="s">
        <v>72</v>
      </c>
      <c r="C120" s="181" t="s">
        <v>17</v>
      </c>
      <c r="D120" s="182"/>
      <c r="E120" s="183" t="s">
        <v>21</v>
      </c>
      <c r="F120" s="73" t="s">
        <v>441</v>
      </c>
      <c r="G120" s="184" t="s">
        <v>118</v>
      </c>
      <c r="H120" s="181">
        <v>6</v>
      </c>
      <c r="I120" s="185">
        <v>1</v>
      </c>
      <c r="J120" s="96">
        <v>1</v>
      </c>
      <c r="K120" s="77">
        <v>1728.9</v>
      </c>
      <c r="L120" s="77">
        <v>153.52000000000001</v>
      </c>
      <c r="M120" s="187">
        <f t="shared" si="4"/>
        <v>1575.38</v>
      </c>
      <c r="N120" s="100">
        <v>13</v>
      </c>
      <c r="O120" s="186">
        <v>45577.03</v>
      </c>
      <c r="P120" s="186">
        <v>45577.03</v>
      </c>
      <c r="Q120" s="188">
        <f t="shared" si="3"/>
        <v>0</v>
      </c>
    </row>
    <row r="121" spans="1:19" s="15" customFormat="1" ht="15.75" x14ac:dyDescent="0.25">
      <c r="A121" s="14"/>
      <c r="B121" s="84" t="s">
        <v>73</v>
      </c>
      <c r="C121" s="181" t="s">
        <v>17</v>
      </c>
      <c r="D121" s="182"/>
      <c r="E121" s="183" t="s">
        <v>74</v>
      </c>
      <c r="F121" s="73" t="s">
        <v>378</v>
      </c>
      <c r="G121" s="74" t="s">
        <v>112</v>
      </c>
      <c r="H121" s="75">
        <v>24</v>
      </c>
      <c r="I121" s="76">
        <v>15</v>
      </c>
      <c r="J121" s="96">
        <f>9+8+2+2</f>
        <v>21</v>
      </c>
      <c r="K121" s="77">
        <f>6305.33+12574.83+4899.84</f>
        <v>23780</v>
      </c>
      <c r="L121" s="77">
        <f>6305.33+12574.83+4899.84</f>
        <v>23780</v>
      </c>
      <c r="M121" s="78">
        <f>K121-L121</f>
        <v>0</v>
      </c>
      <c r="N121" s="100">
        <f>5+3+3+1</f>
        <v>12</v>
      </c>
      <c r="O121" s="81">
        <f>5416.39+9506.99+12269.39+7610.68+1928.68</f>
        <v>36732.129999999997</v>
      </c>
      <c r="P121" s="81">
        <f>5416.39+9506.99+12269.39+7610.68+1928.68</f>
        <v>36732.129999999997</v>
      </c>
      <c r="Q121" s="79">
        <f t="shared" si="3"/>
        <v>0</v>
      </c>
      <c r="R121" s="141"/>
    </row>
    <row r="122" spans="1:19" s="15" customFormat="1" ht="15.75" hidden="1" x14ac:dyDescent="0.25">
      <c r="A122" s="14"/>
      <c r="B122" s="84" t="s">
        <v>73</v>
      </c>
      <c r="C122" s="181" t="s">
        <v>17</v>
      </c>
      <c r="D122" s="182"/>
      <c r="E122" s="183" t="s">
        <v>74</v>
      </c>
      <c r="F122" s="73" t="s">
        <v>282</v>
      </c>
      <c r="G122" s="184" t="s">
        <v>114</v>
      </c>
      <c r="H122" s="181"/>
      <c r="I122" s="185"/>
      <c r="J122" s="190"/>
      <c r="K122" s="77"/>
      <c r="L122" s="77"/>
      <c r="M122" s="187">
        <f t="shared" si="4"/>
        <v>0</v>
      </c>
      <c r="N122" s="101">
        <v>1</v>
      </c>
      <c r="O122" s="186">
        <v>19379.400000000001</v>
      </c>
      <c r="P122" s="186">
        <v>19379.400000000001</v>
      </c>
      <c r="Q122" s="188">
        <f t="shared" si="3"/>
        <v>0</v>
      </c>
    </row>
    <row r="123" spans="1:19" s="13" customFormat="1" ht="15.75" x14ac:dyDescent="0.25">
      <c r="A123" s="10"/>
      <c r="B123" s="30" t="s">
        <v>135</v>
      </c>
      <c r="C123" s="181" t="s">
        <v>17</v>
      </c>
      <c r="D123" s="182"/>
      <c r="E123" s="194" t="s">
        <v>35</v>
      </c>
      <c r="F123" s="73" t="s">
        <v>379</v>
      </c>
      <c r="G123" s="74" t="s">
        <v>112</v>
      </c>
      <c r="H123" s="75">
        <v>23</v>
      </c>
      <c r="I123" s="76">
        <v>14</v>
      </c>
      <c r="J123" s="96">
        <f>1+6+5+3</f>
        <v>15</v>
      </c>
      <c r="K123" s="77">
        <f>697.32+4374.12+5747.44</f>
        <v>10818.88</v>
      </c>
      <c r="L123" s="77">
        <f>697.32+4374.12+5747.44</f>
        <v>10818.88</v>
      </c>
      <c r="M123" s="78">
        <f>K123-L123</f>
        <v>0</v>
      </c>
      <c r="N123" s="100">
        <f>2+5+1+2+2+2</f>
        <v>14</v>
      </c>
      <c r="O123" s="81">
        <f>6432.89+2283.68+4932.13</f>
        <v>13648.7</v>
      </c>
      <c r="P123" s="81">
        <f>6432.89+2283.68+4932.13</f>
        <v>13648.7</v>
      </c>
      <c r="Q123" s="188">
        <f t="shared" si="3"/>
        <v>0</v>
      </c>
      <c r="R123" s="141"/>
    </row>
    <row r="124" spans="1:19" s="13" customFormat="1" ht="15.75" hidden="1" x14ac:dyDescent="0.25">
      <c r="A124" s="10"/>
      <c r="B124" s="30" t="s">
        <v>135</v>
      </c>
      <c r="C124" s="181" t="s">
        <v>17</v>
      </c>
      <c r="D124" s="182"/>
      <c r="E124" s="194" t="s">
        <v>35</v>
      </c>
      <c r="F124" s="73" t="s">
        <v>432</v>
      </c>
      <c r="G124" s="184" t="s">
        <v>115</v>
      </c>
      <c r="H124" s="181"/>
      <c r="I124" s="185"/>
      <c r="J124" s="96"/>
      <c r="K124" s="77"/>
      <c r="L124" s="77"/>
      <c r="M124" s="78">
        <f t="shared" si="4"/>
        <v>0</v>
      </c>
      <c r="N124" s="100">
        <v>1</v>
      </c>
      <c r="O124" s="186">
        <v>2689.4</v>
      </c>
      <c r="P124" s="186">
        <v>2689.4</v>
      </c>
      <c r="Q124" s="79">
        <f t="shared" si="3"/>
        <v>0</v>
      </c>
    </row>
    <row r="125" spans="1:19" s="13" customFormat="1" ht="15.75" x14ac:dyDescent="0.25">
      <c r="A125" s="10"/>
      <c r="B125" s="30" t="s">
        <v>145</v>
      </c>
      <c r="C125" s="181" t="s">
        <v>17</v>
      </c>
      <c r="D125" s="182"/>
      <c r="E125" s="194" t="s">
        <v>20</v>
      </c>
      <c r="F125" s="73" t="s">
        <v>380</v>
      </c>
      <c r="G125" s="74" t="s">
        <v>112</v>
      </c>
      <c r="H125" s="75">
        <v>9</v>
      </c>
      <c r="I125" s="82">
        <v>6</v>
      </c>
      <c r="J125" s="96">
        <f>2+1+1+2+2</f>
        <v>8</v>
      </c>
      <c r="K125" s="77">
        <f>5169.72+1100+538.84+4293.82+3949.22+3361.76</f>
        <v>18413.36</v>
      </c>
      <c r="L125" s="77">
        <f>5169.72+1100+538.84+4293.82+3949.22</f>
        <v>15051.6</v>
      </c>
      <c r="M125" s="78">
        <f>K125-L125</f>
        <v>3361.76</v>
      </c>
      <c r="N125" s="100">
        <f>1+1+2+1</f>
        <v>5</v>
      </c>
      <c r="O125" s="81">
        <f>5120.23+3915.15+1114.12</f>
        <v>10149.5</v>
      </c>
      <c r="P125" s="81">
        <f>5120.23+3915.15+1114.12</f>
        <v>10149.5</v>
      </c>
      <c r="Q125" s="188">
        <f t="shared" si="3"/>
        <v>0</v>
      </c>
      <c r="R125" s="141"/>
    </row>
    <row r="126" spans="1:19" s="13" customFormat="1" ht="15.75" hidden="1" x14ac:dyDescent="0.25">
      <c r="A126" s="10"/>
      <c r="B126" s="30" t="s">
        <v>145</v>
      </c>
      <c r="C126" s="181" t="s">
        <v>17</v>
      </c>
      <c r="D126" s="182"/>
      <c r="E126" s="194" t="s">
        <v>20</v>
      </c>
      <c r="F126" s="73" t="s">
        <v>461</v>
      </c>
      <c r="G126" s="184" t="s">
        <v>114</v>
      </c>
      <c r="H126" s="181">
        <v>2</v>
      </c>
      <c r="I126" s="185">
        <v>1</v>
      </c>
      <c r="J126" s="190">
        <v>1</v>
      </c>
      <c r="K126" s="77"/>
      <c r="L126" s="77"/>
      <c r="M126" s="78">
        <f t="shared" si="4"/>
        <v>0</v>
      </c>
      <c r="N126" s="100">
        <v>10</v>
      </c>
      <c r="O126" s="186">
        <v>19379.400000000001</v>
      </c>
      <c r="P126" s="186">
        <v>19379.400000000001</v>
      </c>
      <c r="Q126" s="188">
        <f t="shared" si="3"/>
        <v>0</v>
      </c>
    </row>
    <row r="127" spans="1:19" s="13" customFormat="1" ht="15.75" x14ac:dyDescent="0.25">
      <c r="A127" s="10"/>
      <c r="B127" s="62" t="s">
        <v>76</v>
      </c>
      <c r="C127" s="181" t="s">
        <v>17</v>
      </c>
      <c r="D127" s="182"/>
      <c r="E127" s="183" t="s">
        <v>20</v>
      </c>
      <c r="F127" s="73" t="s">
        <v>381</v>
      </c>
      <c r="G127" s="74" t="s">
        <v>112</v>
      </c>
      <c r="H127" s="75">
        <v>19</v>
      </c>
      <c r="I127" s="76">
        <v>13</v>
      </c>
      <c r="J127" s="96">
        <f>1+6+3+1+3+1+2</f>
        <v>17</v>
      </c>
      <c r="K127" s="77">
        <f>6556.06+2806.39+2697.06+1267.86+11775.51+1557.35+2113.1</f>
        <v>28773.329999999998</v>
      </c>
      <c r="L127" s="77">
        <f>6556.06+2806.39+2697.06+1267.86+11775.51+1557.35</f>
        <v>26660.23</v>
      </c>
      <c r="M127" s="78">
        <f>K127-L127</f>
        <v>2113.0999999999985</v>
      </c>
      <c r="N127" s="100">
        <f>5+6+2+1+1</f>
        <v>15</v>
      </c>
      <c r="O127" s="81">
        <f>11527.9+19846.52+1011.91+9641+2451.87+10072.83+11307.66+2243.83</f>
        <v>68103.520000000004</v>
      </c>
      <c r="P127" s="81">
        <f>11527.9+19846.52+1011.91+9641+2451.87+10072.83</f>
        <v>54552.030000000006</v>
      </c>
      <c r="Q127" s="188">
        <f t="shared" si="3"/>
        <v>13551.489999999998</v>
      </c>
      <c r="R127" s="141"/>
    </row>
    <row r="128" spans="1:19" s="13" customFormat="1" ht="15.75" hidden="1" x14ac:dyDescent="0.25">
      <c r="A128" s="10"/>
      <c r="B128" s="62" t="s">
        <v>76</v>
      </c>
      <c r="C128" s="181" t="s">
        <v>17</v>
      </c>
      <c r="D128" s="182"/>
      <c r="E128" s="183" t="s">
        <v>20</v>
      </c>
      <c r="F128" s="73" t="s">
        <v>462</v>
      </c>
      <c r="G128" s="184" t="s">
        <v>114</v>
      </c>
      <c r="H128" s="181">
        <v>8</v>
      </c>
      <c r="I128" s="185">
        <v>1</v>
      </c>
      <c r="J128" s="190">
        <v>1</v>
      </c>
      <c r="K128" s="77"/>
      <c r="L128" s="77"/>
      <c r="M128" s="78">
        <f t="shared" si="4"/>
        <v>0</v>
      </c>
      <c r="N128" s="100">
        <v>8</v>
      </c>
      <c r="O128" s="186">
        <v>27398.29</v>
      </c>
      <c r="P128" s="186">
        <v>27398.29</v>
      </c>
      <c r="Q128" s="188">
        <f t="shared" si="3"/>
        <v>0</v>
      </c>
    </row>
    <row r="129" spans="1:18" s="13" customFormat="1" ht="15.75" x14ac:dyDescent="0.25">
      <c r="A129" s="10"/>
      <c r="B129" s="30" t="s">
        <v>77</v>
      </c>
      <c r="C129" s="181" t="s">
        <v>17</v>
      </c>
      <c r="D129" s="182"/>
      <c r="E129" s="183" t="s">
        <v>32</v>
      </c>
      <c r="F129" s="73" t="s">
        <v>388</v>
      </c>
      <c r="G129" s="74" t="s">
        <v>112</v>
      </c>
      <c r="H129" s="75">
        <v>10</v>
      </c>
      <c r="I129" s="76">
        <v>7</v>
      </c>
      <c r="J129" s="96">
        <f>2+2+2+6</f>
        <v>12</v>
      </c>
      <c r="K129" s="77">
        <f>2440.63+1507.02+2101.48+13625.7</f>
        <v>19674.830000000002</v>
      </c>
      <c r="L129" s="77">
        <f>2440.63+1507.02+2101.48</f>
        <v>6049.13</v>
      </c>
      <c r="M129" s="78">
        <f>K129-L129</f>
        <v>13625.7</v>
      </c>
      <c r="N129" s="100">
        <f>5+2+3+3+1+1</f>
        <v>15</v>
      </c>
      <c r="O129" s="81">
        <f>11716.73+6848.82+4046.18+11166.34+8845.95</f>
        <v>42624.020000000004</v>
      </c>
      <c r="P129" s="81">
        <f>11716.73+6848.82+4046.18+11166.34+8845.95</f>
        <v>42624.020000000004</v>
      </c>
      <c r="Q129" s="188">
        <f t="shared" si="3"/>
        <v>0</v>
      </c>
      <c r="R129" s="141"/>
    </row>
    <row r="130" spans="1:18" s="13" customFormat="1" ht="15.75" hidden="1" x14ac:dyDescent="0.25">
      <c r="A130" s="10"/>
      <c r="B130" s="30" t="s">
        <v>77</v>
      </c>
      <c r="C130" s="181" t="s">
        <v>17</v>
      </c>
      <c r="D130" s="182"/>
      <c r="E130" s="183" t="s">
        <v>32</v>
      </c>
      <c r="F130" s="73" t="s">
        <v>433</v>
      </c>
      <c r="G130" s="184" t="s">
        <v>117</v>
      </c>
      <c r="H130" s="181">
        <v>1</v>
      </c>
      <c r="I130" s="185">
        <v>1</v>
      </c>
      <c r="J130" s="96">
        <v>1</v>
      </c>
      <c r="K130" s="77">
        <v>1921</v>
      </c>
      <c r="L130" s="77">
        <v>1921</v>
      </c>
      <c r="M130" s="78">
        <f t="shared" si="4"/>
        <v>0</v>
      </c>
      <c r="N130" s="100">
        <v>6</v>
      </c>
      <c r="O130" s="186">
        <v>18164.11</v>
      </c>
      <c r="P130" s="186">
        <v>18164.11</v>
      </c>
      <c r="Q130" s="79">
        <f t="shared" si="3"/>
        <v>0</v>
      </c>
    </row>
    <row r="131" spans="1:18" s="13" customFormat="1" ht="15.75" x14ac:dyDescent="0.25">
      <c r="A131" s="10"/>
      <c r="B131" s="30" t="s">
        <v>321</v>
      </c>
      <c r="C131" s="181" t="s">
        <v>17</v>
      </c>
      <c r="D131" s="182"/>
      <c r="E131" s="183" t="s">
        <v>21</v>
      </c>
      <c r="F131" s="73" t="s">
        <v>489</v>
      </c>
      <c r="G131" s="184" t="s">
        <v>112</v>
      </c>
      <c r="H131" s="181">
        <v>3</v>
      </c>
      <c r="I131" s="185"/>
      <c r="J131" s="96"/>
      <c r="K131" s="77"/>
      <c r="L131" s="77"/>
      <c r="M131" s="78">
        <f t="shared" si="4"/>
        <v>0</v>
      </c>
      <c r="N131" s="100"/>
      <c r="O131" s="186"/>
      <c r="P131" s="186"/>
      <c r="Q131" s="79"/>
      <c r="R131" s="141"/>
    </row>
    <row r="132" spans="1:18" s="13" customFormat="1" ht="30" x14ac:dyDescent="0.25">
      <c r="A132" s="10"/>
      <c r="B132" s="62" t="s">
        <v>79</v>
      </c>
      <c r="C132" s="181" t="s">
        <v>304</v>
      </c>
      <c r="D132" s="182" t="s">
        <v>385</v>
      </c>
      <c r="E132" s="183" t="s">
        <v>18</v>
      </c>
      <c r="F132" s="73" t="s">
        <v>389</v>
      </c>
      <c r="G132" s="74" t="s">
        <v>112</v>
      </c>
      <c r="H132" s="75">
        <v>14</v>
      </c>
      <c r="I132" s="76">
        <v>10</v>
      </c>
      <c r="J132" s="96">
        <f>2+5+2+3</f>
        <v>12</v>
      </c>
      <c r="K132" s="77">
        <f>2091.97+3190.2+5703.08+6368.88+4029.68</f>
        <v>21383.81</v>
      </c>
      <c r="L132" s="77">
        <f>2091.97+3190.2+5703.08+6368.88</f>
        <v>17354.13</v>
      </c>
      <c r="M132" s="78">
        <f t="shared" si="4"/>
        <v>4029.6800000000003</v>
      </c>
      <c r="N132" s="100">
        <f>2+2+1+2+1+1</f>
        <v>9</v>
      </c>
      <c r="O132" s="81">
        <f>1547.4+4166.12+7835.61+1675.01+4717.63+6039.62+18829.39</f>
        <v>44810.78</v>
      </c>
      <c r="P132" s="81">
        <f>1547.4+4166.12+7835.61+1675.01+4717.63+6039.62</f>
        <v>25981.39</v>
      </c>
      <c r="Q132" s="188">
        <f t="shared" si="3"/>
        <v>18829.39</v>
      </c>
      <c r="R132" s="141"/>
    </row>
    <row r="133" spans="1:18" s="13" customFormat="1" ht="30" hidden="1" x14ac:dyDescent="0.25">
      <c r="A133" s="10"/>
      <c r="B133" s="62" t="s">
        <v>79</v>
      </c>
      <c r="C133" s="181" t="s">
        <v>304</v>
      </c>
      <c r="D133" s="182" t="s">
        <v>475</v>
      </c>
      <c r="E133" s="183" t="s">
        <v>18</v>
      </c>
      <c r="F133" s="73" t="s">
        <v>329</v>
      </c>
      <c r="G133" s="184" t="s">
        <v>113</v>
      </c>
      <c r="H133" s="181">
        <v>36</v>
      </c>
      <c r="I133" s="192">
        <v>12</v>
      </c>
      <c r="J133" s="98">
        <v>13</v>
      </c>
      <c r="K133" s="186">
        <v>21353</v>
      </c>
      <c r="L133" s="186">
        <v>21353</v>
      </c>
      <c r="M133" s="78">
        <f t="shared" si="4"/>
        <v>0</v>
      </c>
      <c r="N133" s="100">
        <v>14</v>
      </c>
      <c r="O133" s="186">
        <v>51293</v>
      </c>
      <c r="P133" s="186">
        <v>44239</v>
      </c>
      <c r="Q133" s="79">
        <f t="shared" si="3"/>
        <v>7054</v>
      </c>
    </row>
    <row r="134" spans="1:18" s="13" customFormat="1" ht="15.75" x14ac:dyDescent="0.25">
      <c r="A134" s="10"/>
      <c r="B134" s="62" t="s">
        <v>151</v>
      </c>
      <c r="C134" s="181" t="s">
        <v>17</v>
      </c>
      <c r="D134" s="182"/>
      <c r="E134" s="183" t="s">
        <v>32</v>
      </c>
      <c r="F134" s="73" t="s">
        <v>390</v>
      </c>
      <c r="G134" s="74" t="s">
        <v>112</v>
      </c>
      <c r="H134" s="75">
        <v>39</v>
      </c>
      <c r="I134" s="82">
        <v>21</v>
      </c>
      <c r="J134" s="96">
        <f>1+3+3+5+3+9</f>
        <v>24</v>
      </c>
      <c r="K134" s="81">
        <f>2317+4640.19+5864.19+10765+12519.53</f>
        <v>36105.909999999996</v>
      </c>
      <c r="L134" s="81">
        <f>2317+4640.19+5864.19+10765</f>
        <v>23586.379999999997</v>
      </c>
      <c r="M134" s="78">
        <f>K134-L134</f>
        <v>12519.529999999999</v>
      </c>
      <c r="N134" s="100">
        <f>9+3+5+1+4+4</f>
        <v>26</v>
      </c>
      <c r="O134" s="81">
        <f>10726.94+18822.65+5703.53+12846.53+1320.36+4050.1+22728.38</f>
        <v>76198.490000000005</v>
      </c>
      <c r="P134" s="81">
        <f>10726.94+18822.65+5703.53+12846.53+1320.36+4050.1</f>
        <v>53470.11</v>
      </c>
      <c r="Q134" s="188">
        <f t="shared" si="3"/>
        <v>22728.380000000005</v>
      </c>
      <c r="R134" s="141"/>
    </row>
    <row r="135" spans="1:18" s="13" customFormat="1" ht="15.75" hidden="1" x14ac:dyDescent="0.25">
      <c r="A135" s="10"/>
      <c r="B135" s="62" t="s">
        <v>151</v>
      </c>
      <c r="C135" s="181" t="s">
        <v>17</v>
      </c>
      <c r="D135" s="182"/>
      <c r="E135" s="183" t="s">
        <v>32</v>
      </c>
      <c r="F135" s="73" t="s">
        <v>434</v>
      </c>
      <c r="G135" s="184" t="s">
        <v>117</v>
      </c>
      <c r="H135" s="181">
        <v>9</v>
      </c>
      <c r="I135" s="185"/>
      <c r="J135" s="96"/>
      <c r="K135" s="77"/>
      <c r="L135" s="77"/>
      <c r="M135" s="78">
        <f t="shared" si="4"/>
        <v>0</v>
      </c>
      <c r="N135" s="100">
        <v>12</v>
      </c>
      <c r="O135" s="186">
        <v>22129.3</v>
      </c>
      <c r="P135" s="186">
        <v>22129.3</v>
      </c>
      <c r="Q135" s="79">
        <f t="shared" si="3"/>
        <v>0</v>
      </c>
    </row>
    <row r="136" spans="1:18" s="13" customFormat="1" ht="15.75" x14ac:dyDescent="0.25">
      <c r="A136" s="10"/>
      <c r="B136" s="62" t="s">
        <v>80</v>
      </c>
      <c r="C136" s="181" t="s">
        <v>17</v>
      </c>
      <c r="D136" s="182"/>
      <c r="E136" s="183" t="s">
        <v>81</v>
      </c>
      <c r="F136" s="73" t="s">
        <v>417</v>
      </c>
      <c r="G136" s="74" t="s">
        <v>112</v>
      </c>
      <c r="H136" s="75"/>
      <c r="I136" s="76"/>
      <c r="J136" s="96"/>
      <c r="K136" s="77">
        <f>749.19+8649.27</f>
        <v>9398.4600000000009</v>
      </c>
      <c r="L136" s="77">
        <f>749.19+8649.27</f>
        <v>9398.4600000000009</v>
      </c>
      <c r="M136" s="78">
        <f>K136-L136</f>
        <v>0</v>
      </c>
      <c r="N136" s="100">
        <f>2+2</f>
        <v>4</v>
      </c>
      <c r="O136" s="81">
        <f>3040.94</f>
        <v>3040.94</v>
      </c>
      <c r="P136" s="81">
        <f>3040.94</f>
        <v>3040.94</v>
      </c>
      <c r="Q136" s="188">
        <f t="shared" si="3"/>
        <v>0</v>
      </c>
      <c r="R136" s="141"/>
    </row>
    <row r="137" spans="1:18" s="13" customFormat="1" ht="15.75" hidden="1" x14ac:dyDescent="0.25">
      <c r="A137" s="10"/>
      <c r="B137" s="62" t="s">
        <v>80</v>
      </c>
      <c r="C137" s="181" t="s">
        <v>17</v>
      </c>
      <c r="D137" s="182"/>
      <c r="E137" s="183" t="s">
        <v>81</v>
      </c>
      <c r="F137" s="73" t="s">
        <v>285</v>
      </c>
      <c r="G137" s="184" t="s">
        <v>114</v>
      </c>
      <c r="H137" s="181"/>
      <c r="I137" s="185"/>
      <c r="J137" s="190"/>
      <c r="K137" s="77">
        <v>2113.1</v>
      </c>
      <c r="L137" s="77">
        <v>2113.1</v>
      </c>
      <c r="M137" s="78">
        <f t="shared" si="4"/>
        <v>0</v>
      </c>
      <c r="N137" s="100">
        <v>23</v>
      </c>
      <c r="O137" s="186">
        <v>47615.74</v>
      </c>
      <c r="P137" s="186">
        <v>47615.74</v>
      </c>
      <c r="Q137" s="188">
        <f t="shared" si="3"/>
        <v>0</v>
      </c>
    </row>
    <row r="138" spans="1:18" s="13" customFormat="1" ht="15.75" x14ac:dyDescent="0.25">
      <c r="A138" s="10"/>
      <c r="B138" s="30" t="s">
        <v>82</v>
      </c>
      <c r="C138" s="181" t="s">
        <v>17</v>
      </c>
      <c r="D138" s="182"/>
      <c r="E138" s="183" t="s">
        <v>20</v>
      </c>
      <c r="F138" s="73" t="s">
        <v>394</v>
      </c>
      <c r="G138" s="74" t="s">
        <v>112</v>
      </c>
      <c r="H138" s="75">
        <v>10</v>
      </c>
      <c r="I138" s="76">
        <v>8</v>
      </c>
      <c r="J138" s="96">
        <f>4+3+2</f>
        <v>9</v>
      </c>
      <c r="K138" s="77">
        <f>7750.47</f>
        <v>7750.47</v>
      </c>
      <c r="L138" s="77">
        <f>7750.47</f>
        <v>7750.47</v>
      </c>
      <c r="M138" s="78">
        <f>K138-L138</f>
        <v>0</v>
      </c>
      <c r="N138" s="100">
        <f>3+5+1+1</f>
        <v>10</v>
      </c>
      <c r="O138" s="81">
        <f>5975.84+23579.15+1426.34</f>
        <v>30981.33</v>
      </c>
      <c r="P138" s="81">
        <f>5975.84+23579.15+1426.34</f>
        <v>30981.33</v>
      </c>
      <c r="Q138" s="188">
        <f t="shared" si="3"/>
        <v>0</v>
      </c>
      <c r="R138" s="141"/>
    </row>
    <row r="139" spans="1:18" s="13" customFormat="1" ht="15.75" hidden="1" x14ac:dyDescent="0.25">
      <c r="A139" s="10"/>
      <c r="B139" s="30" t="s">
        <v>82</v>
      </c>
      <c r="C139" s="181" t="s">
        <v>17</v>
      </c>
      <c r="D139" s="182"/>
      <c r="E139" s="183" t="s">
        <v>20</v>
      </c>
      <c r="F139" s="73" t="s">
        <v>463</v>
      </c>
      <c r="G139" s="184" t="s">
        <v>114</v>
      </c>
      <c r="H139" s="181">
        <v>15</v>
      </c>
      <c r="I139" s="185">
        <v>3</v>
      </c>
      <c r="J139" s="190">
        <v>3</v>
      </c>
      <c r="K139" s="77">
        <v>5378.8</v>
      </c>
      <c r="L139" s="77">
        <v>5378.8</v>
      </c>
      <c r="M139" s="78">
        <f t="shared" si="4"/>
        <v>0</v>
      </c>
      <c r="N139" s="100">
        <v>13</v>
      </c>
      <c r="O139" s="186">
        <v>40552.51</v>
      </c>
      <c r="P139" s="186">
        <v>31523.81</v>
      </c>
      <c r="Q139" s="188">
        <f t="shared" si="3"/>
        <v>9028.7000000000007</v>
      </c>
    </row>
    <row r="140" spans="1:18" s="13" customFormat="1" ht="15.75" x14ac:dyDescent="0.25">
      <c r="A140" s="10"/>
      <c r="B140" s="30" t="s">
        <v>309</v>
      </c>
      <c r="C140" s="181"/>
      <c r="D140" s="182"/>
      <c r="E140" s="183" t="s">
        <v>20</v>
      </c>
      <c r="F140" s="73" t="s">
        <v>391</v>
      </c>
      <c r="G140" s="184" t="s">
        <v>112</v>
      </c>
      <c r="H140" s="181">
        <v>13</v>
      </c>
      <c r="I140" s="185">
        <v>5</v>
      </c>
      <c r="J140" s="190">
        <f>1+5</f>
        <v>6</v>
      </c>
      <c r="K140" s="77">
        <f>3606.1+3402.77</f>
        <v>7008.87</v>
      </c>
      <c r="L140" s="77">
        <f>3606.1+3402.77</f>
        <v>7008.87</v>
      </c>
      <c r="M140" s="78">
        <f t="shared" si="4"/>
        <v>0</v>
      </c>
      <c r="N140" s="100">
        <f>1+5+1+3</f>
        <v>10</v>
      </c>
      <c r="O140" s="186">
        <f>3088.97+13147.65+1267.86+5955.71</f>
        <v>23460.19</v>
      </c>
      <c r="P140" s="186">
        <f>3088.97+13147.65+1267.86+5955.71</f>
        <v>23460.19</v>
      </c>
      <c r="Q140" s="188">
        <f t="shared" si="3"/>
        <v>0</v>
      </c>
      <c r="R140" s="141"/>
    </row>
    <row r="141" spans="1:18" s="13" customFormat="1" ht="15.75" x14ac:dyDescent="0.25">
      <c r="A141" s="10"/>
      <c r="B141" s="30" t="s">
        <v>152</v>
      </c>
      <c r="C141" s="181" t="s">
        <v>17</v>
      </c>
      <c r="D141" s="182"/>
      <c r="E141" s="183" t="s">
        <v>35</v>
      </c>
      <c r="F141" s="73" t="s">
        <v>392</v>
      </c>
      <c r="G141" s="74" t="s">
        <v>112</v>
      </c>
      <c r="H141" s="75">
        <v>7</v>
      </c>
      <c r="I141" s="76">
        <v>6</v>
      </c>
      <c r="J141" s="96">
        <f>1+1+2+1+1</f>
        <v>6</v>
      </c>
      <c r="K141" s="77">
        <f>403.41+845.24+2113.1</f>
        <v>3361.75</v>
      </c>
      <c r="L141" s="77">
        <f>403.41+845.24+2113.1</f>
        <v>3361.75</v>
      </c>
      <c r="M141" s="78">
        <f t="shared" si="4"/>
        <v>0</v>
      </c>
      <c r="N141" s="100">
        <f>2+2+2+1+1+1</f>
        <v>9</v>
      </c>
      <c r="O141" s="81">
        <f>1690.48+3050.26+3661.61+4648.82+1267.86+1690.48+9282.42+4052.53</f>
        <v>29344.46</v>
      </c>
      <c r="P141" s="81">
        <f>1690.48+3050.26+3661.61+4648.82+1267.86+1690.48+9282.42+4052.53</f>
        <v>29344.46</v>
      </c>
      <c r="Q141" s="188">
        <f t="shared" si="3"/>
        <v>0</v>
      </c>
      <c r="R141" s="141"/>
    </row>
    <row r="142" spans="1:18" s="13" customFormat="1" ht="15.75" hidden="1" x14ac:dyDescent="0.25">
      <c r="A142" s="10"/>
      <c r="B142" s="30" t="s">
        <v>152</v>
      </c>
      <c r="C142" s="181" t="s">
        <v>17</v>
      </c>
      <c r="D142" s="182"/>
      <c r="E142" s="183" t="s">
        <v>32</v>
      </c>
      <c r="F142" s="73"/>
      <c r="G142" s="184" t="s">
        <v>117</v>
      </c>
      <c r="H142" s="181"/>
      <c r="I142" s="185"/>
      <c r="J142" s="96"/>
      <c r="K142" s="77"/>
      <c r="L142" s="77"/>
      <c r="M142" s="78">
        <f t="shared" si="4"/>
        <v>0</v>
      </c>
      <c r="N142" s="100"/>
      <c r="O142" s="186"/>
      <c r="P142" s="186"/>
      <c r="Q142" s="79">
        <f t="shared" si="3"/>
        <v>0</v>
      </c>
    </row>
    <row r="143" spans="1:18" s="13" customFormat="1" ht="15.75" x14ac:dyDescent="0.25">
      <c r="A143" s="10"/>
      <c r="B143" s="30" t="s">
        <v>83</v>
      </c>
      <c r="C143" s="181" t="s">
        <v>17</v>
      </c>
      <c r="D143" s="182"/>
      <c r="E143" s="183" t="s">
        <v>20</v>
      </c>
      <c r="F143" s="73" t="s">
        <v>393</v>
      </c>
      <c r="G143" s="74" t="s">
        <v>112</v>
      </c>
      <c r="H143" s="75">
        <v>12</v>
      </c>
      <c r="I143" s="76">
        <v>6</v>
      </c>
      <c r="J143" s="96">
        <f>1+1+2+1+1+1</f>
        <v>7</v>
      </c>
      <c r="K143" s="77">
        <f>768.4+2535.72+845.24+14407.5</f>
        <v>18556.86</v>
      </c>
      <c r="L143" s="77">
        <f>768.4+2535.72+845.24+14407.5</f>
        <v>18556.86</v>
      </c>
      <c r="M143" s="78">
        <f>K143-L143</f>
        <v>0</v>
      </c>
      <c r="N143" s="100">
        <f>1+2+1+1+1+2</f>
        <v>8</v>
      </c>
      <c r="O143" s="81">
        <f>5837.09+1922.92+4288.54+1686.25</f>
        <v>13734.8</v>
      </c>
      <c r="P143" s="81">
        <f>5837.09+1922.92+4288.54+1686.25</f>
        <v>13734.8</v>
      </c>
      <c r="Q143" s="188">
        <f t="shared" si="3"/>
        <v>0</v>
      </c>
      <c r="R143" s="141"/>
    </row>
    <row r="144" spans="1:18" s="13" customFormat="1" ht="15.75" hidden="1" x14ac:dyDescent="0.25">
      <c r="A144" s="10"/>
      <c r="B144" s="30" t="s">
        <v>83</v>
      </c>
      <c r="C144" s="181" t="s">
        <v>17</v>
      </c>
      <c r="D144" s="182"/>
      <c r="E144" s="183" t="s">
        <v>20</v>
      </c>
      <c r="F144" s="73" t="s">
        <v>464</v>
      </c>
      <c r="G144" s="184" t="s">
        <v>114</v>
      </c>
      <c r="H144" s="181">
        <v>24</v>
      </c>
      <c r="I144" s="185">
        <v>3</v>
      </c>
      <c r="J144" s="190">
        <v>3</v>
      </c>
      <c r="K144" s="77">
        <v>5494.06</v>
      </c>
      <c r="L144" s="77">
        <v>5494.06</v>
      </c>
      <c r="M144" s="78">
        <f t="shared" si="4"/>
        <v>0</v>
      </c>
      <c r="N144" s="100">
        <v>26</v>
      </c>
      <c r="O144" s="186">
        <v>77239.070000000007</v>
      </c>
      <c r="P144" s="186">
        <v>77239.070000000007</v>
      </c>
      <c r="Q144" s="188">
        <f t="shared" si="3"/>
        <v>0</v>
      </c>
    </row>
    <row r="145" spans="1:18" s="13" customFormat="1" ht="15.75" hidden="1" x14ac:dyDescent="0.25">
      <c r="A145" s="10"/>
      <c r="B145" s="30" t="s">
        <v>310</v>
      </c>
      <c r="C145" s="181" t="s">
        <v>17</v>
      </c>
      <c r="D145" s="182"/>
      <c r="E145" s="183" t="s">
        <v>20</v>
      </c>
      <c r="F145" s="73"/>
      <c r="G145" s="184" t="s">
        <v>114</v>
      </c>
      <c r="H145" s="181"/>
      <c r="I145" s="185"/>
      <c r="J145" s="190"/>
      <c r="K145" s="77"/>
      <c r="L145" s="77"/>
      <c r="M145" s="78"/>
      <c r="N145" s="100"/>
      <c r="O145" s="186"/>
      <c r="P145" s="186"/>
      <c r="Q145" s="188">
        <f t="shared" si="3"/>
        <v>0</v>
      </c>
    </row>
    <row r="146" spans="1:18" s="13" customFormat="1" ht="15.75" hidden="1" x14ac:dyDescent="0.25">
      <c r="A146" s="10"/>
      <c r="B146" s="30" t="s">
        <v>84</v>
      </c>
      <c r="C146" s="181" t="s">
        <v>17</v>
      </c>
      <c r="D146" s="182"/>
      <c r="E146" s="183" t="s">
        <v>20</v>
      </c>
      <c r="F146" s="73" t="s">
        <v>287</v>
      </c>
      <c r="G146" s="184" t="s">
        <v>114</v>
      </c>
      <c r="H146" s="181"/>
      <c r="I146" s="185"/>
      <c r="J146" s="190"/>
      <c r="K146" s="77"/>
      <c r="L146" s="77"/>
      <c r="M146" s="187">
        <f t="shared" si="4"/>
        <v>0</v>
      </c>
      <c r="N146" s="100"/>
      <c r="O146" s="186"/>
      <c r="P146" s="186"/>
      <c r="Q146" s="188">
        <f t="shared" si="3"/>
        <v>0</v>
      </c>
    </row>
    <row r="147" spans="1:18" s="13" customFormat="1" ht="45" x14ac:dyDescent="0.25">
      <c r="A147" s="10"/>
      <c r="B147" s="30" t="s">
        <v>85</v>
      </c>
      <c r="C147" s="181" t="s">
        <v>304</v>
      </c>
      <c r="D147" s="182" t="s">
        <v>415</v>
      </c>
      <c r="E147" s="183" t="s">
        <v>20</v>
      </c>
      <c r="F147" s="73" t="s">
        <v>395</v>
      </c>
      <c r="G147" s="74" t="s">
        <v>112</v>
      </c>
      <c r="H147" s="75">
        <v>14</v>
      </c>
      <c r="I147" s="76">
        <v>4</v>
      </c>
      <c r="J147" s="96"/>
      <c r="K147" s="77">
        <f>4800.58</f>
        <v>4800.58</v>
      </c>
      <c r="L147" s="77">
        <f>4800.58</f>
        <v>4800.58</v>
      </c>
      <c r="M147" s="78">
        <f t="shared" si="4"/>
        <v>0</v>
      </c>
      <c r="N147" s="100"/>
      <c r="O147" s="81">
        <f>3917.73+8936.21</f>
        <v>12853.939999999999</v>
      </c>
      <c r="P147" s="81">
        <f>3917.73+8936.21</f>
        <v>12853.939999999999</v>
      </c>
      <c r="Q147" s="79">
        <f t="shared" si="3"/>
        <v>0</v>
      </c>
      <c r="R147" s="141"/>
    </row>
    <row r="148" spans="1:18" s="13" customFormat="1" ht="15.75" x14ac:dyDescent="0.25">
      <c r="A148" s="10"/>
      <c r="B148" s="27" t="s">
        <v>86</v>
      </c>
      <c r="C148" s="181" t="s">
        <v>17</v>
      </c>
      <c r="D148" s="182"/>
      <c r="E148" s="194" t="s">
        <v>20</v>
      </c>
      <c r="F148" s="73" t="s">
        <v>396</v>
      </c>
      <c r="G148" s="74" t="s">
        <v>112</v>
      </c>
      <c r="H148" s="75">
        <v>10</v>
      </c>
      <c r="I148" s="76">
        <v>8</v>
      </c>
      <c r="J148" s="96">
        <f>1+3+1+7+2</f>
        <v>14</v>
      </c>
      <c r="K148" s="77">
        <f>950.9+5134.06+2091.97+528.03+8954.46+5719.74</f>
        <v>23379.159999999996</v>
      </c>
      <c r="L148" s="77">
        <f>950.9+5134.06+2091.97+528.03+8954.46</f>
        <v>17659.419999999998</v>
      </c>
      <c r="M148" s="78">
        <f t="shared" si="4"/>
        <v>5719.739999999998</v>
      </c>
      <c r="N148" s="100">
        <f>15+4+2+1+2</f>
        <v>24</v>
      </c>
      <c r="O148" s="81">
        <f>30236.61+18366.75+8887.09+1077.68+8961.95</f>
        <v>67530.080000000002</v>
      </c>
      <c r="P148" s="81">
        <f>30236.61+18366.75+8887.09+1077.68</f>
        <v>58568.13</v>
      </c>
      <c r="Q148" s="188">
        <f t="shared" si="3"/>
        <v>8961.9500000000044</v>
      </c>
      <c r="R148" s="141"/>
    </row>
    <row r="149" spans="1:18" s="13" customFormat="1" ht="15.75" hidden="1" x14ac:dyDescent="0.25">
      <c r="A149" s="10"/>
      <c r="B149" s="27" t="s">
        <v>86</v>
      </c>
      <c r="C149" s="181" t="s">
        <v>17</v>
      </c>
      <c r="D149" s="182"/>
      <c r="E149" s="194" t="s">
        <v>20</v>
      </c>
      <c r="F149" s="73" t="s">
        <v>465</v>
      </c>
      <c r="G149" s="184" t="s">
        <v>114</v>
      </c>
      <c r="H149" s="181">
        <v>2</v>
      </c>
      <c r="I149" s="185"/>
      <c r="J149" s="190"/>
      <c r="K149" s="77"/>
      <c r="L149" s="77"/>
      <c r="M149" s="78">
        <f t="shared" si="4"/>
        <v>0</v>
      </c>
      <c r="N149" s="100">
        <v>9</v>
      </c>
      <c r="O149" s="186">
        <v>15209.53</v>
      </c>
      <c r="P149" s="186">
        <v>15209.53</v>
      </c>
      <c r="Q149" s="188">
        <f t="shared" si="3"/>
        <v>0</v>
      </c>
    </row>
    <row r="150" spans="1:18" s="13" customFormat="1" ht="15.75" x14ac:dyDescent="0.25">
      <c r="A150" s="10"/>
      <c r="B150" s="62" t="s">
        <v>312</v>
      </c>
      <c r="C150" s="181" t="s">
        <v>17</v>
      </c>
      <c r="D150" s="182"/>
      <c r="E150" s="194" t="s">
        <v>20</v>
      </c>
      <c r="F150" s="73" t="s">
        <v>320</v>
      </c>
      <c r="G150" s="74" t="s">
        <v>112</v>
      </c>
      <c r="H150" s="75">
        <v>12</v>
      </c>
      <c r="I150" s="76">
        <v>5</v>
      </c>
      <c r="J150" s="96">
        <f>1+1+1+2</f>
        <v>5</v>
      </c>
      <c r="K150" s="77">
        <f>3319.49+845.24+4965.79</f>
        <v>9130.52</v>
      </c>
      <c r="L150" s="77">
        <f>3319.49+845.24</f>
        <v>4164.7299999999996</v>
      </c>
      <c r="M150" s="78">
        <f t="shared" si="4"/>
        <v>4965.7900000000009</v>
      </c>
      <c r="N150" s="100">
        <f>5+6+1+1</f>
        <v>13</v>
      </c>
      <c r="O150" s="81">
        <f>4226.2+6627.45+4360.59</f>
        <v>15214.24</v>
      </c>
      <c r="P150" s="81">
        <f>4226.2+6627.45</f>
        <v>10853.65</v>
      </c>
      <c r="Q150" s="188"/>
      <c r="R150" s="141"/>
    </row>
    <row r="151" spans="1:18" s="13" customFormat="1" ht="15.75" x14ac:dyDescent="0.25">
      <c r="A151" s="10"/>
      <c r="B151" s="62" t="s">
        <v>494</v>
      </c>
      <c r="C151" s="181" t="s">
        <v>17</v>
      </c>
      <c r="D151" s="182"/>
      <c r="E151" s="194" t="s">
        <v>20</v>
      </c>
      <c r="F151" s="73" t="s">
        <v>497</v>
      </c>
      <c r="G151" s="74" t="s">
        <v>112</v>
      </c>
      <c r="H151" s="75">
        <v>9</v>
      </c>
      <c r="I151" s="76">
        <v>4</v>
      </c>
      <c r="J151" s="96">
        <f>1+1+1+1</f>
        <v>4</v>
      </c>
      <c r="K151" s="77">
        <f>3379+5494.06+576.3</f>
        <v>9449.36</v>
      </c>
      <c r="L151" s="77">
        <f>3379+5494.06</f>
        <v>8873.0600000000013</v>
      </c>
      <c r="M151" s="78">
        <f t="shared" si="4"/>
        <v>576.29999999999927</v>
      </c>
      <c r="N151" s="100"/>
      <c r="O151" s="81"/>
      <c r="P151" s="81"/>
      <c r="Q151" s="188"/>
      <c r="R151" s="141"/>
    </row>
    <row r="152" spans="1:18" s="13" customFormat="1" ht="15.75" hidden="1" x14ac:dyDescent="0.25">
      <c r="A152" s="10"/>
      <c r="B152" s="62" t="s">
        <v>494</v>
      </c>
      <c r="C152" s="181" t="s">
        <v>17</v>
      </c>
      <c r="D152" s="182"/>
      <c r="E152" s="194" t="s">
        <v>20</v>
      </c>
      <c r="F152" s="73" t="s">
        <v>507</v>
      </c>
      <c r="G152" s="74" t="s">
        <v>114</v>
      </c>
      <c r="H152" s="75">
        <v>22</v>
      </c>
      <c r="I152" s="76"/>
      <c r="J152" s="96"/>
      <c r="K152" s="77"/>
      <c r="L152" s="77"/>
      <c r="M152" s="187"/>
      <c r="N152" s="100"/>
      <c r="O152" s="81"/>
      <c r="P152" s="81"/>
      <c r="Q152" s="188">
        <f t="shared" ref="Q152:Q195" si="5">O152-P152</f>
        <v>0</v>
      </c>
      <c r="R152" s="141"/>
    </row>
    <row r="153" spans="1:18" s="13" customFormat="1" ht="15.75" x14ac:dyDescent="0.25">
      <c r="A153" s="10"/>
      <c r="B153" s="30" t="s">
        <v>88</v>
      </c>
      <c r="C153" s="181" t="s">
        <v>17</v>
      </c>
      <c r="D153" s="182"/>
      <c r="E153" s="183" t="s">
        <v>89</v>
      </c>
      <c r="F153" s="73" t="s">
        <v>397</v>
      </c>
      <c r="G153" s="74" t="s">
        <v>112</v>
      </c>
      <c r="H153" s="75">
        <v>7</v>
      </c>
      <c r="I153" s="76">
        <v>5</v>
      </c>
      <c r="J153" s="96">
        <f>1+3+1</f>
        <v>5</v>
      </c>
      <c r="K153" s="77">
        <f>4226.2+2394.91+6485.1+556.71</f>
        <v>13662.919999999998</v>
      </c>
      <c r="L153" s="77">
        <f>4226.2+2394.91+6485.1+556.71</f>
        <v>13662.919999999998</v>
      </c>
      <c r="M153" s="78">
        <f>K153-L153</f>
        <v>0</v>
      </c>
      <c r="N153" s="100">
        <f>4+1+3+1+2+2+1+1+2</f>
        <v>17</v>
      </c>
      <c r="O153" s="81">
        <f>11967.83+2831.55+10544.37+9418.99+3799.13+1798.04+2548.4-12193.52+4083.77</f>
        <v>34798.559999999998</v>
      </c>
      <c r="P153" s="81">
        <f>11967.83+2831.55+10544.37+9418.99+3799.13+1798.04+2548.4-12193.52</f>
        <v>30714.789999999997</v>
      </c>
      <c r="Q153" s="79">
        <f t="shared" si="5"/>
        <v>4083.7700000000004</v>
      </c>
      <c r="R153" s="141"/>
    </row>
    <row r="154" spans="1:18" s="13" customFormat="1" ht="15.75" hidden="1" x14ac:dyDescent="0.25">
      <c r="A154" s="10"/>
      <c r="B154" s="30" t="s">
        <v>88</v>
      </c>
      <c r="C154" s="181" t="s">
        <v>17</v>
      </c>
      <c r="D154" s="182"/>
      <c r="E154" s="183" t="s">
        <v>89</v>
      </c>
      <c r="F154" s="73" t="s">
        <v>442</v>
      </c>
      <c r="G154" s="184" t="s">
        <v>118</v>
      </c>
      <c r="H154" s="181">
        <v>1</v>
      </c>
      <c r="I154" s="185"/>
      <c r="J154" s="96"/>
      <c r="K154" s="77"/>
      <c r="L154" s="77"/>
      <c r="M154" s="187">
        <f t="shared" si="4"/>
        <v>0</v>
      </c>
      <c r="N154" s="100">
        <v>3</v>
      </c>
      <c r="O154" s="186">
        <v>11020.82</v>
      </c>
      <c r="P154" s="186">
        <v>11020.82</v>
      </c>
      <c r="Q154" s="188">
        <f t="shared" si="5"/>
        <v>0</v>
      </c>
    </row>
    <row r="155" spans="1:18" s="13" customFormat="1" ht="15.75" hidden="1" x14ac:dyDescent="0.25">
      <c r="A155" s="10"/>
      <c r="B155" s="30" t="s">
        <v>88</v>
      </c>
      <c r="C155" s="181" t="s">
        <v>17</v>
      </c>
      <c r="D155" s="182"/>
      <c r="E155" s="194" t="s">
        <v>505</v>
      </c>
      <c r="F155" s="73" t="s">
        <v>506</v>
      </c>
      <c r="G155" s="184" t="s">
        <v>114</v>
      </c>
      <c r="H155" s="181">
        <v>4</v>
      </c>
      <c r="I155" s="185"/>
      <c r="J155" s="96"/>
      <c r="K155" s="77"/>
      <c r="L155" s="77"/>
      <c r="M155" s="187"/>
      <c r="N155" s="100"/>
      <c r="O155" s="186"/>
      <c r="P155" s="186"/>
      <c r="Q155" s="188">
        <f t="shared" si="5"/>
        <v>0</v>
      </c>
    </row>
    <row r="156" spans="1:18" s="13" customFormat="1" ht="15.75" x14ac:dyDescent="0.25">
      <c r="A156" s="10"/>
      <c r="B156" s="30" t="s">
        <v>90</v>
      </c>
      <c r="C156" s="181" t="s">
        <v>17</v>
      </c>
      <c r="D156" s="182"/>
      <c r="E156" s="194" t="s">
        <v>20</v>
      </c>
      <c r="F156" s="73" t="s">
        <v>398</v>
      </c>
      <c r="G156" s="74" t="s">
        <v>112</v>
      </c>
      <c r="H156" s="75">
        <v>8</v>
      </c>
      <c r="I156" s="76">
        <v>3</v>
      </c>
      <c r="J156" s="96">
        <f>1+1+1</f>
        <v>3</v>
      </c>
      <c r="K156" s="77">
        <f>422.62+4662.44</f>
        <v>5085.0599999999995</v>
      </c>
      <c r="L156" s="77">
        <f>422.62+4662.44</f>
        <v>5085.0599999999995</v>
      </c>
      <c r="M156" s="78">
        <f>K156-L156</f>
        <v>0</v>
      </c>
      <c r="N156" s="100">
        <f>1+1+1+1</f>
        <v>4</v>
      </c>
      <c r="O156" s="81">
        <f>2122.67+787.61+15453.48</f>
        <v>18363.759999999998</v>
      </c>
      <c r="P156" s="81">
        <f>2122.67+787.61+15453.48</f>
        <v>18363.759999999998</v>
      </c>
      <c r="Q156" s="79">
        <f t="shared" si="5"/>
        <v>0</v>
      </c>
      <c r="R156" s="141"/>
    </row>
    <row r="157" spans="1:18" s="13" customFormat="1" ht="15.75" hidden="1" x14ac:dyDescent="0.25">
      <c r="A157" s="10"/>
      <c r="B157" s="30" t="s">
        <v>90</v>
      </c>
      <c r="C157" s="181" t="s">
        <v>17</v>
      </c>
      <c r="D157" s="182"/>
      <c r="E157" s="194" t="s">
        <v>20</v>
      </c>
      <c r="F157" s="73" t="s">
        <v>466</v>
      </c>
      <c r="G157" s="184" t="s">
        <v>114</v>
      </c>
      <c r="H157" s="181">
        <v>13</v>
      </c>
      <c r="I157" s="185">
        <v>3</v>
      </c>
      <c r="J157" s="190">
        <v>3</v>
      </c>
      <c r="K157" s="77">
        <v>3265.7</v>
      </c>
      <c r="L157" s="77">
        <v>3265.7</v>
      </c>
      <c r="M157" s="78">
        <f t="shared" si="4"/>
        <v>0</v>
      </c>
      <c r="N157" s="100">
        <v>23</v>
      </c>
      <c r="O157" s="186">
        <v>77320.7</v>
      </c>
      <c r="P157" s="186">
        <v>71672.960000000006</v>
      </c>
      <c r="Q157" s="188">
        <f t="shared" si="5"/>
        <v>5647.7399999999907</v>
      </c>
    </row>
    <row r="158" spans="1:18" s="13" customFormat="1" ht="15.75" x14ac:dyDescent="0.25">
      <c r="A158" s="10"/>
      <c r="B158" s="30" t="s">
        <v>91</v>
      </c>
      <c r="C158" s="181" t="s">
        <v>17</v>
      </c>
      <c r="D158" s="182"/>
      <c r="E158" s="194" t="s">
        <v>20</v>
      </c>
      <c r="F158" s="73" t="s">
        <v>399</v>
      </c>
      <c r="G158" s="74" t="s">
        <v>112</v>
      </c>
      <c r="H158" s="75"/>
      <c r="I158" s="76"/>
      <c r="J158" s="96"/>
      <c r="K158" s="77"/>
      <c r="L158" s="77"/>
      <c r="M158" s="78">
        <f>K158-L158</f>
        <v>0</v>
      </c>
      <c r="N158" s="100"/>
      <c r="O158" s="81"/>
      <c r="P158" s="81"/>
      <c r="Q158" s="79">
        <f t="shared" si="5"/>
        <v>0</v>
      </c>
      <c r="R158" s="141"/>
    </row>
    <row r="159" spans="1:18" s="13" customFormat="1" ht="15.75" hidden="1" x14ac:dyDescent="0.25">
      <c r="A159" s="10"/>
      <c r="B159" s="62" t="s">
        <v>138</v>
      </c>
      <c r="C159" s="181" t="s">
        <v>17</v>
      </c>
      <c r="D159" s="182"/>
      <c r="E159" s="194" t="s">
        <v>20</v>
      </c>
      <c r="F159" s="73" t="s">
        <v>467</v>
      </c>
      <c r="G159" s="184" t="s">
        <v>114</v>
      </c>
      <c r="H159" s="181">
        <v>6</v>
      </c>
      <c r="I159" s="185">
        <v>1</v>
      </c>
      <c r="J159" s="190">
        <v>1</v>
      </c>
      <c r="K159" s="193"/>
      <c r="L159" s="193"/>
      <c r="M159" s="78">
        <f t="shared" si="4"/>
        <v>0</v>
      </c>
      <c r="N159" s="114">
        <v>6</v>
      </c>
      <c r="O159" s="186">
        <v>12214.4</v>
      </c>
      <c r="P159" s="186">
        <v>6259.3</v>
      </c>
      <c r="Q159" s="188">
        <f t="shared" si="5"/>
        <v>5955.0999999999995</v>
      </c>
    </row>
    <row r="160" spans="1:18" s="13" customFormat="1" ht="15.75" x14ac:dyDescent="0.25">
      <c r="A160" s="10"/>
      <c r="B160" s="62" t="s">
        <v>138</v>
      </c>
      <c r="C160" s="181" t="s">
        <v>17</v>
      </c>
      <c r="D160" s="182"/>
      <c r="E160" s="194" t="s">
        <v>20</v>
      </c>
      <c r="F160" s="73" t="s">
        <v>400</v>
      </c>
      <c r="G160" s="74" t="s">
        <v>112</v>
      </c>
      <c r="H160" s="75">
        <v>9</v>
      </c>
      <c r="I160" s="82">
        <v>3</v>
      </c>
      <c r="J160" s="96">
        <f>3+1</f>
        <v>4</v>
      </c>
      <c r="K160" s="77">
        <f>2224.52+9639.33</f>
        <v>11863.85</v>
      </c>
      <c r="L160" s="77">
        <f>2224.52</f>
        <v>2224.52</v>
      </c>
      <c r="M160" s="78">
        <f t="shared" si="4"/>
        <v>9639.33</v>
      </c>
      <c r="N160" s="100">
        <f>5+4</f>
        <v>9</v>
      </c>
      <c r="O160" s="81">
        <f>8995.87+8641.99</f>
        <v>17637.86</v>
      </c>
      <c r="P160" s="81">
        <f>8995.87+8641.99</f>
        <v>17637.86</v>
      </c>
      <c r="Q160" s="79">
        <f t="shared" si="5"/>
        <v>0</v>
      </c>
      <c r="R160" s="141"/>
    </row>
    <row r="161" spans="1:18" s="13" customFormat="1" ht="15.75" x14ac:dyDescent="0.25">
      <c r="A161" s="10"/>
      <c r="B161" s="62" t="s">
        <v>157</v>
      </c>
      <c r="C161" s="181" t="s">
        <v>17</v>
      </c>
      <c r="D161" s="182"/>
      <c r="E161" s="194" t="s">
        <v>20</v>
      </c>
      <c r="F161" s="73" t="s">
        <v>401</v>
      </c>
      <c r="G161" s="74" t="s">
        <v>112</v>
      </c>
      <c r="H161" s="75">
        <v>10</v>
      </c>
      <c r="I161" s="82"/>
      <c r="J161" s="96"/>
      <c r="K161" s="77"/>
      <c r="L161" s="77"/>
      <c r="M161" s="78">
        <f t="shared" ref="M161:M193" si="6">K161-L161</f>
        <v>0</v>
      </c>
      <c r="N161" s="100"/>
      <c r="O161" s="81"/>
      <c r="P161" s="81"/>
      <c r="Q161" s="188">
        <f t="shared" si="5"/>
        <v>0</v>
      </c>
      <c r="R161" s="141"/>
    </row>
    <row r="162" spans="1:18" s="13" customFormat="1" ht="15.75" hidden="1" x14ac:dyDescent="0.25">
      <c r="A162" s="10"/>
      <c r="B162" s="62" t="s">
        <v>157</v>
      </c>
      <c r="C162" s="181" t="s">
        <v>17</v>
      </c>
      <c r="D162" s="182"/>
      <c r="E162" s="194" t="s">
        <v>20</v>
      </c>
      <c r="F162" s="73"/>
      <c r="G162" s="184" t="s">
        <v>114</v>
      </c>
      <c r="H162" s="181"/>
      <c r="I162" s="185"/>
      <c r="J162" s="190"/>
      <c r="K162" s="193"/>
      <c r="L162" s="193"/>
      <c r="M162" s="187">
        <f t="shared" si="6"/>
        <v>0</v>
      </c>
      <c r="N162" s="114"/>
      <c r="O162" s="186"/>
      <c r="P162" s="186"/>
      <c r="Q162" s="188">
        <f t="shared" si="5"/>
        <v>0</v>
      </c>
    </row>
    <row r="163" spans="1:18" s="15" customFormat="1" ht="15.75" x14ac:dyDescent="0.25">
      <c r="A163" s="14"/>
      <c r="B163" s="80" t="s">
        <v>92</v>
      </c>
      <c r="C163" s="181" t="s">
        <v>17</v>
      </c>
      <c r="D163" s="182"/>
      <c r="E163" s="194" t="s">
        <v>20</v>
      </c>
      <c r="F163" s="73" t="s">
        <v>402</v>
      </c>
      <c r="G163" s="74" t="s">
        <v>112</v>
      </c>
      <c r="H163" s="75">
        <v>8</v>
      </c>
      <c r="I163" s="76">
        <v>3</v>
      </c>
      <c r="J163" s="96">
        <f>1+2</f>
        <v>3</v>
      </c>
      <c r="K163" s="77">
        <f>1951.74+1335.1</f>
        <v>3286.84</v>
      </c>
      <c r="L163" s="77">
        <f>1951.74+1335.1</f>
        <v>3286.84</v>
      </c>
      <c r="M163" s="78">
        <f>K163-L163</f>
        <v>0</v>
      </c>
      <c r="N163" s="100">
        <f>4+1+1</f>
        <v>6</v>
      </c>
      <c r="O163" s="81">
        <f>12624.74+2697.06+1225.93</f>
        <v>16547.73</v>
      </c>
      <c r="P163" s="81">
        <f>12624.74+2697.06+1225.93</f>
        <v>16547.73</v>
      </c>
      <c r="Q163" s="188">
        <f t="shared" si="5"/>
        <v>0</v>
      </c>
      <c r="R163" s="141"/>
    </row>
    <row r="164" spans="1:18" s="15" customFormat="1" ht="15.75" hidden="1" x14ac:dyDescent="0.25">
      <c r="A164" s="14"/>
      <c r="B164" s="80" t="s">
        <v>92</v>
      </c>
      <c r="C164" s="181" t="s">
        <v>17</v>
      </c>
      <c r="D164" s="182"/>
      <c r="E164" s="194" t="s">
        <v>20</v>
      </c>
      <c r="F164" s="73" t="s">
        <v>129</v>
      </c>
      <c r="G164" s="184" t="s">
        <v>114</v>
      </c>
      <c r="H164" s="181"/>
      <c r="I164" s="185"/>
      <c r="J164" s="190"/>
      <c r="K164" s="77"/>
      <c r="L164" s="77"/>
      <c r="M164" s="187">
        <f t="shared" si="6"/>
        <v>0</v>
      </c>
      <c r="N164" s="114"/>
      <c r="O164" s="186"/>
      <c r="P164" s="186"/>
      <c r="Q164" s="188">
        <f t="shared" si="5"/>
        <v>0</v>
      </c>
    </row>
    <row r="165" spans="1:18" s="13" customFormat="1" ht="15.75" x14ac:dyDescent="0.25">
      <c r="A165" s="10"/>
      <c r="B165" s="30" t="s">
        <v>93</v>
      </c>
      <c r="C165" s="181" t="s">
        <v>17</v>
      </c>
      <c r="D165" s="182"/>
      <c r="E165" s="183" t="s">
        <v>94</v>
      </c>
      <c r="F165" s="73" t="s">
        <v>403</v>
      </c>
      <c r="G165" s="74" t="s">
        <v>112</v>
      </c>
      <c r="H165" s="75">
        <v>7</v>
      </c>
      <c r="I165" s="76">
        <v>2</v>
      </c>
      <c r="J165" s="96">
        <f>2</f>
        <v>2</v>
      </c>
      <c r="K165" s="77">
        <f>2336.84</f>
        <v>2336.84</v>
      </c>
      <c r="L165" s="77">
        <f>2336.84</f>
        <v>2336.84</v>
      </c>
      <c r="M165" s="78">
        <f>K165-L165</f>
        <v>0</v>
      </c>
      <c r="N165" s="100">
        <f>3+8</f>
        <v>11</v>
      </c>
      <c r="O165" s="81">
        <f>20117.75</f>
        <v>20117.75</v>
      </c>
      <c r="P165" s="81">
        <f>20117.75</f>
        <v>20117.75</v>
      </c>
      <c r="Q165" s="188">
        <f t="shared" si="5"/>
        <v>0</v>
      </c>
      <c r="R165" s="141"/>
    </row>
    <row r="166" spans="1:18" s="13" customFormat="1" ht="15.75" hidden="1" x14ac:dyDescent="0.25">
      <c r="A166" s="10"/>
      <c r="B166" s="30" t="s">
        <v>93</v>
      </c>
      <c r="C166" s="181" t="s">
        <v>17</v>
      </c>
      <c r="D166" s="182"/>
      <c r="E166" s="183" t="s">
        <v>94</v>
      </c>
      <c r="F166" s="73" t="s">
        <v>130</v>
      </c>
      <c r="G166" s="184" t="s">
        <v>114</v>
      </c>
      <c r="H166" s="181"/>
      <c r="I166" s="185"/>
      <c r="J166" s="190"/>
      <c r="K166" s="77"/>
      <c r="L166" s="77"/>
      <c r="M166" s="187">
        <f t="shared" si="6"/>
        <v>0</v>
      </c>
      <c r="N166" s="100"/>
      <c r="O166" s="186"/>
      <c r="P166" s="186"/>
      <c r="Q166" s="188">
        <f t="shared" si="5"/>
        <v>0</v>
      </c>
    </row>
    <row r="167" spans="1:18" s="13" customFormat="1" ht="15.75" hidden="1" x14ac:dyDescent="0.25">
      <c r="A167" s="10"/>
      <c r="B167" s="30" t="s">
        <v>93</v>
      </c>
      <c r="C167" s="181" t="s">
        <v>17</v>
      </c>
      <c r="D167" s="182"/>
      <c r="E167" s="183" t="s">
        <v>94</v>
      </c>
      <c r="F167" s="73" t="s">
        <v>240</v>
      </c>
      <c r="G167" s="184" t="s">
        <v>118</v>
      </c>
      <c r="H167" s="181"/>
      <c r="I167" s="185"/>
      <c r="J167" s="96"/>
      <c r="K167" s="77"/>
      <c r="L167" s="77"/>
      <c r="M167" s="78">
        <f t="shared" si="6"/>
        <v>0</v>
      </c>
      <c r="N167" s="100"/>
      <c r="O167" s="186"/>
      <c r="P167" s="186"/>
      <c r="Q167" s="188">
        <f t="shared" si="5"/>
        <v>0</v>
      </c>
    </row>
    <row r="168" spans="1:18" s="13" customFormat="1" ht="15.75" x14ac:dyDescent="0.25">
      <c r="A168" s="10"/>
      <c r="B168" s="30" t="s">
        <v>95</v>
      </c>
      <c r="C168" s="181" t="s">
        <v>17</v>
      </c>
      <c r="D168" s="182"/>
      <c r="E168" s="194" t="s">
        <v>20</v>
      </c>
      <c r="F168" s="73" t="s">
        <v>404</v>
      </c>
      <c r="G168" s="74" t="s">
        <v>112</v>
      </c>
      <c r="H168" s="75">
        <v>15</v>
      </c>
      <c r="I168" s="76">
        <v>6</v>
      </c>
      <c r="J168" s="96">
        <f>1+4+4</f>
        <v>9</v>
      </c>
      <c r="K168" s="77">
        <f>1061.35+5770.05+5238.9</f>
        <v>12070.3</v>
      </c>
      <c r="L168" s="77">
        <f>1061.35+5770.05</f>
        <v>6831.4</v>
      </c>
      <c r="M168" s="78">
        <f>K168-L168</f>
        <v>5238.8999999999996</v>
      </c>
      <c r="N168" s="100">
        <f>1+6+1+4</f>
        <v>12</v>
      </c>
      <c r="O168" s="81">
        <f>11603.82+7559.28+6777.29+24757.02</f>
        <v>50697.41</v>
      </c>
      <c r="P168" s="81">
        <f>11603.82+7559.28+6777.29</f>
        <v>25940.39</v>
      </c>
      <c r="Q168" s="79">
        <f t="shared" si="5"/>
        <v>24757.020000000004</v>
      </c>
      <c r="R168" s="141"/>
    </row>
    <row r="169" spans="1:18" s="13" customFormat="1" ht="15.75" hidden="1" x14ac:dyDescent="0.25">
      <c r="A169" s="10"/>
      <c r="B169" s="30" t="s">
        <v>95</v>
      </c>
      <c r="C169" s="181" t="s">
        <v>17</v>
      </c>
      <c r="D169" s="182"/>
      <c r="E169" s="194" t="s">
        <v>20</v>
      </c>
      <c r="F169" s="73" t="s">
        <v>291</v>
      </c>
      <c r="G169" s="184" t="s">
        <v>114</v>
      </c>
      <c r="H169" s="181">
        <v>8</v>
      </c>
      <c r="I169" s="185">
        <v>1</v>
      </c>
      <c r="J169" s="190">
        <v>1</v>
      </c>
      <c r="K169" s="77"/>
      <c r="L169" s="77"/>
      <c r="M169" s="78">
        <f t="shared" si="6"/>
        <v>0</v>
      </c>
      <c r="N169" s="100">
        <v>11</v>
      </c>
      <c r="O169" s="186">
        <v>27182.15</v>
      </c>
      <c r="P169" s="186">
        <v>27182.15</v>
      </c>
      <c r="Q169" s="188">
        <f t="shared" si="5"/>
        <v>0</v>
      </c>
    </row>
    <row r="170" spans="1:18" s="13" customFormat="1" ht="15.75" x14ac:dyDescent="0.25">
      <c r="A170" s="10"/>
      <c r="B170" s="30" t="s">
        <v>96</v>
      </c>
      <c r="C170" s="181" t="s">
        <v>17</v>
      </c>
      <c r="D170" s="182"/>
      <c r="E170" s="194" t="s">
        <v>97</v>
      </c>
      <c r="F170" s="73" t="s">
        <v>405</v>
      </c>
      <c r="G170" s="74" t="s">
        <v>112</v>
      </c>
      <c r="H170" s="75">
        <v>1</v>
      </c>
      <c r="I170" s="76">
        <v>1</v>
      </c>
      <c r="J170" s="96">
        <f>2</f>
        <v>2</v>
      </c>
      <c r="K170" s="77"/>
      <c r="L170" s="77"/>
      <c r="M170" s="78">
        <f>K170-L170</f>
        <v>0</v>
      </c>
      <c r="N170" s="103">
        <f>1+2+1</f>
        <v>4</v>
      </c>
      <c r="O170" s="77">
        <f>1742.31+9358.48</f>
        <v>11100.789999999999</v>
      </c>
      <c r="P170" s="77">
        <f>1742.31+9358.48</f>
        <v>11100.789999999999</v>
      </c>
      <c r="Q170" s="79">
        <f t="shared" si="5"/>
        <v>0</v>
      </c>
      <c r="R170" s="141"/>
    </row>
    <row r="171" spans="1:18" s="13" customFormat="1" ht="15.75" hidden="1" x14ac:dyDescent="0.25">
      <c r="A171" s="10"/>
      <c r="B171" s="30" t="s">
        <v>96</v>
      </c>
      <c r="C171" s="181" t="s">
        <v>17</v>
      </c>
      <c r="D171" s="182"/>
      <c r="E171" s="194" t="s">
        <v>97</v>
      </c>
      <c r="F171" s="73" t="s">
        <v>468</v>
      </c>
      <c r="G171" s="184" t="s">
        <v>114</v>
      </c>
      <c r="H171" s="181">
        <v>1</v>
      </c>
      <c r="I171" s="185"/>
      <c r="J171" s="190"/>
      <c r="K171" s="77"/>
      <c r="L171" s="77"/>
      <c r="M171" s="78">
        <f t="shared" si="6"/>
        <v>0</v>
      </c>
      <c r="N171" s="100">
        <v>3</v>
      </c>
      <c r="O171" s="186">
        <v>3682</v>
      </c>
      <c r="P171" s="186"/>
      <c r="Q171" s="188">
        <f t="shared" si="5"/>
        <v>3682</v>
      </c>
    </row>
    <row r="172" spans="1:18" s="13" customFormat="1" ht="15.75" x14ac:dyDescent="0.25">
      <c r="A172" s="10"/>
      <c r="B172" s="30" t="s">
        <v>98</v>
      </c>
      <c r="C172" s="181" t="s">
        <v>17</v>
      </c>
      <c r="D172" s="182"/>
      <c r="E172" s="194" t="s">
        <v>35</v>
      </c>
      <c r="F172" s="73" t="s">
        <v>406</v>
      </c>
      <c r="G172" s="74" t="s">
        <v>112</v>
      </c>
      <c r="H172" s="75">
        <v>25</v>
      </c>
      <c r="I172" s="76">
        <v>16</v>
      </c>
      <c r="J172" s="96">
        <f>1+2+1+1+4</f>
        <v>9</v>
      </c>
      <c r="K172" s="77">
        <f>845.24+1764.25+8353.03+1298.98+7610.68+13826.64</f>
        <v>33698.82</v>
      </c>
      <c r="L172" s="77">
        <f>845.24+1764.25+8353.03+1298.98+7610.68</f>
        <v>19872.18</v>
      </c>
      <c r="M172" s="78">
        <f>K172-L172</f>
        <v>13826.64</v>
      </c>
      <c r="N172" s="100">
        <f>9+1+1+4+2+1+2+4</f>
        <v>24</v>
      </c>
      <c r="O172" s="81">
        <f>73585.55+12034.56</f>
        <v>85620.11</v>
      </c>
      <c r="P172" s="81">
        <f>73585.55</f>
        <v>73585.55</v>
      </c>
      <c r="Q172" s="79">
        <f t="shared" si="5"/>
        <v>12034.559999999998</v>
      </c>
      <c r="R172" s="141"/>
    </row>
    <row r="173" spans="1:18" s="13" customFormat="1" ht="15.75" hidden="1" x14ac:dyDescent="0.25">
      <c r="A173" s="10"/>
      <c r="B173" s="30" t="s">
        <v>98</v>
      </c>
      <c r="C173" s="181" t="s">
        <v>17</v>
      </c>
      <c r="D173" s="182"/>
      <c r="E173" s="194" t="s">
        <v>35</v>
      </c>
      <c r="F173" s="73" t="s">
        <v>435</v>
      </c>
      <c r="G173" s="195" t="s">
        <v>117</v>
      </c>
      <c r="H173" s="181">
        <v>3</v>
      </c>
      <c r="I173" s="185">
        <v>1</v>
      </c>
      <c r="J173" s="96">
        <v>1</v>
      </c>
      <c r="K173" s="77">
        <v>1162.21</v>
      </c>
      <c r="L173" s="77">
        <v>1162.21</v>
      </c>
      <c r="M173" s="78">
        <f t="shared" si="6"/>
        <v>0</v>
      </c>
      <c r="N173" s="100">
        <f>4</f>
        <v>4</v>
      </c>
      <c r="O173" s="77">
        <v>10721.75</v>
      </c>
      <c r="P173" s="77">
        <v>10721.75</v>
      </c>
      <c r="Q173" s="188">
        <f t="shared" si="5"/>
        <v>0</v>
      </c>
    </row>
    <row r="174" spans="1:18" s="13" customFormat="1" ht="15.75" x14ac:dyDescent="0.25">
      <c r="A174" s="10"/>
      <c r="B174" s="30" t="s">
        <v>488</v>
      </c>
      <c r="C174" s="181" t="s">
        <v>17</v>
      </c>
      <c r="D174" s="182"/>
      <c r="E174" s="194" t="s">
        <v>97</v>
      </c>
      <c r="F174" s="73" t="s">
        <v>498</v>
      </c>
      <c r="G174" s="195" t="s">
        <v>112</v>
      </c>
      <c r="H174" s="181">
        <v>7</v>
      </c>
      <c r="I174" s="185">
        <v>4</v>
      </c>
      <c r="J174" s="96">
        <f>4</f>
        <v>4</v>
      </c>
      <c r="K174" s="77">
        <v>1535.8</v>
      </c>
      <c r="L174" s="77">
        <v>1535.8</v>
      </c>
      <c r="M174" s="78">
        <f t="shared" si="6"/>
        <v>0</v>
      </c>
      <c r="N174" s="100"/>
      <c r="O174" s="77"/>
      <c r="P174" s="77"/>
      <c r="Q174" s="188"/>
    </row>
    <row r="175" spans="1:18" s="15" customFormat="1" ht="15.75" x14ac:dyDescent="0.25">
      <c r="A175" s="14"/>
      <c r="B175" s="84" t="s">
        <v>99</v>
      </c>
      <c r="C175" s="181" t="s">
        <v>17</v>
      </c>
      <c r="D175" s="182"/>
      <c r="E175" s="183" t="s">
        <v>32</v>
      </c>
      <c r="F175" s="73" t="s">
        <v>418</v>
      </c>
      <c r="G175" s="74" t="s">
        <v>112</v>
      </c>
      <c r="H175" s="75"/>
      <c r="I175" s="76"/>
      <c r="J175" s="96"/>
      <c r="K175" s="77"/>
      <c r="L175" s="77"/>
      <c r="M175" s="78">
        <f t="shared" si="6"/>
        <v>0</v>
      </c>
      <c r="N175" s="100"/>
      <c r="O175" s="81"/>
      <c r="P175" s="81"/>
      <c r="Q175" s="79">
        <f t="shared" si="5"/>
        <v>0</v>
      </c>
      <c r="R175" s="141"/>
    </row>
    <row r="176" spans="1:18" s="15" customFormat="1" ht="15.75" hidden="1" x14ac:dyDescent="0.25">
      <c r="A176" s="14"/>
      <c r="B176" s="84" t="s">
        <v>99</v>
      </c>
      <c r="C176" s="181" t="s">
        <v>17</v>
      </c>
      <c r="D176" s="182"/>
      <c r="E176" s="183" t="s">
        <v>32</v>
      </c>
      <c r="F176" s="73" t="s">
        <v>423</v>
      </c>
      <c r="G176" s="195" t="s">
        <v>117</v>
      </c>
      <c r="H176" s="181"/>
      <c r="I176" s="185"/>
      <c r="J176" s="190"/>
      <c r="K176" s="77"/>
      <c r="L176" s="77"/>
      <c r="M176" s="78">
        <f t="shared" si="6"/>
        <v>0</v>
      </c>
      <c r="N176" s="114"/>
      <c r="O176" s="77"/>
      <c r="P176" s="77"/>
      <c r="Q176" s="188">
        <f t="shared" si="5"/>
        <v>0</v>
      </c>
    </row>
    <row r="177" spans="1:18" s="15" customFormat="1" ht="30" x14ac:dyDescent="0.25">
      <c r="A177" s="14"/>
      <c r="B177" s="30" t="s">
        <v>144</v>
      </c>
      <c r="C177" s="181" t="s">
        <v>304</v>
      </c>
      <c r="D177" s="182" t="s">
        <v>313</v>
      </c>
      <c r="E177" s="194" t="s">
        <v>97</v>
      </c>
      <c r="F177" s="73" t="s">
        <v>407</v>
      </c>
      <c r="G177" s="66" t="s">
        <v>112</v>
      </c>
      <c r="H177" s="75">
        <v>14</v>
      </c>
      <c r="I177" s="76">
        <v>12</v>
      </c>
      <c r="J177" s="98">
        <f>2+2+1+3+1+1+5</f>
        <v>15</v>
      </c>
      <c r="K177" s="77">
        <f>950.9+1449.39+2272.32+2785.92+5112.01</f>
        <v>12570.54</v>
      </c>
      <c r="L177" s="77">
        <f>950.9+1449.39+2272.32+2785.92</f>
        <v>7458.5300000000007</v>
      </c>
      <c r="M177" s="78">
        <f>K177-L177</f>
        <v>5112.01</v>
      </c>
      <c r="N177" s="100">
        <f>3+2+1+1+1</f>
        <v>8</v>
      </c>
      <c r="O177" s="77">
        <f>5020.57+5566.06+2694.94+845.24</f>
        <v>14126.810000000001</v>
      </c>
      <c r="P177" s="77">
        <f>5020.57+5566.06+2694.94+845.24</f>
        <v>14126.810000000001</v>
      </c>
      <c r="Q177" s="79">
        <f t="shared" si="5"/>
        <v>0</v>
      </c>
      <c r="R177" s="141"/>
    </row>
    <row r="178" spans="1:18" s="15" customFormat="1" ht="15.75" hidden="1" x14ac:dyDescent="0.25">
      <c r="A178" s="14"/>
      <c r="B178" s="30" t="s">
        <v>488</v>
      </c>
      <c r="C178" s="181"/>
      <c r="D178" s="182"/>
      <c r="E178" s="194"/>
      <c r="F178" s="73"/>
      <c r="G178" s="66" t="s">
        <v>114</v>
      </c>
      <c r="H178" s="75">
        <v>17</v>
      </c>
      <c r="I178" s="76">
        <v>6</v>
      </c>
      <c r="J178" s="98">
        <v>6</v>
      </c>
      <c r="K178" s="77"/>
      <c r="L178" s="77"/>
      <c r="M178" s="187"/>
      <c r="N178" s="100"/>
      <c r="O178" s="77"/>
      <c r="P178" s="77"/>
      <c r="Q178" s="188">
        <f t="shared" si="5"/>
        <v>0</v>
      </c>
    </row>
    <row r="179" spans="1:18" s="15" customFormat="1" ht="15.75" hidden="1" x14ac:dyDescent="0.25">
      <c r="A179" s="14"/>
      <c r="B179" s="30" t="s">
        <v>488</v>
      </c>
      <c r="C179" s="181"/>
      <c r="D179" s="182"/>
      <c r="E179" s="194"/>
      <c r="F179" s="73"/>
      <c r="G179" s="66" t="s">
        <v>113</v>
      </c>
      <c r="H179" s="75">
        <v>11</v>
      </c>
      <c r="I179" s="76">
        <v>5</v>
      </c>
      <c r="J179" s="98">
        <v>5</v>
      </c>
      <c r="K179" s="77">
        <v>7271</v>
      </c>
      <c r="L179" s="77">
        <v>6109</v>
      </c>
      <c r="M179" s="78">
        <f t="shared" ref="M179" si="7">K179-L179</f>
        <v>1162</v>
      </c>
      <c r="N179" s="100"/>
      <c r="O179" s="77"/>
      <c r="P179" s="77"/>
      <c r="Q179" s="79"/>
    </row>
    <row r="180" spans="1:18" s="15" customFormat="1" ht="30" hidden="1" x14ac:dyDescent="0.25">
      <c r="A180" s="14"/>
      <c r="B180" s="201" t="s">
        <v>144</v>
      </c>
      <c r="C180" s="181" t="s">
        <v>446</v>
      </c>
      <c r="D180" s="182" t="s">
        <v>313</v>
      </c>
      <c r="E180" s="183" t="s">
        <v>20</v>
      </c>
      <c r="F180" s="73" t="s">
        <v>485</v>
      </c>
      <c r="G180" s="195" t="s">
        <v>114</v>
      </c>
      <c r="H180" s="181">
        <v>21</v>
      </c>
      <c r="I180" s="192">
        <v>5</v>
      </c>
      <c r="J180" s="202">
        <v>5</v>
      </c>
      <c r="K180" s="77">
        <v>1921</v>
      </c>
      <c r="L180" s="77">
        <v>1921</v>
      </c>
      <c r="M180" s="78">
        <f t="shared" si="6"/>
        <v>0</v>
      </c>
      <c r="N180" s="101">
        <v>19</v>
      </c>
      <c r="O180" s="186">
        <v>36779.199999999997</v>
      </c>
      <c r="P180" s="186">
        <v>34281.9</v>
      </c>
      <c r="Q180" s="188">
        <f t="shared" ref="Q180" si="8">O180-P180</f>
        <v>2497.2999999999956</v>
      </c>
    </row>
    <row r="181" spans="1:18" s="21" customFormat="1" ht="45" x14ac:dyDescent="0.25">
      <c r="A181" s="1"/>
      <c r="B181" s="30" t="s">
        <v>100</v>
      </c>
      <c r="C181" s="181" t="s">
        <v>304</v>
      </c>
      <c r="D181" s="182" t="s">
        <v>416</v>
      </c>
      <c r="E181" s="194" t="s">
        <v>20</v>
      </c>
      <c r="F181" s="73" t="s">
        <v>408</v>
      </c>
      <c r="G181" s="27" t="s">
        <v>112</v>
      </c>
      <c r="H181" s="75">
        <v>12</v>
      </c>
      <c r="I181" s="76">
        <v>6</v>
      </c>
      <c r="J181" s="98">
        <f>5+1</f>
        <v>6</v>
      </c>
      <c r="K181" s="86">
        <f>6524.55+600.31</f>
        <v>7124.8600000000006</v>
      </c>
      <c r="L181" s="86">
        <f>6524.55+600.31</f>
        <v>7124.8600000000006</v>
      </c>
      <c r="M181" s="78">
        <f>K181-L181</f>
        <v>0</v>
      </c>
      <c r="N181" s="100">
        <f>1+3</f>
        <v>4</v>
      </c>
      <c r="O181" s="87">
        <f>10770.58+2113.01</f>
        <v>12883.59</v>
      </c>
      <c r="P181" s="87">
        <f>10770.58+2113.01</f>
        <v>12883.59</v>
      </c>
      <c r="Q181" s="79">
        <f t="shared" si="5"/>
        <v>0</v>
      </c>
      <c r="R181" s="141"/>
    </row>
    <row r="182" spans="1:18" s="21" customFormat="1" ht="60" hidden="1" x14ac:dyDescent="0.25">
      <c r="A182" s="1"/>
      <c r="B182" s="30" t="s">
        <v>100</v>
      </c>
      <c r="C182" s="203" t="s">
        <v>125</v>
      </c>
      <c r="D182" s="182" t="s">
        <v>126</v>
      </c>
      <c r="E182" s="194" t="s">
        <v>20</v>
      </c>
      <c r="F182" s="73" t="s">
        <v>486</v>
      </c>
      <c r="G182" s="200" t="s">
        <v>114</v>
      </c>
      <c r="H182" s="181">
        <v>9</v>
      </c>
      <c r="I182" s="192"/>
      <c r="J182" s="202"/>
      <c r="K182" s="86"/>
      <c r="L182" s="86"/>
      <c r="M182" s="78">
        <f t="shared" si="6"/>
        <v>0</v>
      </c>
      <c r="N182" s="100"/>
      <c r="O182" s="204"/>
      <c r="P182" s="204"/>
      <c r="Q182" s="188">
        <f t="shared" si="5"/>
        <v>0</v>
      </c>
    </row>
    <row r="183" spans="1:18" s="13" customFormat="1" ht="15.75" x14ac:dyDescent="0.25">
      <c r="A183" s="10"/>
      <c r="B183" s="62" t="s">
        <v>101</v>
      </c>
      <c r="C183" s="181" t="s">
        <v>17</v>
      </c>
      <c r="D183" s="182"/>
      <c r="E183" s="194" t="s">
        <v>20</v>
      </c>
      <c r="F183" s="73" t="s">
        <v>409</v>
      </c>
      <c r="G183" s="74" t="s">
        <v>112</v>
      </c>
      <c r="H183" s="75">
        <v>11</v>
      </c>
      <c r="I183" s="76">
        <v>5</v>
      </c>
      <c r="J183" s="96">
        <f>1+5+1+1</f>
        <v>8</v>
      </c>
      <c r="K183" s="77">
        <f>1045.98+3354.45+1225.93</f>
        <v>5626.3600000000006</v>
      </c>
      <c r="L183" s="77">
        <f>1045.98+3354.45+1225.93</f>
        <v>5626.3600000000006</v>
      </c>
      <c r="M183" s="78">
        <f t="shared" si="6"/>
        <v>0</v>
      </c>
      <c r="N183" s="100">
        <f>5+2+1+1</f>
        <v>9</v>
      </c>
      <c r="O183" s="81">
        <f>6288.07+3061.62+3426.18+12951.18</f>
        <v>25727.05</v>
      </c>
      <c r="P183" s="81">
        <f>6288.07+3061.62+3426.18</f>
        <v>12775.869999999999</v>
      </c>
      <c r="Q183" s="79">
        <f t="shared" si="5"/>
        <v>12951.18</v>
      </c>
      <c r="R183" s="141"/>
    </row>
    <row r="184" spans="1:18" s="13" customFormat="1" ht="15.75" x14ac:dyDescent="0.25">
      <c r="A184" s="10"/>
      <c r="B184" s="62" t="s">
        <v>146</v>
      </c>
      <c r="C184" s="181" t="s">
        <v>17</v>
      </c>
      <c r="D184" s="182"/>
      <c r="E184" s="194" t="s">
        <v>20</v>
      </c>
      <c r="F184" s="73" t="s">
        <v>410</v>
      </c>
      <c r="G184" s="74" t="s">
        <v>112</v>
      </c>
      <c r="H184" s="75">
        <v>10</v>
      </c>
      <c r="I184" s="76">
        <v>7</v>
      </c>
      <c r="J184" s="96">
        <f>4+1+1</f>
        <v>6</v>
      </c>
      <c r="K184" s="77">
        <f>4610.77+1568.98+1854.88</f>
        <v>8034.63</v>
      </c>
      <c r="L184" s="77">
        <f>4610.77+1568.98</f>
        <v>6179.75</v>
      </c>
      <c r="M184" s="78">
        <f t="shared" si="6"/>
        <v>1854.88</v>
      </c>
      <c r="N184" s="100">
        <f>5+1+1+2</f>
        <v>9</v>
      </c>
      <c r="O184" s="81">
        <f>13579.06+1287.07+2636.18+26196.83</f>
        <v>43699.14</v>
      </c>
      <c r="P184" s="81">
        <f>13579.06+1287.07+2636.18+26196.83</f>
        <v>43699.14</v>
      </c>
      <c r="Q184" s="188">
        <f t="shared" si="5"/>
        <v>0</v>
      </c>
      <c r="R184" s="141"/>
    </row>
    <row r="185" spans="1:18" s="13" customFormat="1" ht="15.75" hidden="1" x14ac:dyDescent="0.25">
      <c r="A185" s="10"/>
      <c r="B185" s="62" t="s">
        <v>146</v>
      </c>
      <c r="C185" s="181" t="s">
        <v>17</v>
      </c>
      <c r="D185" s="182"/>
      <c r="E185" s="183" t="s">
        <v>21</v>
      </c>
      <c r="F185" s="73" t="s">
        <v>443</v>
      </c>
      <c r="G185" s="184" t="s">
        <v>118</v>
      </c>
      <c r="H185" s="181">
        <v>5</v>
      </c>
      <c r="I185" s="192">
        <v>1</v>
      </c>
      <c r="J185" s="190">
        <v>1</v>
      </c>
      <c r="K185" s="193">
        <v>1152.5999999999999</v>
      </c>
      <c r="L185" s="193">
        <v>1152.5999999999999</v>
      </c>
      <c r="M185" s="187">
        <f t="shared" si="6"/>
        <v>0</v>
      </c>
      <c r="N185" s="114">
        <v>5</v>
      </c>
      <c r="O185" s="186">
        <v>5349.99</v>
      </c>
      <c r="P185" s="186">
        <v>5349.99</v>
      </c>
      <c r="Q185" s="79">
        <f t="shared" si="5"/>
        <v>0</v>
      </c>
    </row>
    <row r="186" spans="1:18" s="13" customFormat="1" ht="15.75" x14ac:dyDescent="0.25">
      <c r="A186" s="10"/>
      <c r="B186" s="27" t="s">
        <v>102</v>
      </c>
      <c r="C186" s="181" t="s">
        <v>17</v>
      </c>
      <c r="D186" s="182"/>
      <c r="E186" s="194" t="s">
        <v>20</v>
      </c>
      <c r="F186" s="73" t="s">
        <v>411</v>
      </c>
      <c r="G186" s="74" t="s">
        <v>112</v>
      </c>
      <c r="H186" s="75">
        <v>10</v>
      </c>
      <c r="I186" s="76">
        <v>5</v>
      </c>
      <c r="J186" s="96">
        <f>1+1+2+1</f>
        <v>5</v>
      </c>
      <c r="K186" s="77">
        <f>845.24+845.24+1690.48+1394.65</f>
        <v>4775.6100000000006</v>
      </c>
      <c r="L186" s="77">
        <f>845.24+845.24+1690.48+1394.65</f>
        <v>4775.6100000000006</v>
      </c>
      <c r="M186" s="78">
        <f>K186-L186</f>
        <v>0</v>
      </c>
      <c r="N186" s="100">
        <f>3+1</f>
        <v>4</v>
      </c>
      <c r="O186" s="81">
        <f>7808.21+30833.77-12193.52+9963.17</f>
        <v>36411.630000000005</v>
      </c>
      <c r="P186" s="81">
        <f>7808.21+30833.77-12193.52+9963.17</f>
        <v>36411.630000000005</v>
      </c>
      <c r="Q186" s="188">
        <f t="shared" si="5"/>
        <v>0</v>
      </c>
      <c r="R186" s="141"/>
    </row>
    <row r="187" spans="1:18" s="13" customFormat="1" ht="15.75" hidden="1" x14ac:dyDescent="0.25">
      <c r="A187" s="10"/>
      <c r="B187" s="27" t="s">
        <v>102</v>
      </c>
      <c r="C187" s="181" t="s">
        <v>17</v>
      </c>
      <c r="D187" s="182"/>
      <c r="E187" s="194" t="s">
        <v>20</v>
      </c>
      <c r="F187" s="73" t="s">
        <v>469</v>
      </c>
      <c r="G187" s="184" t="s">
        <v>114</v>
      </c>
      <c r="H187" s="181">
        <v>7</v>
      </c>
      <c r="I187" s="185">
        <v>3</v>
      </c>
      <c r="J187" s="190">
        <v>3</v>
      </c>
      <c r="K187" s="77"/>
      <c r="L187" s="77"/>
      <c r="M187" s="187">
        <f t="shared" si="6"/>
        <v>0</v>
      </c>
      <c r="N187" s="100">
        <v>6</v>
      </c>
      <c r="O187" s="186">
        <v>16479.12</v>
      </c>
      <c r="P187" s="186">
        <v>16479.12</v>
      </c>
      <c r="Q187" s="188">
        <f t="shared" si="5"/>
        <v>0</v>
      </c>
    </row>
    <row r="188" spans="1:18" s="13" customFormat="1" ht="15.75" x14ac:dyDescent="0.25">
      <c r="A188" s="10"/>
      <c r="B188" s="27" t="s">
        <v>103</v>
      </c>
      <c r="C188" s="181" t="s">
        <v>17</v>
      </c>
      <c r="D188" s="182"/>
      <c r="E188" s="183" t="s">
        <v>20</v>
      </c>
      <c r="F188" s="73" t="s">
        <v>412</v>
      </c>
      <c r="G188" s="74" t="s">
        <v>112</v>
      </c>
      <c r="H188" s="75">
        <v>9</v>
      </c>
      <c r="I188" s="76">
        <v>5</v>
      </c>
      <c r="J188" s="96">
        <f>4+1</f>
        <v>5</v>
      </c>
      <c r="K188" s="77">
        <f>16248.67</f>
        <v>16248.67</v>
      </c>
      <c r="L188" s="77">
        <f>16248.67</f>
        <v>16248.67</v>
      </c>
      <c r="M188" s="78">
        <f>K188-L188</f>
        <v>0</v>
      </c>
      <c r="N188" s="100">
        <f>7+2+1</f>
        <v>10</v>
      </c>
      <c r="O188" s="77">
        <f>20193.14</f>
        <v>20193.14</v>
      </c>
      <c r="P188" s="77">
        <f>20193.14</f>
        <v>20193.14</v>
      </c>
      <c r="Q188" s="188">
        <f t="shared" si="5"/>
        <v>0</v>
      </c>
      <c r="R188" s="141"/>
    </row>
    <row r="189" spans="1:18" s="13" customFormat="1" ht="15.75" hidden="1" x14ac:dyDescent="0.25">
      <c r="A189" s="10"/>
      <c r="B189" s="27" t="s">
        <v>103</v>
      </c>
      <c r="C189" s="181" t="s">
        <v>17</v>
      </c>
      <c r="D189" s="182"/>
      <c r="E189" s="183" t="s">
        <v>20</v>
      </c>
      <c r="F189" s="73" t="s">
        <v>470</v>
      </c>
      <c r="G189" s="184" t="s">
        <v>114</v>
      </c>
      <c r="H189" s="181">
        <v>10</v>
      </c>
      <c r="I189" s="185">
        <v>1</v>
      </c>
      <c r="J189" s="190">
        <v>1</v>
      </c>
      <c r="K189" s="77"/>
      <c r="L189" s="77"/>
      <c r="M189" s="187">
        <f t="shared" si="6"/>
        <v>0</v>
      </c>
      <c r="N189" s="100">
        <v>4</v>
      </c>
      <c r="O189" s="186">
        <v>10431.89</v>
      </c>
      <c r="P189" s="186">
        <v>10431.89</v>
      </c>
      <c r="Q189" s="188">
        <f t="shared" si="5"/>
        <v>0</v>
      </c>
    </row>
    <row r="190" spans="1:18" s="15" customFormat="1" ht="15.75" x14ac:dyDescent="0.25">
      <c r="A190" s="14"/>
      <c r="B190" s="28" t="s">
        <v>104</v>
      </c>
      <c r="C190" s="181" t="s">
        <v>17</v>
      </c>
      <c r="D190" s="182"/>
      <c r="E190" s="183" t="s">
        <v>20</v>
      </c>
      <c r="F190" s="73" t="s">
        <v>413</v>
      </c>
      <c r="G190" s="74" t="s">
        <v>112</v>
      </c>
      <c r="H190" s="75">
        <v>9</v>
      </c>
      <c r="I190" s="76">
        <v>4</v>
      </c>
      <c r="J190" s="96">
        <f>3+1</f>
        <v>4</v>
      </c>
      <c r="K190" s="77">
        <f>5112.82+422.64</f>
        <v>5535.46</v>
      </c>
      <c r="L190" s="77">
        <f>5112.82+422.64</f>
        <v>5535.46</v>
      </c>
      <c r="M190" s="78">
        <f>K190-L190</f>
        <v>0</v>
      </c>
      <c r="N190" s="100">
        <f>4+1+1+2</f>
        <v>8</v>
      </c>
      <c r="O190" s="81">
        <f>7087.22+3426.18+3496.22</f>
        <v>14009.619999999999</v>
      </c>
      <c r="P190" s="81">
        <f>7087.22+3426.18+3496.22</f>
        <v>14009.619999999999</v>
      </c>
      <c r="Q190" s="188">
        <f t="shared" si="5"/>
        <v>0</v>
      </c>
      <c r="R190" s="141"/>
    </row>
    <row r="191" spans="1:18" s="15" customFormat="1" ht="15.75" hidden="1" x14ac:dyDescent="0.25">
      <c r="A191" s="14"/>
      <c r="B191" s="28" t="s">
        <v>104</v>
      </c>
      <c r="C191" s="181" t="s">
        <v>17</v>
      </c>
      <c r="D191" s="182"/>
      <c r="E191" s="183" t="s">
        <v>20</v>
      </c>
      <c r="F191" s="73" t="s">
        <v>471</v>
      </c>
      <c r="G191" s="184" t="s">
        <v>114</v>
      </c>
      <c r="H191" s="181">
        <v>26</v>
      </c>
      <c r="I191" s="185">
        <v>4</v>
      </c>
      <c r="J191" s="190">
        <v>4</v>
      </c>
      <c r="K191" s="77">
        <v>1267.8599999999999</v>
      </c>
      <c r="L191" s="77">
        <v>1267.8599999999999</v>
      </c>
      <c r="M191" s="187">
        <f t="shared" si="6"/>
        <v>0</v>
      </c>
      <c r="N191" s="114">
        <v>15</v>
      </c>
      <c r="O191" s="186">
        <v>24277.65</v>
      </c>
      <c r="P191" s="186">
        <v>24277.65</v>
      </c>
      <c r="Q191" s="188">
        <f t="shared" si="5"/>
        <v>0</v>
      </c>
    </row>
    <row r="192" spans="1:18" s="13" customFormat="1" ht="15.75" hidden="1" x14ac:dyDescent="0.25">
      <c r="A192" s="10"/>
      <c r="B192" s="30" t="s">
        <v>26</v>
      </c>
      <c r="C192" s="181" t="s">
        <v>17</v>
      </c>
      <c r="D192" s="182"/>
      <c r="E192" s="183" t="s">
        <v>32</v>
      </c>
      <c r="F192" s="73" t="s">
        <v>246</v>
      </c>
      <c r="G192" s="74" t="s">
        <v>117</v>
      </c>
      <c r="H192" s="75"/>
      <c r="I192" s="76"/>
      <c r="J192" s="96"/>
      <c r="K192" s="77"/>
      <c r="L192" s="77"/>
      <c r="M192" s="78">
        <f t="shared" si="6"/>
        <v>0</v>
      </c>
      <c r="N192" s="100">
        <v>5</v>
      </c>
      <c r="O192" s="81">
        <v>7808.15</v>
      </c>
      <c r="P192" s="81">
        <v>7808.15</v>
      </c>
      <c r="Q192" s="188">
        <f t="shared" si="5"/>
        <v>0</v>
      </c>
    </row>
    <row r="193" spans="1:18" s="13" customFormat="1" ht="15.75" hidden="1" x14ac:dyDescent="0.25">
      <c r="A193" s="10"/>
      <c r="B193" s="30" t="s">
        <v>105</v>
      </c>
      <c r="C193" s="181" t="s">
        <v>17</v>
      </c>
      <c r="D193" s="182"/>
      <c r="E193" s="194" t="s">
        <v>35</v>
      </c>
      <c r="F193" s="73" t="s">
        <v>436</v>
      </c>
      <c r="G193" s="184" t="s">
        <v>117</v>
      </c>
      <c r="H193" s="181"/>
      <c r="I193" s="192"/>
      <c r="J193" s="96"/>
      <c r="K193" s="77"/>
      <c r="L193" s="77"/>
      <c r="M193" s="187">
        <f t="shared" si="6"/>
        <v>0</v>
      </c>
      <c r="N193" s="100"/>
      <c r="O193" s="186"/>
      <c r="P193" s="186"/>
      <c r="Q193" s="79">
        <f t="shared" si="5"/>
        <v>0</v>
      </c>
    </row>
    <row r="194" spans="1:18" s="13" customFormat="1" ht="15.75" x14ac:dyDescent="0.25">
      <c r="A194" s="10"/>
      <c r="B194" s="62" t="s">
        <v>106</v>
      </c>
      <c r="C194" s="181" t="s">
        <v>17</v>
      </c>
      <c r="D194" s="205"/>
      <c r="E194" s="194" t="s">
        <v>20</v>
      </c>
      <c r="F194" s="73" t="s">
        <v>414</v>
      </c>
      <c r="G194" s="74" t="s">
        <v>112</v>
      </c>
      <c r="H194" s="75">
        <v>9</v>
      </c>
      <c r="I194" s="76"/>
      <c r="J194" s="96">
        <f>1</f>
        <v>1</v>
      </c>
      <c r="K194" s="77"/>
      <c r="L194" s="77"/>
      <c r="M194" s="78">
        <f>K194-L194</f>
        <v>0</v>
      </c>
      <c r="N194" s="100">
        <f>3+1</f>
        <v>4</v>
      </c>
      <c r="O194" s="81">
        <f>15956.85+4551.62</f>
        <v>20508.47</v>
      </c>
      <c r="P194" s="81">
        <f>15956.85+4551.62</f>
        <v>20508.47</v>
      </c>
      <c r="Q194" s="188">
        <f t="shared" si="5"/>
        <v>0</v>
      </c>
      <c r="R194" s="141"/>
    </row>
    <row r="195" spans="1:18" hidden="1" x14ac:dyDescent="0.25">
      <c r="A195" s="7"/>
      <c r="B195" s="66"/>
      <c r="C195" s="206"/>
      <c r="D195" s="195"/>
      <c r="E195" s="195"/>
      <c r="F195" s="73"/>
      <c r="G195" s="195" t="s">
        <v>131</v>
      </c>
      <c r="H195" s="207">
        <f t="shared" ref="H195:P195" si="9">SUM(H10:H194)</f>
        <v>1753</v>
      </c>
      <c r="I195" s="214">
        <f t="shared" si="9"/>
        <v>773</v>
      </c>
      <c r="J195" s="208">
        <f t="shared" si="9"/>
        <v>902</v>
      </c>
      <c r="K195" s="209">
        <f t="shared" si="9"/>
        <v>1436536.5350000013</v>
      </c>
      <c r="L195" s="209">
        <f t="shared" si="9"/>
        <v>1119571.9050000005</v>
      </c>
      <c r="M195" s="210">
        <f>K195-L195</f>
        <v>316964.63000000082</v>
      </c>
      <c r="N195" s="208">
        <f t="shared" si="9"/>
        <v>1548</v>
      </c>
      <c r="O195" s="211">
        <f t="shared" si="9"/>
        <v>4610536.7999999989</v>
      </c>
      <c r="P195" s="211">
        <f t="shared" si="9"/>
        <v>4199870.7999999989</v>
      </c>
      <c r="Q195" s="79">
        <f t="shared" si="5"/>
        <v>410666</v>
      </c>
      <c r="R195" s="129"/>
    </row>
    <row r="196" spans="1:18" hidden="1" x14ac:dyDescent="0.25">
      <c r="K196" s="91" t="s">
        <v>305</v>
      </c>
    </row>
    <row r="197" spans="1:18" ht="45" hidden="1" x14ac:dyDescent="0.25">
      <c r="B197" s="89" t="s">
        <v>316</v>
      </c>
      <c r="F197" s="104" t="s">
        <v>317</v>
      </c>
      <c r="M197" s="142"/>
      <c r="Q197" s="133"/>
    </row>
    <row r="198" spans="1:18" x14ac:dyDescent="0.25">
      <c r="M198" s="216"/>
    </row>
  </sheetData>
  <autoFilter ref="A9:U197">
    <filterColumn colId="6">
      <filters>
        <filter val="Регіональний центр"/>
      </filters>
    </filterColumn>
  </autoFilter>
  <mergeCells count="7">
    <mergeCell ref="O1:Q1"/>
    <mergeCell ref="A3:Q3"/>
    <mergeCell ref="A4:Q4"/>
    <mergeCell ref="A5:Q5"/>
    <mergeCell ref="B7:G7"/>
    <mergeCell ref="H7:M7"/>
    <mergeCell ref="N7:Q7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98"/>
  <sheetViews>
    <sheetView workbookViewId="0">
      <selection sqref="A1:XFD1048576"/>
    </sheetView>
  </sheetViews>
  <sheetFormatPr defaultRowHeight="15" x14ac:dyDescent="0.25"/>
  <cols>
    <col min="1" max="1" width="1.85546875" style="6" customWidth="1"/>
    <col min="2" max="2" width="38.28515625" style="88" customWidth="1"/>
    <col min="3" max="3" width="6.5703125" style="19" customWidth="1"/>
    <col min="4" max="4" width="17.42578125" style="19" customWidth="1"/>
    <col min="5" max="5" width="19" style="19" customWidth="1"/>
    <col min="6" max="6" width="19" style="89" customWidth="1"/>
    <col min="7" max="7" width="21.7109375" style="89" customWidth="1"/>
    <col min="8" max="9" width="15.7109375" style="90" customWidth="1"/>
    <col min="10" max="10" width="15.7109375" style="99" customWidth="1"/>
    <col min="11" max="13" width="15.7109375" style="91" customWidth="1"/>
    <col min="14" max="14" width="15.7109375" style="99" customWidth="1"/>
    <col min="15" max="17" width="15.7109375" style="92" customWidth="1"/>
    <col min="18" max="18" width="11.7109375" style="6" customWidth="1"/>
    <col min="19" max="19" width="9.42578125" style="6" customWidth="1"/>
    <col min="20" max="21" width="9.140625" style="6" customWidth="1"/>
    <col min="22" max="16384" width="9.140625" style="6"/>
  </cols>
  <sheetData>
    <row r="1" spans="1:18" s="105" customFormat="1" x14ac:dyDescent="0.25">
      <c r="B1" s="60"/>
      <c r="C1" s="4"/>
      <c r="D1" s="4"/>
      <c r="E1" s="4"/>
      <c r="F1" s="63"/>
      <c r="G1" s="63"/>
      <c r="H1" s="64"/>
      <c r="I1" s="64"/>
      <c r="J1" s="93"/>
      <c r="K1" s="65"/>
      <c r="L1" s="65"/>
      <c r="M1" s="65"/>
      <c r="N1" s="93"/>
      <c r="O1" s="362" t="s">
        <v>15</v>
      </c>
      <c r="P1" s="362"/>
      <c r="Q1" s="362"/>
    </row>
    <row r="2" spans="1:18" s="105" customFormat="1" x14ac:dyDescent="0.25">
      <c r="A2" s="7"/>
      <c r="B2" s="219"/>
      <c r="C2" s="107"/>
      <c r="D2" s="107"/>
      <c r="E2" s="107"/>
      <c r="F2" s="66"/>
      <c r="G2" s="66"/>
      <c r="H2" s="218"/>
      <c r="I2" s="218"/>
      <c r="J2" s="94"/>
      <c r="K2" s="67"/>
      <c r="L2" s="67"/>
      <c r="M2" s="67"/>
      <c r="N2" s="94"/>
      <c r="O2" s="68"/>
      <c r="P2" s="68"/>
      <c r="Q2" s="68"/>
    </row>
    <row r="3" spans="1:18" s="105" customFormat="1" x14ac:dyDescent="0.25">
      <c r="A3" s="363" t="s">
        <v>318</v>
      </c>
      <c r="B3" s="364"/>
      <c r="C3" s="363"/>
      <c r="D3" s="363"/>
      <c r="E3" s="363"/>
      <c r="F3" s="364"/>
      <c r="G3" s="364"/>
      <c r="H3" s="365"/>
      <c r="I3" s="366"/>
      <c r="J3" s="367"/>
      <c r="K3" s="364"/>
      <c r="L3" s="364"/>
      <c r="M3" s="364"/>
      <c r="N3" s="364"/>
      <c r="O3" s="364"/>
      <c r="P3" s="364"/>
      <c r="Q3" s="364"/>
    </row>
    <row r="4" spans="1:18" s="105" customFormat="1" x14ac:dyDescent="0.25">
      <c r="A4" s="368">
        <v>43654</v>
      </c>
      <c r="B4" s="369"/>
      <c r="C4" s="370"/>
      <c r="D4" s="370"/>
      <c r="E4" s="370"/>
      <c r="F4" s="369"/>
      <c r="G4" s="369"/>
      <c r="H4" s="371"/>
      <c r="I4" s="372"/>
      <c r="J4" s="373"/>
      <c r="K4" s="369"/>
      <c r="L4" s="369"/>
      <c r="M4" s="369"/>
      <c r="N4" s="369"/>
      <c r="O4" s="369"/>
      <c r="P4" s="369"/>
      <c r="Q4" s="369"/>
    </row>
    <row r="5" spans="1:18" s="105" customFormat="1" x14ac:dyDescent="0.25">
      <c r="A5" s="374" t="s">
        <v>14</v>
      </c>
      <c r="B5" s="367"/>
      <c r="C5" s="374"/>
      <c r="D5" s="374"/>
      <c r="E5" s="374"/>
      <c r="F5" s="367"/>
      <c r="G5" s="367"/>
      <c r="H5" s="366"/>
      <c r="I5" s="366"/>
      <c r="J5" s="367"/>
      <c r="K5" s="367"/>
      <c r="L5" s="367"/>
      <c r="M5" s="367"/>
      <c r="N5" s="367"/>
      <c r="O5" s="367"/>
      <c r="P5" s="367"/>
      <c r="Q5" s="367"/>
    </row>
    <row r="6" spans="1:18" s="105" customFormat="1" x14ac:dyDescent="0.25">
      <c r="A6" s="7"/>
      <c r="B6" s="219"/>
      <c r="C6" s="107"/>
      <c r="D6" s="107"/>
      <c r="E6" s="107"/>
      <c r="F6" s="66"/>
      <c r="G6" s="66"/>
      <c r="H6" s="218"/>
      <c r="I6" s="218"/>
      <c r="J6" s="94"/>
      <c r="K6" s="67"/>
      <c r="L6" s="67"/>
      <c r="M6" s="67"/>
      <c r="N6" s="94"/>
      <c r="O6" s="68"/>
      <c r="P6" s="68"/>
      <c r="Q6" s="68"/>
    </row>
    <row r="7" spans="1:18" x14ac:dyDescent="0.25">
      <c r="A7" s="5" t="s">
        <v>0</v>
      </c>
      <c r="B7" s="364" t="s">
        <v>10</v>
      </c>
      <c r="C7" s="375"/>
      <c r="D7" s="375"/>
      <c r="E7" s="375"/>
      <c r="F7" s="364"/>
      <c r="G7" s="364"/>
      <c r="H7" s="365" t="s">
        <v>472</v>
      </c>
      <c r="I7" s="366"/>
      <c r="J7" s="367"/>
      <c r="K7" s="364"/>
      <c r="L7" s="364"/>
      <c r="M7" s="364"/>
      <c r="N7" s="364" t="s">
        <v>132</v>
      </c>
      <c r="O7" s="364"/>
      <c r="P7" s="364"/>
      <c r="Q7" s="364"/>
    </row>
    <row r="8" spans="1:18" ht="153" x14ac:dyDescent="0.25">
      <c r="A8" s="5"/>
      <c r="B8" s="219" t="s">
        <v>4</v>
      </c>
      <c r="C8" s="107" t="s">
        <v>1</v>
      </c>
      <c r="D8" s="107" t="s">
        <v>3</v>
      </c>
      <c r="E8" s="107" t="s">
        <v>2</v>
      </c>
      <c r="F8" s="122" t="s">
        <v>6</v>
      </c>
      <c r="G8" s="66" t="s">
        <v>5</v>
      </c>
      <c r="H8" s="219" t="s">
        <v>7</v>
      </c>
      <c r="I8" s="219" t="s">
        <v>8</v>
      </c>
      <c r="J8" s="94" t="s">
        <v>9</v>
      </c>
      <c r="K8" s="67" t="s">
        <v>11</v>
      </c>
      <c r="L8" s="67" t="s">
        <v>12</v>
      </c>
      <c r="M8" s="67" t="s">
        <v>13</v>
      </c>
      <c r="N8" s="94" t="s">
        <v>9</v>
      </c>
      <c r="O8" s="68" t="s">
        <v>11</v>
      </c>
      <c r="P8" s="68" t="s">
        <v>12</v>
      </c>
      <c r="Q8" s="68" t="s">
        <v>13</v>
      </c>
    </row>
    <row r="9" spans="1:18" x14ac:dyDescent="0.25">
      <c r="A9" s="9">
        <v>1</v>
      </c>
      <c r="B9" s="61">
        <f>A9+1</f>
        <v>2</v>
      </c>
      <c r="C9" s="9">
        <f t="shared" ref="C9:Q9" si="0">B9+1</f>
        <v>3</v>
      </c>
      <c r="D9" s="9">
        <f t="shared" si="0"/>
        <v>4</v>
      </c>
      <c r="E9" s="9">
        <f t="shared" si="0"/>
        <v>5</v>
      </c>
      <c r="F9" s="69">
        <f t="shared" si="0"/>
        <v>6</v>
      </c>
      <c r="G9" s="69">
        <f t="shared" si="0"/>
        <v>7</v>
      </c>
      <c r="H9" s="70">
        <f t="shared" si="0"/>
        <v>8</v>
      </c>
      <c r="I9" s="70">
        <f t="shared" si="0"/>
        <v>9</v>
      </c>
      <c r="J9" s="95">
        <f t="shared" si="0"/>
        <v>10</v>
      </c>
      <c r="K9" s="71">
        <f t="shared" si="0"/>
        <v>11</v>
      </c>
      <c r="L9" s="71">
        <f t="shared" si="0"/>
        <v>12</v>
      </c>
      <c r="M9" s="71">
        <f t="shared" si="0"/>
        <v>13</v>
      </c>
      <c r="N9" s="95">
        <f t="shared" si="0"/>
        <v>14</v>
      </c>
      <c r="O9" s="72">
        <f t="shared" si="0"/>
        <v>15</v>
      </c>
      <c r="P9" s="72">
        <f t="shared" si="0"/>
        <v>16</v>
      </c>
      <c r="Q9" s="72">
        <f t="shared" si="0"/>
        <v>17</v>
      </c>
    </row>
    <row r="10" spans="1:18" s="13" customFormat="1" ht="30" x14ac:dyDescent="0.25">
      <c r="A10" s="10"/>
      <c r="B10" s="62" t="s">
        <v>16</v>
      </c>
      <c r="C10" s="181" t="s">
        <v>304</v>
      </c>
      <c r="D10" s="182" t="s">
        <v>315</v>
      </c>
      <c r="E10" s="183" t="s">
        <v>18</v>
      </c>
      <c r="F10" s="73" t="s">
        <v>322</v>
      </c>
      <c r="G10" s="74" t="s">
        <v>112</v>
      </c>
      <c r="H10" s="75">
        <v>11</v>
      </c>
      <c r="I10" s="76">
        <v>9</v>
      </c>
      <c r="J10" s="98">
        <f>2+1+3+3</f>
        <v>9</v>
      </c>
      <c r="K10" s="77">
        <f>4792.51+1138.19+504.26+11366.06+4859.68+3954.5</f>
        <v>26615.200000000001</v>
      </c>
      <c r="L10" s="77">
        <f>4792.51+1138.19+504.26+11366.06+4859.68</f>
        <v>22660.7</v>
      </c>
      <c r="M10" s="78">
        <f>K10-L10</f>
        <v>3954.5</v>
      </c>
      <c r="N10" s="100">
        <f>2+5+1+2+1</f>
        <v>11</v>
      </c>
      <c r="O10" s="77">
        <f>9108.77+6924.32+11366.06+8197.52</f>
        <v>35596.67</v>
      </c>
      <c r="P10" s="77">
        <f>9108.77+6924.32+11366.06+8197.52</f>
        <v>35596.67</v>
      </c>
      <c r="Q10" s="79">
        <f>O10-P10</f>
        <v>0</v>
      </c>
      <c r="R10" s="141"/>
    </row>
    <row r="11" spans="1:18" s="13" customFormat="1" ht="30" x14ac:dyDescent="0.25">
      <c r="A11" s="10"/>
      <c r="B11" s="62" t="s">
        <v>16</v>
      </c>
      <c r="C11" s="181" t="s">
        <v>304</v>
      </c>
      <c r="D11" s="182" t="s">
        <v>315</v>
      </c>
      <c r="E11" s="183" t="s">
        <v>18</v>
      </c>
      <c r="F11" s="73" t="s">
        <v>322</v>
      </c>
      <c r="G11" s="184" t="s">
        <v>116</v>
      </c>
      <c r="H11" s="181">
        <v>7</v>
      </c>
      <c r="I11" s="185">
        <v>4</v>
      </c>
      <c r="J11" s="96">
        <v>4</v>
      </c>
      <c r="K11" s="186">
        <v>7070</v>
      </c>
      <c r="L11" s="186">
        <v>4534</v>
      </c>
      <c r="M11" s="187">
        <f t="shared" ref="M11:M84" si="1">K11-L11</f>
        <v>2536</v>
      </c>
      <c r="N11" s="100">
        <v>0</v>
      </c>
      <c r="O11" s="186">
        <v>2945</v>
      </c>
      <c r="P11" s="186">
        <v>2945</v>
      </c>
      <c r="Q11" s="188">
        <f t="shared" ref="Q11:Q80" si="2">O11-P11</f>
        <v>0</v>
      </c>
    </row>
    <row r="12" spans="1:18" s="13" customFormat="1" ht="15.75" x14ac:dyDescent="0.25">
      <c r="A12" s="10"/>
      <c r="B12" s="62" t="s">
        <v>490</v>
      </c>
      <c r="C12" s="181" t="s">
        <v>304</v>
      </c>
      <c r="D12" s="182"/>
      <c r="E12" s="183"/>
      <c r="F12" s="189" t="s">
        <v>501</v>
      </c>
      <c r="G12" s="184" t="s">
        <v>112</v>
      </c>
      <c r="H12" s="181">
        <v>8</v>
      </c>
      <c r="I12" s="185">
        <v>7</v>
      </c>
      <c r="J12" s="96">
        <f>5+1+3</f>
        <v>9</v>
      </c>
      <c r="K12" s="186">
        <f>8352.39+384.2+1463.8</f>
        <v>10200.39</v>
      </c>
      <c r="L12" s="186">
        <f>8352.39+384.2+1463.8</f>
        <v>10200.39</v>
      </c>
      <c r="M12" s="78">
        <f t="shared" si="1"/>
        <v>0</v>
      </c>
      <c r="N12" s="100"/>
      <c r="O12" s="186"/>
      <c r="P12" s="186"/>
      <c r="Q12" s="188"/>
    </row>
    <row r="13" spans="1:18" s="15" customFormat="1" ht="15.75" x14ac:dyDescent="0.25">
      <c r="A13" s="14"/>
      <c r="B13" s="80" t="s">
        <v>19</v>
      </c>
      <c r="C13" s="181" t="s">
        <v>17</v>
      </c>
      <c r="D13" s="182"/>
      <c r="E13" s="183" t="s">
        <v>20</v>
      </c>
      <c r="F13" s="73" t="s">
        <v>323</v>
      </c>
      <c r="G13" s="74" t="s">
        <v>112</v>
      </c>
      <c r="H13" s="75">
        <v>10</v>
      </c>
      <c r="I13" s="76">
        <v>8</v>
      </c>
      <c r="J13" s="96">
        <f>1+2+5+2+1</f>
        <v>11</v>
      </c>
      <c r="K13" s="77">
        <f>422.62+4792.51+1796.14+1373.52</f>
        <v>8384.7900000000009</v>
      </c>
      <c r="L13" s="77">
        <f>422.62+4792.51+1796.14</f>
        <v>7011.27</v>
      </c>
      <c r="M13" s="78">
        <f t="shared" si="1"/>
        <v>1373.5200000000004</v>
      </c>
      <c r="N13" s="100">
        <f>8+3+1</f>
        <v>12</v>
      </c>
      <c r="O13" s="81">
        <f>6459.36+7124.45</f>
        <v>13583.81</v>
      </c>
      <c r="P13" s="81">
        <f>6459.36+7124.45</f>
        <v>13583.81</v>
      </c>
      <c r="Q13" s="79">
        <f t="shared" si="2"/>
        <v>0</v>
      </c>
      <c r="R13" s="141"/>
    </row>
    <row r="14" spans="1:18" s="15" customFormat="1" ht="15.75" x14ac:dyDescent="0.25">
      <c r="A14" s="14"/>
      <c r="B14" s="80" t="s">
        <v>19</v>
      </c>
      <c r="C14" s="181" t="s">
        <v>17</v>
      </c>
      <c r="D14" s="182"/>
      <c r="E14" s="183" t="s">
        <v>20</v>
      </c>
      <c r="F14" s="73" t="s">
        <v>451</v>
      </c>
      <c r="G14" s="184" t="s">
        <v>114</v>
      </c>
      <c r="H14" s="181">
        <v>5</v>
      </c>
      <c r="I14" s="185">
        <v>1</v>
      </c>
      <c r="J14" s="190">
        <v>1</v>
      </c>
      <c r="K14" s="77">
        <v>1267.68</v>
      </c>
      <c r="L14" s="77">
        <v>1267.68</v>
      </c>
      <c r="M14" s="187">
        <f t="shared" si="1"/>
        <v>0</v>
      </c>
      <c r="N14" s="101">
        <v>9</v>
      </c>
      <c r="O14" s="186">
        <v>16688.7</v>
      </c>
      <c r="P14" s="186">
        <v>16688.7</v>
      </c>
      <c r="Q14" s="188">
        <f t="shared" si="2"/>
        <v>0</v>
      </c>
    </row>
    <row r="15" spans="1:18" s="15" customFormat="1" ht="15.75" x14ac:dyDescent="0.25">
      <c r="A15" s="14"/>
      <c r="B15" s="62" t="s">
        <v>153</v>
      </c>
      <c r="C15" s="181" t="s">
        <v>17</v>
      </c>
      <c r="D15" s="182"/>
      <c r="E15" s="183" t="s">
        <v>20</v>
      </c>
      <c r="F15" s="73" t="s">
        <v>324</v>
      </c>
      <c r="G15" s="74" t="s">
        <v>112</v>
      </c>
      <c r="H15" s="75">
        <v>10</v>
      </c>
      <c r="I15" s="82">
        <v>4</v>
      </c>
      <c r="J15" s="96">
        <f>1+1+2+1+1</f>
        <v>6</v>
      </c>
      <c r="K15" s="77">
        <f>950.9+2451.87+3074.57+845.24+1977.86</f>
        <v>9300.44</v>
      </c>
      <c r="L15" s="77">
        <f>950.9+2451.87+3074.57+845.24</f>
        <v>7322.58</v>
      </c>
      <c r="M15" s="78">
        <f>K15-L15</f>
        <v>1977.8600000000006</v>
      </c>
      <c r="N15" s="114">
        <f>1+2+1+2+1</f>
        <v>7</v>
      </c>
      <c r="O15" s="81">
        <f>422.62+945.61+2484.69+7964.81+1536.8</f>
        <v>13354.529999999999</v>
      </c>
      <c r="P15" s="81">
        <f>422.62+945.61+2484.69+7964.81+1536.8</f>
        <v>13354.529999999999</v>
      </c>
      <c r="Q15" s="79">
        <f t="shared" si="2"/>
        <v>0</v>
      </c>
      <c r="R15" s="141"/>
    </row>
    <row r="16" spans="1:18" s="15" customFormat="1" ht="15.75" x14ac:dyDescent="0.25">
      <c r="A16" s="14"/>
      <c r="B16" s="191" t="s">
        <v>153</v>
      </c>
      <c r="C16" s="181" t="s">
        <v>17</v>
      </c>
      <c r="D16" s="182"/>
      <c r="E16" s="183" t="s">
        <v>20</v>
      </c>
      <c r="F16" s="73" t="s">
        <v>452</v>
      </c>
      <c r="G16" s="184" t="s">
        <v>114</v>
      </c>
      <c r="H16" s="181">
        <v>13</v>
      </c>
      <c r="I16" s="185">
        <v>3</v>
      </c>
      <c r="J16" s="190">
        <v>3</v>
      </c>
      <c r="K16" s="77">
        <v>1267.8599999999999</v>
      </c>
      <c r="L16" s="77">
        <v>1267.8599999999999</v>
      </c>
      <c r="M16" s="187">
        <f t="shared" si="1"/>
        <v>0</v>
      </c>
      <c r="N16" s="101">
        <v>8</v>
      </c>
      <c r="O16" s="186">
        <v>23692.58</v>
      </c>
      <c r="P16" s="186">
        <v>23692.58</v>
      </c>
      <c r="Q16" s="188">
        <f t="shared" si="2"/>
        <v>0</v>
      </c>
    </row>
    <row r="17" spans="1:18" s="13" customFormat="1" ht="15.75" x14ac:dyDescent="0.25">
      <c r="A17" s="10"/>
      <c r="B17" s="30" t="s">
        <v>22</v>
      </c>
      <c r="C17" s="181" t="s">
        <v>17</v>
      </c>
      <c r="D17" s="182"/>
      <c r="E17" s="183" t="s">
        <v>23</v>
      </c>
      <c r="F17" s="73" t="s">
        <v>325</v>
      </c>
      <c r="G17" s="74" t="s">
        <v>112</v>
      </c>
      <c r="H17" s="75">
        <v>17</v>
      </c>
      <c r="I17" s="76">
        <v>10</v>
      </c>
      <c r="J17" s="96">
        <f>1+2+1+9</f>
        <v>13</v>
      </c>
      <c r="K17" s="77">
        <f>2698.64+1402.33+11601.84</f>
        <v>15702.81</v>
      </c>
      <c r="L17" s="77">
        <f>2698.64+1402.33</f>
        <v>4100.9699999999993</v>
      </c>
      <c r="M17" s="78">
        <f>K17-L17</f>
        <v>11601.84</v>
      </c>
      <c r="N17" s="100">
        <f>14+3+7+1+1</f>
        <v>26</v>
      </c>
      <c r="O17" s="81">
        <f>22716.4+4171.06+18768.39+8172.47</f>
        <v>53828.320000000007</v>
      </c>
      <c r="P17" s="81">
        <f>22716.4+4171.06+18768.39</f>
        <v>45655.850000000006</v>
      </c>
      <c r="Q17" s="79">
        <f t="shared" si="2"/>
        <v>8172.4700000000012</v>
      </c>
      <c r="R17" s="141"/>
    </row>
    <row r="18" spans="1:18" s="13" customFormat="1" ht="15.75" x14ac:dyDescent="0.25">
      <c r="A18" s="10"/>
      <c r="B18" s="30" t="s">
        <v>154</v>
      </c>
      <c r="C18" s="181" t="s">
        <v>17</v>
      </c>
      <c r="D18" s="182"/>
      <c r="E18" s="183" t="s">
        <v>20</v>
      </c>
      <c r="F18" s="73" t="s">
        <v>453</v>
      </c>
      <c r="G18" s="184" t="s">
        <v>114</v>
      </c>
      <c r="H18" s="181">
        <v>18</v>
      </c>
      <c r="I18" s="192">
        <v>1</v>
      </c>
      <c r="J18" s="190">
        <v>1</v>
      </c>
      <c r="K18" s="193">
        <v>1152.5999999999999</v>
      </c>
      <c r="L18" s="193">
        <v>1152.5999999999999</v>
      </c>
      <c r="M18" s="187">
        <f t="shared" si="1"/>
        <v>0</v>
      </c>
      <c r="N18" s="114">
        <v>10</v>
      </c>
      <c r="O18" s="186">
        <v>31595.24</v>
      </c>
      <c r="P18" s="186">
        <v>19031.900000000001</v>
      </c>
      <c r="Q18" s="188">
        <f t="shared" si="2"/>
        <v>12563.34</v>
      </c>
    </row>
    <row r="19" spans="1:18" s="13" customFormat="1" ht="15.75" x14ac:dyDescent="0.25">
      <c r="A19" s="10"/>
      <c r="B19" s="30" t="s">
        <v>154</v>
      </c>
      <c r="C19" s="181" t="s">
        <v>17</v>
      </c>
      <c r="D19" s="182"/>
      <c r="E19" s="183" t="s">
        <v>20</v>
      </c>
      <c r="F19" s="73" t="s">
        <v>326</v>
      </c>
      <c r="G19" s="74" t="s">
        <v>112</v>
      </c>
      <c r="H19" s="75">
        <v>18</v>
      </c>
      <c r="I19" s="76">
        <v>12</v>
      </c>
      <c r="J19" s="96">
        <f>1+1+2+2+2+6</f>
        <v>14</v>
      </c>
      <c r="K19" s="77">
        <f>950.9+864.46+845.24+405.02+739.59</f>
        <v>3805.2100000000005</v>
      </c>
      <c r="L19" s="77">
        <f>950.9+864.46+845.24+405.02+739.59</f>
        <v>3805.2100000000005</v>
      </c>
      <c r="M19" s="78">
        <f t="shared" si="1"/>
        <v>0</v>
      </c>
      <c r="N19" s="100">
        <f>6+3+1+1+1+2+1</f>
        <v>15</v>
      </c>
      <c r="O19" s="81">
        <f>6681.33+7017+1523.5+9094.74</f>
        <v>24316.57</v>
      </c>
      <c r="P19" s="81">
        <f>6681.33+7017+1523.5+9094.74</f>
        <v>24316.57</v>
      </c>
      <c r="Q19" s="79">
        <f t="shared" si="2"/>
        <v>0</v>
      </c>
      <c r="R19" s="141"/>
    </row>
    <row r="20" spans="1:18" s="13" customFormat="1" ht="15.75" x14ac:dyDescent="0.25">
      <c r="A20" s="10"/>
      <c r="B20" s="62" t="s">
        <v>24</v>
      </c>
      <c r="C20" s="181" t="s">
        <v>17</v>
      </c>
      <c r="D20" s="182"/>
      <c r="E20" s="183" t="s">
        <v>20</v>
      </c>
      <c r="F20" s="73" t="s">
        <v>327</v>
      </c>
      <c r="G20" s="74" t="s">
        <v>112</v>
      </c>
      <c r="H20" s="75">
        <v>6</v>
      </c>
      <c r="I20" s="76">
        <v>3</v>
      </c>
      <c r="J20" s="96">
        <f>3</f>
        <v>3</v>
      </c>
      <c r="K20" s="77">
        <f>1191.02</f>
        <v>1191.02</v>
      </c>
      <c r="L20" s="77">
        <f>1191.02</f>
        <v>1191.02</v>
      </c>
      <c r="M20" s="78">
        <f t="shared" si="1"/>
        <v>0</v>
      </c>
      <c r="N20" s="100">
        <f>1+1</f>
        <v>2</v>
      </c>
      <c r="O20" s="81">
        <f>576.3+1810.93</f>
        <v>2387.23</v>
      </c>
      <c r="P20" s="81">
        <f>576.3+1810.93</f>
        <v>2387.23</v>
      </c>
      <c r="Q20" s="188">
        <f t="shared" si="2"/>
        <v>0</v>
      </c>
      <c r="R20" s="141"/>
    </row>
    <row r="21" spans="1:18" s="13" customFormat="1" ht="15.75" x14ac:dyDescent="0.25">
      <c r="A21" s="10"/>
      <c r="B21" s="62" t="s">
        <v>24</v>
      </c>
      <c r="C21" s="181" t="s">
        <v>17</v>
      </c>
      <c r="D21" s="182"/>
      <c r="E21" s="183" t="s">
        <v>20</v>
      </c>
      <c r="F21" s="73" t="s">
        <v>454</v>
      </c>
      <c r="G21" s="184" t="s">
        <v>114</v>
      </c>
      <c r="H21" s="181">
        <v>9</v>
      </c>
      <c r="I21" s="185"/>
      <c r="J21" s="190"/>
      <c r="K21" s="77"/>
      <c r="L21" s="77"/>
      <c r="M21" s="78">
        <f t="shared" si="1"/>
        <v>0</v>
      </c>
      <c r="N21" s="100">
        <v>14</v>
      </c>
      <c r="O21" s="186">
        <v>14635.6</v>
      </c>
      <c r="P21" s="186">
        <v>14635.6</v>
      </c>
      <c r="Q21" s="188">
        <f t="shared" si="2"/>
        <v>0</v>
      </c>
    </row>
    <row r="22" spans="1:18" s="13" customFormat="1" ht="15.75" x14ac:dyDescent="0.25">
      <c r="A22" s="10"/>
      <c r="B22" s="62" t="s">
        <v>25</v>
      </c>
      <c r="C22" s="181" t="s">
        <v>17</v>
      </c>
      <c r="D22" s="182"/>
      <c r="E22" s="183" t="s">
        <v>20</v>
      </c>
      <c r="F22" s="73" t="s">
        <v>328</v>
      </c>
      <c r="G22" s="74" t="s">
        <v>112</v>
      </c>
      <c r="H22" s="75">
        <v>8</v>
      </c>
      <c r="I22" s="76">
        <v>4</v>
      </c>
      <c r="J22" s="96">
        <f>1+1+1+1+1</f>
        <v>5</v>
      </c>
      <c r="K22" s="173">
        <f>403.41</f>
        <v>403.41</v>
      </c>
      <c r="L22" s="173">
        <v>403.41</v>
      </c>
      <c r="M22" s="78">
        <f>K22-L22</f>
        <v>0</v>
      </c>
      <c r="N22" s="100">
        <f>6+1+2+2</f>
        <v>11</v>
      </c>
      <c r="O22" s="81">
        <f>14526.7+5595.3+2440.62+2839.24</f>
        <v>25401.86</v>
      </c>
      <c r="P22" s="81">
        <f>14526.7+5595.3+2440.62</f>
        <v>22562.62</v>
      </c>
      <c r="Q22" s="188">
        <f t="shared" si="2"/>
        <v>2839.2400000000016</v>
      </c>
      <c r="R22" s="141"/>
    </row>
    <row r="23" spans="1:18" s="13" customFormat="1" ht="15.75" x14ac:dyDescent="0.25">
      <c r="A23" s="10"/>
      <c r="B23" s="62" t="s">
        <v>25</v>
      </c>
      <c r="C23" s="181" t="s">
        <v>17</v>
      </c>
      <c r="D23" s="182"/>
      <c r="E23" s="183" t="s">
        <v>20</v>
      </c>
      <c r="F23" s="73" t="s">
        <v>455</v>
      </c>
      <c r="G23" s="184" t="s">
        <v>114</v>
      </c>
      <c r="H23" s="181">
        <v>3</v>
      </c>
      <c r="I23" s="185"/>
      <c r="J23" s="190"/>
      <c r="K23" s="77"/>
      <c r="L23" s="77"/>
      <c r="M23" s="78">
        <f t="shared" si="1"/>
        <v>0</v>
      </c>
      <c r="N23" s="100">
        <v>2</v>
      </c>
      <c r="O23" s="186">
        <v>4146.2</v>
      </c>
      <c r="P23" s="186">
        <f>4146.2</f>
        <v>4146.2</v>
      </c>
      <c r="Q23" s="188">
        <f t="shared" si="2"/>
        <v>0</v>
      </c>
    </row>
    <row r="24" spans="1:18" s="13" customFormat="1" ht="15.75" x14ac:dyDescent="0.25">
      <c r="A24" s="10"/>
      <c r="B24" s="62" t="s">
        <v>26</v>
      </c>
      <c r="C24" s="181" t="s">
        <v>17</v>
      </c>
      <c r="D24" s="182"/>
      <c r="E24" s="183" t="s">
        <v>27</v>
      </c>
      <c r="F24" s="73" t="s">
        <v>329</v>
      </c>
      <c r="G24" s="74" t="s">
        <v>112</v>
      </c>
      <c r="H24" s="75">
        <v>13</v>
      </c>
      <c r="I24" s="76">
        <v>7</v>
      </c>
      <c r="J24" s="96">
        <f>2+2+4</f>
        <v>8</v>
      </c>
      <c r="K24" s="77">
        <f>845.24+1056.55+5121.1+26225.35</f>
        <v>33248.239999999998</v>
      </c>
      <c r="L24" s="77">
        <f>845.24+1056.55</f>
        <v>1901.79</v>
      </c>
      <c r="M24" s="78">
        <f t="shared" si="1"/>
        <v>31346.449999999997</v>
      </c>
      <c r="N24" s="100">
        <f>6+1+1+2</f>
        <v>10</v>
      </c>
      <c r="O24" s="81">
        <f>17838.53+2535.75+7238.9</f>
        <v>27613.18</v>
      </c>
      <c r="P24" s="81">
        <f>17838.53+2535.75+7238.9</f>
        <v>27613.18</v>
      </c>
      <c r="Q24" s="188">
        <f t="shared" si="2"/>
        <v>0</v>
      </c>
      <c r="R24" s="141"/>
    </row>
    <row r="25" spans="1:18" s="15" customFormat="1" ht="15.75" x14ac:dyDescent="0.25">
      <c r="A25" s="14"/>
      <c r="B25" s="80" t="s">
        <v>28</v>
      </c>
      <c r="C25" s="181" t="s">
        <v>17</v>
      </c>
      <c r="D25" s="182"/>
      <c r="E25" s="194" t="s">
        <v>29</v>
      </c>
      <c r="F25" s="73" t="s">
        <v>330</v>
      </c>
      <c r="G25" s="74" t="s">
        <v>112</v>
      </c>
      <c r="H25" s="75">
        <v>6</v>
      </c>
      <c r="I25" s="76">
        <v>6</v>
      </c>
      <c r="J25" s="96">
        <f>2+1+2+1</f>
        <v>6</v>
      </c>
      <c r="K25" s="77">
        <f>6135.14+2440.63</f>
        <v>8575.77</v>
      </c>
      <c r="L25" s="77">
        <f>6135.14</f>
        <v>6135.14</v>
      </c>
      <c r="M25" s="78">
        <f t="shared" si="1"/>
        <v>2440.63</v>
      </c>
      <c r="N25" s="100">
        <f>3+2+4+3</f>
        <v>12</v>
      </c>
      <c r="O25" s="81">
        <f>5310.83+4630.52+14679.01+36087.29</f>
        <v>60707.65</v>
      </c>
      <c r="P25" s="81">
        <f>5310.83+4630.52+14679.01+36087.29</f>
        <v>60707.65</v>
      </c>
      <c r="Q25" s="188">
        <f t="shared" si="2"/>
        <v>0</v>
      </c>
      <c r="R25" s="141"/>
    </row>
    <row r="26" spans="1:18" s="15" customFormat="1" ht="15.75" x14ac:dyDescent="0.25">
      <c r="A26" s="14"/>
      <c r="B26" s="80" t="s">
        <v>28</v>
      </c>
      <c r="C26" s="181" t="s">
        <v>17</v>
      </c>
      <c r="D26" s="182"/>
      <c r="E26" s="194" t="s">
        <v>29</v>
      </c>
      <c r="F26" s="73" t="s">
        <v>420</v>
      </c>
      <c r="G26" s="195" t="s">
        <v>117</v>
      </c>
      <c r="H26" s="181">
        <v>1</v>
      </c>
      <c r="I26" s="196"/>
      <c r="J26" s="97"/>
      <c r="K26" s="77"/>
      <c r="L26" s="77"/>
      <c r="M26" s="78">
        <f t="shared" si="1"/>
        <v>0</v>
      </c>
      <c r="N26" s="101">
        <v>2</v>
      </c>
      <c r="O26" s="186">
        <v>2766.24</v>
      </c>
      <c r="P26" s="186">
        <v>2766.24</v>
      </c>
      <c r="Q26" s="79">
        <f t="shared" si="2"/>
        <v>0</v>
      </c>
    </row>
    <row r="27" spans="1:18" s="15" customFormat="1" ht="15.75" x14ac:dyDescent="0.25">
      <c r="A27" s="14"/>
      <c r="B27" s="191" t="s">
        <v>500</v>
      </c>
      <c r="C27" s="181" t="s">
        <v>17</v>
      </c>
      <c r="D27" s="182"/>
      <c r="E27" s="194"/>
      <c r="F27" s="73" t="s">
        <v>503</v>
      </c>
      <c r="G27" s="195" t="s">
        <v>112</v>
      </c>
      <c r="H27" s="181">
        <v>8</v>
      </c>
      <c r="I27" s="196">
        <v>2</v>
      </c>
      <c r="J27" s="97">
        <f>2</f>
        <v>2</v>
      </c>
      <c r="K27" s="77">
        <v>1202.51</v>
      </c>
      <c r="L27" s="77">
        <v>1202.51</v>
      </c>
      <c r="M27" s="78">
        <f t="shared" si="1"/>
        <v>0</v>
      </c>
      <c r="N27" s="101"/>
      <c r="O27" s="186"/>
      <c r="P27" s="186"/>
      <c r="Q27" s="79"/>
    </row>
    <row r="28" spans="1:18" s="13" customFormat="1" ht="15.75" x14ac:dyDescent="0.25">
      <c r="A28" s="10"/>
      <c r="B28" s="27" t="s">
        <v>30</v>
      </c>
      <c r="C28" s="181" t="s">
        <v>17</v>
      </c>
      <c r="D28" s="182"/>
      <c r="E28" s="194" t="s">
        <v>21</v>
      </c>
      <c r="F28" s="73" t="s">
        <v>333</v>
      </c>
      <c r="G28" s="74" t="s">
        <v>112</v>
      </c>
      <c r="H28" s="75">
        <v>15</v>
      </c>
      <c r="I28" s="76">
        <v>11</v>
      </c>
      <c r="J28" s="96">
        <f>3+1+3+1+4+1+1</f>
        <v>14</v>
      </c>
      <c r="K28" s="77">
        <f>16637.24+1045.98</f>
        <v>17683.22</v>
      </c>
      <c r="L28" s="77">
        <v>7786.94</v>
      </c>
      <c r="M28" s="78">
        <f t="shared" si="1"/>
        <v>9896.2800000000025</v>
      </c>
      <c r="N28" s="100">
        <f>9+1+3+1+1+1+2+1+1+2</f>
        <v>22</v>
      </c>
      <c r="O28" s="81">
        <f>77047.8+5703.07</f>
        <v>82750.87</v>
      </c>
      <c r="P28" s="81">
        <v>60237.279999999999</v>
      </c>
      <c r="Q28" s="188">
        <f t="shared" si="2"/>
        <v>22513.589999999997</v>
      </c>
      <c r="R28" s="141"/>
    </row>
    <row r="29" spans="1:18" s="13" customFormat="1" ht="15.75" x14ac:dyDescent="0.25">
      <c r="A29" s="10"/>
      <c r="B29" s="27" t="s">
        <v>491</v>
      </c>
      <c r="C29" s="181" t="s">
        <v>17</v>
      </c>
      <c r="D29" s="182"/>
      <c r="E29" s="183" t="s">
        <v>20</v>
      </c>
      <c r="F29" s="73" t="s">
        <v>495</v>
      </c>
      <c r="G29" s="74" t="s">
        <v>112</v>
      </c>
      <c r="H29" s="75">
        <v>8</v>
      </c>
      <c r="I29" s="76">
        <v>4</v>
      </c>
      <c r="J29" s="96">
        <f>2+2</f>
        <v>4</v>
      </c>
      <c r="K29" s="77">
        <f>1727.9+2093.89</f>
        <v>3821.79</v>
      </c>
      <c r="L29" s="77">
        <f>1727.9+2093.89</f>
        <v>3821.79</v>
      </c>
      <c r="M29" s="78">
        <f t="shared" si="1"/>
        <v>0</v>
      </c>
      <c r="N29" s="100"/>
      <c r="O29" s="81"/>
      <c r="P29" s="81"/>
      <c r="Q29" s="188"/>
      <c r="R29" s="141"/>
    </row>
    <row r="30" spans="1:18" s="13" customFormat="1" ht="15.75" x14ac:dyDescent="0.25">
      <c r="A30" s="10"/>
      <c r="B30" s="27" t="s">
        <v>491</v>
      </c>
      <c r="C30" s="181" t="s">
        <v>17</v>
      </c>
      <c r="D30" s="182"/>
      <c r="E30" s="183" t="s">
        <v>20</v>
      </c>
      <c r="F30" s="73" t="s">
        <v>504</v>
      </c>
      <c r="G30" s="74" t="s">
        <v>114</v>
      </c>
      <c r="H30" s="75">
        <v>6</v>
      </c>
      <c r="I30" s="76"/>
      <c r="J30" s="96"/>
      <c r="K30" s="77"/>
      <c r="L30" s="77"/>
      <c r="M30" s="187"/>
      <c r="N30" s="100"/>
      <c r="O30" s="81"/>
      <c r="P30" s="81"/>
      <c r="Q30" s="188">
        <f t="shared" si="2"/>
        <v>0</v>
      </c>
      <c r="R30" s="141"/>
    </row>
    <row r="31" spans="1:18" s="13" customFormat="1" ht="15.75" x14ac:dyDescent="0.25">
      <c r="A31" s="10"/>
      <c r="B31" s="27" t="s">
        <v>491</v>
      </c>
      <c r="C31" s="181" t="s">
        <v>17</v>
      </c>
      <c r="D31" s="182"/>
      <c r="E31" s="183"/>
      <c r="F31" s="73"/>
      <c r="G31" s="195" t="s">
        <v>117</v>
      </c>
      <c r="H31" s="75">
        <v>1</v>
      </c>
      <c r="I31" s="76"/>
      <c r="J31" s="96"/>
      <c r="K31" s="77"/>
      <c r="L31" s="77"/>
      <c r="M31" s="187"/>
      <c r="N31" s="100"/>
      <c r="O31" s="81"/>
      <c r="P31" s="81"/>
      <c r="Q31" s="188"/>
      <c r="R31" s="141"/>
    </row>
    <row r="32" spans="1:18" s="13" customFormat="1" ht="15.75" x14ac:dyDescent="0.25">
      <c r="A32" s="10"/>
      <c r="B32" s="30" t="s">
        <v>31</v>
      </c>
      <c r="C32" s="181" t="s">
        <v>17</v>
      </c>
      <c r="D32" s="182"/>
      <c r="E32" s="183" t="s">
        <v>32</v>
      </c>
      <c r="F32" s="73" t="s">
        <v>331</v>
      </c>
      <c r="G32" s="74" t="s">
        <v>112</v>
      </c>
      <c r="H32" s="75">
        <v>11</v>
      </c>
      <c r="I32" s="76">
        <v>8</v>
      </c>
      <c r="J32" s="96">
        <f>1+2+3+1+4</f>
        <v>11</v>
      </c>
      <c r="K32" s="77">
        <f>633.93+1045.98+5377.62+950.9+6004.09</f>
        <v>14012.52</v>
      </c>
      <c r="L32" s="77">
        <f>633.93+1045.98+5377.62+950.9</f>
        <v>8008.4299999999994</v>
      </c>
      <c r="M32" s="78">
        <f>K32-L32</f>
        <v>6004.0900000000011</v>
      </c>
      <c r="N32" s="100">
        <f>1+3+3+1+1+2</f>
        <v>11</v>
      </c>
      <c r="O32" s="81">
        <f>2299.8+15239.58+6152.75+2720.49+1483.38+7043.49+11175.04</f>
        <v>46114.530000000006</v>
      </c>
      <c r="P32" s="81">
        <f>2299.8+15239.58+6152.75+2720.49+1483.38</f>
        <v>27896.000000000004</v>
      </c>
      <c r="Q32" s="79">
        <f t="shared" si="2"/>
        <v>18218.530000000002</v>
      </c>
      <c r="R32" s="141"/>
    </row>
    <row r="33" spans="1:18" s="13" customFormat="1" ht="15.75" x14ac:dyDescent="0.25">
      <c r="A33" s="10"/>
      <c r="B33" s="30" t="s">
        <v>31</v>
      </c>
      <c r="C33" s="181" t="s">
        <v>17</v>
      </c>
      <c r="D33" s="182"/>
      <c r="E33" s="183" t="s">
        <v>32</v>
      </c>
      <c r="F33" s="73" t="s">
        <v>422</v>
      </c>
      <c r="G33" s="195" t="s">
        <v>117</v>
      </c>
      <c r="H33" s="181">
        <v>9</v>
      </c>
      <c r="I33" s="185">
        <v>2</v>
      </c>
      <c r="J33" s="96">
        <v>2</v>
      </c>
      <c r="K33" s="77">
        <v>4073.2</v>
      </c>
      <c r="L33" s="77">
        <v>4073.2</v>
      </c>
      <c r="M33" s="187">
        <f t="shared" si="1"/>
        <v>0</v>
      </c>
      <c r="N33" s="100">
        <v>6</v>
      </c>
      <c r="O33" s="77">
        <v>12150.4</v>
      </c>
      <c r="P33" s="77">
        <v>12150.4</v>
      </c>
      <c r="Q33" s="188">
        <f t="shared" si="2"/>
        <v>0</v>
      </c>
    </row>
    <row r="34" spans="1:18" s="15" customFormat="1" ht="15.75" x14ac:dyDescent="0.25">
      <c r="A34" s="14"/>
      <c r="B34" s="80" t="s">
        <v>33</v>
      </c>
      <c r="C34" s="181" t="s">
        <v>17</v>
      </c>
      <c r="D34" s="182"/>
      <c r="E34" s="197" t="s">
        <v>20</v>
      </c>
      <c r="F34" s="73" t="s">
        <v>332</v>
      </c>
      <c r="G34" s="74" t="s">
        <v>112</v>
      </c>
      <c r="H34" s="75">
        <v>7</v>
      </c>
      <c r="I34" s="76">
        <v>4</v>
      </c>
      <c r="J34" s="96">
        <f>1+1+1+1</f>
        <v>4</v>
      </c>
      <c r="K34" s="77">
        <f>845.245+5363.43+5912.72+845.24</f>
        <v>12966.635</v>
      </c>
      <c r="L34" s="77">
        <f>845.245+5363.43+5912.72</f>
        <v>12121.395</v>
      </c>
      <c r="M34" s="78">
        <f>K34-L34</f>
        <v>845.23999999999978</v>
      </c>
      <c r="N34" s="100">
        <f>2+1+1+1+1+2+1</f>
        <v>9</v>
      </c>
      <c r="O34" s="81">
        <f>845.24+1613.64+3380.96+3639.33+1152.6</f>
        <v>10631.77</v>
      </c>
      <c r="P34" s="81">
        <f>845.24+1613.64+3380.96+3639.33</f>
        <v>9479.17</v>
      </c>
      <c r="Q34" s="79">
        <f t="shared" si="2"/>
        <v>1152.6000000000004</v>
      </c>
      <c r="R34" s="141"/>
    </row>
    <row r="35" spans="1:18" s="15" customFormat="1" ht="15.75" x14ac:dyDescent="0.25">
      <c r="A35" s="14"/>
      <c r="B35" s="80" t="s">
        <v>33</v>
      </c>
      <c r="C35" s="181" t="s">
        <v>17</v>
      </c>
      <c r="D35" s="182"/>
      <c r="E35" s="183" t="s">
        <v>20</v>
      </c>
      <c r="F35" s="73" t="s">
        <v>481</v>
      </c>
      <c r="G35" s="184" t="s">
        <v>114</v>
      </c>
      <c r="H35" s="181">
        <v>5</v>
      </c>
      <c r="I35" s="185"/>
      <c r="J35" s="190"/>
      <c r="K35" s="77"/>
      <c r="L35" s="77"/>
      <c r="M35" s="187">
        <f t="shared" si="1"/>
        <v>0</v>
      </c>
      <c r="N35" s="101">
        <v>14</v>
      </c>
      <c r="O35" s="186">
        <v>25645.14</v>
      </c>
      <c r="P35" s="186">
        <v>25645.14</v>
      </c>
      <c r="Q35" s="188">
        <f t="shared" si="2"/>
        <v>0</v>
      </c>
    </row>
    <row r="36" spans="1:18" s="15" customFormat="1" ht="15.75" x14ac:dyDescent="0.25">
      <c r="A36" s="14"/>
      <c r="B36" s="62" t="s">
        <v>147</v>
      </c>
      <c r="C36" s="181" t="s">
        <v>17</v>
      </c>
      <c r="D36" s="182"/>
      <c r="E36" s="183" t="s">
        <v>29</v>
      </c>
      <c r="F36" s="73" t="s">
        <v>334</v>
      </c>
      <c r="G36" s="74" t="s">
        <v>112</v>
      </c>
      <c r="H36" s="75">
        <v>7</v>
      </c>
      <c r="I36" s="192">
        <v>1</v>
      </c>
      <c r="J36" s="97">
        <f>1+1</f>
        <v>2</v>
      </c>
      <c r="K36" s="77">
        <f>1854.88+2824.48</f>
        <v>4679.3600000000006</v>
      </c>
      <c r="L36" s="77">
        <f>1854.88+2824.48</f>
        <v>4679.3600000000006</v>
      </c>
      <c r="M36" s="78">
        <f>K36-L36</f>
        <v>0</v>
      </c>
      <c r="N36" s="114">
        <f>1+1+1</f>
        <v>3</v>
      </c>
      <c r="O36" s="81">
        <f>1394.65+2473.17+1961.49</f>
        <v>5829.31</v>
      </c>
      <c r="P36" s="81">
        <f>1394.65+2473.17+1961.49</f>
        <v>5829.31</v>
      </c>
      <c r="Q36" s="79">
        <f t="shared" si="2"/>
        <v>0</v>
      </c>
      <c r="R36" s="141"/>
    </row>
    <row r="37" spans="1:18" s="15" customFormat="1" ht="15.75" x14ac:dyDescent="0.25">
      <c r="A37" s="14"/>
      <c r="B37" s="191" t="s">
        <v>147</v>
      </c>
      <c r="C37" s="181" t="s">
        <v>17</v>
      </c>
      <c r="D37" s="182"/>
      <c r="E37" s="183" t="s">
        <v>29</v>
      </c>
      <c r="F37" s="73" t="s">
        <v>423</v>
      </c>
      <c r="G37" s="184" t="s">
        <v>117</v>
      </c>
      <c r="H37" s="181">
        <v>5</v>
      </c>
      <c r="I37" s="196">
        <v>3</v>
      </c>
      <c r="J37" s="97">
        <v>3</v>
      </c>
      <c r="K37" s="77">
        <v>5241.5</v>
      </c>
      <c r="L37" s="77">
        <v>5241.5</v>
      </c>
      <c r="M37" s="187">
        <f t="shared" si="1"/>
        <v>0</v>
      </c>
      <c r="N37" s="101">
        <v>4</v>
      </c>
      <c r="O37" s="186">
        <v>4706.45</v>
      </c>
      <c r="P37" s="186">
        <v>4706.45</v>
      </c>
      <c r="Q37" s="188">
        <f t="shared" si="2"/>
        <v>0</v>
      </c>
    </row>
    <row r="38" spans="1:18" s="13" customFormat="1" ht="15.75" x14ac:dyDescent="0.25">
      <c r="A38" s="10"/>
      <c r="B38" s="62" t="s">
        <v>34</v>
      </c>
      <c r="C38" s="181" t="s">
        <v>17</v>
      </c>
      <c r="D38" s="182"/>
      <c r="E38" s="194" t="s">
        <v>35</v>
      </c>
      <c r="F38" s="73" t="s">
        <v>335</v>
      </c>
      <c r="G38" s="74" t="s">
        <v>112</v>
      </c>
      <c r="H38" s="75">
        <v>19</v>
      </c>
      <c r="I38" s="76">
        <v>12</v>
      </c>
      <c r="J38" s="96">
        <f>4+2+2+7</f>
        <v>15</v>
      </c>
      <c r="K38" s="77">
        <f>8288.4+1267.86+845.24+13964.6+11418.26</f>
        <v>35784.36</v>
      </c>
      <c r="L38" s="77">
        <f>8288.4+1267.86+845.24+13964.6+11418.26</f>
        <v>35784.36</v>
      </c>
      <c r="M38" s="78">
        <f>K38-L38</f>
        <v>0</v>
      </c>
      <c r="N38" s="100">
        <f>4+4+6+1+3+1+3</f>
        <v>22</v>
      </c>
      <c r="O38" s="81">
        <f>23915.04+21171.88+6399.1+11460.81</f>
        <v>62946.829999999994</v>
      </c>
      <c r="P38" s="81">
        <f>23915.04+21171.88+6399.1+11460.81</f>
        <v>62946.829999999994</v>
      </c>
      <c r="Q38" s="79">
        <f t="shared" si="2"/>
        <v>0</v>
      </c>
      <c r="R38" s="141"/>
    </row>
    <row r="39" spans="1:18" s="13" customFormat="1" ht="15.75" x14ac:dyDescent="0.25">
      <c r="A39" s="10"/>
      <c r="B39" s="62" t="s">
        <v>34</v>
      </c>
      <c r="C39" s="181" t="s">
        <v>17</v>
      </c>
      <c r="D39" s="182"/>
      <c r="E39" s="194" t="s">
        <v>35</v>
      </c>
      <c r="F39" s="73" t="s">
        <v>424</v>
      </c>
      <c r="G39" s="195" t="s">
        <v>117</v>
      </c>
      <c r="H39" s="181">
        <v>2</v>
      </c>
      <c r="I39" s="185">
        <v>1</v>
      </c>
      <c r="J39" s="96">
        <v>2</v>
      </c>
      <c r="K39" s="77">
        <v>3842</v>
      </c>
      <c r="L39" s="77">
        <v>3842</v>
      </c>
      <c r="M39" s="187">
        <f t="shared" si="1"/>
        <v>0</v>
      </c>
      <c r="N39" s="100">
        <v>3</v>
      </c>
      <c r="O39" s="186">
        <v>9220.7999999999993</v>
      </c>
      <c r="P39" s="186">
        <v>9220.7999999999993</v>
      </c>
      <c r="Q39" s="188">
        <f t="shared" si="2"/>
        <v>0</v>
      </c>
    </row>
    <row r="40" spans="1:18" s="13" customFormat="1" ht="15.75" x14ac:dyDescent="0.25">
      <c r="A40" s="10"/>
      <c r="B40" s="27" t="s">
        <v>36</v>
      </c>
      <c r="C40" s="181" t="s">
        <v>17</v>
      </c>
      <c r="D40" s="182"/>
      <c r="E40" s="194" t="s">
        <v>32</v>
      </c>
      <c r="F40" s="73" t="s">
        <v>336</v>
      </c>
      <c r="G40" s="74" t="s">
        <v>112</v>
      </c>
      <c r="H40" s="75">
        <v>14</v>
      </c>
      <c r="I40" s="76">
        <v>9</v>
      </c>
      <c r="J40" s="96">
        <f>1+3+4+2</f>
        <v>10</v>
      </c>
      <c r="K40" s="77">
        <f>2091.97+4201.22+3643.94+998.92</f>
        <v>10936.050000000001</v>
      </c>
      <c r="L40" s="77">
        <f>2091.97+4201.22+3643.94</f>
        <v>9937.130000000001</v>
      </c>
      <c r="M40" s="78">
        <f t="shared" si="1"/>
        <v>998.92000000000007</v>
      </c>
      <c r="N40" s="100">
        <f>4+2+5+1+1+4</f>
        <v>17</v>
      </c>
      <c r="O40" s="81">
        <f>26828.22+3116.2+14162+4691+13237.22</f>
        <v>62034.64</v>
      </c>
      <c r="P40" s="81">
        <f>26828.22+3116.2+14162+4691</f>
        <v>48797.42</v>
      </c>
      <c r="Q40" s="79">
        <f t="shared" si="2"/>
        <v>13237.220000000001</v>
      </c>
      <c r="R40" s="141"/>
    </row>
    <row r="41" spans="1:18" s="13" customFormat="1" ht="15.75" x14ac:dyDescent="0.25">
      <c r="A41" s="10"/>
      <c r="B41" s="27" t="s">
        <v>38</v>
      </c>
      <c r="C41" s="181" t="s">
        <v>17</v>
      </c>
      <c r="D41" s="182"/>
      <c r="E41" s="183" t="s">
        <v>20</v>
      </c>
      <c r="F41" s="73" t="s">
        <v>338</v>
      </c>
      <c r="G41" s="74" t="s">
        <v>112</v>
      </c>
      <c r="H41" s="75">
        <v>33</v>
      </c>
      <c r="I41" s="76">
        <v>24</v>
      </c>
      <c r="J41" s="96">
        <f>5+9+3+4+4+2+3+3</f>
        <v>33</v>
      </c>
      <c r="K41" s="77">
        <f>4427.07+14262.52+23391.74+11108.38+9141.17+3923.07</f>
        <v>66253.95</v>
      </c>
      <c r="L41" s="77">
        <f>4427.07+14262.52+23391.74+11108.38</f>
        <v>53189.71</v>
      </c>
      <c r="M41" s="78">
        <f t="shared" si="1"/>
        <v>13064.239999999998</v>
      </c>
      <c r="N41" s="100">
        <f>1+14+2+2+2+3</f>
        <v>24</v>
      </c>
      <c r="O41" s="81">
        <f>34449.99+27363.78+23604.86+16739.26+15240.34+16003.48</f>
        <v>133401.71</v>
      </c>
      <c r="P41" s="81">
        <f>34449.99+27363.78+23604.86+16739.26+15240.34</f>
        <v>117398.23</v>
      </c>
      <c r="Q41" s="79">
        <f t="shared" si="2"/>
        <v>16003.479999999996</v>
      </c>
      <c r="R41" s="141"/>
    </row>
    <row r="42" spans="1:18" s="13" customFormat="1" ht="15.75" x14ac:dyDescent="0.25">
      <c r="A42" s="10"/>
      <c r="B42" s="27" t="s">
        <v>38</v>
      </c>
      <c r="C42" s="181" t="s">
        <v>17</v>
      </c>
      <c r="D42" s="182"/>
      <c r="E42" s="183" t="s">
        <v>20</v>
      </c>
      <c r="F42" s="73" t="s">
        <v>268</v>
      </c>
      <c r="G42" s="184" t="s">
        <v>114</v>
      </c>
      <c r="H42" s="181"/>
      <c r="I42" s="185"/>
      <c r="J42" s="190"/>
      <c r="K42" s="77"/>
      <c r="L42" s="77"/>
      <c r="M42" s="187">
        <f t="shared" si="1"/>
        <v>0</v>
      </c>
      <c r="N42" s="100"/>
      <c r="O42" s="186"/>
      <c r="P42" s="186"/>
      <c r="Q42" s="188">
        <f t="shared" si="2"/>
        <v>0</v>
      </c>
    </row>
    <row r="43" spans="1:18" s="13" customFormat="1" ht="15.75" x14ac:dyDescent="0.25">
      <c r="A43" s="10"/>
      <c r="B43" s="27" t="s">
        <v>38</v>
      </c>
      <c r="C43" s="181" t="s">
        <v>17</v>
      </c>
      <c r="D43" s="182"/>
      <c r="E43" s="183" t="s">
        <v>18</v>
      </c>
      <c r="F43" s="73" t="s">
        <v>324</v>
      </c>
      <c r="G43" s="184" t="s">
        <v>116</v>
      </c>
      <c r="H43" s="181">
        <v>3</v>
      </c>
      <c r="I43" s="185">
        <v>6</v>
      </c>
      <c r="J43" s="190">
        <v>6</v>
      </c>
      <c r="K43" s="77"/>
      <c r="L43" s="77"/>
      <c r="M43" s="187">
        <f t="shared" si="1"/>
        <v>0</v>
      </c>
      <c r="N43" s="100"/>
      <c r="O43" s="186"/>
      <c r="P43" s="186"/>
      <c r="Q43" s="188">
        <f t="shared" si="2"/>
        <v>0</v>
      </c>
    </row>
    <row r="44" spans="1:18" s="13" customFormat="1" ht="15.75" x14ac:dyDescent="0.25">
      <c r="A44" s="10"/>
      <c r="B44" s="62" t="s">
        <v>39</v>
      </c>
      <c r="C44" s="181" t="s">
        <v>17</v>
      </c>
      <c r="D44" s="182"/>
      <c r="E44" s="183" t="s">
        <v>20</v>
      </c>
      <c r="F44" s="73" t="s">
        <v>269</v>
      </c>
      <c r="G44" s="184" t="s">
        <v>114</v>
      </c>
      <c r="H44" s="181"/>
      <c r="I44" s="185"/>
      <c r="J44" s="190"/>
      <c r="K44" s="77"/>
      <c r="L44" s="77"/>
      <c r="M44" s="187">
        <f t="shared" si="1"/>
        <v>0</v>
      </c>
      <c r="N44" s="100"/>
      <c r="O44" s="186"/>
      <c r="P44" s="186"/>
      <c r="Q44" s="188">
        <f t="shared" si="2"/>
        <v>0</v>
      </c>
    </row>
    <row r="45" spans="1:18" s="13" customFormat="1" ht="15.75" x14ac:dyDescent="0.25">
      <c r="A45" s="10"/>
      <c r="B45" s="27" t="s">
        <v>40</v>
      </c>
      <c r="C45" s="181" t="s">
        <v>17</v>
      </c>
      <c r="D45" s="182"/>
      <c r="E45" s="194" t="s">
        <v>41</v>
      </c>
      <c r="F45" s="73" t="s">
        <v>339</v>
      </c>
      <c r="G45" s="74" t="s">
        <v>112</v>
      </c>
      <c r="H45" s="75">
        <v>17</v>
      </c>
      <c r="I45" s="76">
        <v>15</v>
      </c>
      <c r="J45" s="96">
        <f>1+1+3+9+4+4+3</f>
        <v>25</v>
      </c>
      <c r="K45" s="77">
        <f>1045.98+3271.86+15658.52+8166.35+6035.99</f>
        <v>34178.699999999997</v>
      </c>
      <c r="L45" s="77">
        <f>1045.98+3271.86+15658.52+8166.35</f>
        <v>28142.71</v>
      </c>
      <c r="M45" s="78">
        <f>K45-L45</f>
        <v>6035.989999999998</v>
      </c>
      <c r="N45" s="100">
        <f>3+13+6+5+4+2+1</f>
        <v>34</v>
      </c>
      <c r="O45" s="81">
        <f>17269.31+39990.78+16582.12+23492.44+7068.31+4243.84</f>
        <v>108646.79999999999</v>
      </c>
      <c r="P45" s="81">
        <f>17269.31+39990.78+16582.12+23492.44+7068.31</f>
        <v>104402.95999999999</v>
      </c>
      <c r="Q45" s="79">
        <f t="shared" si="2"/>
        <v>4243.8399999999965</v>
      </c>
      <c r="R45" s="141"/>
    </row>
    <row r="46" spans="1:18" s="13" customFormat="1" ht="15.75" x14ac:dyDescent="0.25">
      <c r="A46" s="10"/>
      <c r="B46" s="27" t="s">
        <v>40</v>
      </c>
      <c r="C46" s="181" t="s">
        <v>17</v>
      </c>
      <c r="D46" s="182"/>
      <c r="E46" s="194" t="s">
        <v>41</v>
      </c>
      <c r="F46" s="73" t="s">
        <v>482</v>
      </c>
      <c r="G46" s="184" t="s">
        <v>114</v>
      </c>
      <c r="H46" s="181"/>
      <c r="I46" s="185"/>
      <c r="J46" s="190"/>
      <c r="K46" s="77"/>
      <c r="L46" s="77"/>
      <c r="M46" s="187">
        <f t="shared" si="1"/>
        <v>0</v>
      </c>
      <c r="N46" s="100">
        <v>1</v>
      </c>
      <c r="O46" s="186">
        <v>3073.6</v>
      </c>
      <c r="P46" s="186">
        <f>3073.6</f>
        <v>3073.6</v>
      </c>
      <c r="Q46" s="188">
        <f t="shared" si="2"/>
        <v>0</v>
      </c>
    </row>
    <row r="47" spans="1:18" s="13" customFormat="1" ht="15.75" x14ac:dyDescent="0.25">
      <c r="A47" s="10"/>
      <c r="B47" s="27" t="s">
        <v>148</v>
      </c>
      <c r="C47" s="181" t="s">
        <v>17</v>
      </c>
      <c r="D47" s="182"/>
      <c r="E47" s="183" t="s">
        <v>20</v>
      </c>
      <c r="F47" s="73" t="s">
        <v>340</v>
      </c>
      <c r="G47" s="74" t="s">
        <v>112</v>
      </c>
      <c r="H47" s="75">
        <v>14</v>
      </c>
      <c r="I47" s="82">
        <v>7</v>
      </c>
      <c r="J47" s="96">
        <f>1+2+1+4</f>
        <v>8</v>
      </c>
      <c r="K47" s="77">
        <f>537.88+2110.03+6723.98</f>
        <v>9371.89</v>
      </c>
      <c r="L47" s="77">
        <f>537.88+2110.03</f>
        <v>2647.9100000000003</v>
      </c>
      <c r="M47" s="78">
        <f>K47-L47</f>
        <v>6723.98</v>
      </c>
      <c r="N47" s="100">
        <f>6+5+3+1+1+1</f>
        <v>17</v>
      </c>
      <c r="O47" s="81">
        <f>9370.6+9456.38+8868.69+5367.27+11572.62</f>
        <v>44635.560000000005</v>
      </c>
      <c r="P47" s="81">
        <f>9370.6+9456.38+8868.69+5367.27+11572.62</f>
        <v>44635.560000000005</v>
      </c>
      <c r="Q47" s="79">
        <f t="shared" si="2"/>
        <v>0</v>
      </c>
      <c r="R47" s="141"/>
    </row>
    <row r="48" spans="1:18" s="13" customFormat="1" ht="15.75" x14ac:dyDescent="0.25">
      <c r="A48" s="10"/>
      <c r="B48" s="27" t="s">
        <v>148</v>
      </c>
      <c r="C48" s="181" t="s">
        <v>17</v>
      </c>
      <c r="D48" s="182"/>
      <c r="E48" s="194" t="s">
        <v>32</v>
      </c>
      <c r="F48" s="73" t="s">
        <v>425</v>
      </c>
      <c r="G48" s="184" t="s">
        <v>117</v>
      </c>
      <c r="H48" s="181">
        <v>8</v>
      </c>
      <c r="I48" s="185">
        <v>1</v>
      </c>
      <c r="J48" s="96">
        <v>1</v>
      </c>
      <c r="K48" s="77">
        <v>1344.7</v>
      </c>
      <c r="L48" s="77">
        <v>1344.7</v>
      </c>
      <c r="M48" s="187">
        <f t="shared" si="1"/>
        <v>0</v>
      </c>
      <c r="N48" s="100">
        <v>4</v>
      </c>
      <c r="O48" s="186">
        <v>12851.49</v>
      </c>
      <c r="P48" s="186">
        <v>12851.49</v>
      </c>
      <c r="Q48" s="188">
        <f t="shared" si="2"/>
        <v>0</v>
      </c>
    </row>
    <row r="49" spans="1:18" s="13" customFormat="1" ht="15.75" x14ac:dyDescent="0.25">
      <c r="A49" s="10"/>
      <c r="B49" s="30" t="s">
        <v>42</v>
      </c>
      <c r="C49" s="181" t="s">
        <v>17</v>
      </c>
      <c r="D49" s="182"/>
      <c r="E49" s="183" t="s">
        <v>23</v>
      </c>
      <c r="F49" s="73" t="s">
        <v>341</v>
      </c>
      <c r="G49" s="74" t="s">
        <v>112</v>
      </c>
      <c r="H49" s="75">
        <v>33</v>
      </c>
      <c r="I49" s="76">
        <v>20</v>
      </c>
      <c r="J49" s="96">
        <f>5+3+5+3+8+3</f>
        <v>27</v>
      </c>
      <c r="K49" s="77">
        <f>7156.22+3849.11+8154.25+4149.36+15912.38</f>
        <v>39221.32</v>
      </c>
      <c r="L49" s="77">
        <f>7156.22+3849.11+8154.25+4149.36</f>
        <v>23308.940000000002</v>
      </c>
      <c r="M49" s="78">
        <f>K49-L49</f>
        <v>15912.379999999997</v>
      </c>
      <c r="N49" s="100">
        <f>4+6+9+2+4+2+2+3+3</f>
        <v>35</v>
      </c>
      <c r="O49" s="81">
        <f>5364.2+26170.88+2849.25+18965.6+9565.56+9423.5</f>
        <v>72338.989999999991</v>
      </c>
      <c r="P49" s="81">
        <f>5364.2+26170.88+2849.25+18965.6+9565.56+9423.5</f>
        <v>72338.989999999991</v>
      </c>
      <c r="Q49" s="79">
        <f t="shared" si="2"/>
        <v>0</v>
      </c>
      <c r="R49" s="141"/>
    </row>
    <row r="50" spans="1:18" s="13" customFormat="1" ht="15.75" x14ac:dyDescent="0.25">
      <c r="A50" s="10"/>
      <c r="B50" s="30" t="s">
        <v>42</v>
      </c>
      <c r="C50" s="181" t="s">
        <v>17</v>
      </c>
      <c r="D50" s="182"/>
      <c r="E50" s="183" t="s">
        <v>23</v>
      </c>
      <c r="F50" s="73" t="s">
        <v>437</v>
      </c>
      <c r="G50" s="184" t="s">
        <v>118</v>
      </c>
      <c r="H50" s="181">
        <v>2</v>
      </c>
      <c r="I50" s="185"/>
      <c r="J50" s="96"/>
      <c r="K50" s="77"/>
      <c r="L50" s="77"/>
      <c r="M50" s="187">
        <f t="shared" si="1"/>
        <v>0</v>
      </c>
      <c r="N50" s="100">
        <v>1</v>
      </c>
      <c r="O50" s="186">
        <v>7766.4</v>
      </c>
      <c r="P50" s="186">
        <v>7766.4</v>
      </c>
      <c r="Q50" s="188">
        <f t="shared" si="2"/>
        <v>0</v>
      </c>
    </row>
    <row r="51" spans="1:18" s="13" customFormat="1" ht="15.75" x14ac:dyDescent="0.25">
      <c r="A51" s="10"/>
      <c r="B51" s="30" t="s">
        <v>173</v>
      </c>
      <c r="C51" s="181" t="s">
        <v>17</v>
      </c>
      <c r="D51" s="182"/>
      <c r="E51" s="184" t="s">
        <v>118</v>
      </c>
      <c r="F51" s="73" t="s">
        <v>342</v>
      </c>
      <c r="G51" s="74" t="s">
        <v>112</v>
      </c>
      <c r="H51" s="75">
        <v>4</v>
      </c>
      <c r="I51" s="76">
        <v>4</v>
      </c>
      <c r="J51" s="96">
        <f>1+2+1</f>
        <v>4</v>
      </c>
      <c r="K51" s="77">
        <f>6833.76+696.36</f>
        <v>7530.12</v>
      </c>
      <c r="L51" s="77">
        <f>6833.76+696.36</f>
        <v>7530.12</v>
      </c>
      <c r="M51" s="78">
        <f>K51-L51</f>
        <v>0</v>
      </c>
      <c r="N51" s="100">
        <f>4+2</f>
        <v>6</v>
      </c>
      <c r="O51" s="81">
        <f>5931.9+4183.92+3158.95</f>
        <v>13274.77</v>
      </c>
      <c r="P51" s="81">
        <f>5931.9+4183.92+3158.95</f>
        <v>13274.77</v>
      </c>
      <c r="Q51" s="79">
        <f t="shared" si="2"/>
        <v>0</v>
      </c>
      <c r="R51" s="141"/>
    </row>
    <row r="52" spans="1:18" s="13" customFormat="1" ht="15.75" x14ac:dyDescent="0.25">
      <c r="A52" s="10"/>
      <c r="B52" s="62" t="s">
        <v>143</v>
      </c>
      <c r="C52" s="181" t="s">
        <v>64</v>
      </c>
      <c r="D52" s="182" t="s">
        <v>444</v>
      </c>
      <c r="E52" s="183" t="s">
        <v>20</v>
      </c>
      <c r="F52" s="73" t="s">
        <v>445</v>
      </c>
      <c r="G52" s="184" t="s">
        <v>114</v>
      </c>
      <c r="H52" s="181">
        <v>15</v>
      </c>
      <c r="I52" s="192">
        <v>3</v>
      </c>
      <c r="J52" s="190">
        <v>3</v>
      </c>
      <c r="K52" s="193"/>
      <c r="L52" s="193"/>
      <c r="M52" s="78">
        <f t="shared" si="1"/>
        <v>0</v>
      </c>
      <c r="N52" s="114">
        <v>18</v>
      </c>
      <c r="O52" s="186">
        <v>27390.400000000001</v>
      </c>
      <c r="P52" s="186">
        <v>27390.400000000001</v>
      </c>
      <c r="Q52" s="188">
        <f t="shared" si="2"/>
        <v>0</v>
      </c>
    </row>
    <row r="53" spans="1:18" s="13" customFormat="1" ht="15.75" x14ac:dyDescent="0.25">
      <c r="A53" s="10"/>
      <c r="B53" s="30" t="s">
        <v>158</v>
      </c>
      <c r="C53" s="181" t="s">
        <v>17</v>
      </c>
      <c r="D53" s="182"/>
      <c r="E53" s="194" t="s">
        <v>32</v>
      </c>
      <c r="F53" s="73" t="s">
        <v>426</v>
      </c>
      <c r="G53" s="184" t="s">
        <v>117</v>
      </c>
      <c r="H53" s="181">
        <v>7</v>
      </c>
      <c r="I53" s="192">
        <v>4</v>
      </c>
      <c r="J53" s="190">
        <v>5</v>
      </c>
      <c r="K53" s="193">
        <v>8452.4</v>
      </c>
      <c r="L53" s="193">
        <v>8452.4</v>
      </c>
      <c r="M53" s="187">
        <f t="shared" si="1"/>
        <v>0</v>
      </c>
      <c r="N53" s="114">
        <v>4</v>
      </c>
      <c r="O53" s="186">
        <v>9789.2000000000007</v>
      </c>
      <c r="P53" s="186">
        <v>9789.2000000000007</v>
      </c>
      <c r="Q53" s="188">
        <f t="shared" si="2"/>
        <v>0</v>
      </c>
    </row>
    <row r="54" spans="1:18" s="15" customFormat="1" ht="15.75" x14ac:dyDescent="0.25">
      <c r="A54" s="14"/>
      <c r="B54" s="80" t="s">
        <v>43</v>
      </c>
      <c r="C54" s="181" t="s">
        <v>17</v>
      </c>
      <c r="D54" s="182"/>
      <c r="E54" s="183" t="s">
        <v>18</v>
      </c>
      <c r="F54" s="73" t="s">
        <v>344</v>
      </c>
      <c r="G54" s="74" t="s">
        <v>112</v>
      </c>
      <c r="H54" s="75">
        <v>20</v>
      </c>
      <c r="I54" s="76">
        <v>15</v>
      </c>
      <c r="J54" s="96">
        <f>1+2+2+5+2+3+2</f>
        <v>17</v>
      </c>
      <c r="K54" s="77">
        <f>1776.93+926.88+3328.29+3172.19</f>
        <v>9204.2900000000009</v>
      </c>
      <c r="L54" s="77">
        <f>1776.93+926.88+3328.29</f>
        <v>6032.1</v>
      </c>
      <c r="M54" s="78">
        <f>K54-L54</f>
        <v>3172.1900000000005</v>
      </c>
      <c r="N54" s="100">
        <f>1+5+4+1+1+1+1</f>
        <v>14</v>
      </c>
      <c r="O54" s="81">
        <f>1223.8+3810.29+4959.02+10043.87+2769.48+2146.91+11926.24</f>
        <v>36879.61</v>
      </c>
      <c r="P54" s="81">
        <f>1223.8+3810.29+4959.02+10043.87+2769.48+2146.91</f>
        <v>24953.370000000003</v>
      </c>
      <c r="Q54" s="79">
        <f t="shared" si="2"/>
        <v>11926.239999999998</v>
      </c>
      <c r="R54" s="141"/>
    </row>
    <row r="55" spans="1:18" s="15" customFormat="1" ht="30" x14ac:dyDescent="0.25">
      <c r="A55" s="14"/>
      <c r="B55" s="62" t="s">
        <v>43</v>
      </c>
      <c r="C55" s="181" t="s">
        <v>304</v>
      </c>
      <c r="D55" s="182" t="s">
        <v>473</v>
      </c>
      <c r="E55" s="183" t="s">
        <v>18</v>
      </c>
      <c r="F55" s="73" t="s">
        <v>323</v>
      </c>
      <c r="G55" s="184" t="s">
        <v>113</v>
      </c>
      <c r="H55" s="181">
        <v>20</v>
      </c>
      <c r="I55" s="198">
        <v>12</v>
      </c>
      <c r="J55" s="199">
        <v>12</v>
      </c>
      <c r="K55" s="77">
        <v>16405</v>
      </c>
      <c r="L55" s="77">
        <v>15748</v>
      </c>
      <c r="M55" s="187">
        <f t="shared" si="1"/>
        <v>657</v>
      </c>
      <c r="N55" s="114">
        <v>13</v>
      </c>
      <c r="O55" s="186">
        <v>29954</v>
      </c>
      <c r="P55" s="186">
        <v>26496</v>
      </c>
      <c r="Q55" s="188">
        <f t="shared" si="2"/>
        <v>3458</v>
      </c>
    </row>
    <row r="56" spans="1:18" s="13" customFormat="1" ht="15.75" x14ac:dyDescent="0.25">
      <c r="A56" s="10"/>
      <c r="B56" s="30" t="s">
        <v>44</v>
      </c>
      <c r="C56" s="181" t="s">
        <v>17</v>
      </c>
      <c r="D56" s="182"/>
      <c r="E56" s="183" t="s">
        <v>20</v>
      </c>
      <c r="F56" s="73" t="s">
        <v>345</v>
      </c>
      <c r="G56" s="74" t="s">
        <v>112</v>
      </c>
      <c r="H56" s="75">
        <v>6</v>
      </c>
      <c r="I56" s="76">
        <v>6</v>
      </c>
      <c r="J56" s="96">
        <f>1+1+1+4</f>
        <v>7</v>
      </c>
      <c r="K56" s="77">
        <f>2422.38+1267.86+15410.58</f>
        <v>19100.82</v>
      </c>
      <c r="L56" s="77">
        <f>2422.38+1267.86+15410.58</f>
        <v>19100.82</v>
      </c>
      <c r="M56" s="78">
        <f>K56-L56</f>
        <v>0</v>
      </c>
      <c r="N56" s="100">
        <f>1+11</f>
        <v>12</v>
      </c>
      <c r="O56" s="81">
        <f>421.62+4603.39+10559.77+72902.04</f>
        <v>88486.819999999992</v>
      </c>
      <c r="P56" s="81">
        <f>421.62+4603.39+10559.77+72902.04</f>
        <v>88486.819999999992</v>
      </c>
      <c r="Q56" s="79">
        <f t="shared" si="2"/>
        <v>0</v>
      </c>
      <c r="R56" s="141"/>
    </row>
    <row r="57" spans="1:18" s="13" customFormat="1" ht="15.75" x14ac:dyDescent="0.25">
      <c r="A57" s="10"/>
      <c r="B57" s="30" t="s">
        <v>44</v>
      </c>
      <c r="C57" s="181" t="s">
        <v>17</v>
      </c>
      <c r="D57" s="182"/>
      <c r="E57" s="183" t="s">
        <v>20</v>
      </c>
      <c r="F57" s="73" t="s">
        <v>483</v>
      </c>
      <c r="G57" s="184" t="s">
        <v>114</v>
      </c>
      <c r="H57" s="181"/>
      <c r="I57" s="185"/>
      <c r="J57" s="190"/>
      <c r="K57" s="77"/>
      <c r="L57" s="77"/>
      <c r="M57" s="78">
        <f t="shared" si="1"/>
        <v>0</v>
      </c>
      <c r="N57" s="100">
        <v>2</v>
      </c>
      <c r="O57" s="186">
        <v>6723.5</v>
      </c>
      <c r="P57" s="186">
        <v>6723.5</v>
      </c>
      <c r="Q57" s="188">
        <f t="shared" si="2"/>
        <v>0</v>
      </c>
    </row>
    <row r="58" spans="1:18" s="13" customFormat="1" ht="15.75" x14ac:dyDescent="0.25">
      <c r="A58" s="10"/>
      <c r="B58" s="30" t="s">
        <v>492</v>
      </c>
      <c r="C58" s="181" t="s">
        <v>17</v>
      </c>
      <c r="D58" s="182"/>
      <c r="E58" s="183" t="s">
        <v>20</v>
      </c>
      <c r="F58" s="73" t="s">
        <v>499</v>
      </c>
      <c r="G58" s="184" t="s">
        <v>112</v>
      </c>
      <c r="H58" s="181">
        <v>9</v>
      </c>
      <c r="I58" s="185">
        <v>1</v>
      </c>
      <c r="J58" s="190">
        <f>1</f>
        <v>1</v>
      </c>
      <c r="K58" s="77">
        <f>1044.98</f>
        <v>1044.98</v>
      </c>
      <c r="L58" s="77">
        <f>1044.98</f>
        <v>1044.98</v>
      </c>
      <c r="M58" s="78">
        <f t="shared" si="1"/>
        <v>0</v>
      </c>
      <c r="N58" s="100"/>
      <c r="O58" s="186"/>
      <c r="P58" s="186"/>
      <c r="Q58" s="79">
        <f t="shared" si="2"/>
        <v>0</v>
      </c>
    </row>
    <row r="59" spans="1:18" s="13" customFormat="1" ht="15.75" x14ac:dyDescent="0.25">
      <c r="A59" s="10"/>
      <c r="B59" s="27" t="s">
        <v>45</v>
      </c>
      <c r="C59" s="181" t="s">
        <v>17</v>
      </c>
      <c r="D59" s="182"/>
      <c r="E59" s="183" t="s">
        <v>20</v>
      </c>
      <c r="F59" s="73" t="s">
        <v>346</v>
      </c>
      <c r="G59" s="74" t="s">
        <v>112</v>
      </c>
      <c r="H59" s="75"/>
      <c r="I59" s="76"/>
      <c r="J59" s="96"/>
      <c r="K59" s="77"/>
      <c r="L59" s="77"/>
      <c r="M59" s="78">
        <f t="shared" si="1"/>
        <v>0</v>
      </c>
      <c r="N59" s="100">
        <f>1</f>
        <v>1</v>
      </c>
      <c r="O59" s="81">
        <f>17995.91+2729.8</f>
        <v>20725.71</v>
      </c>
      <c r="P59" s="81">
        <f>17995.91+2729.8</f>
        <v>20725.71</v>
      </c>
      <c r="Q59" s="79">
        <f t="shared" si="2"/>
        <v>0</v>
      </c>
      <c r="R59" s="141"/>
    </row>
    <row r="60" spans="1:18" s="13" customFormat="1" ht="15.75" x14ac:dyDescent="0.25">
      <c r="A60" s="10"/>
      <c r="B60" s="27" t="s">
        <v>45</v>
      </c>
      <c r="C60" s="181" t="s">
        <v>17</v>
      </c>
      <c r="D60" s="182"/>
      <c r="E60" s="183" t="s">
        <v>20</v>
      </c>
      <c r="F60" s="73" t="s">
        <v>484</v>
      </c>
      <c r="G60" s="184" t="s">
        <v>114</v>
      </c>
      <c r="H60" s="181"/>
      <c r="I60" s="185"/>
      <c r="J60" s="190"/>
      <c r="K60" s="77"/>
      <c r="L60" s="77"/>
      <c r="M60" s="78">
        <f t="shared" si="1"/>
        <v>0</v>
      </c>
      <c r="N60" s="100"/>
      <c r="O60" s="186"/>
      <c r="P60" s="186"/>
      <c r="Q60" s="188">
        <f t="shared" si="2"/>
        <v>0</v>
      </c>
    </row>
    <row r="61" spans="1:18" s="15" customFormat="1" ht="15.75" x14ac:dyDescent="0.25">
      <c r="A61" s="14"/>
      <c r="B61" s="28" t="s">
        <v>46</v>
      </c>
      <c r="C61" s="181" t="s">
        <v>17</v>
      </c>
      <c r="D61" s="182"/>
      <c r="E61" s="183" t="s">
        <v>20</v>
      </c>
      <c r="F61" s="73" t="s">
        <v>347</v>
      </c>
      <c r="G61" s="74" t="s">
        <v>112</v>
      </c>
      <c r="H61" s="75">
        <v>13</v>
      </c>
      <c r="I61" s="76">
        <v>11</v>
      </c>
      <c r="J61" s="96">
        <f>1+2+3+2+4+1+4</f>
        <v>17</v>
      </c>
      <c r="K61" s="77">
        <f>1045.98+1068.08+8157.32+1778.85+9152.67</f>
        <v>21202.9</v>
      </c>
      <c r="L61" s="77">
        <f>1045.98+1068.08+8157.32+1778.85+9152.67</f>
        <v>21202.9</v>
      </c>
      <c r="M61" s="78">
        <f>K61-L61</f>
        <v>0</v>
      </c>
      <c r="N61" s="100">
        <f>4+4+1+1</f>
        <v>10</v>
      </c>
      <c r="O61" s="81">
        <f>10759.2+10685.34+7362.04</f>
        <v>28806.58</v>
      </c>
      <c r="P61" s="81">
        <f>10759.2+10685.34</f>
        <v>21444.54</v>
      </c>
      <c r="Q61" s="79">
        <f t="shared" si="2"/>
        <v>7362.0400000000009</v>
      </c>
      <c r="R61" s="141"/>
    </row>
    <row r="62" spans="1:18" s="15" customFormat="1" ht="15.75" x14ac:dyDescent="0.25">
      <c r="A62" s="14"/>
      <c r="B62" s="28" t="s">
        <v>46</v>
      </c>
      <c r="C62" s="181" t="s">
        <v>17</v>
      </c>
      <c r="D62" s="182"/>
      <c r="E62" s="183" t="s">
        <v>20</v>
      </c>
      <c r="F62" s="73" t="s">
        <v>273</v>
      </c>
      <c r="G62" s="184" t="s">
        <v>114</v>
      </c>
      <c r="H62" s="181">
        <v>2</v>
      </c>
      <c r="I62" s="185"/>
      <c r="J62" s="190"/>
      <c r="K62" s="77"/>
      <c r="L62" s="77"/>
      <c r="M62" s="78">
        <f t="shared" si="1"/>
        <v>0</v>
      </c>
      <c r="N62" s="101">
        <v>3</v>
      </c>
      <c r="O62" s="186">
        <v>9356.9</v>
      </c>
      <c r="P62" s="186">
        <v>9356.9</v>
      </c>
      <c r="Q62" s="188">
        <f t="shared" si="2"/>
        <v>0</v>
      </c>
    </row>
    <row r="63" spans="1:18" s="13" customFormat="1" ht="45" x14ac:dyDescent="0.25">
      <c r="A63" s="10"/>
      <c r="B63" s="30" t="s">
        <v>47</v>
      </c>
      <c r="C63" s="181" t="s">
        <v>304</v>
      </c>
      <c r="D63" s="182" t="s">
        <v>474</v>
      </c>
      <c r="E63" s="183" t="s">
        <v>18</v>
      </c>
      <c r="F63" s="73" t="s">
        <v>348</v>
      </c>
      <c r="G63" s="74" t="s">
        <v>112</v>
      </c>
      <c r="H63" s="75">
        <v>37</v>
      </c>
      <c r="I63" s="76">
        <v>21</v>
      </c>
      <c r="J63" s="98">
        <f>1+1+3+21+7+2+5+2+7</f>
        <v>49</v>
      </c>
      <c r="K63" s="77">
        <f>30728.27+19236.99</f>
        <v>49965.26</v>
      </c>
      <c r="L63" s="77">
        <v>30067.95</v>
      </c>
      <c r="M63" s="78">
        <f>K63-L63</f>
        <v>19897.310000000001</v>
      </c>
      <c r="N63" s="100">
        <f>7+3+4+10+6+1+2+1+3</f>
        <v>37</v>
      </c>
      <c r="O63" s="81">
        <f>8477.51+15159.83+14079.46+15414.2+17995.91+2065.56+1859.53+9543.86+1728.53+14526.84</f>
        <v>100851.23</v>
      </c>
      <c r="P63" s="81">
        <f>8477.51+15159.83+14079.46+15414.2+17995.91+2065.56+1859.53+9543.86+1728.53+14526.84</f>
        <v>100851.23</v>
      </c>
      <c r="Q63" s="79">
        <f t="shared" si="2"/>
        <v>0</v>
      </c>
      <c r="R63" s="141"/>
    </row>
    <row r="64" spans="1:18" s="13" customFormat="1" ht="45" x14ac:dyDescent="0.25">
      <c r="A64" s="10"/>
      <c r="B64" s="62" t="s">
        <v>120</v>
      </c>
      <c r="C64" s="181" t="s">
        <v>304</v>
      </c>
      <c r="D64" s="182" t="s">
        <v>474</v>
      </c>
      <c r="E64" s="183" t="s">
        <v>18</v>
      </c>
      <c r="F64" s="73" t="s">
        <v>334</v>
      </c>
      <c r="G64" s="184" t="s">
        <v>116</v>
      </c>
      <c r="H64" s="181">
        <v>20</v>
      </c>
      <c r="I64" s="192">
        <v>9</v>
      </c>
      <c r="J64" s="98">
        <v>10</v>
      </c>
      <c r="K64" s="77">
        <v>12583</v>
      </c>
      <c r="L64" s="77">
        <v>11315</v>
      </c>
      <c r="M64" s="78">
        <f t="shared" si="1"/>
        <v>1268</v>
      </c>
      <c r="N64" s="100">
        <v>12</v>
      </c>
      <c r="O64" s="186">
        <v>47383</v>
      </c>
      <c r="P64" s="186">
        <v>45904</v>
      </c>
      <c r="Q64" s="188">
        <f t="shared" si="2"/>
        <v>1479</v>
      </c>
    </row>
    <row r="65" spans="1:18" s="13" customFormat="1" ht="15.75" x14ac:dyDescent="0.25">
      <c r="A65" s="10"/>
      <c r="B65" s="30" t="s">
        <v>134</v>
      </c>
      <c r="C65" s="181" t="s">
        <v>17</v>
      </c>
      <c r="D65" s="182"/>
      <c r="E65" s="183" t="s">
        <v>20</v>
      </c>
      <c r="F65" s="73" t="s">
        <v>349</v>
      </c>
      <c r="G65" s="74" t="s">
        <v>112</v>
      </c>
      <c r="H65" s="75">
        <v>11</v>
      </c>
      <c r="I65" s="76">
        <v>8</v>
      </c>
      <c r="J65" s="96">
        <f>1+4+1+1</f>
        <v>7</v>
      </c>
      <c r="K65" s="77">
        <f>7301.48+1473.89+1911.09+1690.48+845.24</f>
        <v>13222.179999999998</v>
      </c>
      <c r="L65" s="77">
        <f>7301.48+1473.89+1911.09+1690.48</f>
        <v>12376.939999999999</v>
      </c>
      <c r="M65" s="78">
        <f>K65-L65</f>
        <v>845.23999999999978</v>
      </c>
      <c r="N65" s="100">
        <f>4+1+1</f>
        <v>6</v>
      </c>
      <c r="O65" s="81">
        <f>5020.05+3215.31+12312.39+4648.82+32425.98+7889.42</f>
        <v>65511.97</v>
      </c>
      <c r="P65" s="81">
        <f>5020.05+3215.31+12312.39+4648.82+32425.98</f>
        <v>57622.55</v>
      </c>
      <c r="Q65" s="79">
        <f t="shared" si="2"/>
        <v>7889.4199999999983</v>
      </c>
      <c r="R65" s="141"/>
    </row>
    <row r="66" spans="1:18" s="13" customFormat="1" ht="15.75" x14ac:dyDescent="0.25">
      <c r="A66" s="10"/>
      <c r="B66" s="30" t="s">
        <v>134</v>
      </c>
      <c r="C66" s="181" t="s">
        <v>17</v>
      </c>
      <c r="D66" s="182"/>
      <c r="E66" s="183" t="s">
        <v>20</v>
      </c>
      <c r="F66" s="73" t="s">
        <v>456</v>
      </c>
      <c r="G66" s="184" t="s">
        <v>114</v>
      </c>
      <c r="H66" s="181">
        <v>15</v>
      </c>
      <c r="I66" s="185">
        <v>3</v>
      </c>
      <c r="J66" s="190">
        <v>3</v>
      </c>
      <c r="K66" s="77">
        <v>3688.32</v>
      </c>
      <c r="L66" s="77">
        <v>3688.32</v>
      </c>
      <c r="M66" s="78">
        <f t="shared" si="1"/>
        <v>0</v>
      </c>
      <c r="N66" s="100">
        <v>25</v>
      </c>
      <c r="O66" s="186">
        <v>54903.199999999997</v>
      </c>
      <c r="P66" s="186">
        <v>54903.199999999997</v>
      </c>
      <c r="Q66" s="188">
        <f t="shared" si="2"/>
        <v>0</v>
      </c>
    </row>
    <row r="67" spans="1:18" s="13" customFormat="1" ht="15.75" x14ac:dyDescent="0.25">
      <c r="A67" s="10"/>
      <c r="B67" s="62" t="s">
        <v>48</v>
      </c>
      <c r="C67" s="181" t="s">
        <v>17</v>
      </c>
      <c r="D67" s="182"/>
      <c r="E67" s="183" t="s">
        <v>20</v>
      </c>
      <c r="F67" s="73" t="s">
        <v>350</v>
      </c>
      <c r="G67" s="74" t="s">
        <v>112</v>
      </c>
      <c r="H67" s="75">
        <v>11</v>
      </c>
      <c r="I67" s="76">
        <v>7</v>
      </c>
      <c r="J67" s="96">
        <f>1+1+2+1</f>
        <v>5</v>
      </c>
      <c r="K67" s="77">
        <f>4805.96+2585.78+3065.92+2588.55</f>
        <v>13046.21</v>
      </c>
      <c r="L67" s="77">
        <f>4805.96+2585.78+3065.92+2588.55</f>
        <v>13046.21</v>
      </c>
      <c r="M67" s="78">
        <f t="shared" si="1"/>
        <v>0</v>
      </c>
      <c r="N67" s="100">
        <f>2+1+2</f>
        <v>5</v>
      </c>
      <c r="O67" s="81">
        <f>23174.33+2535.72+11633.02+6993.42+20756.4</f>
        <v>65092.890000000007</v>
      </c>
      <c r="P67" s="81">
        <f>23174.33+2535.72+11633.02+6993.42+20756.4</f>
        <v>65092.890000000007</v>
      </c>
      <c r="Q67" s="79">
        <f t="shared" si="2"/>
        <v>0</v>
      </c>
      <c r="R67" s="141"/>
    </row>
    <row r="68" spans="1:18" s="13" customFormat="1" ht="15.75" x14ac:dyDescent="0.25">
      <c r="A68" s="10"/>
      <c r="B68" s="62" t="s">
        <v>49</v>
      </c>
      <c r="C68" s="181" t="s">
        <v>17</v>
      </c>
      <c r="D68" s="182"/>
      <c r="E68" s="183" t="s">
        <v>50</v>
      </c>
      <c r="F68" s="73" t="s">
        <v>351</v>
      </c>
      <c r="G68" s="74" t="s">
        <v>112</v>
      </c>
      <c r="H68" s="75">
        <v>21</v>
      </c>
      <c r="I68" s="76">
        <v>10</v>
      </c>
      <c r="J68" s="96">
        <f>1+4+8</f>
        <v>13</v>
      </c>
      <c r="K68" s="77">
        <f>525.65+1267.86+6544.72+13939.57</f>
        <v>22277.8</v>
      </c>
      <c r="L68" s="77">
        <f>525.65+1267.86+6544.72</f>
        <v>8338.23</v>
      </c>
      <c r="M68" s="78">
        <f t="shared" si="1"/>
        <v>13939.57</v>
      </c>
      <c r="N68" s="100">
        <f>5+1+3</f>
        <v>9</v>
      </c>
      <c r="O68" s="81">
        <f>7374+1806.93+7275.53+4666.9+2684.03</f>
        <v>23807.39</v>
      </c>
      <c r="P68" s="81">
        <f>7374+1806.93+7275.53+4666.9+2684.03</f>
        <v>23807.39</v>
      </c>
      <c r="Q68" s="188">
        <f t="shared" si="2"/>
        <v>0</v>
      </c>
      <c r="R68" s="141"/>
    </row>
    <row r="69" spans="1:18" s="13" customFormat="1" ht="15.75" x14ac:dyDescent="0.25">
      <c r="A69" s="10"/>
      <c r="B69" s="62" t="s">
        <v>49</v>
      </c>
      <c r="C69" s="181" t="s">
        <v>17</v>
      </c>
      <c r="D69" s="182"/>
      <c r="E69" s="183" t="s">
        <v>50</v>
      </c>
      <c r="F69" s="73" t="s">
        <v>427</v>
      </c>
      <c r="G69" s="184" t="s">
        <v>115</v>
      </c>
      <c r="H69" s="181">
        <v>10</v>
      </c>
      <c r="I69" s="185">
        <v>4</v>
      </c>
      <c r="J69" s="96">
        <v>4</v>
      </c>
      <c r="K69" s="77">
        <v>4905.53</v>
      </c>
      <c r="L69" s="77">
        <v>4905.53</v>
      </c>
      <c r="M69" s="187">
        <f t="shared" si="1"/>
        <v>0</v>
      </c>
      <c r="N69" s="100">
        <v>8</v>
      </c>
      <c r="O69" s="186">
        <v>11237.9</v>
      </c>
      <c r="P69" s="186">
        <v>11237.9</v>
      </c>
      <c r="Q69" s="79">
        <f t="shared" si="2"/>
        <v>0</v>
      </c>
    </row>
    <row r="70" spans="1:18" s="13" customFormat="1" ht="15.75" x14ac:dyDescent="0.25">
      <c r="A70" s="10"/>
      <c r="B70" s="27" t="s">
        <v>51</v>
      </c>
      <c r="C70" s="181" t="s">
        <v>17</v>
      </c>
      <c r="D70" s="182"/>
      <c r="E70" s="183" t="s">
        <v>20</v>
      </c>
      <c r="F70" s="73" t="s">
        <v>186</v>
      </c>
      <c r="G70" s="74" t="s">
        <v>112</v>
      </c>
      <c r="H70" s="75"/>
      <c r="I70" s="76"/>
      <c r="J70" s="96"/>
      <c r="K70" s="77"/>
      <c r="L70" s="77"/>
      <c r="M70" s="78">
        <f>K70-L70</f>
        <v>0</v>
      </c>
      <c r="N70" s="100">
        <f>1</f>
        <v>1</v>
      </c>
      <c r="O70" s="81">
        <v>2451.87</v>
      </c>
      <c r="P70" s="81">
        <v>2451.87</v>
      </c>
      <c r="Q70" s="188">
        <f t="shared" si="2"/>
        <v>0</v>
      </c>
      <c r="R70" s="141"/>
    </row>
    <row r="71" spans="1:18" s="13" customFormat="1" ht="15.75" x14ac:dyDescent="0.25">
      <c r="A71" s="10"/>
      <c r="B71" s="27" t="s">
        <v>51</v>
      </c>
      <c r="C71" s="181" t="s">
        <v>17</v>
      </c>
      <c r="D71" s="182"/>
      <c r="E71" s="183" t="s">
        <v>20</v>
      </c>
      <c r="F71" s="73" t="s">
        <v>276</v>
      </c>
      <c r="G71" s="184" t="s">
        <v>114</v>
      </c>
      <c r="H71" s="181"/>
      <c r="I71" s="185"/>
      <c r="J71" s="190"/>
      <c r="K71" s="77"/>
      <c r="L71" s="77"/>
      <c r="M71" s="187">
        <f t="shared" si="1"/>
        <v>0</v>
      </c>
      <c r="N71" s="100">
        <v>3</v>
      </c>
      <c r="O71" s="186">
        <v>6763.6</v>
      </c>
      <c r="P71" s="186">
        <v>6763.6</v>
      </c>
      <c r="Q71" s="188">
        <f t="shared" si="2"/>
        <v>0</v>
      </c>
    </row>
    <row r="72" spans="1:18" s="13" customFormat="1" ht="15.75" x14ac:dyDescent="0.25">
      <c r="A72" s="10"/>
      <c r="B72" s="62" t="s">
        <v>52</v>
      </c>
      <c r="C72" s="181" t="s">
        <v>17</v>
      </c>
      <c r="D72" s="182"/>
      <c r="E72" s="183" t="s">
        <v>20</v>
      </c>
      <c r="F72" s="73" t="s">
        <v>352</v>
      </c>
      <c r="G72" s="74" t="s">
        <v>112</v>
      </c>
      <c r="H72" s="75">
        <v>9</v>
      </c>
      <c r="I72" s="76">
        <v>3</v>
      </c>
      <c r="J72" s="96">
        <f>1+1+1+1</f>
        <v>4</v>
      </c>
      <c r="K72" s="77">
        <f>10714.2+2747.14+2138.07</f>
        <v>15599.41</v>
      </c>
      <c r="L72" s="77">
        <f>10714.2+2747.14</f>
        <v>13461.34</v>
      </c>
      <c r="M72" s="78">
        <f>K72-L72</f>
        <v>2138.0699999999997</v>
      </c>
      <c r="N72" s="100">
        <f>4+3+1+1+2+3+1</f>
        <v>15</v>
      </c>
      <c r="O72" s="81">
        <f>5977.15+48296.91+7596.86+1061.83+8902.9+6856.31</f>
        <v>78691.960000000006</v>
      </c>
      <c r="P72" s="81">
        <f>5977.15+48296.91+7596.86+1061.83+8902.9</f>
        <v>71835.650000000009</v>
      </c>
      <c r="Q72" s="188">
        <f t="shared" si="2"/>
        <v>6856.3099999999977</v>
      </c>
      <c r="R72" s="141"/>
    </row>
    <row r="73" spans="1:18" s="13" customFormat="1" ht="15.75" x14ac:dyDescent="0.25">
      <c r="A73" s="10"/>
      <c r="B73" s="62" t="s">
        <v>52</v>
      </c>
      <c r="C73" s="181" t="s">
        <v>17</v>
      </c>
      <c r="D73" s="182"/>
      <c r="E73" s="183" t="s">
        <v>20</v>
      </c>
      <c r="F73" s="73" t="s">
        <v>457</v>
      </c>
      <c r="G73" s="184" t="s">
        <v>114</v>
      </c>
      <c r="H73" s="181">
        <v>8</v>
      </c>
      <c r="I73" s="185">
        <v>2</v>
      </c>
      <c r="J73" s="190">
        <v>2</v>
      </c>
      <c r="K73" s="77">
        <v>1152.5999999999999</v>
      </c>
      <c r="L73" s="77">
        <v>1152.5999999999999</v>
      </c>
      <c r="M73" s="187">
        <f t="shared" si="1"/>
        <v>0</v>
      </c>
      <c r="N73" s="100">
        <v>18</v>
      </c>
      <c r="O73" s="186">
        <v>27349.86</v>
      </c>
      <c r="P73" s="186">
        <v>27349.86</v>
      </c>
      <c r="Q73" s="188">
        <f t="shared" si="2"/>
        <v>0</v>
      </c>
    </row>
    <row r="74" spans="1:18" s="13" customFormat="1" ht="15.75" x14ac:dyDescent="0.25">
      <c r="A74" s="10"/>
      <c r="B74" s="27" t="s">
        <v>53</v>
      </c>
      <c r="C74" s="181" t="s">
        <v>17</v>
      </c>
      <c r="D74" s="182"/>
      <c r="E74" s="183" t="s">
        <v>20</v>
      </c>
      <c r="F74" s="73" t="s">
        <v>353</v>
      </c>
      <c r="G74" s="74" t="s">
        <v>112</v>
      </c>
      <c r="H74" s="75">
        <v>9</v>
      </c>
      <c r="I74" s="76">
        <v>6</v>
      </c>
      <c r="J74" s="96">
        <f>2+2+2</f>
        <v>6</v>
      </c>
      <c r="K74" s="77">
        <f>3655.66+6862.24+2535.72</f>
        <v>13053.619999999999</v>
      </c>
      <c r="L74" s="77">
        <f>3655.66+6862.24</f>
        <v>10517.9</v>
      </c>
      <c r="M74" s="78">
        <f t="shared" si="1"/>
        <v>2535.7199999999993</v>
      </c>
      <c r="N74" s="100">
        <f>1+2+2+1+1</f>
        <v>7</v>
      </c>
      <c r="O74" s="81">
        <f>1743.3+3921.71+422.62+5626.45</f>
        <v>11714.08</v>
      </c>
      <c r="P74" s="81">
        <f>422.62+1743.3+3921.71</f>
        <v>6087.63</v>
      </c>
      <c r="Q74" s="188">
        <f t="shared" si="2"/>
        <v>5626.45</v>
      </c>
      <c r="R74" s="141"/>
    </row>
    <row r="75" spans="1:18" s="13" customFormat="1" ht="15.75" x14ac:dyDescent="0.25">
      <c r="A75" s="10"/>
      <c r="B75" s="27" t="s">
        <v>149</v>
      </c>
      <c r="C75" s="181" t="s">
        <v>17</v>
      </c>
      <c r="D75" s="182"/>
      <c r="E75" s="183" t="s">
        <v>383</v>
      </c>
      <c r="F75" s="73" t="s">
        <v>354</v>
      </c>
      <c r="G75" s="74" t="s">
        <v>112</v>
      </c>
      <c r="H75" s="75">
        <v>32</v>
      </c>
      <c r="I75" s="76"/>
      <c r="J75" s="96"/>
      <c r="K75" s="77"/>
      <c r="L75" s="77"/>
      <c r="M75" s="78">
        <f t="shared" si="1"/>
        <v>0</v>
      </c>
      <c r="N75" s="100">
        <f>2+2</f>
        <v>4</v>
      </c>
      <c r="O75" s="81">
        <f>3676.8+3431.65</f>
        <v>7108.4500000000007</v>
      </c>
      <c r="P75" s="81">
        <f>3676.8+3431.65</f>
        <v>7108.4500000000007</v>
      </c>
      <c r="Q75" s="79">
        <f t="shared" si="2"/>
        <v>0</v>
      </c>
      <c r="R75" s="141"/>
    </row>
    <row r="76" spans="1:18" s="13" customFormat="1" ht="15.75" x14ac:dyDescent="0.25">
      <c r="A76" s="10"/>
      <c r="B76" s="27" t="s">
        <v>149</v>
      </c>
      <c r="C76" s="181" t="s">
        <v>17</v>
      </c>
      <c r="D76" s="182"/>
      <c r="E76" s="183" t="s">
        <v>383</v>
      </c>
      <c r="F76" s="73" t="s">
        <v>438</v>
      </c>
      <c r="G76" s="184" t="s">
        <v>118</v>
      </c>
      <c r="H76" s="181">
        <v>7</v>
      </c>
      <c r="I76" s="192">
        <v>1</v>
      </c>
      <c r="J76" s="190">
        <v>1</v>
      </c>
      <c r="K76" s="193"/>
      <c r="L76" s="193"/>
      <c r="M76" s="78">
        <f t="shared" si="1"/>
        <v>0</v>
      </c>
      <c r="N76" s="114">
        <v>7</v>
      </c>
      <c r="O76" s="186">
        <v>9835.52</v>
      </c>
      <c r="P76" s="186">
        <v>9835.52</v>
      </c>
      <c r="Q76" s="188">
        <f t="shared" si="2"/>
        <v>0</v>
      </c>
    </row>
    <row r="77" spans="1:18" s="13" customFormat="1" ht="15.75" x14ac:dyDescent="0.25">
      <c r="A77" s="10"/>
      <c r="B77" s="62" t="s">
        <v>107</v>
      </c>
      <c r="C77" s="181" t="s">
        <v>17</v>
      </c>
      <c r="D77" s="182"/>
      <c r="E77" s="194" t="s">
        <v>20</v>
      </c>
      <c r="F77" s="73" t="s">
        <v>355</v>
      </c>
      <c r="G77" s="74" t="s">
        <v>112</v>
      </c>
      <c r="H77" s="75">
        <v>10</v>
      </c>
      <c r="I77" s="76">
        <v>2</v>
      </c>
      <c r="J77" s="96">
        <f>1+3</f>
        <v>4</v>
      </c>
      <c r="K77" s="77">
        <f>666.63+7071.2+5333.38+13316.37</f>
        <v>26387.58</v>
      </c>
      <c r="L77" s="77">
        <f>666.63+7071.2+5333.38+13316.37</f>
        <v>26387.58</v>
      </c>
      <c r="M77" s="78">
        <f t="shared" si="1"/>
        <v>0</v>
      </c>
      <c r="N77" s="100">
        <f>2+6+1+1</f>
        <v>10</v>
      </c>
      <c r="O77" s="81">
        <f>7612.92+18804.48+9163.33+3260.98+6297.63</f>
        <v>45139.340000000004</v>
      </c>
      <c r="P77" s="81">
        <f>7612.92+18804.48+9163.33+3260.98+6297.63</f>
        <v>45139.340000000004</v>
      </c>
      <c r="Q77" s="79">
        <f t="shared" si="2"/>
        <v>0</v>
      </c>
      <c r="R77" s="141"/>
    </row>
    <row r="78" spans="1:18" s="13" customFormat="1" ht="15.75" x14ac:dyDescent="0.25">
      <c r="A78" s="10"/>
      <c r="B78" s="30" t="s">
        <v>54</v>
      </c>
      <c r="C78" s="181" t="s">
        <v>17</v>
      </c>
      <c r="D78" s="182"/>
      <c r="E78" s="194" t="s">
        <v>20</v>
      </c>
      <c r="F78" s="73" t="s">
        <v>356</v>
      </c>
      <c r="G78" s="74" t="s">
        <v>112</v>
      </c>
      <c r="H78" s="75"/>
      <c r="I78" s="76"/>
      <c r="J78" s="96"/>
      <c r="K78" s="77"/>
      <c r="L78" s="77"/>
      <c r="M78" s="78">
        <f t="shared" si="1"/>
        <v>0</v>
      </c>
      <c r="N78" s="100">
        <f>4+1+1</f>
        <v>6</v>
      </c>
      <c r="O78" s="81">
        <f>17895.28+17443.73+5473.41</f>
        <v>40812.42</v>
      </c>
      <c r="P78" s="81">
        <f>17895.28+17443.73+5473.41</f>
        <v>40812.42</v>
      </c>
      <c r="Q78" s="79">
        <f t="shared" si="2"/>
        <v>0</v>
      </c>
      <c r="R78" s="141"/>
    </row>
    <row r="79" spans="1:18" s="13" customFormat="1" ht="30" x14ac:dyDescent="0.25">
      <c r="A79" s="10"/>
      <c r="B79" s="27" t="s">
        <v>55</v>
      </c>
      <c r="C79" s="181" t="s">
        <v>304</v>
      </c>
      <c r="D79" s="182" t="s">
        <v>387</v>
      </c>
      <c r="E79" s="183" t="s">
        <v>20</v>
      </c>
      <c r="F79" s="73" t="s">
        <v>357</v>
      </c>
      <c r="G79" s="74" t="s">
        <v>112</v>
      </c>
      <c r="H79" s="75">
        <v>15</v>
      </c>
      <c r="I79" s="76">
        <v>10</v>
      </c>
      <c r="J79" s="96">
        <f>3+1+1</f>
        <v>5</v>
      </c>
      <c r="K79" s="77">
        <f>1267.86+6667.8+5756.15+1180.38</f>
        <v>14872.189999999999</v>
      </c>
      <c r="L79" s="77">
        <f>1267.86+6667.8+5756.15</f>
        <v>13691.81</v>
      </c>
      <c r="M79" s="78">
        <f t="shared" si="1"/>
        <v>1180.3799999999992</v>
      </c>
      <c r="N79" s="100">
        <f>2+1+2+2+2+1</f>
        <v>10</v>
      </c>
      <c r="O79" s="81">
        <f>34854.19+2113.1+6430.67+5463.42+39145.22+2535.72+5132.44</f>
        <v>95674.760000000009</v>
      </c>
      <c r="P79" s="81">
        <f>34854.19+2113.1+6430.67+5463.42+39145.22+2535.72</f>
        <v>90542.32</v>
      </c>
      <c r="Q79" s="188">
        <f t="shared" si="2"/>
        <v>5132.4400000000023</v>
      </c>
      <c r="R79" s="141"/>
    </row>
    <row r="80" spans="1:18" s="13" customFormat="1" ht="30" x14ac:dyDescent="0.25">
      <c r="A80" s="10"/>
      <c r="B80" s="62" t="s">
        <v>56</v>
      </c>
      <c r="C80" s="181" t="s">
        <v>17</v>
      </c>
      <c r="D80" s="182" t="s">
        <v>386</v>
      </c>
      <c r="E80" s="183" t="s">
        <v>18</v>
      </c>
      <c r="F80" s="73" t="s">
        <v>358</v>
      </c>
      <c r="G80" s="74" t="s">
        <v>112</v>
      </c>
      <c r="H80" s="75">
        <v>6</v>
      </c>
      <c r="I80" s="76">
        <v>4</v>
      </c>
      <c r="J80" s="96">
        <f>1+1+2</f>
        <v>4</v>
      </c>
      <c r="K80" s="77">
        <f>678.11+678.11+4865.7</f>
        <v>6221.92</v>
      </c>
      <c r="L80" s="77">
        <f>678.11+678.11</f>
        <v>1356.22</v>
      </c>
      <c r="M80" s="78">
        <f t="shared" si="1"/>
        <v>4865.7</v>
      </c>
      <c r="N80" s="100">
        <f>1</f>
        <v>1</v>
      </c>
      <c r="O80" s="81">
        <f>4395.5</f>
        <v>4395.5</v>
      </c>
      <c r="P80" s="81">
        <f>4395.5</f>
        <v>4395.5</v>
      </c>
      <c r="Q80" s="79">
        <f t="shared" si="2"/>
        <v>0</v>
      </c>
      <c r="R80" s="141"/>
    </row>
    <row r="81" spans="1:18" s="13" customFormat="1" ht="30" x14ac:dyDescent="0.25">
      <c r="A81" s="10"/>
      <c r="B81" s="62" t="s">
        <v>56</v>
      </c>
      <c r="C81" s="181" t="s">
        <v>304</v>
      </c>
      <c r="D81" s="182" t="s">
        <v>386</v>
      </c>
      <c r="E81" s="183" t="s">
        <v>18</v>
      </c>
      <c r="F81" s="73" t="s">
        <v>476</v>
      </c>
      <c r="G81" s="184" t="s">
        <v>113</v>
      </c>
      <c r="H81" s="181">
        <v>6</v>
      </c>
      <c r="I81" s="185">
        <v>3</v>
      </c>
      <c r="J81" s="96">
        <v>3</v>
      </c>
      <c r="K81" s="77">
        <v>4745</v>
      </c>
      <c r="L81" s="77">
        <v>4745</v>
      </c>
      <c r="M81" s="78">
        <f t="shared" si="1"/>
        <v>0</v>
      </c>
      <c r="N81" s="100"/>
      <c r="O81" s="186">
        <v>7612</v>
      </c>
      <c r="P81" s="186">
        <v>7612</v>
      </c>
      <c r="Q81" s="188">
        <f t="shared" ref="Q81:Q149" si="3">O81-P81</f>
        <v>0</v>
      </c>
    </row>
    <row r="82" spans="1:18" s="13" customFormat="1" ht="15.75" x14ac:dyDescent="0.25">
      <c r="A82" s="10"/>
      <c r="B82" s="62" t="s">
        <v>156</v>
      </c>
      <c r="C82" s="181" t="s">
        <v>304</v>
      </c>
      <c r="D82" s="182"/>
      <c r="E82" s="183" t="s">
        <v>20</v>
      </c>
      <c r="F82" s="73" t="s">
        <v>359</v>
      </c>
      <c r="G82" s="74" t="s">
        <v>112</v>
      </c>
      <c r="H82" s="75">
        <v>3</v>
      </c>
      <c r="I82" s="76">
        <v>2</v>
      </c>
      <c r="J82" s="96">
        <f>2</f>
        <v>2</v>
      </c>
      <c r="K82" s="77">
        <f>1690.48</f>
        <v>1690.48</v>
      </c>
      <c r="L82" s="77">
        <f>1690.48</f>
        <v>1690.48</v>
      </c>
      <c r="M82" s="78">
        <f t="shared" si="1"/>
        <v>0</v>
      </c>
      <c r="N82" s="100">
        <f>3+1</f>
        <v>4</v>
      </c>
      <c r="O82" s="81">
        <f>5488.54+2398.37+422.62</f>
        <v>8309.5300000000007</v>
      </c>
      <c r="P82" s="81">
        <f>5488.54+2398.37+422.62</f>
        <v>8309.5300000000007</v>
      </c>
      <c r="Q82" s="79">
        <f t="shared" si="3"/>
        <v>0</v>
      </c>
      <c r="R82" s="141"/>
    </row>
    <row r="83" spans="1:18" s="15" customFormat="1" ht="15.75" x14ac:dyDescent="0.25">
      <c r="A83" s="14"/>
      <c r="B83" s="80" t="s">
        <v>57</v>
      </c>
      <c r="C83" s="181" t="s">
        <v>17</v>
      </c>
      <c r="D83" s="182"/>
      <c r="E83" s="183" t="s">
        <v>20</v>
      </c>
      <c r="F83" s="73" t="s">
        <v>360</v>
      </c>
      <c r="G83" s="74" t="s">
        <v>112</v>
      </c>
      <c r="H83" s="75">
        <v>6</v>
      </c>
      <c r="I83" s="76">
        <v>6</v>
      </c>
      <c r="J83" s="96">
        <f>2+1+1+2</f>
        <v>6</v>
      </c>
      <c r="K83" s="77">
        <f>806.82+1728.9+422.62+2958.34</f>
        <v>5916.68</v>
      </c>
      <c r="L83" s="77">
        <f>806.82+1728.9+422.62</f>
        <v>2958.34</v>
      </c>
      <c r="M83" s="78">
        <f t="shared" si="1"/>
        <v>2958.34</v>
      </c>
      <c r="N83" s="100">
        <f>2+1</f>
        <v>3</v>
      </c>
      <c r="O83" s="81">
        <f>2745.3</f>
        <v>2745.3</v>
      </c>
      <c r="P83" s="81">
        <f>2745.3</f>
        <v>2745.3</v>
      </c>
      <c r="Q83" s="188">
        <f t="shared" si="3"/>
        <v>0</v>
      </c>
      <c r="R83" s="141"/>
    </row>
    <row r="84" spans="1:18" s="15" customFormat="1" ht="15.75" x14ac:dyDescent="0.25">
      <c r="A84" s="14"/>
      <c r="B84" s="80" t="s">
        <v>57</v>
      </c>
      <c r="C84" s="181" t="s">
        <v>17</v>
      </c>
      <c r="D84" s="182"/>
      <c r="E84" s="183" t="s">
        <v>20</v>
      </c>
      <c r="F84" s="73" t="s">
        <v>458</v>
      </c>
      <c r="G84" s="184" t="s">
        <v>114</v>
      </c>
      <c r="H84" s="181">
        <v>30</v>
      </c>
      <c r="I84" s="185">
        <v>3</v>
      </c>
      <c r="J84" s="190">
        <v>3</v>
      </c>
      <c r="K84" s="77">
        <v>3765.16</v>
      </c>
      <c r="L84" s="77">
        <v>3765.16</v>
      </c>
      <c r="M84" s="187">
        <f t="shared" si="1"/>
        <v>0</v>
      </c>
      <c r="N84" s="101">
        <v>16</v>
      </c>
      <c r="O84" s="186">
        <v>36726.400000000001</v>
      </c>
      <c r="P84" s="186">
        <v>35381.699999999997</v>
      </c>
      <c r="Q84" s="188">
        <f t="shared" si="3"/>
        <v>1344.7000000000044</v>
      </c>
    </row>
    <row r="85" spans="1:18" s="13" customFormat="1" ht="15.75" x14ac:dyDescent="0.25">
      <c r="A85" s="10"/>
      <c r="B85" s="62" t="s">
        <v>58</v>
      </c>
      <c r="C85" s="181" t="s">
        <v>17</v>
      </c>
      <c r="D85" s="182"/>
      <c r="E85" s="183" t="s">
        <v>20</v>
      </c>
      <c r="F85" s="73" t="s">
        <v>361</v>
      </c>
      <c r="G85" s="74" t="s">
        <v>112</v>
      </c>
      <c r="H85" s="75">
        <v>7</v>
      </c>
      <c r="I85" s="76">
        <v>4</v>
      </c>
      <c r="J85" s="96">
        <f>1+2+1</f>
        <v>4</v>
      </c>
      <c r="K85" s="77">
        <f>1892.47+3118.94+422.62</f>
        <v>5434.03</v>
      </c>
      <c r="L85" s="77">
        <f>1892.47+3118.94</f>
        <v>5011.41</v>
      </c>
      <c r="M85" s="78">
        <f>K85-L85</f>
        <v>422.61999999999989</v>
      </c>
      <c r="N85" s="100">
        <f>1+1+3</f>
        <v>5</v>
      </c>
      <c r="O85" s="81">
        <f>9196.24+2480.78+2954.11+15214.32</f>
        <v>29845.45</v>
      </c>
      <c r="P85" s="81">
        <f>9196.24+2480.78+2954.11+15214.32</f>
        <v>29845.45</v>
      </c>
      <c r="Q85" s="188">
        <f t="shared" si="3"/>
        <v>0</v>
      </c>
      <c r="R85" s="141"/>
    </row>
    <row r="86" spans="1:18" s="13" customFormat="1" ht="15.75" x14ac:dyDescent="0.25">
      <c r="A86" s="10"/>
      <c r="B86" s="62" t="s">
        <v>58</v>
      </c>
      <c r="C86" s="181" t="s">
        <v>17</v>
      </c>
      <c r="D86" s="182"/>
      <c r="E86" s="183" t="s">
        <v>20</v>
      </c>
      <c r="F86" s="73" t="s">
        <v>478</v>
      </c>
      <c r="G86" s="184" t="s">
        <v>114</v>
      </c>
      <c r="H86" s="181">
        <v>15</v>
      </c>
      <c r="I86" s="185">
        <v>2</v>
      </c>
      <c r="J86" s="190">
        <v>2</v>
      </c>
      <c r="K86" s="77"/>
      <c r="L86" s="77"/>
      <c r="M86" s="187">
        <f t="shared" ref="M86:M160" si="4">K86-L86</f>
        <v>0</v>
      </c>
      <c r="N86" s="100">
        <v>21</v>
      </c>
      <c r="O86" s="186">
        <v>54215.77</v>
      </c>
      <c r="P86" s="186">
        <v>54215.77</v>
      </c>
      <c r="Q86" s="188">
        <f t="shared" si="3"/>
        <v>0</v>
      </c>
    </row>
    <row r="87" spans="1:18" s="13" customFormat="1" ht="15.75" x14ac:dyDescent="0.25">
      <c r="A87" s="10"/>
      <c r="B87" s="62" t="s">
        <v>59</v>
      </c>
      <c r="C87" s="181" t="s">
        <v>17</v>
      </c>
      <c r="D87" s="182"/>
      <c r="E87" s="183" t="s">
        <v>20</v>
      </c>
      <c r="F87" s="73" t="s">
        <v>362</v>
      </c>
      <c r="G87" s="74" t="s">
        <v>112</v>
      </c>
      <c r="H87" s="75">
        <v>11</v>
      </c>
      <c r="I87" s="76">
        <v>8</v>
      </c>
      <c r="J87" s="96">
        <f>1+1+1+3+1+1</f>
        <v>8</v>
      </c>
      <c r="K87" s="77">
        <f>403.41+1431.16+845.24+998.92</f>
        <v>3678.7300000000005</v>
      </c>
      <c r="L87" s="77">
        <f>403.41+1431.16+845.24</f>
        <v>2679.8100000000004</v>
      </c>
      <c r="M87" s="78">
        <f>K87-L87</f>
        <v>998.92000000000007</v>
      </c>
      <c r="N87" s="100">
        <f>1+2+2+1+1+1</f>
        <v>8</v>
      </c>
      <c r="O87" s="81">
        <f>6646.05+1267.86+979.71</f>
        <v>8893.619999999999</v>
      </c>
      <c r="P87" s="81">
        <f>2353.23+5561.68+978.71</f>
        <v>8893.619999999999</v>
      </c>
      <c r="Q87" s="188">
        <f t="shared" si="3"/>
        <v>0</v>
      </c>
      <c r="R87" s="141"/>
    </row>
    <row r="88" spans="1:18" s="13" customFormat="1" ht="15.75" x14ac:dyDescent="0.25">
      <c r="A88" s="10"/>
      <c r="B88" s="62" t="s">
        <v>59</v>
      </c>
      <c r="C88" s="181" t="s">
        <v>17</v>
      </c>
      <c r="D88" s="182"/>
      <c r="E88" s="183" t="s">
        <v>20</v>
      </c>
      <c r="F88" s="73" t="s">
        <v>128</v>
      </c>
      <c r="G88" s="184" t="s">
        <v>114</v>
      </c>
      <c r="H88" s="181"/>
      <c r="I88" s="185"/>
      <c r="J88" s="190"/>
      <c r="K88" s="77"/>
      <c r="L88" s="77"/>
      <c r="M88" s="187">
        <f t="shared" si="4"/>
        <v>0</v>
      </c>
      <c r="N88" s="100"/>
      <c r="O88" s="186"/>
      <c r="P88" s="186"/>
      <c r="Q88" s="188">
        <f t="shared" si="3"/>
        <v>0</v>
      </c>
    </row>
    <row r="89" spans="1:18" s="13" customFormat="1" ht="15.75" x14ac:dyDescent="0.25">
      <c r="A89" s="10"/>
      <c r="B89" s="27" t="s">
        <v>60</v>
      </c>
      <c r="C89" s="181" t="s">
        <v>17</v>
      </c>
      <c r="D89" s="182"/>
      <c r="E89" s="183" t="s">
        <v>20</v>
      </c>
      <c r="F89" s="73" t="s">
        <v>364</v>
      </c>
      <c r="G89" s="74" t="s">
        <v>112</v>
      </c>
      <c r="H89" s="75">
        <v>16</v>
      </c>
      <c r="I89" s="76">
        <v>7</v>
      </c>
      <c r="J89" s="96">
        <f>1+1+1+4</f>
        <v>7</v>
      </c>
      <c r="K89" s="77">
        <f>634.93+893.27</f>
        <v>1528.1999999999998</v>
      </c>
      <c r="L89" s="77">
        <f>634.93+893.27</f>
        <v>1528.1999999999998</v>
      </c>
      <c r="M89" s="78">
        <f>K89-L89</f>
        <v>0</v>
      </c>
      <c r="N89" s="100">
        <f>4+1+3+1</f>
        <v>9</v>
      </c>
      <c r="O89" s="81">
        <f>15124.53+2065.75+8492.52</f>
        <v>25682.799999999999</v>
      </c>
      <c r="P89" s="81">
        <f>15124.53+2065.75+8492.52</f>
        <v>25682.799999999999</v>
      </c>
      <c r="Q89" s="188">
        <f t="shared" si="3"/>
        <v>0</v>
      </c>
      <c r="R89" s="141"/>
    </row>
    <row r="90" spans="1:18" s="13" customFormat="1" ht="15.75" x14ac:dyDescent="0.25">
      <c r="A90" s="10"/>
      <c r="B90" s="27" t="s">
        <v>60</v>
      </c>
      <c r="C90" s="181" t="s">
        <v>17</v>
      </c>
      <c r="D90" s="182"/>
      <c r="E90" s="183" t="s">
        <v>20</v>
      </c>
      <c r="F90" s="73" t="s">
        <v>479</v>
      </c>
      <c r="G90" s="184" t="s">
        <v>114</v>
      </c>
      <c r="H90" s="181">
        <v>7</v>
      </c>
      <c r="I90" s="185">
        <v>1</v>
      </c>
      <c r="J90" s="190">
        <v>1</v>
      </c>
      <c r="K90" s="77"/>
      <c r="L90" s="77"/>
      <c r="M90" s="187">
        <f t="shared" si="4"/>
        <v>0</v>
      </c>
      <c r="N90" s="100">
        <v>7</v>
      </c>
      <c r="O90" s="186">
        <v>10293.5</v>
      </c>
      <c r="P90" s="186">
        <v>10293.5</v>
      </c>
      <c r="Q90" s="188">
        <f t="shared" si="3"/>
        <v>0</v>
      </c>
    </row>
    <row r="91" spans="1:18" s="13" customFormat="1" ht="15.75" x14ac:dyDescent="0.25">
      <c r="A91" s="10"/>
      <c r="B91" s="27" t="s">
        <v>493</v>
      </c>
      <c r="C91" s="181" t="s">
        <v>17</v>
      </c>
      <c r="D91" s="182"/>
      <c r="E91" s="183" t="s">
        <v>20</v>
      </c>
      <c r="F91" s="73" t="s">
        <v>496</v>
      </c>
      <c r="G91" s="184" t="s">
        <v>112</v>
      </c>
      <c r="H91" s="181">
        <v>9</v>
      </c>
      <c r="I91" s="185">
        <v>5</v>
      </c>
      <c r="J91" s="190">
        <f>3+2+1</f>
        <v>6</v>
      </c>
      <c r="K91" s="77">
        <f>3387.04+3467.41+1267.86</f>
        <v>8122.3099999999995</v>
      </c>
      <c r="L91" s="77">
        <f>3387.04+3467.41</f>
        <v>6854.45</v>
      </c>
      <c r="M91" s="78">
        <f t="shared" si="4"/>
        <v>1267.8599999999997</v>
      </c>
      <c r="N91" s="100"/>
      <c r="O91" s="186"/>
      <c r="P91" s="186"/>
      <c r="Q91" s="79"/>
    </row>
    <row r="92" spans="1:18" s="15" customFormat="1" ht="15.75" x14ac:dyDescent="0.25">
      <c r="A92" s="14"/>
      <c r="B92" s="28" t="s">
        <v>61</v>
      </c>
      <c r="C92" s="181" t="s">
        <v>17</v>
      </c>
      <c r="D92" s="182"/>
      <c r="E92" s="183" t="s">
        <v>20</v>
      </c>
      <c r="F92" s="73" t="s">
        <v>363</v>
      </c>
      <c r="G92" s="74" t="s">
        <v>112</v>
      </c>
      <c r="H92" s="75"/>
      <c r="I92" s="76"/>
      <c r="J92" s="96"/>
      <c r="K92" s="77"/>
      <c r="L92" s="77"/>
      <c r="M92" s="78">
        <f t="shared" si="4"/>
        <v>0</v>
      </c>
      <c r="N92" s="100"/>
      <c r="O92" s="81"/>
      <c r="P92" s="81"/>
      <c r="Q92" s="188">
        <f t="shared" si="3"/>
        <v>0</v>
      </c>
      <c r="R92" s="141"/>
    </row>
    <row r="93" spans="1:18" s="15" customFormat="1" ht="15.75" x14ac:dyDescent="0.25">
      <c r="A93" s="14"/>
      <c r="B93" s="28" t="s">
        <v>61</v>
      </c>
      <c r="C93" s="181" t="s">
        <v>17</v>
      </c>
      <c r="D93" s="182"/>
      <c r="E93" s="183" t="s">
        <v>20</v>
      </c>
      <c r="F93" s="73" t="s">
        <v>121</v>
      </c>
      <c r="G93" s="184" t="s">
        <v>114</v>
      </c>
      <c r="H93" s="181"/>
      <c r="I93" s="185"/>
      <c r="J93" s="190"/>
      <c r="K93" s="77"/>
      <c r="L93" s="77"/>
      <c r="M93" s="187">
        <f t="shared" si="4"/>
        <v>0</v>
      </c>
      <c r="N93" s="101"/>
      <c r="O93" s="186"/>
      <c r="P93" s="186"/>
      <c r="Q93" s="188">
        <f t="shared" si="3"/>
        <v>0</v>
      </c>
    </row>
    <row r="94" spans="1:18" s="15" customFormat="1" ht="15.75" x14ac:dyDescent="0.25">
      <c r="A94" s="14"/>
      <c r="B94" s="200" t="s">
        <v>306</v>
      </c>
      <c r="C94" s="181" t="s">
        <v>17</v>
      </c>
      <c r="D94" s="182"/>
      <c r="E94" s="183" t="s">
        <v>35</v>
      </c>
      <c r="F94" s="73" t="s">
        <v>365</v>
      </c>
      <c r="G94" s="184" t="s">
        <v>112</v>
      </c>
      <c r="H94" s="181">
        <v>25</v>
      </c>
      <c r="I94" s="185">
        <v>16</v>
      </c>
      <c r="J94" s="190">
        <f>1+2+1+3+3+2+3+1</f>
        <v>16</v>
      </c>
      <c r="K94" s="77">
        <f>1045.98+2658.7+35696.14+4892.46+1024.04+2384.53+10793.24+5320.79</f>
        <v>63815.88</v>
      </c>
      <c r="L94" s="77">
        <f>1045.98+2658.7+35696.14+4892.46+1024.04+2384.53+10793.24+5320.79</f>
        <v>63815.88</v>
      </c>
      <c r="M94" s="78">
        <f>K94-L94</f>
        <v>0</v>
      </c>
      <c r="N94" s="114">
        <f>7+2+2+2+1+1</f>
        <v>15</v>
      </c>
      <c r="O94" s="186">
        <f>2313.84+6162.57+2330.32+1690.48+3706.14+3107.65</f>
        <v>19311</v>
      </c>
      <c r="P94" s="186">
        <f>2313.84+6162.57+2330.32+1690.48+3706.14+3107.65</f>
        <v>19311</v>
      </c>
      <c r="Q94" s="188">
        <f t="shared" si="3"/>
        <v>0</v>
      </c>
      <c r="R94" s="141"/>
    </row>
    <row r="95" spans="1:18" s="13" customFormat="1" ht="15.75" x14ac:dyDescent="0.25">
      <c r="A95" s="10"/>
      <c r="B95" s="62" t="s">
        <v>306</v>
      </c>
      <c r="C95" s="181" t="s">
        <v>17</v>
      </c>
      <c r="D95" s="182"/>
      <c r="E95" s="183" t="s">
        <v>27</v>
      </c>
      <c r="F95" s="73" t="s">
        <v>421</v>
      </c>
      <c r="G95" s="184" t="s">
        <v>117</v>
      </c>
      <c r="H95" s="181">
        <v>2</v>
      </c>
      <c r="I95" s="185"/>
      <c r="J95" s="96"/>
      <c r="K95" s="77"/>
      <c r="L95" s="77"/>
      <c r="M95" s="78">
        <f>K95-L95</f>
        <v>0</v>
      </c>
      <c r="N95" s="100"/>
      <c r="O95" s="77"/>
      <c r="P95" s="77"/>
      <c r="Q95" s="79">
        <f>O95-P95</f>
        <v>0</v>
      </c>
    </row>
    <row r="96" spans="1:18" s="13" customFormat="1" ht="15.75" x14ac:dyDescent="0.25">
      <c r="A96" s="10"/>
      <c r="B96" s="27" t="s">
        <v>62</v>
      </c>
      <c r="C96" s="181" t="s">
        <v>17</v>
      </c>
      <c r="D96" s="182"/>
      <c r="E96" s="183" t="s">
        <v>35</v>
      </c>
      <c r="F96" s="73" t="s">
        <v>366</v>
      </c>
      <c r="G96" s="74" t="s">
        <v>112</v>
      </c>
      <c r="H96" s="75">
        <v>16</v>
      </c>
      <c r="I96" s="76">
        <v>9</v>
      </c>
      <c r="J96" s="96">
        <f>1+3+1+1+2</f>
        <v>8</v>
      </c>
      <c r="K96" s="77">
        <f>3613.4+1872.01+1394.65+3518.32</f>
        <v>10398.379999999999</v>
      </c>
      <c r="L96" s="77">
        <f>3613.4+1872.01+1394.65</f>
        <v>6880.0599999999995</v>
      </c>
      <c r="M96" s="78">
        <f>K96-L96</f>
        <v>3518.3199999999997</v>
      </c>
      <c r="N96" s="100">
        <f>6+2+1+2+1+3</f>
        <v>15</v>
      </c>
      <c r="O96" s="81">
        <f>19511.33+1270.93+3979.74+2500.85+8530.18+845.24+12787.47</f>
        <v>49425.74</v>
      </c>
      <c r="P96" s="81">
        <f>19511.33+1270.93+3979.74+2500.85+8530.18+845.24</f>
        <v>36638.269999999997</v>
      </c>
      <c r="Q96" s="79">
        <f t="shared" si="3"/>
        <v>12787.470000000001</v>
      </c>
      <c r="R96" s="141"/>
    </row>
    <row r="97" spans="1:18" s="13" customFormat="1" ht="15.75" x14ac:dyDescent="0.25">
      <c r="A97" s="10"/>
      <c r="B97" s="27" t="s">
        <v>62</v>
      </c>
      <c r="C97" s="181" t="s">
        <v>17</v>
      </c>
      <c r="D97" s="182"/>
      <c r="E97" s="183" t="s">
        <v>35</v>
      </c>
      <c r="F97" s="73" t="s">
        <v>428</v>
      </c>
      <c r="G97" s="184" t="s">
        <v>117</v>
      </c>
      <c r="H97" s="181">
        <v>2</v>
      </c>
      <c r="I97" s="185"/>
      <c r="J97" s="96"/>
      <c r="K97" s="77"/>
      <c r="L97" s="77"/>
      <c r="M97" s="78">
        <f t="shared" si="4"/>
        <v>0</v>
      </c>
      <c r="N97" s="100">
        <v>9</v>
      </c>
      <c r="O97" s="186">
        <v>22788.1</v>
      </c>
      <c r="P97" s="186">
        <v>22788.1</v>
      </c>
      <c r="Q97" s="188">
        <f t="shared" si="3"/>
        <v>0</v>
      </c>
    </row>
    <row r="98" spans="1:18" s="13" customFormat="1" ht="15.75" x14ac:dyDescent="0.25">
      <c r="A98" s="10"/>
      <c r="B98" s="27" t="s">
        <v>63</v>
      </c>
      <c r="C98" s="181" t="s">
        <v>64</v>
      </c>
      <c r="D98" s="182" t="s">
        <v>65</v>
      </c>
      <c r="E98" s="183" t="s">
        <v>20</v>
      </c>
      <c r="F98" s="73" t="s">
        <v>480</v>
      </c>
      <c r="G98" s="184" t="s">
        <v>114</v>
      </c>
      <c r="H98" s="181"/>
      <c r="I98" s="185"/>
      <c r="J98" s="190"/>
      <c r="K98" s="77"/>
      <c r="L98" s="77"/>
      <c r="M98" s="187">
        <f t="shared" si="4"/>
        <v>0</v>
      </c>
      <c r="N98" s="100"/>
      <c r="O98" s="186"/>
      <c r="P98" s="186"/>
      <c r="Q98" s="188">
        <f t="shared" si="3"/>
        <v>0</v>
      </c>
    </row>
    <row r="99" spans="1:18" s="13" customFormat="1" ht="15.75" x14ac:dyDescent="0.25">
      <c r="A99" s="10"/>
      <c r="B99" s="27" t="s">
        <v>155</v>
      </c>
      <c r="C99" s="181" t="s">
        <v>17</v>
      </c>
      <c r="D99" s="182"/>
      <c r="E99" s="183" t="s">
        <v>20</v>
      </c>
      <c r="F99" s="73" t="s">
        <v>367</v>
      </c>
      <c r="G99" s="74" t="s">
        <v>112</v>
      </c>
      <c r="H99" s="75">
        <v>9</v>
      </c>
      <c r="I99" s="82">
        <v>5</v>
      </c>
      <c r="J99" s="96">
        <f>1+2+3</f>
        <v>6</v>
      </c>
      <c r="K99" s="77">
        <f>3117.56+2266.78+5307.72</f>
        <v>10692.060000000001</v>
      </c>
      <c r="L99" s="77">
        <f>3117.56+2266.78</f>
        <v>5384.34</v>
      </c>
      <c r="M99" s="78">
        <f>K99-L99</f>
        <v>5307.7200000000012</v>
      </c>
      <c r="N99" s="100">
        <f>1+1+1</f>
        <v>3</v>
      </c>
      <c r="O99" s="81">
        <f>1798.06+2123.67</f>
        <v>3921.73</v>
      </c>
      <c r="P99" s="81">
        <f>1798.06+2123.67</f>
        <v>3921.73</v>
      </c>
      <c r="Q99" s="188">
        <f t="shared" si="3"/>
        <v>0</v>
      </c>
      <c r="R99" s="141"/>
    </row>
    <row r="100" spans="1:18" s="13" customFormat="1" ht="15.75" x14ac:dyDescent="0.25">
      <c r="A100" s="10"/>
      <c r="B100" s="27" t="s">
        <v>155</v>
      </c>
      <c r="C100" s="181" t="s">
        <v>17</v>
      </c>
      <c r="D100" s="182"/>
      <c r="E100" s="183" t="s">
        <v>20</v>
      </c>
      <c r="F100" s="73" t="s">
        <v>459</v>
      </c>
      <c r="G100" s="184" t="s">
        <v>114</v>
      </c>
      <c r="H100" s="181">
        <v>7</v>
      </c>
      <c r="I100" s="185">
        <v>3</v>
      </c>
      <c r="J100" s="190">
        <v>3</v>
      </c>
      <c r="K100" s="77"/>
      <c r="L100" s="77"/>
      <c r="M100" s="187">
        <f t="shared" si="4"/>
        <v>0</v>
      </c>
      <c r="N100" s="100">
        <v>13</v>
      </c>
      <c r="O100" s="186">
        <v>27266.37</v>
      </c>
      <c r="P100" s="186">
        <v>27266.37</v>
      </c>
      <c r="Q100" s="188">
        <f t="shared" si="3"/>
        <v>0</v>
      </c>
    </row>
    <row r="101" spans="1:18" s="13" customFormat="1" ht="15.75" x14ac:dyDescent="0.25">
      <c r="A101" s="10"/>
      <c r="B101" s="30" t="s">
        <v>66</v>
      </c>
      <c r="C101" s="181" t="s">
        <v>17</v>
      </c>
      <c r="D101" s="182"/>
      <c r="E101" s="183" t="s">
        <v>21</v>
      </c>
      <c r="F101" s="73" t="s">
        <v>368</v>
      </c>
      <c r="G101" s="74" t="s">
        <v>112</v>
      </c>
      <c r="H101" s="75">
        <v>20</v>
      </c>
      <c r="I101" s="76">
        <v>13</v>
      </c>
      <c r="J101" s="96">
        <f>1+3+2+3+2+1+2+1</f>
        <v>15</v>
      </c>
      <c r="K101" s="77">
        <f>1045.98+4309.04+3820.12+1872.01+4253.49+3044.79+1191.19+4942.84</f>
        <v>24479.46</v>
      </c>
      <c r="L101" s="77">
        <f>1045.98+4309.04+3820.12+1872.01+4253.49+3044.79+1191.19</f>
        <v>19536.62</v>
      </c>
      <c r="M101" s="78">
        <f>K101-L101</f>
        <v>4942.84</v>
      </c>
      <c r="N101" s="100">
        <f>6+3+8+7+1+1+1+2+1+1+1+1</f>
        <v>33</v>
      </c>
      <c r="O101" s="81">
        <f>11911.17+23136+18060.17+1977.84+2091.97+19535.65+19124.11+3199.71+4430.07</f>
        <v>103466.69</v>
      </c>
      <c r="P101" s="81">
        <f>11911.17+23136+18060.17+1977.84+2091.97+19535.65+19124.11+3199.71</f>
        <v>99036.62</v>
      </c>
      <c r="Q101" s="188">
        <f t="shared" si="3"/>
        <v>4430.070000000007</v>
      </c>
      <c r="R101" s="141"/>
    </row>
    <row r="102" spans="1:18" s="13" customFormat="1" ht="15.75" x14ac:dyDescent="0.25">
      <c r="A102" s="10"/>
      <c r="B102" s="30" t="s">
        <v>66</v>
      </c>
      <c r="C102" s="181" t="s">
        <v>17</v>
      </c>
      <c r="D102" s="182"/>
      <c r="E102" s="183" t="s">
        <v>21</v>
      </c>
      <c r="F102" s="73" t="s">
        <v>439</v>
      </c>
      <c r="G102" s="184" t="s">
        <v>118</v>
      </c>
      <c r="H102" s="181">
        <v>6</v>
      </c>
      <c r="I102" s="185">
        <v>1</v>
      </c>
      <c r="J102" s="96">
        <v>1</v>
      </c>
      <c r="K102" s="77">
        <v>1152.5999999999999</v>
      </c>
      <c r="L102" s="77">
        <v>1152.5999999999999</v>
      </c>
      <c r="M102" s="187">
        <f t="shared" si="4"/>
        <v>0</v>
      </c>
      <c r="N102" s="100">
        <v>16</v>
      </c>
      <c r="O102" s="186">
        <v>66871.69</v>
      </c>
      <c r="P102" s="186">
        <v>66871.69</v>
      </c>
      <c r="Q102" s="79">
        <f t="shared" si="3"/>
        <v>0</v>
      </c>
    </row>
    <row r="103" spans="1:18" s="13" customFormat="1" ht="15.75" x14ac:dyDescent="0.25">
      <c r="A103" s="10"/>
      <c r="B103" s="62" t="s">
        <v>137</v>
      </c>
      <c r="C103" s="181" t="s">
        <v>17</v>
      </c>
      <c r="D103" s="182"/>
      <c r="E103" s="194" t="s">
        <v>35</v>
      </c>
      <c r="F103" s="73" t="s">
        <v>369</v>
      </c>
      <c r="G103" s="74" t="s">
        <v>112</v>
      </c>
      <c r="H103" s="75">
        <v>25</v>
      </c>
      <c r="I103" s="76">
        <v>13</v>
      </c>
      <c r="J103" s="96">
        <f>3+3+1+4+1</f>
        <v>12</v>
      </c>
      <c r="K103" s="77">
        <f>504.26+845.24+3380.96+422.62+2535.72</f>
        <v>7688.7999999999993</v>
      </c>
      <c r="L103" s="77">
        <f>504.26+845.24+3380.96+422.62</f>
        <v>5153.08</v>
      </c>
      <c r="M103" s="78">
        <f>K103-L103</f>
        <v>2535.7199999999993</v>
      </c>
      <c r="N103" s="100">
        <f>5+1+1+2+1</f>
        <v>10</v>
      </c>
      <c r="O103" s="81">
        <f>2617.36+422.62+3852.18+3380.96+422.62</f>
        <v>10695.74</v>
      </c>
      <c r="P103" s="81">
        <f>2617.36+422.62+3852.18+3380.96</f>
        <v>10273.119999999999</v>
      </c>
      <c r="Q103" s="188">
        <f t="shared" si="3"/>
        <v>422.6200000000008</v>
      </c>
      <c r="R103" s="141"/>
    </row>
    <row r="104" spans="1:18" s="13" customFormat="1" ht="15.75" x14ac:dyDescent="0.25">
      <c r="A104" s="10"/>
      <c r="B104" s="62" t="s">
        <v>137</v>
      </c>
      <c r="C104" s="181" t="s">
        <v>17</v>
      </c>
      <c r="D104" s="182"/>
      <c r="E104" s="194" t="s">
        <v>35</v>
      </c>
      <c r="F104" s="73" t="s">
        <v>429</v>
      </c>
      <c r="G104" s="184" t="s">
        <v>117</v>
      </c>
      <c r="H104" s="181">
        <v>2</v>
      </c>
      <c r="I104" s="185">
        <v>1</v>
      </c>
      <c r="J104" s="190">
        <v>1</v>
      </c>
      <c r="K104" s="193">
        <v>1921</v>
      </c>
      <c r="L104" s="193">
        <v>1921</v>
      </c>
      <c r="M104" s="78">
        <f t="shared" si="4"/>
        <v>0</v>
      </c>
      <c r="N104" s="114">
        <v>2</v>
      </c>
      <c r="O104" s="186">
        <v>10565.5</v>
      </c>
      <c r="P104" s="186">
        <v>10565.5</v>
      </c>
      <c r="Q104" s="79">
        <f t="shared" si="3"/>
        <v>0</v>
      </c>
    </row>
    <row r="105" spans="1:18" s="13" customFormat="1" ht="15.75" x14ac:dyDescent="0.25">
      <c r="A105" s="10"/>
      <c r="B105" s="30" t="s">
        <v>67</v>
      </c>
      <c r="C105" s="181" t="s">
        <v>17</v>
      </c>
      <c r="D105" s="182"/>
      <c r="E105" s="194" t="s">
        <v>21</v>
      </c>
      <c r="F105" s="73" t="s">
        <v>370</v>
      </c>
      <c r="G105" s="74" t="s">
        <v>112</v>
      </c>
      <c r="H105" s="75">
        <v>24</v>
      </c>
      <c r="I105" s="76">
        <v>12</v>
      </c>
      <c r="J105" s="96">
        <f>2+1+1+2+1+1+2+2+1+2</f>
        <v>15</v>
      </c>
      <c r="K105" s="77">
        <f>3319.85+1198.9+864.45+7235.32+1947.89+5377.75+8701.73</f>
        <v>28645.89</v>
      </c>
      <c r="L105" s="77">
        <f>3319.85+1198.9+864.45+7235.32+1947.89+5377.75</f>
        <v>19944.16</v>
      </c>
      <c r="M105" s="78">
        <f>K105-L105</f>
        <v>8701.73</v>
      </c>
      <c r="N105" s="100">
        <f>4+9+4+4+1+3+1+3+1+1</f>
        <v>31</v>
      </c>
      <c r="O105" s="81">
        <f>29696.65+38129.03+13567.9+20687.05+2022.79+8145.77+17250.05+1233.28</f>
        <v>130732.51999999999</v>
      </c>
      <c r="P105" s="81">
        <f>29696.65+38129.03+13567.9+20687.05+2022.79+8145.77+17250.05</f>
        <v>129499.23999999999</v>
      </c>
      <c r="Q105" s="188">
        <f t="shared" si="3"/>
        <v>1233.2799999999988</v>
      </c>
      <c r="R105" s="141"/>
    </row>
    <row r="106" spans="1:18" s="13" customFormat="1" ht="15.75" x14ac:dyDescent="0.25">
      <c r="A106" s="10"/>
      <c r="B106" s="30" t="s">
        <v>67</v>
      </c>
      <c r="C106" s="181" t="s">
        <v>17</v>
      </c>
      <c r="D106" s="182"/>
      <c r="E106" s="194" t="s">
        <v>21</v>
      </c>
      <c r="F106" s="73" t="s">
        <v>440</v>
      </c>
      <c r="G106" s="184" t="s">
        <v>118</v>
      </c>
      <c r="H106" s="181">
        <v>9</v>
      </c>
      <c r="I106" s="185">
        <v>1</v>
      </c>
      <c r="J106" s="96">
        <v>1</v>
      </c>
      <c r="K106" s="77">
        <v>3476.24</v>
      </c>
      <c r="L106" s="77">
        <v>3476.24</v>
      </c>
      <c r="M106" s="78">
        <f t="shared" si="4"/>
        <v>0</v>
      </c>
      <c r="N106" s="100">
        <v>12</v>
      </c>
      <c r="O106" s="186">
        <v>49443.59</v>
      </c>
      <c r="P106" s="186">
        <v>49443.59</v>
      </c>
      <c r="Q106" s="79">
        <f t="shared" si="3"/>
        <v>0</v>
      </c>
    </row>
    <row r="107" spans="1:18" s="13" customFormat="1" ht="15.75" x14ac:dyDescent="0.25">
      <c r="A107" s="10"/>
      <c r="B107" s="30" t="s">
        <v>68</v>
      </c>
      <c r="C107" s="181" t="s">
        <v>17</v>
      </c>
      <c r="D107" s="182"/>
      <c r="E107" s="194" t="s">
        <v>32</v>
      </c>
      <c r="F107" s="73" t="s">
        <v>371</v>
      </c>
      <c r="G107" s="74" t="s">
        <v>112</v>
      </c>
      <c r="H107" s="75">
        <v>14</v>
      </c>
      <c r="I107" s="76">
        <v>9</v>
      </c>
      <c r="J107" s="96">
        <f>2+1+2+5</f>
        <v>10</v>
      </c>
      <c r="K107" s="77">
        <f>1128.59+422.62+1152.6+4557.81+10981.59</f>
        <v>18243.21</v>
      </c>
      <c r="L107" s="77">
        <f>1128.59+422.62+1152.6+4557.81</f>
        <v>7261.6200000000008</v>
      </c>
      <c r="M107" s="78">
        <f>K107-L107</f>
        <v>10981.589999999998</v>
      </c>
      <c r="N107" s="100">
        <f>6+5+1+4+2</f>
        <v>18</v>
      </c>
      <c r="O107" s="81">
        <f>7813.73+8523.5+1452.28+12582.19+18077.76</f>
        <v>48449.459999999992</v>
      </c>
      <c r="P107" s="81">
        <f>7813.73+8523.5+1452.28+12582.19</f>
        <v>30371.699999999997</v>
      </c>
      <c r="Q107" s="188">
        <f t="shared" si="3"/>
        <v>18077.759999999995</v>
      </c>
      <c r="R107" s="141"/>
    </row>
    <row r="108" spans="1:18" s="13" customFormat="1" ht="15.75" x14ac:dyDescent="0.25">
      <c r="A108" s="10"/>
      <c r="B108" s="30" t="s">
        <v>68</v>
      </c>
      <c r="C108" s="181" t="s">
        <v>17</v>
      </c>
      <c r="D108" s="182"/>
      <c r="E108" s="194" t="s">
        <v>32</v>
      </c>
      <c r="F108" s="73" t="s">
        <v>430</v>
      </c>
      <c r="G108" s="195" t="s">
        <v>117</v>
      </c>
      <c r="H108" s="181">
        <v>1</v>
      </c>
      <c r="I108" s="185"/>
      <c r="J108" s="96"/>
      <c r="K108" s="77"/>
      <c r="L108" s="77"/>
      <c r="M108" s="78">
        <f t="shared" si="4"/>
        <v>0</v>
      </c>
      <c r="N108" s="100"/>
      <c r="O108" s="77"/>
      <c r="P108" s="77"/>
      <c r="Q108" s="79">
        <f t="shared" si="3"/>
        <v>0</v>
      </c>
    </row>
    <row r="109" spans="1:18" s="15" customFormat="1" ht="15.75" x14ac:dyDescent="0.25">
      <c r="A109" s="14"/>
      <c r="B109" s="28" t="s">
        <v>69</v>
      </c>
      <c r="C109" s="181" t="s">
        <v>17</v>
      </c>
      <c r="D109" s="182"/>
      <c r="E109" s="183" t="s">
        <v>20</v>
      </c>
      <c r="F109" s="73" t="s">
        <v>372</v>
      </c>
      <c r="G109" s="74" t="s">
        <v>112</v>
      </c>
      <c r="H109" s="75">
        <v>5</v>
      </c>
      <c r="I109" s="76">
        <v>3</v>
      </c>
      <c r="J109" s="96">
        <f>1+1+1+1</f>
        <v>4</v>
      </c>
      <c r="K109" s="77">
        <f>422.62+17390.69+3114.71+475.45</f>
        <v>21403.469999999998</v>
      </c>
      <c r="L109" s="77">
        <f>422.62+17390.69+3114.71</f>
        <v>20928.019999999997</v>
      </c>
      <c r="M109" s="78">
        <f t="shared" si="4"/>
        <v>475.45000000000073</v>
      </c>
      <c r="N109" s="100">
        <f>3+2+1+1+1</f>
        <v>8</v>
      </c>
      <c r="O109" s="77">
        <f>7210.31+3647.96+1306.28+1267.86+2697.06</f>
        <v>16129.470000000001</v>
      </c>
      <c r="P109" s="77">
        <f>7210.31+3647.96+1306.28+1267.86+2697.06</f>
        <v>16129.470000000001</v>
      </c>
      <c r="Q109" s="188">
        <f t="shared" si="3"/>
        <v>0</v>
      </c>
      <c r="R109" s="141"/>
    </row>
    <row r="110" spans="1:18" s="15" customFormat="1" ht="15.75" x14ac:dyDescent="0.25">
      <c r="A110" s="14"/>
      <c r="B110" s="200" t="s">
        <v>502</v>
      </c>
      <c r="C110" s="181"/>
      <c r="D110" s="182"/>
      <c r="E110" s="183"/>
      <c r="F110" s="73"/>
      <c r="G110" s="74" t="s">
        <v>112</v>
      </c>
      <c r="H110" s="75">
        <v>8</v>
      </c>
      <c r="I110" s="76"/>
      <c r="J110" s="96"/>
      <c r="K110" s="77"/>
      <c r="L110" s="77"/>
      <c r="M110" s="78">
        <f t="shared" si="4"/>
        <v>0</v>
      </c>
      <c r="N110" s="100"/>
      <c r="O110" s="77"/>
      <c r="P110" s="77"/>
      <c r="Q110" s="188"/>
      <c r="R110" s="141"/>
    </row>
    <row r="111" spans="1:18" s="15" customFormat="1" ht="15.75" x14ac:dyDescent="0.25">
      <c r="A111" s="14"/>
      <c r="B111" s="200" t="s">
        <v>502</v>
      </c>
      <c r="C111" s="181"/>
      <c r="D111" s="182"/>
      <c r="E111" s="183"/>
      <c r="F111" s="73"/>
      <c r="G111" s="195" t="s">
        <v>117</v>
      </c>
      <c r="H111" s="75">
        <v>3</v>
      </c>
      <c r="I111" s="76"/>
      <c r="J111" s="96"/>
      <c r="K111" s="77"/>
      <c r="L111" s="77"/>
      <c r="M111" s="187"/>
      <c r="N111" s="100"/>
      <c r="O111" s="77"/>
      <c r="P111" s="77"/>
      <c r="Q111" s="188"/>
      <c r="R111" s="141"/>
    </row>
    <row r="112" spans="1:18" s="13" customFormat="1" ht="15.75" x14ac:dyDescent="0.25">
      <c r="A112" s="10"/>
      <c r="B112" s="62" t="s">
        <v>70</v>
      </c>
      <c r="C112" s="181" t="s">
        <v>17</v>
      </c>
      <c r="D112" s="182"/>
      <c r="E112" s="183" t="s">
        <v>20</v>
      </c>
      <c r="F112" s="73" t="s">
        <v>373</v>
      </c>
      <c r="G112" s="74" t="s">
        <v>112</v>
      </c>
      <c r="H112" s="75">
        <v>10</v>
      </c>
      <c r="I112" s="76">
        <v>7</v>
      </c>
      <c r="J112" s="96">
        <f>2+2+2</f>
        <v>6</v>
      </c>
      <c r="K112" s="77">
        <f>19498+3011.17</f>
        <v>22509.17</v>
      </c>
      <c r="L112" s="77">
        <v>19498</v>
      </c>
      <c r="M112" s="78">
        <f>K112-L112</f>
        <v>3011.1699999999983</v>
      </c>
      <c r="N112" s="100">
        <f>2+3+4+2</f>
        <v>11</v>
      </c>
      <c r="O112" s="81">
        <f>7606.2+16795.84</f>
        <v>24402.04</v>
      </c>
      <c r="P112" s="81">
        <f>7606.2+16795.84</f>
        <v>24402.04</v>
      </c>
      <c r="Q112" s="79">
        <f t="shared" si="3"/>
        <v>0</v>
      </c>
      <c r="R112" s="141"/>
    </row>
    <row r="113" spans="1:19" s="13" customFormat="1" ht="15.75" x14ac:dyDescent="0.25">
      <c r="A113" s="10"/>
      <c r="B113" s="62" t="s">
        <v>70</v>
      </c>
      <c r="C113" s="181" t="s">
        <v>17</v>
      </c>
      <c r="D113" s="182"/>
      <c r="E113" s="183" t="s">
        <v>20</v>
      </c>
      <c r="F113" s="73" t="s">
        <v>460</v>
      </c>
      <c r="G113" s="184" t="s">
        <v>114</v>
      </c>
      <c r="H113" s="181">
        <v>28</v>
      </c>
      <c r="I113" s="185">
        <v>5</v>
      </c>
      <c r="J113" s="190">
        <v>5</v>
      </c>
      <c r="K113" s="77">
        <v>1921</v>
      </c>
      <c r="L113" s="77">
        <v>1921</v>
      </c>
      <c r="M113" s="187">
        <f t="shared" si="4"/>
        <v>0</v>
      </c>
      <c r="N113" s="100">
        <v>29</v>
      </c>
      <c r="O113" s="186">
        <v>60028.44</v>
      </c>
      <c r="P113" s="186">
        <v>60028.44</v>
      </c>
      <c r="Q113" s="188">
        <f t="shared" si="3"/>
        <v>0</v>
      </c>
    </row>
    <row r="114" spans="1:19" s="15" customFormat="1" ht="15.75" x14ac:dyDescent="0.25">
      <c r="A114" s="14"/>
      <c r="B114" s="80" t="s">
        <v>71</v>
      </c>
      <c r="C114" s="181" t="s">
        <v>17</v>
      </c>
      <c r="D114" s="182"/>
      <c r="E114" s="183" t="s">
        <v>32</v>
      </c>
      <c r="F114" s="73" t="s">
        <v>374</v>
      </c>
      <c r="G114" s="74" t="s">
        <v>112</v>
      </c>
      <c r="H114" s="75">
        <v>16</v>
      </c>
      <c r="I114" s="76">
        <v>7</v>
      </c>
      <c r="J114" s="96">
        <f>3+1+2+1+1</f>
        <v>8</v>
      </c>
      <c r="K114" s="77">
        <f>1536.8+461.04+1748.88+633.93+3169.65</f>
        <v>7550.3000000000011</v>
      </c>
      <c r="L114" s="77">
        <f>1536.8+461.04+1748.88+633.93</f>
        <v>4380.6500000000005</v>
      </c>
      <c r="M114" s="78">
        <f>K114-L114</f>
        <v>3169.6500000000005</v>
      </c>
      <c r="N114" s="100">
        <f>3+2+1+1+2</f>
        <v>9</v>
      </c>
      <c r="O114" s="81">
        <f>9567.93+3616.67+403.41+14275.52+10922.18</f>
        <v>38785.71</v>
      </c>
      <c r="P114" s="81">
        <f>9567.93+3616.67+403.41+14275.52</f>
        <v>27863.53</v>
      </c>
      <c r="Q114" s="79">
        <f t="shared" si="3"/>
        <v>10922.18</v>
      </c>
      <c r="R114" s="141"/>
      <c r="S114" s="36"/>
    </row>
    <row r="115" spans="1:19" s="15" customFormat="1" ht="15.75" x14ac:dyDescent="0.25">
      <c r="A115" s="14"/>
      <c r="B115" s="80" t="s">
        <v>71</v>
      </c>
      <c r="C115" s="181" t="s">
        <v>17</v>
      </c>
      <c r="D115" s="182"/>
      <c r="E115" s="183" t="s">
        <v>32</v>
      </c>
      <c r="F115" s="73" t="s">
        <v>431</v>
      </c>
      <c r="G115" s="184" t="s">
        <v>115</v>
      </c>
      <c r="H115" s="181">
        <v>6</v>
      </c>
      <c r="I115" s="196">
        <v>4</v>
      </c>
      <c r="J115" s="97">
        <v>4</v>
      </c>
      <c r="K115" s="217">
        <v>6627.45</v>
      </c>
      <c r="L115" s="217">
        <v>6627.45</v>
      </c>
      <c r="M115" s="187">
        <f t="shared" si="4"/>
        <v>0</v>
      </c>
      <c r="N115" s="114">
        <f>5</f>
        <v>5</v>
      </c>
      <c r="O115" s="77">
        <v>6595.5</v>
      </c>
      <c r="P115" s="77">
        <v>6595.5</v>
      </c>
      <c r="Q115" s="188">
        <f t="shared" si="3"/>
        <v>0</v>
      </c>
    </row>
    <row r="116" spans="1:19" s="13" customFormat="1" ht="15.75" x14ac:dyDescent="0.25">
      <c r="A116" s="10"/>
      <c r="B116" s="62" t="s">
        <v>319</v>
      </c>
      <c r="C116" s="181" t="s">
        <v>17</v>
      </c>
      <c r="D116" s="182"/>
      <c r="E116" s="183" t="s">
        <v>20</v>
      </c>
      <c r="F116" s="73" t="s">
        <v>375</v>
      </c>
      <c r="G116" s="74" t="s">
        <v>112</v>
      </c>
      <c r="H116" s="75">
        <v>24</v>
      </c>
      <c r="I116" s="76">
        <v>15</v>
      </c>
      <c r="J116" s="96">
        <f>2+1+4+3+6+2</f>
        <v>18</v>
      </c>
      <c r="K116" s="77">
        <f>710.77+1523.35+6753.23+7215.52+1437.48</f>
        <v>17640.349999999999</v>
      </c>
      <c r="L116" s="77">
        <f>710.77+1523.35+6753.23+7215.52+1437.48</f>
        <v>17640.349999999999</v>
      </c>
      <c r="M116" s="78">
        <f t="shared" si="4"/>
        <v>0</v>
      </c>
      <c r="N116" s="100">
        <f>3+1+2+1+2</f>
        <v>9</v>
      </c>
      <c r="O116" s="77">
        <f>13419.94+726.71+2846.77+3770.56</f>
        <v>20763.980000000003</v>
      </c>
      <c r="P116" s="77">
        <f>13419.94+726.71+2846.77+3770.56</f>
        <v>20763.980000000003</v>
      </c>
      <c r="Q116" s="79">
        <f>O116-P116</f>
        <v>0</v>
      </c>
      <c r="R116" s="141"/>
    </row>
    <row r="117" spans="1:19" s="15" customFormat="1" ht="15.75" x14ac:dyDescent="0.25">
      <c r="A117" s="14"/>
      <c r="B117" s="62" t="s">
        <v>150</v>
      </c>
      <c r="C117" s="181" t="s">
        <v>17</v>
      </c>
      <c r="D117" s="182"/>
      <c r="E117" s="183" t="s">
        <v>35</v>
      </c>
      <c r="F117" s="73" t="s">
        <v>376</v>
      </c>
      <c r="G117" s="74" t="s">
        <v>112</v>
      </c>
      <c r="H117" s="75">
        <v>14</v>
      </c>
      <c r="I117" s="76">
        <v>7</v>
      </c>
      <c r="J117" s="97">
        <f>1+1+2+2+1</f>
        <v>7</v>
      </c>
      <c r="K117" s="77">
        <f>1343.65+384.2+1690.4+4889.84</f>
        <v>8308.09</v>
      </c>
      <c r="L117" s="77">
        <f>1343.65+384.2+1690.4+4889.84</f>
        <v>8308.09</v>
      </c>
      <c r="M117" s="78">
        <f t="shared" si="4"/>
        <v>0</v>
      </c>
      <c r="N117" s="114">
        <f>8+1+1+2+3+1+1+1</f>
        <v>18</v>
      </c>
      <c r="O117" s="77">
        <f>5997.32+3719.39+3054.34+13138.17+6578.46+6198.68</f>
        <v>38686.36</v>
      </c>
      <c r="P117" s="77">
        <f>5997.32+3719.39+3054.34+13138.17+6578.46</f>
        <v>32487.68</v>
      </c>
      <c r="Q117" s="79">
        <f t="shared" si="3"/>
        <v>6198.68</v>
      </c>
      <c r="R117" s="141"/>
    </row>
    <row r="118" spans="1:19" s="15" customFormat="1" ht="15.75" x14ac:dyDescent="0.25">
      <c r="A118" s="14"/>
      <c r="B118" s="191" t="s">
        <v>150</v>
      </c>
      <c r="C118" s="181" t="s">
        <v>17</v>
      </c>
      <c r="D118" s="182"/>
      <c r="E118" s="183" t="s">
        <v>32</v>
      </c>
      <c r="F118" s="73" t="s">
        <v>487</v>
      </c>
      <c r="G118" s="184" t="s">
        <v>117</v>
      </c>
      <c r="H118" s="181">
        <v>2</v>
      </c>
      <c r="I118" s="196"/>
      <c r="J118" s="97"/>
      <c r="K118" s="77"/>
      <c r="L118" s="193"/>
      <c r="M118" s="187">
        <f t="shared" si="4"/>
        <v>0</v>
      </c>
      <c r="N118" s="101">
        <v>2</v>
      </c>
      <c r="O118" s="77">
        <v>4226.2</v>
      </c>
      <c r="P118" s="77">
        <v>4226.2</v>
      </c>
      <c r="Q118" s="188">
        <f t="shared" si="3"/>
        <v>0</v>
      </c>
    </row>
    <row r="119" spans="1:19" s="13" customFormat="1" ht="15.75" x14ac:dyDescent="0.25">
      <c r="A119" s="10"/>
      <c r="B119" s="30" t="s">
        <v>72</v>
      </c>
      <c r="C119" s="181" t="s">
        <v>17</v>
      </c>
      <c r="D119" s="182"/>
      <c r="E119" s="183" t="s">
        <v>21</v>
      </c>
      <c r="F119" s="73" t="s">
        <v>377</v>
      </c>
      <c r="G119" s="74" t="s">
        <v>112</v>
      </c>
      <c r="H119" s="75">
        <v>17</v>
      </c>
      <c r="I119" s="76">
        <v>9</v>
      </c>
      <c r="J119" s="96">
        <f>1+1+1+1+6+2</f>
        <v>12</v>
      </c>
      <c r="K119" s="77">
        <f>633.93+1415.78+1610.18+1394.65+18140.86</f>
        <v>23195.4</v>
      </c>
      <c r="L119" s="77">
        <f>633.93+1415.78+1610.18+1394.65</f>
        <v>5054.5400000000009</v>
      </c>
      <c r="M119" s="78">
        <f>K119-L119</f>
        <v>18140.86</v>
      </c>
      <c r="N119" s="100">
        <f>1+3+1+1+1+3+1+3</f>
        <v>14</v>
      </c>
      <c r="O119" s="81">
        <f>1950.74+10237.13+6595.95+3861.21+1348.53+10328.94+50451.86</f>
        <v>84774.36</v>
      </c>
      <c r="P119" s="81">
        <f>1950.74+10237.13+6595.95+3861.21+1348.53+10328.94</f>
        <v>34322.5</v>
      </c>
      <c r="Q119" s="79">
        <f t="shared" si="3"/>
        <v>50451.86</v>
      </c>
      <c r="R119" s="141"/>
    </row>
    <row r="120" spans="1:19" s="13" customFormat="1" ht="15.75" x14ac:dyDescent="0.25">
      <c r="A120" s="10"/>
      <c r="B120" s="30" t="s">
        <v>72</v>
      </c>
      <c r="C120" s="181" t="s">
        <v>17</v>
      </c>
      <c r="D120" s="182"/>
      <c r="E120" s="183" t="s">
        <v>21</v>
      </c>
      <c r="F120" s="73" t="s">
        <v>441</v>
      </c>
      <c r="G120" s="184" t="s">
        <v>118</v>
      </c>
      <c r="H120" s="181">
        <v>6</v>
      </c>
      <c r="I120" s="185">
        <v>1</v>
      </c>
      <c r="J120" s="96">
        <v>1</v>
      </c>
      <c r="K120" s="77">
        <v>1728.9</v>
      </c>
      <c r="L120" s="77">
        <v>153.52000000000001</v>
      </c>
      <c r="M120" s="187">
        <f t="shared" si="4"/>
        <v>1575.38</v>
      </c>
      <c r="N120" s="100">
        <v>13</v>
      </c>
      <c r="O120" s="186">
        <v>45577.03</v>
      </c>
      <c r="P120" s="186">
        <v>45577.03</v>
      </c>
      <c r="Q120" s="188">
        <f t="shared" si="3"/>
        <v>0</v>
      </c>
    </row>
    <row r="121" spans="1:19" s="15" customFormat="1" ht="15.75" x14ac:dyDescent="0.25">
      <c r="A121" s="14"/>
      <c r="B121" s="84" t="s">
        <v>73</v>
      </c>
      <c r="C121" s="181" t="s">
        <v>17</v>
      </c>
      <c r="D121" s="182"/>
      <c r="E121" s="183" t="s">
        <v>74</v>
      </c>
      <c r="F121" s="73" t="s">
        <v>378</v>
      </c>
      <c r="G121" s="74" t="s">
        <v>112</v>
      </c>
      <c r="H121" s="75">
        <v>24</v>
      </c>
      <c r="I121" s="76">
        <v>15</v>
      </c>
      <c r="J121" s="96">
        <f>9+8+2+2</f>
        <v>21</v>
      </c>
      <c r="K121" s="77">
        <f>6305.33+12574.83+4899.84</f>
        <v>23780</v>
      </c>
      <c r="L121" s="77">
        <f>6305.33+12574.83+4899.84</f>
        <v>23780</v>
      </c>
      <c r="M121" s="78">
        <f>K121-L121</f>
        <v>0</v>
      </c>
      <c r="N121" s="100">
        <f>5+3+3+1</f>
        <v>12</v>
      </c>
      <c r="O121" s="81">
        <f>5416.39+9506.99+12269.39+7610.68+1928.68</f>
        <v>36732.129999999997</v>
      </c>
      <c r="P121" s="81">
        <f>5416.39+9506.99+12269.39+7610.68+1928.68</f>
        <v>36732.129999999997</v>
      </c>
      <c r="Q121" s="79">
        <f t="shared" si="3"/>
        <v>0</v>
      </c>
      <c r="R121" s="141"/>
    </row>
    <row r="122" spans="1:19" s="15" customFormat="1" ht="15.75" x14ac:dyDescent="0.25">
      <c r="A122" s="14"/>
      <c r="B122" s="84" t="s">
        <v>73</v>
      </c>
      <c r="C122" s="181" t="s">
        <v>17</v>
      </c>
      <c r="D122" s="182"/>
      <c r="E122" s="183" t="s">
        <v>74</v>
      </c>
      <c r="F122" s="73" t="s">
        <v>282</v>
      </c>
      <c r="G122" s="184" t="s">
        <v>114</v>
      </c>
      <c r="H122" s="181"/>
      <c r="I122" s="185"/>
      <c r="J122" s="190"/>
      <c r="K122" s="77"/>
      <c r="L122" s="77"/>
      <c r="M122" s="187">
        <f t="shared" si="4"/>
        <v>0</v>
      </c>
      <c r="N122" s="101">
        <v>1</v>
      </c>
      <c r="O122" s="186">
        <v>19379.400000000001</v>
      </c>
      <c r="P122" s="186">
        <v>19379.400000000001</v>
      </c>
      <c r="Q122" s="188">
        <f t="shared" si="3"/>
        <v>0</v>
      </c>
    </row>
    <row r="123" spans="1:19" s="13" customFormat="1" ht="15.75" x14ac:dyDescent="0.25">
      <c r="A123" s="10"/>
      <c r="B123" s="30" t="s">
        <v>135</v>
      </c>
      <c r="C123" s="181" t="s">
        <v>17</v>
      </c>
      <c r="D123" s="182"/>
      <c r="E123" s="194" t="s">
        <v>35</v>
      </c>
      <c r="F123" s="73" t="s">
        <v>379</v>
      </c>
      <c r="G123" s="74" t="s">
        <v>112</v>
      </c>
      <c r="H123" s="75">
        <v>24</v>
      </c>
      <c r="I123" s="76">
        <v>14</v>
      </c>
      <c r="J123" s="96">
        <f>1+6+5+3</f>
        <v>15</v>
      </c>
      <c r="K123" s="77">
        <f>697.32+4374.12+5747.44</f>
        <v>10818.88</v>
      </c>
      <c r="L123" s="77">
        <f>697.32+4374.12+5747.44</f>
        <v>10818.88</v>
      </c>
      <c r="M123" s="78">
        <f>K123-L123</f>
        <v>0</v>
      </c>
      <c r="N123" s="100">
        <f>2+5+1+2+2+2</f>
        <v>14</v>
      </c>
      <c r="O123" s="81">
        <f>6432.89+2283.68+4932.13</f>
        <v>13648.7</v>
      </c>
      <c r="P123" s="81">
        <f>6432.89+2283.68+4932.13</f>
        <v>13648.7</v>
      </c>
      <c r="Q123" s="188">
        <f t="shared" si="3"/>
        <v>0</v>
      </c>
      <c r="R123" s="141"/>
    </row>
    <row r="124" spans="1:19" s="13" customFormat="1" ht="15.75" x14ac:dyDescent="0.25">
      <c r="A124" s="10"/>
      <c r="B124" s="30" t="s">
        <v>135</v>
      </c>
      <c r="C124" s="181" t="s">
        <v>17</v>
      </c>
      <c r="D124" s="182"/>
      <c r="E124" s="194" t="s">
        <v>35</v>
      </c>
      <c r="F124" s="73" t="s">
        <v>432</v>
      </c>
      <c r="G124" s="184" t="s">
        <v>115</v>
      </c>
      <c r="H124" s="181"/>
      <c r="I124" s="185"/>
      <c r="J124" s="96"/>
      <c r="K124" s="77"/>
      <c r="L124" s="77"/>
      <c r="M124" s="78">
        <f t="shared" si="4"/>
        <v>0</v>
      </c>
      <c r="N124" s="100">
        <v>1</v>
      </c>
      <c r="O124" s="186">
        <v>2689.4</v>
      </c>
      <c r="P124" s="186">
        <v>2689.4</v>
      </c>
      <c r="Q124" s="79">
        <f t="shared" si="3"/>
        <v>0</v>
      </c>
    </row>
    <row r="125" spans="1:19" s="13" customFormat="1" ht="15.75" x14ac:dyDescent="0.25">
      <c r="A125" s="10"/>
      <c r="B125" s="30" t="s">
        <v>145</v>
      </c>
      <c r="C125" s="181" t="s">
        <v>17</v>
      </c>
      <c r="D125" s="182"/>
      <c r="E125" s="194" t="s">
        <v>20</v>
      </c>
      <c r="F125" s="73" t="s">
        <v>380</v>
      </c>
      <c r="G125" s="74" t="s">
        <v>112</v>
      </c>
      <c r="H125" s="75">
        <v>10</v>
      </c>
      <c r="I125" s="82">
        <v>6</v>
      </c>
      <c r="J125" s="96">
        <f>2+1+1+2+2</f>
        <v>8</v>
      </c>
      <c r="K125" s="77">
        <f>5169.72+1100+538.84+4293.82+3949.22+3361.76</f>
        <v>18413.36</v>
      </c>
      <c r="L125" s="77">
        <f>5169.72+1100+538.84+4293.82+3949.22</f>
        <v>15051.6</v>
      </c>
      <c r="M125" s="78">
        <f>K125-L125</f>
        <v>3361.76</v>
      </c>
      <c r="N125" s="100">
        <f>1+1+2+1</f>
        <v>5</v>
      </c>
      <c r="O125" s="81">
        <f>5120.23+3915.15+1114.12</f>
        <v>10149.5</v>
      </c>
      <c r="P125" s="81">
        <f>5120.23+3915.15+1114.12</f>
        <v>10149.5</v>
      </c>
      <c r="Q125" s="188">
        <f t="shared" si="3"/>
        <v>0</v>
      </c>
      <c r="R125" s="141"/>
    </row>
    <row r="126" spans="1:19" s="13" customFormat="1" ht="15.75" x14ac:dyDescent="0.25">
      <c r="A126" s="10"/>
      <c r="B126" s="30" t="s">
        <v>145</v>
      </c>
      <c r="C126" s="181" t="s">
        <v>17</v>
      </c>
      <c r="D126" s="182"/>
      <c r="E126" s="194" t="s">
        <v>20</v>
      </c>
      <c r="F126" s="73" t="s">
        <v>461</v>
      </c>
      <c r="G126" s="184" t="s">
        <v>114</v>
      </c>
      <c r="H126" s="181">
        <v>2</v>
      </c>
      <c r="I126" s="185">
        <v>1</v>
      </c>
      <c r="J126" s="190">
        <v>1</v>
      </c>
      <c r="K126" s="77"/>
      <c r="L126" s="77"/>
      <c r="M126" s="78">
        <f t="shared" si="4"/>
        <v>0</v>
      </c>
      <c r="N126" s="100">
        <v>10</v>
      </c>
      <c r="O126" s="186">
        <v>19379.400000000001</v>
      </c>
      <c r="P126" s="186">
        <v>19379.400000000001</v>
      </c>
      <c r="Q126" s="188">
        <f t="shared" si="3"/>
        <v>0</v>
      </c>
    </row>
    <row r="127" spans="1:19" s="13" customFormat="1" ht="15.75" x14ac:dyDescent="0.25">
      <c r="A127" s="10"/>
      <c r="B127" s="62" t="s">
        <v>76</v>
      </c>
      <c r="C127" s="181" t="s">
        <v>17</v>
      </c>
      <c r="D127" s="182"/>
      <c r="E127" s="183" t="s">
        <v>20</v>
      </c>
      <c r="F127" s="73" t="s">
        <v>381</v>
      </c>
      <c r="G127" s="74" t="s">
        <v>112</v>
      </c>
      <c r="H127" s="75">
        <v>19</v>
      </c>
      <c r="I127" s="76">
        <v>13</v>
      </c>
      <c r="J127" s="96">
        <f>1+6+3+1+3+1+2</f>
        <v>17</v>
      </c>
      <c r="K127" s="77">
        <f>6556.06+2806.39+2697.06+1267.86+11775.51+1557.35+2113.1</f>
        <v>28773.329999999998</v>
      </c>
      <c r="L127" s="77">
        <f>6556.06+2806.39+2697.06+1267.86+11775.51+1557.35</f>
        <v>26660.23</v>
      </c>
      <c r="M127" s="78">
        <f>K127-L127</f>
        <v>2113.0999999999985</v>
      </c>
      <c r="N127" s="100">
        <f>5+6+2+1+1</f>
        <v>15</v>
      </c>
      <c r="O127" s="81">
        <f>11527.9+19846.52+1011.91+9641+2451.87+10072.83+11307.66+2243.83</f>
        <v>68103.520000000004</v>
      </c>
      <c r="P127" s="81">
        <f>11527.9+19846.52+1011.91+9641+2451.87+10072.83</f>
        <v>54552.030000000006</v>
      </c>
      <c r="Q127" s="188">
        <f t="shared" si="3"/>
        <v>13551.489999999998</v>
      </c>
      <c r="R127" s="141"/>
    </row>
    <row r="128" spans="1:19" s="13" customFormat="1" ht="15.75" x14ac:dyDescent="0.25">
      <c r="A128" s="10"/>
      <c r="B128" s="62" t="s">
        <v>76</v>
      </c>
      <c r="C128" s="181" t="s">
        <v>17</v>
      </c>
      <c r="D128" s="182"/>
      <c r="E128" s="183" t="s">
        <v>20</v>
      </c>
      <c r="F128" s="73" t="s">
        <v>462</v>
      </c>
      <c r="G128" s="184" t="s">
        <v>114</v>
      </c>
      <c r="H128" s="181">
        <v>9</v>
      </c>
      <c r="I128" s="185">
        <v>1</v>
      </c>
      <c r="J128" s="190">
        <v>1</v>
      </c>
      <c r="K128" s="77"/>
      <c r="L128" s="77"/>
      <c r="M128" s="78">
        <f t="shared" si="4"/>
        <v>0</v>
      </c>
      <c r="N128" s="100">
        <v>8</v>
      </c>
      <c r="O128" s="186">
        <v>27398.29</v>
      </c>
      <c r="P128" s="186">
        <v>27398.29</v>
      </c>
      <c r="Q128" s="188">
        <f t="shared" si="3"/>
        <v>0</v>
      </c>
    </row>
    <row r="129" spans="1:18" s="13" customFormat="1" ht="15.75" x14ac:dyDescent="0.25">
      <c r="A129" s="10"/>
      <c r="B129" s="30" t="s">
        <v>77</v>
      </c>
      <c r="C129" s="181" t="s">
        <v>17</v>
      </c>
      <c r="D129" s="182"/>
      <c r="E129" s="183" t="s">
        <v>32</v>
      </c>
      <c r="F129" s="73" t="s">
        <v>388</v>
      </c>
      <c r="G129" s="74" t="s">
        <v>112</v>
      </c>
      <c r="H129" s="75">
        <v>10</v>
      </c>
      <c r="I129" s="76">
        <v>7</v>
      </c>
      <c r="J129" s="96">
        <f>2+2+2+6</f>
        <v>12</v>
      </c>
      <c r="K129" s="77">
        <f>2440.63+1507.02+2101.48+13625.7</f>
        <v>19674.830000000002</v>
      </c>
      <c r="L129" s="77">
        <f>2440.63+1507.02+2101.48</f>
        <v>6049.13</v>
      </c>
      <c r="M129" s="78">
        <f>K129-L129</f>
        <v>13625.7</v>
      </c>
      <c r="N129" s="100">
        <f>5+2+3+3+1+1</f>
        <v>15</v>
      </c>
      <c r="O129" s="81">
        <f>11716.73+6848.82+4046.18+11166.34+8845.95</f>
        <v>42624.020000000004</v>
      </c>
      <c r="P129" s="81">
        <f>11716.73+6848.82+4046.18+11166.34+8845.95</f>
        <v>42624.020000000004</v>
      </c>
      <c r="Q129" s="188">
        <f t="shared" si="3"/>
        <v>0</v>
      </c>
      <c r="R129" s="141"/>
    </row>
    <row r="130" spans="1:18" s="13" customFormat="1" ht="15.75" x14ac:dyDescent="0.25">
      <c r="A130" s="10"/>
      <c r="B130" s="30" t="s">
        <v>77</v>
      </c>
      <c r="C130" s="181" t="s">
        <v>17</v>
      </c>
      <c r="D130" s="182"/>
      <c r="E130" s="183" t="s">
        <v>32</v>
      </c>
      <c r="F130" s="73" t="s">
        <v>433</v>
      </c>
      <c r="G130" s="184" t="s">
        <v>117</v>
      </c>
      <c r="H130" s="181">
        <v>1</v>
      </c>
      <c r="I130" s="185">
        <v>1</v>
      </c>
      <c r="J130" s="96">
        <v>1</v>
      </c>
      <c r="K130" s="77">
        <v>1921</v>
      </c>
      <c r="L130" s="77">
        <v>1921</v>
      </c>
      <c r="M130" s="78">
        <f t="shared" si="4"/>
        <v>0</v>
      </c>
      <c r="N130" s="100">
        <v>6</v>
      </c>
      <c r="O130" s="186">
        <v>18164.11</v>
      </c>
      <c r="P130" s="186">
        <v>18164.11</v>
      </c>
      <c r="Q130" s="79">
        <f t="shared" si="3"/>
        <v>0</v>
      </c>
    </row>
    <row r="131" spans="1:18" s="13" customFormat="1" ht="15.75" x14ac:dyDescent="0.25">
      <c r="A131" s="10"/>
      <c r="B131" s="30" t="s">
        <v>321</v>
      </c>
      <c r="C131" s="181" t="s">
        <v>17</v>
      </c>
      <c r="D131" s="182"/>
      <c r="E131" s="183" t="s">
        <v>21</v>
      </c>
      <c r="F131" s="73" t="s">
        <v>489</v>
      </c>
      <c r="G131" s="184" t="s">
        <v>112</v>
      </c>
      <c r="H131" s="181">
        <v>3</v>
      </c>
      <c r="I131" s="185"/>
      <c r="J131" s="96"/>
      <c r="K131" s="77"/>
      <c r="L131" s="77"/>
      <c r="M131" s="78">
        <f t="shared" si="4"/>
        <v>0</v>
      </c>
      <c r="N131" s="100"/>
      <c r="O131" s="186"/>
      <c r="P131" s="186"/>
      <c r="Q131" s="79"/>
      <c r="R131" s="141"/>
    </row>
    <row r="132" spans="1:18" s="13" customFormat="1" ht="30" x14ac:dyDescent="0.25">
      <c r="A132" s="10"/>
      <c r="B132" s="62" t="s">
        <v>79</v>
      </c>
      <c r="C132" s="181" t="s">
        <v>304</v>
      </c>
      <c r="D132" s="182" t="s">
        <v>385</v>
      </c>
      <c r="E132" s="183" t="s">
        <v>18</v>
      </c>
      <c r="F132" s="73" t="s">
        <v>389</v>
      </c>
      <c r="G132" s="74" t="s">
        <v>112</v>
      </c>
      <c r="H132" s="75">
        <v>14</v>
      </c>
      <c r="I132" s="76">
        <v>10</v>
      </c>
      <c r="J132" s="96">
        <f>2+5+2+3</f>
        <v>12</v>
      </c>
      <c r="K132" s="77">
        <f>2091.97+3190.2+5703.08+6368.88+4029.68</f>
        <v>21383.81</v>
      </c>
      <c r="L132" s="77">
        <f>2091.97+3190.2+5703.08+6368.88</f>
        <v>17354.13</v>
      </c>
      <c r="M132" s="78">
        <f t="shared" si="4"/>
        <v>4029.6800000000003</v>
      </c>
      <c r="N132" s="100">
        <f>2+2+1+2+1+1</f>
        <v>9</v>
      </c>
      <c r="O132" s="81">
        <f>1547.4+4166.12+7835.61+1675.01+4717.63+6039.62+18829.39</f>
        <v>44810.78</v>
      </c>
      <c r="P132" s="81">
        <f>1547.4+4166.12+7835.61+1675.01+4717.63+6039.62</f>
        <v>25981.39</v>
      </c>
      <c r="Q132" s="188">
        <f t="shared" si="3"/>
        <v>18829.39</v>
      </c>
      <c r="R132" s="141"/>
    </row>
    <row r="133" spans="1:18" s="13" customFormat="1" ht="30" x14ac:dyDescent="0.25">
      <c r="A133" s="10"/>
      <c r="B133" s="62" t="s">
        <v>79</v>
      </c>
      <c r="C133" s="181" t="s">
        <v>304</v>
      </c>
      <c r="D133" s="182" t="s">
        <v>475</v>
      </c>
      <c r="E133" s="183" t="s">
        <v>18</v>
      </c>
      <c r="F133" s="73" t="s">
        <v>329</v>
      </c>
      <c r="G133" s="184" t="s">
        <v>113</v>
      </c>
      <c r="H133" s="181">
        <v>36</v>
      </c>
      <c r="I133" s="192">
        <v>12</v>
      </c>
      <c r="J133" s="98">
        <v>13</v>
      </c>
      <c r="K133" s="186">
        <v>21353</v>
      </c>
      <c r="L133" s="186">
        <v>21353</v>
      </c>
      <c r="M133" s="78">
        <f t="shared" si="4"/>
        <v>0</v>
      </c>
      <c r="N133" s="100">
        <v>14</v>
      </c>
      <c r="O133" s="186">
        <v>51293</v>
      </c>
      <c r="P133" s="186">
        <v>44239</v>
      </c>
      <c r="Q133" s="79">
        <f t="shared" si="3"/>
        <v>7054</v>
      </c>
    </row>
    <row r="134" spans="1:18" s="13" customFormat="1" ht="15.75" x14ac:dyDescent="0.25">
      <c r="A134" s="10"/>
      <c r="B134" s="62" t="s">
        <v>151</v>
      </c>
      <c r="C134" s="181" t="s">
        <v>17</v>
      </c>
      <c r="D134" s="182"/>
      <c r="E134" s="183" t="s">
        <v>32</v>
      </c>
      <c r="F134" s="73" t="s">
        <v>390</v>
      </c>
      <c r="G134" s="74" t="s">
        <v>112</v>
      </c>
      <c r="H134" s="75">
        <v>39</v>
      </c>
      <c r="I134" s="82">
        <v>21</v>
      </c>
      <c r="J134" s="96">
        <f>1+3+3+5+3+9</f>
        <v>24</v>
      </c>
      <c r="K134" s="81">
        <f>2317+4640.19+5864.19+10765+12519.53</f>
        <v>36105.909999999996</v>
      </c>
      <c r="L134" s="81">
        <f>2317+4640.19+5864.19+10765</f>
        <v>23586.379999999997</v>
      </c>
      <c r="M134" s="78">
        <f>K134-L134</f>
        <v>12519.529999999999</v>
      </c>
      <c r="N134" s="100">
        <f>9+3+5+1+4+4</f>
        <v>26</v>
      </c>
      <c r="O134" s="81">
        <f>10726.94+18822.65+5703.53+12846.53+1320.36+4050.1+22728.38</f>
        <v>76198.490000000005</v>
      </c>
      <c r="P134" s="81">
        <f>10726.94+18822.65+5703.53+12846.53+1320.36+4050.1</f>
        <v>53470.11</v>
      </c>
      <c r="Q134" s="188">
        <f t="shared" si="3"/>
        <v>22728.380000000005</v>
      </c>
      <c r="R134" s="141"/>
    </row>
    <row r="135" spans="1:18" s="13" customFormat="1" ht="15.75" x14ac:dyDescent="0.25">
      <c r="A135" s="10"/>
      <c r="B135" s="62" t="s">
        <v>151</v>
      </c>
      <c r="C135" s="181" t="s">
        <v>17</v>
      </c>
      <c r="D135" s="182"/>
      <c r="E135" s="183" t="s">
        <v>32</v>
      </c>
      <c r="F135" s="73" t="s">
        <v>434</v>
      </c>
      <c r="G135" s="184" t="s">
        <v>117</v>
      </c>
      <c r="H135" s="181">
        <v>9</v>
      </c>
      <c r="I135" s="185"/>
      <c r="J135" s="96"/>
      <c r="K135" s="77"/>
      <c r="L135" s="77"/>
      <c r="M135" s="78">
        <f t="shared" si="4"/>
        <v>0</v>
      </c>
      <c r="N135" s="100">
        <v>12</v>
      </c>
      <c r="O135" s="186">
        <v>22129.3</v>
      </c>
      <c r="P135" s="186">
        <v>22129.3</v>
      </c>
      <c r="Q135" s="79">
        <f t="shared" si="3"/>
        <v>0</v>
      </c>
    </row>
    <row r="136" spans="1:18" s="13" customFormat="1" ht="15.75" x14ac:dyDescent="0.25">
      <c r="A136" s="10"/>
      <c r="B136" s="62" t="s">
        <v>80</v>
      </c>
      <c r="C136" s="181" t="s">
        <v>17</v>
      </c>
      <c r="D136" s="182"/>
      <c r="E136" s="183" t="s">
        <v>81</v>
      </c>
      <c r="F136" s="73" t="s">
        <v>417</v>
      </c>
      <c r="G136" s="74" t="s">
        <v>112</v>
      </c>
      <c r="H136" s="75"/>
      <c r="I136" s="76"/>
      <c r="J136" s="96"/>
      <c r="K136" s="77">
        <f>749.19+8649.27</f>
        <v>9398.4600000000009</v>
      </c>
      <c r="L136" s="77">
        <f>749.19+8649.27</f>
        <v>9398.4600000000009</v>
      </c>
      <c r="M136" s="78">
        <f>K136-L136</f>
        <v>0</v>
      </c>
      <c r="N136" s="100">
        <f>2+2</f>
        <v>4</v>
      </c>
      <c r="O136" s="81">
        <f>3040.94</f>
        <v>3040.94</v>
      </c>
      <c r="P136" s="81">
        <f>3040.94</f>
        <v>3040.94</v>
      </c>
      <c r="Q136" s="188">
        <f t="shared" si="3"/>
        <v>0</v>
      </c>
      <c r="R136" s="141"/>
    </row>
    <row r="137" spans="1:18" s="13" customFormat="1" ht="15.75" x14ac:dyDescent="0.25">
      <c r="A137" s="10"/>
      <c r="B137" s="62" t="s">
        <v>80</v>
      </c>
      <c r="C137" s="181" t="s">
        <v>17</v>
      </c>
      <c r="D137" s="182"/>
      <c r="E137" s="183" t="s">
        <v>81</v>
      </c>
      <c r="F137" s="73" t="s">
        <v>285</v>
      </c>
      <c r="G137" s="184" t="s">
        <v>114</v>
      </c>
      <c r="H137" s="181"/>
      <c r="I137" s="185"/>
      <c r="J137" s="190"/>
      <c r="K137" s="77">
        <v>2113.1</v>
      </c>
      <c r="L137" s="77">
        <v>2113.1</v>
      </c>
      <c r="M137" s="78">
        <f t="shared" si="4"/>
        <v>0</v>
      </c>
      <c r="N137" s="100">
        <v>23</v>
      </c>
      <c r="O137" s="186">
        <v>47615.74</v>
      </c>
      <c r="P137" s="186">
        <v>47615.74</v>
      </c>
      <c r="Q137" s="188">
        <f t="shared" si="3"/>
        <v>0</v>
      </c>
    </row>
    <row r="138" spans="1:18" s="13" customFormat="1" ht="15.75" x14ac:dyDescent="0.25">
      <c r="A138" s="10"/>
      <c r="B138" s="30" t="s">
        <v>82</v>
      </c>
      <c r="C138" s="181" t="s">
        <v>17</v>
      </c>
      <c r="D138" s="182"/>
      <c r="E138" s="183" t="s">
        <v>20</v>
      </c>
      <c r="F138" s="73" t="s">
        <v>394</v>
      </c>
      <c r="G138" s="74" t="s">
        <v>112</v>
      </c>
      <c r="H138" s="75">
        <v>10</v>
      </c>
      <c r="I138" s="76">
        <v>8</v>
      </c>
      <c r="J138" s="96">
        <f>4+3+2</f>
        <v>9</v>
      </c>
      <c r="K138" s="77">
        <f>7750.47</f>
        <v>7750.47</v>
      </c>
      <c r="L138" s="77">
        <f>7750.47</f>
        <v>7750.47</v>
      </c>
      <c r="M138" s="78">
        <f>K138-L138</f>
        <v>0</v>
      </c>
      <c r="N138" s="100">
        <f>3+5+1+1</f>
        <v>10</v>
      </c>
      <c r="O138" s="81">
        <f>5975.84+23579.15+1426.34</f>
        <v>30981.33</v>
      </c>
      <c r="P138" s="81">
        <f>5975.84+23579.15+1426.34</f>
        <v>30981.33</v>
      </c>
      <c r="Q138" s="188">
        <f t="shared" si="3"/>
        <v>0</v>
      </c>
      <c r="R138" s="141"/>
    </row>
    <row r="139" spans="1:18" s="13" customFormat="1" ht="15.75" x14ac:dyDescent="0.25">
      <c r="A139" s="10"/>
      <c r="B139" s="30" t="s">
        <v>82</v>
      </c>
      <c r="C139" s="181" t="s">
        <v>17</v>
      </c>
      <c r="D139" s="182"/>
      <c r="E139" s="183" t="s">
        <v>20</v>
      </c>
      <c r="F139" s="73" t="s">
        <v>463</v>
      </c>
      <c r="G139" s="184" t="s">
        <v>114</v>
      </c>
      <c r="H139" s="181">
        <v>15</v>
      </c>
      <c r="I139" s="185">
        <v>3</v>
      </c>
      <c r="J139" s="190">
        <v>3</v>
      </c>
      <c r="K139" s="77">
        <v>5378.8</v>
      </c>
      <c r="L139" s="77">
        <v>5378.8</v>
      </c>
      <c r="M139" s="78">
        <f t="shared" si="4"/>
        <v>0</v>
      </c>
      <c r="N139" s="100">
        <v>13</v>
      </c>
      <c r="O139" s="186">
        <v>40552.51</v>
      </c>
      <c r="P139" s="186">
        <v>31523.81</v>
      </c>
      <c r="Q139" s="188">
        <f t="shared" si="3"/>
        <v>9028.7000000000007</v>
      </c>
    </row>
    <row r="140" spans="1:18" s="13" customFormat="1" ht="15.75" x14ac:dyDescent="0.25">
      <c r="A140" s="10"/>
      <c r="B140" s="30" t="s">
        <v>309</v>
      </c>
      <c r="C140" s="181"/>
      <c r="D140" s="182"/>
      <c r="E140" s="183" t="s">
        <v>20</v>
      </c>
      <c r="F140" s="73" t="s">
        <v>391</v>
      </c>
      <c r="G140" s="184" t="s">
        <v>112</v>
      </c>
      <c r="H140" s="181">
        <v>13</v>
      </c>
      <c r="I140" s="185">
        <v>5</v>
      </c>
      <c r="J140" s="190">
        <f>1+5</f>
        <v>6</v>
      </c>
      <c r="K140" s="77">
        <f>3606.1+3402.77</f>
        <v>7008.87</v>
      </c>
      <c r="L140" s="77">
        <f>3606.1+3402.77</f>
        <v>7008.87</v>
      </c>
      <c r="M140" s="78">
        <f t="shared" si="4"/>
        <v>0</v>
      </c>
      <c r="N140" s="100">
        <f>1+5+1+3</f>
        <v>10</v>
      </c>
      <c r="O140" s="186">
        <f>3088.97+13147.65+1267.86+5955.71</f>
        <v>23460.19</v>
      </c>
      <c r="P140" s="186">
        <f>3088.97+13147.65+1267.86+5955.71</f>
        <v>23460.19</v>
      </c>
      <c r="Q140" s="188">
        <f t="shared" si="3"/>
        <v>0</v>
      </c>
      <c r="R140" s="141"/>
    </row>
    <row r="141" spans="1:18" s="13" customFormat="1" ht="15.75" x14ac:dyDescent="0.25">
      <c r="A141" s="10"/>
      <c r="B141" s="30" t="s">
        <v>152</v>
      </c>
      <c r="C141" s="181" t="s">
        <v>17</v>
      </c>
      <c r="D141" s="182"/>
      <c r="E141" s="183" t="s">
        <v>35</v>
      </c>
      <c r="F141" s="73" t="s">
        <v>392</v>
      </c>
      <c r="G141" s="74" t="s">
        <v>112</v>
      </c>
      <c r="H141" s="75">
        <v>7</v>
      </c>
      <c r="I141" s="76">
        <v>6</v>
      </c>
      <c r="J141" s="96">
        <f>1+1+2+1+1</f>
        <v>6</v>
      </c>
      <c r="K141" s="77">
        <f>403.41+845.24+2113.1</f>
        <v>3361.75</v>
      </c>
      <c r="L141" s="77">
        <f>403.41+845.24+2113.1</f>
        <v>3361.75</v>
      </c>
      <c r="M141" s="78">
        <f t="shared" si="4"/>
        <v>0</v>
      </c>
      <c r="N141" s="100">
        <f>2+2+2+1+1+1</f>
        <v>9</v>
      </c>
      <c r="O141" s="81">
        <f>1690.48+3050.26+3661.61+4648.82+1267.86+1690.48+9282.42+4052.53</f>
        <v>29344.46</v>
      </c>
      <c r="P141" s="81">
        <f>1690.48+3050.26+3661.61+4648.82+1267.86+1690.48+9282.42+4052.53</f>
        <v>29344.46</v>
      </c>
      <c r="Q141" s="188">
        <f t="shared" si="3"/>
        <v>0</v>
      </c>
      <c r="R141" s="141"/>
    </row>
    <row r="142" spans="1:18" s="13" customFormat="1" ht="15.75" x14ac:dyDescent="0.25">
      <c r="A142" s="10"/>
      <c r="B142" s="30" t="s">
        <v>152</v>
      </c>
      <c r="C142" s="181" t="s">
        <v>17</v>
      </c>
      <c r="D142" s="182"/>
      <c r="E142" s="183" t="s">
        <v>32</v>
      </c>
      <c r="F142" s="73"/>
      <c r="G142" s="184" t="s">
        <v>117</v>
      </c>
      <c r="H142" s="181"/>
      <c r="I142" s="185"/>
      <c r="J142" s="96"/>
      <c r="K142" s="77"/>
      <c r="L142" s="77"/>
      <c r="M142" s="78">
        <f t="shared" si="4"/>
        <v>0</v>
      </c>
      <c r="N142" s="100"/>
      <c r="O142" s="186"/>
      <c r="P142" s="186"/>
      <c r="Q142" s="79">
        <f t="shared" si="3"/>
        <v>0</v>
      </c>
    </row>
    <row r="143" spans="1:18" s="13" customFormat="1" ht="15.75" x14ac:dyDescent="0.25">
      <c r="A143" s="10"/>
      <c r="B143" s="30" t="s">
        <v>83</v>
      </c>
      <c r="C143" s="181" t="s">
        <v>17</v>
      </c>
      <c r="D143" s="182"/>
      <c r="E143" s="183" t="s">
        <v>20</v>
      </c>
      <c r="F143" s="73" t="s">
        <v>393</v>
      </c>
      <c r="G143" s="74" t="s">
        <v>112</v>
      </c>
      <c r="H143" s="75">
        <v>12</v>
      </c>
      <c r="I143" s="76">
        <v>6</v>
      </c>
      <c r="J143" s="96">
        <f>1+1+2+1+1+1</f>
        <v>7</v>
      </c>
      <c r="K143" s="77">
        <f>768.4+2535.72+845.24+14407.5</f>
        <v>18556.86</v>
      </c>
      <c r="L143" s="77">
        <f>768.4+2535.72+845.24+14407.5</f>
        <v>18556.86</v>
      </c>
      <c r="M143" s="78">
        <f>K143-L143</f>
        <v>0</v>
      </c>
      <c r="N143" s="100">
        <f>1+2+1+1+1+2</f>
        <v>8</v>
      </c>
      <c r="O143" s="81">
        <f>5837.09+1922.92+4288.54+1686.25</f>
        <v>13734.8</v>
      </c>
      <c r="P143" s="81">
        <f>5837.09+1922.92+4288.54+1686.25</f>
        <v>13734.8</v>
      </c>
      <c r="Q143" s="188">
        <f t="shared" si="3"/>
        <v>0</v>
      </c>
      <c r="R143" s="141"/>
    </row>
    <row r="144" spans="1:18" s="13" customFormat="1" ht="15.75" x14ac:dyDescent="0.25">
      <c r="A144" s="10"/>
      <c r="B144" s="30" t="s">
        <v>83</v>
      </c>
      <c r="C144" s="181" t="s">
        <v>17</v>
      </c>
      <c r="D144" s="182"/>
      <c r="E144" s="183" t="s">
        <v>20</v>
      </c>
      <c r="F144" s="73" t="s">
        <v>464</v>
      </c>
      <c r="G144" s="184" t="s">
        <v>114</v>
      </c>
      <c r="H144" s="181">
        <v>25</v>
      </c>
      <c r="I144" s="185">
        <v>3</v>
      </c>
      <c r="J144" s="190">
        <v>3</v>
      </c>
      <c r="K144" s="77">
        <v>5494.06</v>
      </c>
      <c r="L144" s="77">
        <v>5494.06</v>
      </c>
      <c r="M144" s="78">
        <f t="shared" si="4"/>
        <v>0</v>
      </c>
      <c r="N144" s="100">
        <v>26</v>
      </c>
      <c r="O144" s="186">
        <v>77239.070000000007</v>
      </c>
      <c r="P144" s="186">
        <v>77239.070000000007</v>
      </c>
      <c r="Q144" s="188">
        <f t="shared" si="3"/>
        <v>0</v>
      </c>
    </row>
    <row r="145" spans="1:18" s="13" customFormat="1" ht="15.75" x14ac:dyDescent="0.25">
      <c r="A145" s="10"/>
      <c r="B145" s="30" t="s">
        <v>310</v>
      </c>
      <c r="C145" s="181" t="s">
        <v>17</v>
      </c>
      <c r="D145" s="182"/>
      <c r="E145" s="183" t="s">
        <v>20</v>
      </c>
      <c r="F145" s="73"/>
      <c r="G145" s="184" t="s">
        <v>114</v>
      </c>
      <c r="H145" s="181"/>
      <c r="I145" s="185"/>
      <c r="J145" s="190"/>
      <c r="K145" s="77"/>
      <c r="L145" s="77"/>
      <c r="M145" s="78"/>
      <c r="N145" s="100"/>
      <c r="O145" s="186"/>
      <c r="P145" s="186"/>
      <c r="Q145" s="188">
        <f t="shared" si="3"/>
        <v>0</v>
      </c>
    </row>
    <row r="146" spans="1:18" s="13" customFormat="1" ht="15.75" x14ac:dyDescent="0.25">
      <c r="A146" s="10"/>
      <c r="B146" s="30" t="s">
        <v>84</v>
      </c>
      <c r="C146" s="181" t="s">
        <v>17</v>
      </c>
      <c r="D146" s="182"/>
      <c r="E146" s="183" t="s">
        <v>20</v>
      </c>
      <c r="F146" s="73" t="s">
        <v>287</v>
      </c>
      <c r="G146" s="184" t="s">
        <v>114</v>
      </c>
      <c r="H146" s="181"/>
      <c r="I146" s="185"/>
      <c r="J146" s="190"/>
      <c r="K146" s="77"/>
      <c r="L146" s="77"/>
      <c r="M146" s="187">
        <f t="shared" si="4"/>
        <v>0</v>
      </c>
      <c r="N146" s="100"/>
      <c r="O146" s="186"/>
      <c r="P146" s="186"/>
      <c r="Q146" s="188">
        <f t="shared" si="3"/>
        <v>0</v>
      </c>
    </row>
    <row r="147" spans="1:18" s="13" customFormat="1" ht="45" x14ac:dyDescent="0.25">
      <c r="A147" s="10"/>
      <c r="B147" s="30" t="s">
        <v>85</v>
      </c>
      <c r="C147" s="181" t="s">
        <v>304</v>
      </c>
      <c r="D147" s="182" t="s">
        <v>415</v>
      </c>
      <c r="E147" s="183" t="s">
        <v>20</v>
      </c>
      <c r="F147" s="73" t="s">
        <v>395</v>
      </c>
      <c r="G147" s="74" t="s">
        <v>112</v>
      </c>
      <c r="H147" s="75">
        <v>14</v>
      </c>
      <c r="I147" s="76">
        <v>4</v>
      </c>
      <c r="J147" s="96">
        <f>2</f>
        <v>2</v>
      </c>
      <c r="K147" s="77">
        <f>4800.58</f>
        <v>4800.58</v>
      </c>
      <c r="L147" s="77">
        <f>4800.58</f>
        <v>4800.58</v>
      </c>
      <c r="M147" s="78">
        <f t="shared" si="4"/>
        <v>0</v>
      </c>
      <c r="N147" s="100">
        <f>2</f>
        <v>2</v>
      </c>
      <c r="O147" s="81">
        <f>3917.73+8936.21</f>
        <v>12853.939999999999</v>
      </c>
      <c r="P147" s="81">
        <f>3917.73+8936.21</f>
        <v>12853.939999999999</v>
      </c>
      <c r="Q147" s="79">
        <f t="shared" si="3"/>
        <v>0</v>
      </c>
      <c r="R147" s="141"/>
    </row>
    <row r="148" spans="1:18" s="13" customFormat="1" ht="15.75" x14ac:dyDescent="0.25">
      <c r="A148" s="10"/>
      <c r="B148" s="27" t="s">
        <v>86</v>
      </c>
      <c r="C148" s="181" t="s">
        <v>17</v>
      </c>
      <c r="D148" s="182"/>
      <c r="E148" s="194" t="s">
        <v>20</v>
      </c>
      <c r="F148" s="73" t="s">
        <v>396</v>
      </c>
      <c r="G148" s="74" t="s">
        <v>112</v>
      </c>
      <c r="H148" s="75">
        <v>10</v>
      </c>
      <c r="I148" s="76">
        <v>8</v>
      </c>
      <c r="J148" s="96">
        <f>1+3+1+7+2</f>
        <v>14</v>
      </c>
      <c r="K148" s="77">
        <f>950.9+5134.06+2091.97+528.03+8954.46+5719.74</f>
        <v>23379.159999999996</v>
      </c>
      <c r="L148" s="77">
        <f>950.9+5134.06+2091.97+528.03+8954.46</f>
        <v>17659.419999999998</v>
      </c>
      <c r="M148" s="78">
        <f t="shared" si="4"/>
        <v>5719.739999999998</v>
      </c>
      <c r="N148" s="100">
        <f>15+4+2+1+2</f>
        <v>24</v>
      </c>
      <c r="O148" s="81">
        <f>30236.61+18366.75+8887.09+1077.68+8961.95</f>
        <v>67530.080000000002</v>
      </c>
      <c r="P148" s="81">
        <f>30236.61+18366.75+8887.09+1077.68</f>
        <v>58568.13</v>
      </c>
      <c r="Q148" s="188">
        <f t="shared" si="3"/>
        <v>8961.9500000000044</v>
      </c>
      <c r="R148" s="141"/>
    </row>
    <row r="149" spans="1:18" s="13" customFormat="1" ht="15.75" x14ac:dyDescent="0.25">
      <c r="A149" s="10"/>
      <c r="B149" s="27" t="s">
        <v>86</v>
      </c>
      <c r="C149" s="181" t="s">
        <v>17</v>
      </c>
      <c r="D149" s="182"/>
      <c r="E149" s="194" t="s">
        <v>20</v>
      </c>
      <c r="F149" s="73" t="s">
        <v>465</v>
      </c>
      <c r="G149" s="184" t="s">
        <v>114</v>
      </c>
      <c r="H149" s="181">
        <v>2</v>
      </c>
      <c r="I149" s="185"/>
      <c r="J149" s="190"/>
      <c r="K149" s="77"/>
      <c r="L149" s="77"/>
      <c r="M149" s="78">
        <f t="shared" si="4"/>
        <v>0</v>
      </c>
      <c r="N149" s="100">
        <v>9</v>
      </c>
      <c r="O149" s="186">
        <v>15209.53</v>
      </c>
      <c r="P149" s="186">
        <v>15209.53</v>
      </c>
      <c r="Q149" s="188">
        <f t="shared" si="3"/>
        <v>0</v>
      </c>
    </row>
    <row r="150" spans="1:18" s="13" customFormat="1" ht="15.75" x14ac:dyDescent="0.25">
      <c r="A150" s="10"/>
      <c r="B150" s="62" t="s">
        <v>312</v>
      </c>
      <c r="C150" s="181" t="s">
        <v>17</v>
      </c>
      <c r="D150" s="182"/>
      <c r="E150" s="194" t="s">
        <v>20</v>
      </c>
      <c r="F150" s="73" t="s">
        <v>320</v>
      </c>
      <c r="G150" s="74" t="s">
        <v>112</v>
      </c>
      <c r="H150" s="75">
        <v>12</v>
      </c>
      <c r="I150" s="76">
        <v>5</v>
      </c>
      <c r="J150" s="96">
        <f>1+1+1+2</f>
        <v>5</v>
      </c>
      <c r="K150" s="77">
        <f>3319.49+845.24+4965.79</f>
        <v>9130.52</v>
      </c>
      <c r="L150" s="77">
        <f>3319.49+845.24</f>
        <v>4164.7299999999996</v>
      </c>
      <c r="M150" s="78">
        <f t="shared" si="4"/>
        <v>4965.7900000000009</v>
      </c>
      <c r="N150" s="100">
        <f>5+6+1+1</f>
        <v>13</v>
      </c>
      <c r="O150" s="81">
        <f>4226.2+6627.45+4360.59</f>
        <v>15214.24</v>
      </c>
      <c r="P150" s="81">
        <f>4226.2+6627.45</f>
        <v>10853.65</v>
      </c>
      <c r="Q150" s="188"/>
      <c r="R150" s="141"/>
    </row>
    <row r="151" spans="1:18" s="13" customFormat="1" ht="15.75" x14ac:dyDescent="0.25">
      <c r="A151" s="10"/>
      <c r="B151" s="62" t="s">
        <v>494</v>
      </c>
      <c r="C151" s="181" t="s">
        <v>17</v>
      </c>
      <c r="D151" s="182"/>
      <c r="E151" s="194" t="s">
        <v>20</v>
      </c>
      <c r="F151" s="73" t="s">
        <v>497</v>
      </c>
      <c r="G151" s="74" t="s">
        <v>112</v>
      </c>
      <c r="H151" s="75">
        <v>9</v>
      </c>
      <c r="I151" s="76">
        <v>4</v>
      </c>
      <c r="J151" s="96">
        <f>1+1+1+1</f>
        <v>4</v>
      </c>
      <c r="K151" s="77">
        <f>3379+5494.06+576.3</f>
        <v>9449.36</v>
      </c>
      <c r="L151" s="77">
        <f>3379+5494.06</f>
        <v>8873.0600000000013</v>
      </c>
      <c r="M151" s="78">
        <f t="shared" si="4"/>
        <v>576.29999999999927</v>
      </c>
      <c r="N151" s="100"/>
      <c r="O151" s="81"/>
      <c r="P151" s="81"/>
      <c r="Q151" s="188"/>
      <c r="R151" s="141"/>
    </row>
    <row r="152" spans="1:18" s="13" customFormat="1" ht="15.75" x14ac:dyDescent="0.25">
      <c r="A152" s="10"/>
      <c r="B152" s="62" t="s">
        <v>494</v>
      </c>
      <c r="C152" s="181" t="s">
        <v>17</v>
      </c>
      <c r="D152" s="182"/>
      <c r="E152" s="194" t="s">
        <v>20</v>
      </c>
      <c r="F152" s="73" t="s">
        <v>507</v>
      </c>
      <c r="G152" s="74" t="s">
        <v>114</v>
      </c>
      <c r="H152" s="75">
        <v>24</v>
      </c>
      <c r="I152" s="76"/>
      <c r="J152" s="96"/>
      <c r="K152" s="77"/>
      <c r="L152" s="77"/>
      <c r="M152" s="187"/>
      <c r="N152" s="100"/>
      <c r="O152" s="81"/>
      <c r="P152" s="81"/>
      <c r="Q152" s="188">
        <f t="shared" ref="Q152:Q195" si="5">O152-P152</f>
        <v>0</v>
      </c>
      <c r="R152" s="141"/>
    </row>
    <row r="153" spans="1:18" s="13" customFormat="1" ht="15.75" x14ac:dyDescent="0.25">
      <c r="A153" s="10"/>
      <c r="B153" s="30" t="s">
        <v>88</v>
      </c>
      <c r="C153" s="181" t="s">
        <v>17</v>
      </c>
      <c r="D153" s="182"/>
      <c r="E153" s="183" t="s">
        <v>89</v>
      </c>
      <c r="F153" s="73" t="s">
        <v>397</v>
      </c>
      <c r="G153" s="74" t="s">
        <v>112</v>
      </c>
      <c r="H153" s="75">
        <v>8</v>
      </c>
      <c r="I153" s="76">
        <v>5</v>
      </c>
      <c r="J153" s="96">
        <f>1+3+1</f>
        <v>5</v>
      </c>
      <c r="K153" s="77">
        <f>4226.2+2394.91+6485.1+556.71</f>
        <v>13662.919999999998</v>
      </c>
      <c r="L153" s="77">
        <f>4226.2+2394.91+6485.1+556.71</f>
        <v>13662.919999999998</v>
      </c>
      <c r="M153" s="78">
        <f>K153-L153</f>
        <v>0</v>
      </c>
      <c r="N153" s="100">
        <f>4+1+3+1+2+2+1+1+2</f>
        <v>17</v>
      </c>
      <c r="O153" s="81">
        <f>11967.83+2831.55+10544.37+9418.99+3799.13+1798.04+2548.4-12193.52+4083.77</f>
        <v>34798.559999999998</v>
      </c>
      <c r="P153" s="81">
        <f>11967.83+2831.55+10544.37+9418.99+3799.13+1798.04+2548.4-12193.52</f>
        <v>30714.789999999997</v>
      </c>
      <c r="Q153" s="79">
        <f t="shared" si="5"/>
        <v>4083.7700000000004</v>
      </c>
      <c r="R153" s="141"/>
    </row>
    <row r="154" spans="1:18" s="13" customFormat="1" ht="15.75" x14ac:dyDescent="0.25">
      <c r="A154" s="10"/>
      <c r="B154" s="30" t="s">
        <v>88</v>
      </c>
      <c r="C154" s="181" t="s">
        <v>17</v>
      </c>
      <c r="D154" s="182"/>
      <c r="E154" s="183" t="s">
        <v>89</v>
      </c>
      <c r="F154" s="73" t="s">
        <v>442</v>
      </c>
      <c r="G154" s="184" t="s">
        <v>118</v>
      </c>
      <c r="H154" s="181">
        <v>1</v>
      </c>
      <c r="I154" s="185"/>
      <c r="J154" s="96"/>
      <c r="K154" s="77"/>
      <c r="L154" s="77"/>
      <c r="M154" s="187">
        <f t="shared" si="4"/>
        <v>0</v>
      </c>
      <c r="N154" s="100">
        <v>3</v>
      </c>
      <c r="O154" s="186">
        <v>11020.82</v>
      </c>
      <c r="P154" s="186">
        <v>11020.82</v>
      </c>
      <c r="Q154" s="188">
        <f t="shared" si="5"/>
        <v>0</v>
      </c>
    </row>
    <row r="155" spans="1:18" s="13" customFormat="1" ht="15.75" x14ac:dyDescent="0.25">
      <c r="A155" s="10"/>
      <c r="B155" s="30" t="s">
        <v>88</v>
      </c>
      <c r="C155" s="181" t="s">
        <v>17</v>
      </c>
      <c r="D155" s="182"/>
      <c r="E155" s="194" t="s">
        <v>505</v>
      </c>
      <c r="F155" s="73" t="s">
        <v>506</v>
      </c>
      <c r="G155" s="184" t="s">
        <v>114</v>
      </c>
      <c r="H155" s="181">
        <v>5</v>
      </c>
      <c r="I155" s="185"/>
      <c r="J155" s="96"/>
      <c r="K155" s="77"/>
      <c r="L155" s="77"/>
      <c r="M155" s="187"/>
      <c r="N155" s="100"/>
      <c r="O155" s="186"/>
      <c r="P155" s="186"/>
      <c r="Q155" s="188">
        <f t="shared" si="5"/>
        <v>0</v>
      </c>
    </row>
    <row r="156" spans="1:18" s="13" customFormat="1" ht="15.75" x14ac:dyDescent="0.25">
      <c r="A156" s="10"/>
      <c r="B156" s="30" t="s">
        <v>90</v>
      </c>
      <c r="C156" s="181" t="s">
        <v>17</v>
      </c>
      <c r="D156" s="182"/>
      <c r="E156" s="194" t="s">
        <v>20</v>
      </c>
      <c r="F156" s="73" t="s">
        <v>398</v>
      </c>
      <c r="G156" s="74" t="s">
        <v>112</v>
      </c>
      <c r="H156" s="75">
        <v>8</v>
      </c>
      <c r="I156" s="76">
        <v>5</v>
      </c>
      <c r="J156" s="96">
        <f>1+1+1+4</f>
        <v>7</v>
      </c>
      <c r="K156" s="77">
        <f>422.62+4662.44</f>
        <v>5085.0599999999995</v>
      </c>
      <c r="L156" s="77">
        <f>422.62+4662.44</f>
        <v>5085.0599999999995</v>
      </c>
      <c r="M156" s="78">
        <f>K156-L156</f>
        <v>0</v>
      </c>
      <c r="N156" s="100">
        <f>1+1+1+1+2</f>
        <v>6</v>
      </c>
      <c r="O156" s="81">
        <f>2122.67+787.61+15453.48</f>
        <v>18363.759999999998</v>
      </c>
      <c r="P156" s="81">
        <f>2122.67+787.61+15453.48</f>
        <v>18363.759999999998</v>
      </c>
      <c r="Q156" s="79">
        <f t="shared" si="5"/>
        <v>0</v>
      </c>
      <c r="R156" s="141"/>
    </row>
    <row r="157" spans="1:18" s="13" customFormat="1" ht="15.75" x14ac:dyDescent="0.25">
      <c r="A157" s="10"/>
      <c r="B157" s="30" t="s">
        <v>90</v>
      </c>
      <c r="C157" s="181" t="s">
        <v>17</v>
      </c>
      <c r="D157" s="182"/>
      <c r="E157" s="194" t="s">
        <v>20</v>
      </c>
      <c r="F157" s="73" t="s">
        <v>466</v>
      </c>
      <c r="G157" s="184" t="s">
        <v>114</v>
      </c>
      <c r="H157" s="181">
        <v>14</v>
      </c>
      <c r="I157" s="185">
        <v>3</v>
      </c>
      <c r="J157" s="190">
        <v>3</v>
      </c>
      <c r="K157" s="77">
        <v>3265.7</v>
      </c>
      <c r="L157" s="77">
        <v>3265.7</v>
      </c>
      <c r="M157" s="78">
        <f t="shared" si="4"/>
        <v>0</v>
      </c>
      <c r="N157" s="100">
        <v>23</v>
      </c>
      <c r="O157" s="186">
        <v>77320.7</v>
      </c>
      <c r="P157" s="186">
        <v>71672.960000000006</v>
      </c>
      <c r="Q157" s="188">
        <f t="shared" si="5"/>
        <v>5647.7399999999907</v>
      </c>
    </row>
    <row r="158" spans="1:18" s="13" customFormat="1" ht="15.75" x14ac:dyDescent="0.25">
      <c r="A158" s="10"/>
      <c r="B158" s="30" t="s">
        <v>91</v>
      </c>
      <c r="C158" s="181" t="s">
        <v>17</v>
      </c>
      <c r="D158" s="182"/>
      <c r="E158" s="194" t="s">
        <v>20</v>
      </c>
      <c r="F158" s="73" t="s">
        <v>399</v>
      </c>
      <c r="G158" s="74" t="s">
        <v>112</v>
      </c>
      <c r="H158" s="75"/>
      <c r="I158" s="76"/>
      <c r="J158" s="96"/>
      <c r="K158" s="77"/>
      <c r="L158" s="77"/>
      <c r="M158" s="78">
        <f>K158-L158</f>
        <v>0</v>
      </c>
      <c r="N158" s="100"/>
      <c r="O158" s="81"/>
      <c r="P158" s="81"/>
      <c r="Q158" s="79">
        <f t="shared" si="5"/>
        <v>0</v>
      </c>
      <c r="R158" s="141"/>
    </row>
    <row r="159" spans="1:18" s="13" customFormat="1" ht="15.75" x14ac:dyDescent="0.25">
      <c r="A159" s="10"/>
      <c r="B159" s="62" t="s">
        <v>138</v>
      </c>
      <c r="C159" s="181" t="s">
        <v>17</v>
      </c>
      <c r="D159" s="182"/>
      <c r="E159" s="194" t="s">
        <v>20</v>
      </c>
      <c r="F159" s="73" t="s">
        <v>467</v>
      </c>
      <c r="G159" s="184" t="s">
        <v>114</v>
      </c>
      <c r="H159" s="181">
        <v>6</v>
      </c>
      <c r="I159" s="185">
        <v>1</v>
      </c>
      <c r="J159" s="190">
        <v>1</v>
      </c>
      <c r="K159" s="193"/>
      <c r="L159" s="193"/>
      <c r="M159" s="78">
        <f t="shared" si="4"/>
        <v>0</v>
      </c>
      <c r="N159" s="114">
        <v>6</v>
      </c>
      <c r="O159" s="186">
        <v>12214.4</v>
      </c>
      <c r="P159" s="186">
        <v>6259.3</v>
      </c>
      <c r="Q159" s="188">
        <f t="shared" si="5"/>
        <v>5955.0999999999995</v>
      </c>
    </row>
    <row r="160" spans="1:18" s="13" customFormat="1" ht="15.75" x14ac:dyDescent="0.25">
      <c r="A160" s="10"/>
      <c r="B160" s="62" t="s">
        <v>138</v>
      </c>
      <c r="C160" s="181" t="s">
        <v>17</v>
      </c>
      <c r="D160" s="182"/>
      <c r="E160" s="194" t="s">
        <v>20</v>
      </c>
      <c r="F160" s="73" t="s">
        <v>400</v>
      </c>
      <c r="G160" s="74" t="s">
        <v>112</v>
      </c>
      <c r="H160" s="75">
        <v>9</v>
      </c>
      <c r="I160" s="82">
        <v>4</v>
      </c>
      <c r="J160" s="96">
        <f>3+1+1</f>
        <v>5</v>
      </c>
      <c r="K160" s="77">
        <f>2224.52+9639.33</f>
        <v>11863.85</v>
      </c>
      <c r="L160" s="77">
        <f>2224.52</f>
        <v>2224.52</v>
      </c>
      <c r="M160" s="78">
        <f t="shared" si="4"/>
        <v>9639.33</v>
      </c>
      <c r="N160" s="100">
        <f>5+4</f>
        <v>9</v>
      </c>
      <c r="O160" s="81">
        <f>8995.87+8641.99</f>
        <v>17637.86</v>
      </c>
      <c r="P160" s="81">
        <f>8995.87+8641.99</f>
        <v>17637.86</v>
      </c>
      <c r="Q160" s="79">
        <f t="shared" si="5"/>
        <v>0</v>
      </c>
      <c r="R160" s="141"/>
    </row>
    <row r="161" spans="1:18" s="13" customFormat="1" ht="15.75" x14ac:dyDescent="0.25">
      <c r="A161" s="10"/>
      <c r="B161" s="62" t="s">
        <v>157</v>
      </c>
      <c r="C161" s="181" t="s">
        <v>17</v>
      </c>
      <c r="D161" s="182"/>
      <c r="E161" s="194" t="s">
        <v>20</v>
      </c>
      <c r="F161" s="73" t="s">
        <v>401</v>
      </c>
      <c r="G161" s="74" t="s">
        <v>112</v>
      </c>
      <c r="H161" s="75">
        <v>10</v>
      </c>
      <c r="I161" s="82"/>
      <c r="J161" s="96"/>
      <c r="K161" s="77"/>
      <c r="L161" s="77"/>
      <c r="M161" s="78">
        <f t="shared" ref="M161:M193" si="6">K161-L161</f>
        <v>0</v>
      </c>
      <c r="N161" s="100"/>
      <c r="O161" s="81"/>
      <c r="P161" s="81"/>
      <c r="Q161" s="188">
        <f t="shared" si="5"/>
        <v>0</v>
      </c>
      <c r="R161" s="141"/>
    </row>
    <row r="162" spans="1:18" s="13" customFormat="1" ht="15.75" x14ac:dyDescent="0.25">
      <c r="A162" s="10"/>
      <c r="B162" s="62" t="s">
        <v>157</v>
      </c>
      <c r="C162" s="181" t="s">
        <v>17</v>
      </c>
      <c r="D162" s="182"/>
      <c r="E162" s="194" t="s">
        <v>20</v>
      </c>
      <c r="F162" s="73"/>
      <c r="G162" s="184" t="s">
        <v>114</v>
      </c>
      <c r="H162" s="181"/>
      <c r="I162" s="185"/>
      <c r="J162" s="190"/>
      <c r="K162" s="193"/>
      <c r="L162" s="193"/>
      <c r="M162" s="187">
        <f t="shared" si="6"/>
        <v>0</v>
      </c>
      <c r="N162" s="114"/>
      <c r="O162" s="186"/>
      <c r="P162" s="186"/>
      <c r="Q162" s="188">
        <f t="shared" si="5"/>
        <v>0</v>
      </c>
    </row>
    <row r="163" spans="1:18" s="15" customFormat="1" ht="15.75" x14ac:dyDescent="0.25">
      <c r="A163" s="14"/>
      <c r="B163" s="80" t="s">
        <v>92</v>
      </c>
      <c r="C163" s="181" t="s">
        <v>17</v>
      </c>
      <c r="D163" s="182"/>
      <c r="E163" s="194" t="s">
        <v>20</v>
      </c>
      <c r="F163" s="73" t="s">
        <v>402</v>
      </c>
      <c r="G163" s="74" t="s">
        <v>112</v>
      </c>
      <c r="H163" s="75">
        <v>8</v>
      </c>
      <c r="I163" s="76">
        <v>8</v>
      </c>
      <c r="J163" s="96">
        <f>1+2+5</f>
        <v>8</v>
      </c>
      <c r="K163" s="77">
        <f>1951.74+1335.1</f>
        <v>3286.84</v>
      </c>
      <c r="L163" s="77">
        <f>1951.74+1335.1</f>
        <v>3286.84</v>
      </c>
      <c r="M163" s="78">
        <f>K163-L163</f>
        <v>0</v>
      </c>
      <c r="N163" s="100">
        <f>4+1+1</f>
        <v>6</v>
      </c>
      <c r="O163" s="81">
        <f>12624.74+2697.06+1225.93</f>
        <v>16547.73</v>
      </c>
      <c r="P163" s="81">
        <f>12624.74+2697.06+1225.93</f>
        <v>16547.73</v>
      </c>
      <c r="Q163" s="188">
        <f t="shared" si="5"/>
        <v>0</v>
      </c>
      <c r="R163" s="141"/>
    </row>
    <row r="164" spans="1:18" s="15" customFormat="1" ht="15.75" x14ac:dyDescent="0.25">
      <c r="A164" s="14"/>
      <c r="B164" s="80" t="s">
        <v>92</v>
      </c>
      <c r="C164" s="181" t="s">
        <v>17</v>
      </c>
      <c r="D164" s="182"/>
      <c r="E164" s="194" t="s">
        <v>20</v>
      </c>
      <c r="F164" s="73" t="s">
        <v>129</v>
      </c>
      <c r="G164" s="184" t="s">
        <v>114</v>
      </c>
      <c r="H164" s="181"/>
      <c r="I164" s="185"/>
      <c r="J164" s="190"/>
      <c r="K164" s="77"/>
      <c r="L164" s="77"/>
      <c r="M164" s="187">
        <f t="shared" si="6"/>
        <v>0</v>
      </c>
      <c r="N164" s="114"/>
      <c r="O164" s="186"/>
      <c r="P164" s="186"/>
      <c r="Q164" s="188">
        <f t="shared" si="5"/>
        <v>0</v>
      </c>
    </row>
    <row r="165" spans="1:18" s="13" customFormat="1" ht="15.75" x14ac:dyDescent="0.25">
      <c r="A165" s="10"/>
      <c r="B165" s="30" t="s">
        <v>93</v>
      </c>
      <c r="C165" s="181" t="s">
        <v>17</v>
      </c>
      <c r="D165" s="182"/>
      <c r="E165" s="183" t="s">
        <v>94</v>
      </c>
      <c r="F165" s="73" t="s">
        <v>403</v>
      </c>
      <c r="G165" s="74" t="s">
        <v>112</v>
      </c>
      <c r="H165" s="75">
        <v>7</v>
      </c>
      <c r="I165" s="76">
        <v>2</v>
      </c>
      <c r="J165" s="96">
        <f>2</f>
        <v>2</v>
      </c>
      <c r="K165" s="77">
        <f>2336.84</f>
        <v>2336.84</v>
      </c>
      <c r="L165" s="77">
        <f>2336.84</f>
        <v>2336.84</v>
      </c>
      <c r="M165" s="78">
        <f>K165-L165</f>
        <v>0</v>
      </c>
      <c r="N165" s="100">
        <f>3+8</f>
        <v>11</v>
      </c>
      <c r="O165" s="81">
        <f>20117.75</f>
        <v>20117.75</v>
      </c>
      <c r="P165" s="81">
        <f>20117.75</f>
        <v>20117.75</v>
      </c>
      <c r="Q165" s="188">
        <f t="shared" si="5"/>
        <v>0</v>
      </c>
      <c r="R165" s="141"/>
    </row>
    <row r="166" spans="1:18" s="13" customFormat="1" ht="15.75" x14ac:dyDescent="0.25">
      <c r="A166" s="10"/>
      <c r="B166" s="30" t="s">
        <v>93</v>
      </c>
      <c r="C166" s="181" t="s">
        <v>17</v>
      </c>
      <c r="D166" s="182"/>
      <c r="E166" s="183" t="s">
        <v>94</v>
      </c>
      <c r="F166" s="73" t="s">
        <v>130</v>
      </c>
      <c r="G166" s="184" t="s">
        <v>114</v>
      </c>
      <c r="H166" s="181"/>
      <c r="I166" s="185"/>
      <c r="J166" s="190"/>
      <c r="K166" s="77"/>
      <c r="L166" s="77"/>
      <c r="M166" s="187">
        <f t="shared" si="6"/>
        <v>0</v>
      </c>
      <c r="N166" s="100"/>
      <c r="O166" s="186"/>
      <c r="P166" s="186"/>
      <c r="Q166" s="188">
        <f t="shared" si="5"/>
        <v>0</v>
      </c>
    </row>
    <row r="167" spans="1:18" s="13" customFormat="1" ht="15.75" x14ac:dyDescent="0.25">
      <c r="A167" s="10"/>
      <c r="B167" s="30" t="s">
        <v>93</v>
      </c>
      <c r="C167" s="181" t="s">
        <v>17</v>
      </c>
      <c r="D167" s="182"/>
      <c r="E167" s="183" t="s">
        <v>94</v>
      </c>
      <c r="F167" s="73" t="s">
        <v>240</v>
      </c>
      <c r="G167" s="184" t="s">
        <v>118</v>
      </c>
      <c r="H167" s="181"/>
      <c r="I167" s="185"/>
      <c r="J167" s="96"/>
      <c r="K167" s="77"/>
      <c r="L167" s="77"/>
      <c r="M167" s="78">
        <f t="shared" si="6"/>
        <v>0</v>
      </c>
      <c r="N167" s="100"/>
      <c r="O167" s="186"/>
      <c r="P167" s="186"/>
      <c r="Q167" s="188">
        <f t="shared" si="5"/>
        <v>0</v>
      </c>
    </row>
    <row r="168" spans="1:18" s="13" customFormat="1" ht="15.75" x14ac:dyDescent="0.25">
      <c r="A168" s="10"/>
      <c r="B168" s="30" t="s">
        <v>95</v>
      </c>
      <c r="C168" s="181" t="s">
        <v>17</v>
      </c>
      <c r="D168" s="182"/>
      <c r="E168" s="194" t="s">
        <v>20</v>
      </c>
      <c r="F168" s="73" t="s">
        <v>404</v>
      </c>
      <c r="G168" s="74" t="s">
        <v>112</v>
      </c>
      <c r="H168" s="75">
        <v>15</v>
      </c>
      <c r="I168" s="76">
        <v>6</v>
      </c>
      <c r="J168" s="96">
        <f>1+4+4</f>
        <v>9</v>
      </c>
      <c r="K168" s="77">
        <f>1061.35+5770.05+5238.9</f>
        <v>12070.3</v>
      </c>
      <c r="L168" s="77">
        <f>1061.35+5770.05</f>
        <v>6831.4</v>
      </c>
      <c r="M168" s="78">
        <f>K168-L168</f>
        <v>5238.8999999999996</v>
      </c>
      <c r="N168" s="100">
        <f>1+6+1+4</f>
        <v>12</v>
      </c>
      <c r="O168" s="81">
        <f>11603.82+7559.28+6777.29+24757.02</f>
        <v>50697.41</v>
      </c>
      <c r="P168" s="81">
        <f>11603.82+7559.28+6777.29</f>
        <v>25940.39</v>
      </c>
      <c r="Q168" s="79">
        <f t="shared" si="5"/>
        <v>24757.020000000004</v>
      </c>
      <c r="R168" s="141"/>
    </row>
    <row r="169" spans="1:18" s="13" customFormat="1" ht="15.75" x14ac:dyDescent="0.25">
      <c r="A169" s="10"/>
      <c r="B169" s="30" t="s">
        <v>95</v>
      </c>
      <c r="C169" s="181" t="s">
        <v>17</v>
      </c>
      <c r="D169" s="182"/>
      <c r="E169" s="194" t="s">
        <v>20</v>
      </c>
      <c r="F169" s="73" t="s">
        <v>291</v>
      </c>
      <c r="G169" s="184" t="s">
        <v>114</v>
      </c>
      <c r="H169" s="181">
        <v>8</v>
      </c>
      <c r="I169" s="185">
        <v>1</v>
      </c>
      <c r="J169" s="190">
        <v>1</v>
      </c>
      <c r="K169" s="77"/>
      <c r="L169" s="77"/>
      <c r="M169" s="78">
        <f t="shared" si="6"/>
        <v>0</v>
      </c>
      <c r="N169" s="100">
        <v>11</v>
      </c>
      <c r="O169" s="186">
        <v>27182.15</v>
      </c>
      <c r="P169" s="186">
        <v>27182.15</v>
      </c>
      <c r="Q169" s="188">
        <f t="shared" si="5"/>
        <v>0</v>
      </c>
    </row>
    <row r="170" spans="1:18" s="13" customFormat="1" ht="15.75" x14ac:dyDescent="0.25">
      <c r="A170" s="10"/>
      <c r="B170" s="30" t="s">
        <v>96</v>
      </c>
      <c r="C170" s="181" t="s">
        <v>17</v>
      </c>
      <c r="D170" s="182"/>
      <c r="E170" s="194" t="s">
        <v>97</v>
      </c>
      <c r="F170" s="73" t="s">
        <v>405</v>
      </c>
      <c r="G170" s="74" t="s">
        <v>112</v>
      </c>
      <c r="H170" s="75">
        <v>1</v>
      </c>
      <c r="I170" s="76">
        <v>1</v>
      </c>
      <c r="J170" s="96">
        <f>2</f>
        <v>2</v>
      </c>
      <c r="K170" s="77"/>
      <c r="L170" s="77"/>
      <c r="M170" s="78">
        <f>K170-L170</f>
        <v>0</v>
      </c>
      <c r="N170" s="103">
        <f>1+2+1</f>
        <v>4</v>
      </c>
      <c r="O170" s="77">
        <f>1742.31+9358.48</f>
        <v>11100.789999999999</v>
      </c>
      <c r="P170" s="77">
        <f>1742.31+9358.48</f>
        <v>11100.789999999999</v>
      </c>
      <c r="Q170" s="79">
        <f t="shared" si="5"/>
        <v>0</v>
      </c>
      <c r="R170" s="141"/>
    </row>
    <row r="171" spans="1:18" s="13" customFormat="1" ht="15.75" x14ac:dyDescent="0.25">
      <c r="A171" s="10"/>
      <c r="B171" s="30" t="s">
        <v>96</v>
      </c>
      <c r="C171" s="181" t="s">
        <v>17</v>
      </c>
      <c r="D171" s="182"/>
      <c r="E171" s="194" t="s">
        <v>97</v>
      </c>
      <c r="F171" s="73" t="s">
        <v>468</v>
      </c>
      <c r="G171" s="184" t="s">
        <v>114</v>
      </c>
      <c r="H171" s="181">
        <v>1</v>
      </c>
      <c r="I171" s="185"/>
      <c r="J171" s="190"/>
      <c r="K171" s="77"/>
      <c r="L171" s="77"/>
      <c r="M171" s="78">
        <f t="shared" si="6"/>
        <v>0</v>
      </c>
      <c r="N171" s="100">
        <v>3</v>
      </c>
      <c r="O171" s="186">
        <v>3682</v>
      </c>
      <c r="P171" s="186"/>
      <c r="Q171" s="188">
        <f t="shared" si="5"/>
        <v>3682</v>
      </c>
    </row>
    <row r="172" spans="1:18" s="13" customFormat="1" ht="15.75" x14ac:dyDescent="0.25">
      <c r="A172" s="10"/>
      <c r="B172" s="30" t="s">
        <v>98</v>
      </c>
      <c r="C172" s="181" t="s">
        <v>17</v>
      </c>
      <c r="D172" s="182"/>
      <c r="E172" s="194" t="s">
        <v>35</v>
      </c>
      <c r="F172" s="73" t="s">
        <v>406</v>
      </c>
      <c r="G172" s="74" t="s">
        <v>112</v>
      </c>
      <c r="H172" s="75">
        <v>26</v>
      </c>
      <c r="I172" s="76">
        <v>16</v>
      </c>
      <c r="J172" s="96">
        <f>1+2+1+1+4</f>
        <v>9</v>
      </c>
      <c r="K172" s="77">
        <f>845.24+1764.25+8353.03+1298.98+7610.68+13826.64</f>
        <v>33698.82</v>
      </c>
      <c r="L172" s="77">
        <f>845.24+1764.25+8353.03+1298.98+7610.68</f>
        <v>19872.18</v>
      </c>
      <c r="M172" s="78">
        <f>K172-L172</f>
        <v>13826.64</v>
      </c>
      <c r="N172" s="100">
        <f>9+1+1+4+2+1+2+4</f>
        <v>24</v>
      </c>
      <c r="O172" s="81">
        <f>73585.55+12034.56</f>
        <v>85620.11</v>
      </c>
      <c r="P172" s="81">
        <f>73585.55</f>
        <v>73585.55</v>
      </c>
      <c r="Q172" s="79">
        <f t="shared" si="5"/>
        <v>12034.559999999998</v>
      </c>
      <c r="R172" s="141"/>
    </row>
    <row r="173" spans="1:18" s="13" customFormat="1" ht="15.75" x14ac:dyDescent="0.25">
      <c r="A173" s="10"/>
      <c r="B173" s="30" t="s">
        <v>98</v>
      </c>
      <c r="C173" s="181" t="s">
        <v>17</v>
      </c>
      <c r="D173" s="182"/>
      <c r="E173" s="194" t="s">
        <v>35</v>
      </c>
      <c r="F173" s="73" t="s">
        <v>435</v>
      </c>
      <c r="G173" s="195" t="s">
        <v>117</v>
      </c>
      <c r="H173" s="181">
        <v>3</v>
      </c>
      <c r="I173" s="185">
        <v>2</v>
      </c>
      <c r="J173" s="96">
        <v>2</v>
      </c>
      <c r="K173" s="77">
        <v>1162.21</v>
      </c>
      <c r="L173" s="77">
        <v>1162.21</v>
      </c>
      <c r="M173" s="78">
        <f t="shared" si="6"/>
        <v>0</v>
      </c>
      <c r="N173" s="100">
        <v>5</v>
      </c>
      <c r="O173" s="77">
        <v>10721.75</v>
      </c>
      <c r="P173" s="77">
        <v>10721.75</v>
      </c>
      <c r="Q173" s="188">
        <f t="shared" si="5"/>
        <v>0</v>
      </c>
    </row>
    <row r="174" spans="1:18" s="13" customFormat="1" ht="15.75" x14ac:dyDescent="0.25">
      <c r="A174" s="10"/>
      <c r="B174" s="30" t="s">
        <v>488</v>
      </c>
      <c r="C174" s="181" t="s">
        <v>17</v>
      </c>
      <c r="D174" s="182"/>
      <c r="E174" s="194" t="s">
        <v>97</v>
      </c>
      <c r="F174" s="73" t="s">
        <v>498</v>
      </c>
      <c r="G174" s="195" t="s">
        <v>112</v>
      </c>
      <c r="H174" s="181">
        <v>8</v>
      </c>
      <c r="I174" s="185">
        <v>5</v>
      </c>
      <c r="J174" s="96">
        <f>4+1</f>
        <v>5</v>
      </c>
      <c r="K174" s="77">
        <v>1535.8</v>
      </c>
      <c r="L174" s="77">
        <v>1535.8</v>
      </c>
      <c r="M174" s="78">
        <f t="shared" si="6"/>
        <v>0</v>
      </c>
      <c r="N174" s="100"/>
      <c r="O174" s="77"/>
      <c r="P174" s="77"/>
      <c r="Q174" s="188"/>
    </row>
    <row r="175" spans="1:18" s="15" customFormat="1" ht="15.75" x14ac:dyDescent="0.25">
      <c r="A175" s="14"/>
      <c r="B175" s="84" t="s">
        <v>99</v>
      </c>
      <c r="C175" s="181" t="s">
        <v>17</v>
      </c>
      <c r="D175" s="182"/>
      <c r="E175" s="183" t="s">
        <v>32</v>
      </c>
      <c r="F175" s="73" t="s">
        <v>418</v>
      </c>
      <c r="G175" s="74" t="s">
        <v>112</v>
      </c>
      <c r="H175" s="75"/>
      <c r="I175" s="76"/>
      <c r="J175" s="96"/>
      <c r="K175" s="77"/>
      <c r="L175" s="77"/>
      <c r="M175" s="78">
        <f t="shared" si="6"/>
        <v>0</v>
      </c>
      <c r="N175" s="100"/>
      <c r="O175" s="81"/>
      <c r="P175" s="81"/>
      <c r="Q175" s="79">
        <f t="shared" si="5"/>
        <v>0</v>
      </c>
      <c r="R175" s="141"/>
    </row>
    <row r="176" spans="1:18" s="15" customFormat="1" ht="15.75" x14ac:dyDescent="0.25">
      <c r="A176" s="14"/>
      <c r="B176" s="84" t="s">
        <v>99</v>
      </c>
      <c r="C176" s="181" t="s">
        <v>17</v>
      </c>
      <c r="D176" s="182"/>
      <c r="E176" s="183" t="s">
        <v>32</v>
      </c>
      <c r="F176" s="73" t="s">
        <v>423</v>
      </c>
      <c r="G176" s="195" t="s">
        <v>117</v>
      </c>
      <c r="H176" s="181"/>
      <c r="I176" s="185"/>
      <c r="J176" s="190"/>
      <c r="K176" s="77"/>
      <c r="L176" s="77"/>
      <c r="M176" s="78">
        <f t="shared" si="6"/>
        <v>0</v>
      </c>
      <c r="N176" s="114"/>
      <c r="O176" s="77"/>
      <c r="P176" s="77"/>
      <c r="Q176" s="188">
        <f t="shared" si="5"/>
        <v>0</v>
      </c>
    </row>
    <row r="177" spans="1:18" s="15" customFormat="1" ht="30" x14ac:dyDescent="0.25">
      <c r="A177" s="14"/>
      <c r="B177" s="30" t="s">
        <v>144</v>
      </c>
      <c r="C177" s="181" t="s">
        <v>304</v>
      </c>
      <c r="D177" s="182" t="s">
        <v>313</v>
      </c>
      <c r="E177" s="194" t="s">
        <v>97</v>
      </c>
      <c r="F177" s="73" t="s">
        <v>407</v>
      </c>
      <c r="G177" s="66" t="s">
        <v>112</v>
      </c>
      <c r="H177" s="75">
        <v>15</v>
      </c>
      <c r="I177" s="76">
        <v>12</v>
      </c>
      <c r="J177" s="98">
        <f>2+2+1+3+1+1+5</f>
        <v>15</v>
      </c>
      <c r="K177" s="77">
        <f>950.9+1449.39+2272.32+2785.92+5112.01</f>
        <v>12570.54</v>
      </c>
      <c r="L177" s="77">
        <f>950.9+1449.39+2272.32+2785.92</f>
        <v>7458.5300000000007</v>
      </c>
      <c r="M177" s="78">
        <f>K177-L177</f>
        <v>5112.01</v>
      </c>
      <c r="N177" s="100">
        <f>3+2+1+1+1</f>
        <v>8</v>
      </c>
      <c r="O177" s="77">
        <f>5020.57+5566.06+2694.94+845.24</f>
        <v>14126.810000000001</v>
      </c>
      <c r="P177" s="77">
        <f>5020.57+5566.06+2694.94+845.24</f>
        <v>14126.810000000001</v>
      </c>
      <c r="Q177" s="79">
        <f t="shared" si="5"/>
        <v>0</v>
      </c>
      <c r="R177" s="141"/>
    </row>
    <row r="178" spans="1:18" s="15" customFormat="1" ht="15.75" x14ac:dyDescent="0.25">
      <c r="A178" s="14"/>
      <c r="B178" s="30" t="s">
        <v>488</v>
      </c>
      <c r="C178" s="181"/>
      <c r="D178" s="182"/>
      <c r="E178" s="194"/>
      <c r="F178" s="73"/>
      <c r="G178" s="66" t="s">
        <v>114</v>
      </c>
      <c r="H178" s="75">
        <v>18</v>
      </c>
      <c r="I178" s="76">
        <v>6</v>
      </c>
      <c r="J178" s="98">
        <v>6</v>
      </c>
      <c r="K178" s="77"/>
      <c r="L178" s="77"/>
      <c r="M178" s="187"/>
      <c r="N178" s="100"/>
      <c r="O178" s="77"/>
      <c r="P178" s="77"/>
      <c r="Q178" s="188">
        <f t="shared" si="5"/>
        <v>0</v>
      </c>
    </row>
    <row r="179" spans="1:18" s="15" customFormat="1" ht="15.75" x14ac:dyDescent="0.25">
      <c r="A179" s="14"/>
      <c r="B179" s="30" t="s">
        <v>488</v>
      </c>
      <c r="C179" s="181"/>
      <c r="D179" s="182"/>
      <c r="E179" s="194"/>
      <c r="F179" s="73"/>
      <c r="G179" s="66" t="s">
        <v>113</v>
      </c>
      <c r="H179" s="75">
        <v>11</v>
      </c>
      <c r="I179" s="76">
        <v>5</v>
      </c>
      <c r="J179" s="98">
        <v>5</v>
      </c>
      <c r="K179" s="77">
        <v>7271</v>
      </c>
      <c r="L179" s="77">
        <v>6109</v>
      </c>
      <c r="M179" s="78">
        <f t="shared" ref="M179" si="7">K179-L179</f>
        <v>1162</v>
      </c>
      <c r="N179" s="100"/>
      <c r="O179" s="77"/>
      <c r="P179" s="77"/>
      <c r="Q179" s="79"/>
    </row>
    <row r="180" spans="1:18" s="15" customFormat="1" ht="30" x14ac:dyDescent="0.25">
      <c r="A180" s="14"/>
      <c r="B180" s="201" t="s">
        <v>144</v>
      </c>
      <c r="C180" s="181" t="s">
        <v>446</v>
      </c>
      <c r="D180" s="182" t="s">
        <v>313</v>
      </c>
      <c r="E180" s="183" t="s">
        <v>20</v>
      </c>
      <c r="F180" s="73" t="s">
        <v>485</v>
      </c>
      <c r="G180" s="195" t="s">
        <v>114</v>
      </c>
      <c r="H180" s="181">
        <v>23</v>
      </c>
      <c r="I180" s="192">
        <v>5</v>
      </c>
      <c r="J180" s="202">
        <v>5</v>
      </c>
      <c r="K180" s="77">
        <v>1921</v>
      </c>
      <c r="L180" s="77">
        <v>1921</v>
      </c>
      <c r="M180" s="78">
        <f t="shared" si="6"/>
        <v>0</v>
      </c>
      <c r="N180" s="101">
        <v>19</v>
      </c>
      <c r="O180" s="186">
        <v>36779.199999999997</v>
      </c>
      <c r="P180" s="186">
        <v>34281.9</v>
      </c>
      <c r="Q180" s="188">
        <f t="shared" ref="Q180" si="8">O180-P180</f>
        <v>2497.2999999999956</v>
      </c>
    </row>
    <row r="181" spans="1:18" s="21" customFormat="1" ht="45" x14ac:dyDescent="0.25">
      <c r="A181" s="1"/>
      <c r="B181" s="30" t="s">
        <v>100</v>
      </c>
      <c r="C181" s="181" t="s">
        <v>304</v>
      </c>
      <c r="D181" s="182" t="s">
        <v>416</v>
      </c>
      <c r="E181" s="194" t="s">
        <v>20</v>
      </c>
      <c r="F181" s="73" t="s">
        <v>408</v>
      </c>
      <c r="G181" s="27" t="s">
        <v>112</v>
      </c>
      <c r="H181" s="75">
        <v>12</v>
      </c>
      <c r="I181" s="76">
        <v>6</v>
      </c>
      <c r="J181" s="98">
        <f>5+1</f>
        <v>6</v>
      </c>
      <c r="K181" s="86">
        <f>6524.55+600.31</f>
        <v>7124.8600000000006</v>
      </c>
      <c r="L181" s="86">
        <f>6524.55+600.31</f>
        <v>7124.8600000000006</v>
      </c>
      <c r="M181" s="78">
        <f>K181-L181</f>
        <v>0</v>
      </c>
      <c r="N181" s="100">
        <f>1+3</f>
        <v>4</v>
      </c>
      <c r="O181" s="87">
        <f>10770.58+2113.01</f>
        <v>12883.59</v>
      </c>
      <c r="P181" s="87">
        <f>10770.58+2113.01</f>
        <v>12883.59</v>
      </c>
      <c r="Q181" s="79">
        <f t="shared" si="5"/>
        <v>0</v>
      </c>
      <c r="R181" s="141"/>
    </row>
    <row r="182" spans="1:18" s="21" customFormat="1" ht="60" x14ac:dyDescent="0.25">
      <c r="A182" s="1"/>
      <c r="B182" s="30" t="s">
        <v>100</v>
      </c>
      <c r="C182" s="203" t="s">
        <v>125</v>
      </c>
      <c r="D182" s="182" t="s">
        <v>126</v>
      </c>
      <c r="E182" s="194" t="s">
        <v>20</v>
      </c>
      <c r="F182" s="73" t="s">
        <v>486</v>
      </c>
      <c r="G182" s="200" t="s">
        <v>114</v>
      </c>
      <c r="H182" s="181">
        <v>9</v>
      </c>
      <c r="I182" s="192"/>
      <c r="J182" s="202"/>
      <c r="K182" s="86"/>
      <c r="L182" s="86"/>
      <c r="M182" s="78">
        <f t="shared" si="6"/>
        <v>0</v>
      </c>
      <c r="N182" s="100"/>
      <c r="O182" s="204"/>
      <c r="P182" s="204"/>
      <c r="Q182" s="188">
        <f t="shared" si="5"/>
        <v>0</v>
      </c>
    </row>
    <row r="183" spans="1:18" s="13" customFormat="1" ht="15.75" x14ac:dyDescent="0.25">
      <c r="A183" s="10"/>
      <c r="B183" s="62" t="s">
        <v>101</v>
      </c>
      <c r="C183" s="181" t="s">
        <v>17</v>
      </c>
      <c r="D183" s="182"/>
      <c r="E183" s="194" t="s">
        <v>20</v>
      </c>
      <c r="F183" s="73" t="s">
        <v>409</v>
      </c>
      <c r="G183" s="74" t="s">
        <v>112</v>
      </c>
      <c r="H183" s="75">
        <v>11</v>
      </c>
      <c r="I183" s="76">
        <v>5</v>
      </c>
      <c r="J183" s="96">
        <f>1+5+1+1</f>
        <v>8</v>
      </c>
      <c r="K183" s="77">
        <f>1045.98+3354.45+1225.93</f>
        <v>5626.3600000000006</v>
      </c>
      <c r="L183" s="77">
        <f>1045.98+3354.45+1225.93</f>
        <v>5626.3600000000006</v>
      </c>
      <c r="M183" s="78">
        <f t="shared" si="6"/>
        <v>0</v>
      </c>
      <c r="N183" s="100">
        <f>5+2+1+1</f>
        <v>9</v>
      </c>
      <c r="O183" s="81">
        <f>6288.07+3061.62+3426.18+12951.18</f>
        <v>25727.05</v>
      </c>
      <c r="P183" s="81">
        <f>6288.07+3061.62+3426.18</f>
        <v>12775.869999999999</v>
      </c>
      <c r="Q183" s="79">
        <f t="shared" si="5"/>
        <v>12951.18</v>
      </c>
      <c r="R183" s="141"/>
    </row>
    <row r="184" spans="1:18" s="13" customFormat="1" ht="15.75" x14ac:dyDescent="0.25">
      <c r="A184" s="10"/>
      <c r="B184" s="62" t="s">
        <v>146</v>
      </c>
      <c r="C184" s="181" t="s">
        <v>17</v>
      </c>
      <c r="D184" s="182"/>
      <c r="E184" s="194" t="s">
        <v>20</v>
      </c>
      <c r="F184" s="73" t="s">
        <v>410</v>
      </c>
      <c r="G184" s="74" t="s">
        <v>112</v>
      </c>
      <c r="H184" s="75">
        <v>10</v>
      </c>
      <c r="I184" s="76">
        <v>7</v>
      </c>
      <c r="J184" s="96">
        <f>4+1+1</f>
        <v>6</v>
      </c>
      <c r="K184" s="77">
        <f>4610.77+1568.98+1854.88</f>
        <v>8034.63</v>
      </c>
      <c r="L184" s="77">
        <f>4610.77+1568.98</f>
        <v>6179.75</v>
      </c>
      <c r="M184" s="78">
        <f t="shared" si="6"/>
        <v>1854.88</v>
      </c>
      <c r="N184" s="100">
        <f>5+1+1+2+1</f>
        <v>10</v>
      </c>
      <c r="O184" s="81">
        <f>13579.06+1287.07+2636.18+26196.83</f>
        <v>43699.14</v>
      </c>
      <c r="P184" s="81">
        <f>13579.06+1287.07+2636.18+26196.83</f>
        <v>43699.14</v>
      </c>
      <c r="Q184" s="188">
        <f t="shared" si="5"/>
        <v>0</v>
      </c>
      <c r="R184" s="141"/>
    </row>
    <row r="185" spans="1:18" s="13" customFormat="1" ht="15.75" x14ac:dyDescent="0.25">
      <c r="A185" s="10"/>
      <c r="B185" s="62" t="s">
        <v>146</v>
      </c>
      <c r="C185" s="181" t="s">
        <v>17</v>
      </c>
      <c r="D185" s="182"/>
      <c r="E185" s="183" t="s">
        <v>21</v>
      </c>
      <c r="F185" s="73" t="s">
        <v>443</v>
      </c>
      <c r="G185" s="184" t="s">
        <v>118</v>
      </c>
      <c r="H185" s="181">
        <v>7</v>
      </c>
      <c r="I185" s="192">
        <v>1</v>
      </c>
      <c r="J185" s="190">
        <v>1</v>
      </c>
      <c r="K185" s="193">
        <v>1152.5999999999999</v>
      </c>
      <c r="L185" s="193">
        <v>1152.5999999999999</v>
      </c>
      <c r="M185" s="187">
        <f t="shared" si="6"/>
        <v>0</v>
      </c>
      <c r="N185" s="114">
        <v>5</v>
      </c>
      <c r="O185" s="186">
        <v>5349.99</v>
      </c>
      <c r="P185" s="186">
        <v>5349.99</v>
      </c>
      <c r="Q185" s="79">
        <f t="shared" si="5"/>
        <v>0</v>
      </c>
    </row>
    <row r="186" spans="1:18" s="13" customFormat="1" ht="15.75" x14ac:dyDescent="0.25">
      <c r="A186" s="10"/>
      <c r="B186" s="27" t="s">
        <v>102</v>
      </c>
      <c r="C186" s="181" t="s">
        <v>17</v>
      </c>
      <c r="D186" s="182"/>
      <c r="E186" s="194" t="s">
        <v>20</v>
      </c>
      <c r="F186" s="73" t="s">
        <v>411</v>
      </c>
      <c r="G186" s="74" t="s">
        <v>112</v>
      </c>
      <c r="H186" s="75">
        <v>10</v>
      </c>
      <c r="I186" s="76">
        <v>5</v>
      </c>
      <c r="J186" s="96">
        <f>1+1+2+1</f>
        <v>5</v>
      </c>
      <c r="K186" s="77">
        <f>845.24+845.24+1690.48+1394.65</f>
        <v>4775.6100000000006</v>
      </c>
      <c r="L186" s="77">
        <f>845.24+845.24+1690.48+1394.65</f>
        <v>4775.6100000000006</v>
      </c>
      <c r="M186" s="78">
        <f>K186-L186</f>
        <v>0</v>
      </c>
      <c r="N186" s="100">
        <f>3+1</f>
        <v>4</v>
      </c>
      <c r="O186" s="81">
        <f>7808.21+30833.77-12193.52+9963.17</f>
        <v>36411.630000000005</v>
      </c>
      <c r="P186" s="81">
        <f>7808.21+30833.77-12193.52+9963.17</f>
        <v>36411.630000000005</v>
      </c>
      <c r="Q186" s="188">
        <f t="shared" si="5"/>
        <v>0</v>
      </c>
      <c r="R186" s="141"/>
    </row>
    <row r="187" spans="1:18" s="13" customFormat="1" ht="15.75" x14ac:dyDescent="0.25">
      <c r="A187" s="10"/>
      <c r="B187" s="27" t="s">
        <v>102</v>
      </c>
      <c r="C187" s="181" t="s">
        <v>17</v>
      </c>
      <c r="D187" s="182"/>
      <c r="E187" s="194" t="s">
        <v>20</v>
      </c>
      <c r="F187" s="73" t="s">
        <v>469</v>
      </c>
      <c r="G187" s="184" t="s">
        <v>114</v>
      </c>
      <c r="H187" s="181">
        <v>8</v>
      </c>
      <c r="I187" s="185">
        <v>3</v>
      </c>
      <c r="J187" s="190">
        <v>3</v>
      </c>
      <c r="K187" s="77"/>
      <c r="L187" s="77"/>
      <c r="M187" s="187">
        <f t="shared" si="6"/>
        <v>0</v>
      </c>
      <c r="N187" s="100">
        <v>6</v>
      </c>
      <c r="O187" s="186">
        <v>16479.12</v>
      </c>
      <c r="P187" s="186">
        <v>16479.12</v>
      </c>
      <c r="Q187" s="188">
        <f t="shared" si="5"/>
        <v>0</v>
      </c>
    </row>
    <row r="188" spans="1:18" s="13" customFormat="1" ht="15.75" x14ac:dyDescent="0.25">
      <c r="A188" s="10"/>
      <c r="B188" s="27" t="s">
        <v>103</v>
      </c>
      <c r="C188" s="181" t="s">
        <v>17</v>
      </c>
      <c r="D188" s="182"/>
      <c r="E188" s="183" t="s">
        <v>20</v>
      </c>
      <c r="F188" s="73" t="s">
        <v>412</v>
      </c>
      <c r="G188" s="74" t="s">
        <v>112</v>
      </c>
      <c r="H188" s="75">
        <v>10</v>
      </c>
      <c r="I188" s="76">
        <v>5</v>
      </c>
      <c r="J188" s="96">
        <f>4+1</f>
        <v>5</v>
      </c>
      <c r="K188" s="77">
        <f>16248.67</f>
        <v>16248.67</v>
      </c>
      <c r="L188" s="77">
        <f>16248.67</f>
        <v>16248.67</v>
      </c>
      <c r="M188" s="78">
        <f>K188-L188</f>
        <v>0</v>
      </c>
      <c r="N188" s="100">
        <f>7+2+1</f>
        <v>10</v>
      </c>
      <c r="O188" s="77">
        <f>20193.14</f>
        <v>20193.14</v>
      </c>
      <c r="P188" s="77">
        <f>20193.14</f>
        <v>20193.14</v>
      </c>
      <c r="Q188" s="188">
        <f t="shared" si="5"/>
        <v>0</v>
      </c>
      <c r="R188" s="141"/>
    </row>
    <row r="189" spans="1:18" s="13" customFormat="1" ht="15.75" x14ac:dyDescent="0.25">
      <c r="A189" s="10"/>
      <c r="B189" s="27" t="s">
        <v>103</v>
      </c>
      <c r="C189" s="181" t="s">
        <v>17</v>
      </c>
      <c r="D189" s="182"/>
      <c r="E189" s="183" t="s">
        <v>20</v>
      </c>
      <c r="F189" s="73" t="s">
        <v>470</v>
      </c>
      <c r="G189" s="184" t="s">
        <v>114</v>
      </c>
      <c r="H189" s="181">
        <v>11</v>
      </c>
      <c r="I189" s="185">
        <v>1</v>
      </c>
      <c r="J189" s="190">
        <v>1</v>
      </c>
      <c r="K189" s="77"/>
      <c r="L189" s="77"/>
      <c r="M189" s="187">
        <f t="shared" si="6"/>
        <v>0</v>
      </c>
      <c r="N189" s="100">
        <v>4</v>
      </c>
      <c r="O189" s="186">
        <v>10431.89</v>
      </c>
      <c r="P189" s="186">
        <v>10431.89</v>
      </c>
      <c r="Q189" s="188">
        <f t="shared" si="5"/>
        <v>0</v>
      </c>
    </row>
    <row r="190" spans="1:18" s="15" customFormat="1" ht="15.75" x14ac:dyDescent="0.25">
      <c r="A190" s="14"/>
      <c r="B190" s="28" t="s">
        <v>104</v>
      </c>
      <c r="C190" s="181" t="s">
        <v>17</v>
      </c>
      <c r="D190" s="182"/>
      <c r="E190" s="183" t="s">
        <v>20</v>
      </c>
      <c r="F190" s="73" t="s">
        <v>413</v>
      </c>
      <c r="G190" s="74" t="s">
        <v>112</v>
      </c>
      <c r="H190" s="75">
        <v>9</v>
      </c>
      <c r="I190" s="76">
        <v>4</v>
      </c>
      <c r="J190" s="96">
        <f>3+1</f>
        <v>4</v>
      </c>
      <c r="K190" s="77">
        <f>5112.82+422.64</f>
        <v>5535.46</v>
      </c>
      <c r="L190" s="77">
        <f>5112.82+422.64</f>
        <v>5535.46</v>
      </c>
      <c r="M190" s="78">
        <f>K190-L190</f>
        <v>0</v>
      </c>
      <c r="N190" s="100">
        <f>4+1+1+2</f>
        <v>8</v>
      </c>
      <c r="O190" s="81">
        <f>7087.22+3426.18+3496.22</f>
        <v>14009.619999999999</v>
      </c>
      <c r="P190" s="81">
        <f>7087.22+3426.18+3496.22</f>
        <v>14009.619999999999</v>
      </c>
      <c r="Q190" s="188">
        <f t="shared" si="5"/>
        <v>0</v>
      </c>
      <c r="R190" s="141"/>
    </row>
    <row r="191" spans="1:18" s="15" customFormat="1" ht="15.75" x14ac:dyDescent="0.25">
      <c r="A191" s="14"/>
      <c r="B191" s="28" t="s">
        <v>104</v>
      </c>
      <c r="C191" s="181" t="s">
        <v>17</v>
      </c>
      <c r="D191" s="182"/>
      <c r="E191" s="183" t="s">
        <v>20</v>
      </c>
      <c r="F191" s="73" t="s">
        <v>471</v>
      </c>
      <c r="G191" s="184" t="s">
        <v>114</v>
      </c>
      <c r="H191" s="181">
        <v>28</v>
      </c>
      <c r="I191" s="185">
        <v>4</v>
      </c>
      <c r="J191" s="190">
        <v>4</v>
      </c>
      <c r="K191" s="77">
        <v>1267.8599999999999</v>
      </c>
      <c r="L191" s="77">
        <v>1267.8599999999999</v>
      </c>
      <c r="M191" s="187">
        <f t="shared" si="6"/>
        <v>0</v>
      </c>
      <c r="N191" s="114">
        <v>15</v>
      </c>
      <c r="O191" s="186">
        <v>24277.65</v>
      </c>
      <c r="P191" s="186">
        <v>24277.65</v>
      </c>
      <c r="Q191" s="188">
        <f t="shared" si="5"/>
        <v>0</v>
      </c>
    </row>
    <row r="192" spans="1:18" s="13" customFormat="1" ht="15.75" x14ac:dyDescent="0.25">
      <c r="A192" s="10"/>
      <c r="B192" s="30" t="s">
        <v>26</v>
      </c>
      <c r="C192" s="181" t="s">
        <v>17</v>
      </c>
      <c r="D192" s="182"/>
      <c r="E192" s="183" t="s">
        <v>32</v>
      </c>
      <c r="F192" s="73" t="s">
        <v>246</v>
      </c>
      <c r="G192" s="74" t="s">
        <v>117</v>
      </c>
      <c r="H192" s="75"/>
      <c r="I192" s="76"/>
      <c r="J192" s="96"/>
      <c r="K192" s="77"/>
      <c r="L192" s="77"/>
      <c r="M192" s="78">
        <f t="shared" si="6"/>
        <v>0</v>
      </c>
      <c r="N192" s="100">
        <v>5</v>
      </c>
      <c r="O192" s="81">
        <v>7808.15</v>
      </c>
      <c r="P192" s="81">
        <v>7808.15</v>
      </c>
      <c r="Q192" s="188">
        <f t="shared" si="5"/>
        <v>0</v>
      </c>
    </row>
    <row r="193" spans="1:18" s="13" customFormat="1" ht="15.75" x14ac:dyDescent="0.25">
      <c r="A193" s="10"/>
      <c r="B193" s="30" t="s">
        <v>105</v>
      </c>
      <c r="C193" s="181" t="s">
        <v>17</v>
      </c>
      <c r="D193" s="182"/>
      <c r="E193" s="194" t="s">
        <v>35</v>
      </c>
      <c r="F193" s="73" t="s">
        <v>436</v>
      </c>
      <c r="G193" s="184" t="s">
        <v>117</v>
      </c>
      <c r="H193" s="181"/>
      <c r="I193" s="192"/>
      <c r="J193" s="96"/>
      <c r="K193" s="77"/>
      <c r="L193" s="77"/>
      <c r="M193" s="187">
        <f t="shared" si="6"/>
        <v>0</v>
      </c>
      <c r="N193" s="100"/>
      <c r="O193" s="186"/>
      <c r="P193" s="186"/>
      <c r="Q193" s="79">
        <f t="shared" si="5"/>
        <v>0</v>
      </c>
    </row>
    <row r="194" spans="1:18" s="13" customFormat="1" ht="15.75" x14ac:dyDescent="0.25">
      <c r="A194" s="10"/>
      <c r="B194" s="62" t="s">
        <v>106</v>
      </c>
      <c r="C194" s="181" t="s">
        <v>17</v>
      </c>
      <c r="D194" s="205"/>
      <c r="E194" s="194" t="s">
        <v>20</v>
      </c>
      <c r="F194" s="73" t="s">
        <v>414</v>
      </c>
      <c r="G194" s="74" t="s">
        <v>112</v>
      </c>
      <c r="H194" s="75">
        <v>10</v>
      </c>
      <c r="I194" s="76"/>
      <c r="J194" s="96">
        <f>1</f>
        <v>1</v>
      </c>
      <c r="K194" s="77"/>
      <c r="L194" s="77"/>
      <c r="M194" s="78">
        <f>K194-L194</f>
        <v>0</v>
      </c>
      <c r="N194" s="100">
        <f>3+1</f>
        <v>4</v>
      </c>
      <c r="O194" s="81">
        <f>15956.85+4551.62</f>
        <v>20508.47</v>
      </c>
      <c r="P194" s="81">
        <f>15956.85+4551.62</f>
        <v>20508.47</v>
      </c>
      <c r="Q194" s="188">
        <f t="shared" si="5"/>
        <v>0</v>
      </c>
      <c r="R194" s="141"/>
    </row>
    <row r="195" spans="1:18" x14ac:dyDescent="0.25">
      <c r="A195" s="7"/>
      <c r="B195" s="66"/>
      <c r="C195" s="206"/>
      <c r="D195" s="195"/>
      <c r="E195" s="195"/>
      <c r="F195" s="73"/>
      <c r="G195" s="195" t="s">
        <v>131</v>
      </c>
      <c r="H195" s="207">
        <f t="shared" ref="H195:P195" si="9">SUM(H10:H194)</f>
        <v>1811</v>
      </c>
      <c r="I195" s="218">
        <f t="shared" si="9"/>
        <v>818</v>
      </c>
      <c r="J195" s="208">
        <f t="shared" si="9"/>
        <v>958</v>
      </c>
      <c r="K195" s="209">
        <f t="shared" si="9"/>
        <v>1436536.5350000013</v>
      </c>
      <c r="L195" s="209">
        <f t="shared" si="9"/>
        <v>1119571.9050000005</v>
      </c>
      <c r="M195" s="210">
        <f>K195-L195</f>
        <v>316964.63000000082</v>
      </c>
      <c r="N195" s="208">
        <f t="shared" si="9"/>
        <v>1563</v>
      </c>
      <c r="O195" s="211">
        <f t="shared" si="9"/>
        <v>4610536.7999999989</v>
      </c>
      <c r="P195" s="211">
        <f t="shared" si="9"/>
        <v>4199870.7999999989</v>
      </c>
      <c r="Q195" s="79">
        <f t="shared" si="5"/>
        <v>410666</v>
      </c>
      <c r="R195" s="129"/>
    </row>
    <row r="196" spans="1:18" x14ac:dyDescent="0.25">
      <c r="K196" s="91" t="s">
        <v>305</v>
      </c>
    </row>
    <row r="197" spans="1:18" ht="45" x14ac:dyDescent="0.25">
      <c r="B197" s="89" t="s">
        <v>316</v>
      </c>
      <c r="F197" s="104" t="s">
        <v>317</v>
      </c>
      <c r="M197" s="142"/>
      <c r="Q197" s="133"/>
    </row>
    <row r="198" spans="1:18" x14ac:dyDescent="0.25">
      <c r="M198" s="216"/>
    </row>
  </sheetData>
  <mergeCells count="7">
    <mergeCell ref="O1:Q1"/>
    <mergeCell ref="A3:Q3"/>
    <mergeCell ref="A4:Q4"/>
    <mergeCell ref="A5:Q5"/>
    <mergeCell ref="B7:G7"/>
    <mergeCell ref="H7:M7"/>
    <mergeCell ref="N7:Q7"/>
  </mergeCell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98"/>
  <sheetViews>
    <sheetView topLeftCell="A7" zoomScale="93" zoomScaleNormal="93" workbookViewId="0">
      <selection activeCell="A7" sqref="A1:XFD1048576"/>
    </sheetView>
  </sheetViews>
  <sheetFormatPr defaultRowHeight="15" x14ac:dyDescent="0.25"/>
  <cols>
    <col min="1" max="1" width="1.85546875" style="6" customWidth="1"/>
    <col min="2" max="2" width="38.28515625" style="88" customWidth="1"/>
    <col min="3" max="3" width="6.5703125" style="19" customWidth="1"/>
    <col min="4" max="4" width="17.42578125" style="19" customWidth="1"/>
    <col min="5" max="5" width="19" style="19" customWidth="1"/>
    <col min="6" max="6" width="19" style="89" customWidth="1"/>
    <col min="7" max="7" width="17.28515625" style="89" customWidth="1"/>
    <col min="8" max="9" width="15.7109375" style="90" customWidth="1"/>
    <col min="10" max="10" width="15.7109375" style="99" customWidth="1"/>
    <col min="11" max="13" width="15.7109375" style="91" customWidth="1"/>
    <col min="14" max="14" width="15.7109375" style="99" customWidth="1"/>
    <col min="15" max="17" width="15.7109375" style="92" customWidth="1"/>
    <col min="18" max="18" width="11.7109375" style="6" customWidth="1"/>
    <col min="19" max="19" width="9.42578125" style="6" customWidth="1"/>
    <col min="20" max="21" width="9.140625" style="6" customWidth="1"/>
    <col min="22" max="16384" width="9.140625" style="6"/>
  </cols>
  <sheetData>
    <row r="1" spans="1:18" s="105" customFormat="1" x14ac:dyDescent="0.25">
      <c r="B1" s="60"/>
      <c r="C1" s="4"/>
      <c r="D1" s="4"/>
      <c r="E1" s="4"/>
      <c r="F1" s="63"/>
      <c r="G1" s="63"/>
      <c r="H1" s="64"/>
      <c r="I1" s="64"/>
      <c r="J1" s="93"/>
      <c r="K1" s="65"/>
      <c r="L1" s="65"/>
      <c r="M1" s="65"/>
      <c r="N1" s="93"/>
      <c r="O1" s="362" t="s">
        <v>15</v>
      </c>
      <c r="P1" s="362"/>
      <c r="Q1" s="362"/>
    </row>
    <row r="2" spans="1:18" s="105" customFormat="1" x14ac:dyDescent="0.25">
      <c r="A2" s="7"/>
      <c r="B2" s="221"/>
      <c r="C2" s="107"/>
      <c r="D2" s="107"/>
      <c r="E2" s="107"/>
      <c r="F2" s="66"/>
      <c r="G2" s="66"/>
      <c r="H2" s="220"/>
      <c r="I2" s="220"/>
      <c r="J2" s="94"/>
      <c r="K2" s="67"/>
      <c r="L2" s="67"/>
      <c r="M2" s="67"/>
      <c r="N2" s="94"/>
      <c r="O2" s="68"/>
      <c r="P2" s="68"/>
      <c r="Q2" s="68"/>
    </row>
    <row r="3" spans="1:18" s="105" customFormat="1" x14ac:dyDescent="0.25">
      <c r="A3" s="363" t="s">
        <v>318</v>
      </c>
      <c r="B3" s="364"/>
      <c r="C3" s="363"/>
      <c r="D3" s="363"/>
      <c r="E3" s="363"/>
      <c r="F3" s="364"/>
      <c r="G3" s="364"/>
      <c r="H3" s="365"/>
      <c r="I3" s="366"/>
      <c r="J3" s="367"/>
      <c r="K3" s="364"/>
      <c r="L3" s="364"/>
      <c r="M3" s="364"/>
      <c r="N3" s="364"/>
      <c r="O3" s="364"/>
      <c r="P3" s="364"/>
      <c r="Q3" s="364"/>
    </row>
    <row r="4" spans="1:18" s="105" customFormat="1" x14ac:dyDescent="0.25">
      <c r="A4" s="368">
        <v>43661</v>
      </c>
      <c r="B4" s="369"/>
      <c r="C4" s="370"/>
      <c r="D4" s="370"/>
      <c r="E4" s="370"/>
      <c r="F4" s="369"/>
      <c r="G4" s="369"/>
      <c r="H4" s="371"/>
      <c r="I4" s="372"/>
      <c r="J4" s="373"/>
      <c r="K4" s="369"/>
      <c r="L4" s="369"/>
      <c r="M4" s="369"/>
      <c r="N4" s="369"/>
      <c r="O4" s="369"/>
      <c r="P4" s="369"/>
      <c r="Q4" s="369"/>
    </row>
    <row r="5" spans="1:18" s="105" customFormat="1" x14ac:dyDescent="0.25">
      <c r="A5" s="374" t="s">
        <v>14</v>
      </c>
      <c r="B5" s="367"/>
      <c r="C5" s="374"/>
      <c r="D5" s="374"/>
      <c r="E5" s="374"/>
      <c r="F5" s="367"/>
      <c r="G5" s="367"/>
      <c r="H5" s="366"/>
      <c r="I5" s="366"/>
      <c r="J5" s="367"/>
      <c r="K5" s="367"/>
      <c r="L5" s="367"/>
      <c r="M5" s="367"/>
      <c r="N5" s="367"/>
      <c r="O5" s="367"/>
      <c r="P5" s="367"/>
      <c r="Q5" s="367"/>
    </row>
    <row r="6" spans="1:18" s="105" customFormat="1" x14ac:dyDescent="0.25">
      <c r="A6" s="7"/>
      <c r="B6" s="221"/>
      <c r="C6" s="107"/>
      <c r="D6" s="107"/>
      <c r="E6" s="107"/>
      <c r="F6" s="66"/>
      <c r="G6" s="66"/>
      <c r="H6" s="220"/>
      <c r="I6" s="220"/>
      <c r="J6" s="94"/>
      <c r="K6" s="67"/>
      <c r="L6" s="67"/>
      <c r="M6" s="67"/>
      <c r="N6" s="94"/>
      <c r="O6" s="68"/>
      <c r="P6" s="68"/>
      <c r="Q6" s="68"/>
    </row>
    <row r="7" spans="1:18" x14ac:dyDescent="0.25">
      <c r="A7" s="5" t="s">
        <v>0</v>
      </c>
      <c r="B7" s="364" t="s">
        <v>10</v>
      </c>
      <c r="C7" s="375"/>
      <c r="D7" s="375"/>
      <c r="E7" s="375"/>
      <c r="F7" s="364"/>
      <c r="G7" s="364"/>
      <c r="H7" s="365" t="s">
        <v>472</v>
      </c>
      <c r="I7" s="366"/>
      <c r="J7" s="367"/>
      <c r="K7" s="364"/>
      <c r="L7" s="364"/>
      <c r="M7" s="364"/>
      <c r="N7" s="364" t="s">
        <v>132</v>
      </c>
      <c r="O7" s="364"/>
      <c r="P7" s="364"/>
      <c r="Q7" s="364"/>
    </row>
    <row r="8" spans="1:18" ht="153" x14ac:dyDescent="0.25">
      <c r="A8" s="5"/>
      <c r="B8" s="221" t="s">
        <v>4</v>
      </c>
      <c r="C8" s="107" t="s">
        <v>1</v>
      </c>
      <c r="D8" s="107" t="s">
        <v>3</v>
      </c>
      <c r="E8" s="107" t="s">
        <v>2</v>
      </c>
      <c r="F8" s="122" t="s">
        <v>6</v>
      </c>
      <c r="G8" s="66" t="s">
        <v>5</v>
      </c>
      <c r="H8" s="221" t="s">
        <v>7</v>
      </c>
      <c r="I8" s="221" t="s">
        <v>8</v>
      </c>
      <c r="J8" s="94" t="s">
        <v>9</v>
      </c>
      <c r="K8" s="67" t="s">
        <v>11</v>
      </c>
      <c r="L8" s="67" t="s">
        <v>12</v>
      </c>
      <c r="M8" s="67" t="s">
        <v>13</v>
      </c>
      <c r="N8" s="94" t="s">
        <v>9</v>
      </c>
      <c r="O8" s="68" t="s">
        <v>11</v>
      </c>
      <c r="P8" s="68" t="s">
        <v>12</v>
      </c>
      <c r="Q8" s="68" t="s">
        <v>13</v>
      </c>
    </row>
    <row r="9" spans="1:18" x14ac:dyDescent="0.25">
      <c r="A9" s="9">
        <v>1</v>
      </c>
      <c r="B9" s="61">
        <f>A9+1</f>
        <v>2</v>
      </c>
      <c r="C9" s="9">
        <f t="shared" ref="C9:Q9" si="0">B9+1</f>
        <v>3</v>
      </c>
      <c r="D9" s="9">
        <f t="shared" si="0"/>
        <v>4</v>
      </c>
      <c r="E9" s="9">
        <f t="shared" si="0"/>
        <v>5</v>
      </c>
      <c r="F9" s="69">
        <f t="shared" si="0"/>
        <v>6</v>
      </c>
      <c r="G9" s="69">
        <f t="shared" si="0"/>
        <v>7</v>
      </c>
      <c r="H9" s="70">
        <f t="shared" si="0"/>
        <v>8</v>
      </c>
      <c r="I9" s="70">
        <f t="shared" si="0"/>
        <v>9</v>
      </c>
      <c r="J9" s="95">
        <f t="shared" si="0"/>
        <v>10</v>
      </c>
      <c r="K9" s="71">
        <f t="shared" si="0"/>
        <v>11</v>
      </c>
      <c r="L9" s="71">
        <f t="shared" si="0"/>
        <v>12</v>
      </c>
      <c r="M9" s="71">
        <f t="shared" si="0"/>
        <v>13</v>
      </c>
      <c r="N9" s="95">
        <f t="shared" si="0"/>
        <v>14</v>
      </c>
      <c r="O9" s="72">
        <f t="shared" si="0"/>
        <v>15</v>
      </c>
      <c r="P9" s="72">
        <f t="shared" si="0"/>
        <v>16</v>
      </c>
      <c r="Q9" s="72">
        <f t="shared" si="0"/>
        <v>17</v>
      </c>
    </row>
    <row r="10" spans="1:18" s="13" customFormat="1" ht="30" x14ac:dyDescent="0.25">
      <c r="A10" s="10"/>
      <c r="B10" s="62" t="s">
        <v>16</v>
      </c>
      <c r="C10" s="181" t="s">
        <v>304</v>
      </c>
      <c r="D10" s="182" t="s">
        <v>315</v>
      </c>
      <c r="E10" s="183" t="s">
        <v>18</v>
      </c>
      <c r="F10" s="73" t="s">
        <v>322</v>
      </c>
      <c r="G10" s="74" t="s">
        <v>112</v>
      </c>
      <c r="H10" s="75">
        <v>11</v>
      </c>
      <c r="I10" s="76">
        <v>9</v>
      </c>
      <c r="J10" s="98">
        <f>2+1+3+3</f>
        <v>9</v>
      </c>
      <c r="K10" s="77">
        <f>4792.51+1138.19+504.26+11366.06+4859.68+3954.5</f>
        <v>26615.200000000001</v>
      </c>
      <c r="L10" s="77">
        <f>4792.51+1138.19+504.26+11366.06+4859.68+3954.5</f>
        <v>26615.200000000001</v>
      </c>
      <c r="M10" s="78">
        <f>K10-L10</f>
        <v>0</v>
      </c>
      <c r="N10" s="100">
        <f>2+5+1+2+1</f>
        <v>11</v>
      </c>
      <c r="O10" s="77">
        <f>9108.77+6924.32+22366.06+8197.52</f>
        <v>46596.67</v>
      </c>
      <c r="P10" s="77">
        <f>9108.77+6924.32+12366.06+8197.52</f>
        <v>36596.67</v>
      </c>
      <c r="Q10" s="79">
        <f>O10-P10</f>
        <v>10000</v>
      </c>
      <c r="R10" s="141"/>
    </row>
    <row r="11" spans="1:18" s="13" customFormat="1" ht="30" x14ac:dyDescent="0.25">
      <c r="A11" s="10"/>
      <c r="B11" s="62" t="s">
        <v>16</v>
      </c>
      <c r="C11" s="181" t="s">
        <v>304</v>
      </c>
      <c r="D11" s="182" t="s">
        <v>315</v>
      </c>
      <c r="E11" s="183" t="s">
        <v>18</v>
      </c>
      <c r="F11" s="73" t="s">
        <v>322</v>
      </c>
      <c r="G11" s="184" t="s">
        <v>116</v>
      </c>
      <c r="H11" s="181">
        <v>9</v>
      </c>
      <c r="I11" s="185">
        <v>4</v>
      </c>
      <c r="J11" s="96">
        <v>4</v>
      </c>
      <c r="K11" s="186">
        <v>7070</v>
      </c>
      <c r="L11" s="186">
        <v>6707</v>
      </c>
      <c r="M11" s="187">
        <f t="shared" ref="M11:M90" si="1">K11-L11</f>
        <v>363</v>
      </c>
      <c r="N11" s="100">
        <v>0</v>
      </c>
      <c r="O11" s="186">
        <v>2945</v>
      </c>
      <c r="P11" s="186">
        <v>2945</v>
      </c>
      <c r="Q11" s="188">
        <f t="shared" ref="Q11:Q80" si="2">O11-P11</f>
        <v>0</v>
      </c>
    </row>
    <row r="12" spans="1:18" s="13" customFormat="1" ht="15.75" x14ac:dyDescent="0.25">
      <c r="A12" s="10"/>
      <c r="B12" s="62" t="s">
        <v>490</v>
      </c>
      <c r="C12" s="181" t="s">
        <v>304</v>
      </c>
      <c r="D12" s="182"/>
      <c r="E12" s="183"/>
      <c r="F12" s="189" t="s">
        <v>501</v>
      </c>
      <c r="G12" s="184" t="s">
        <v>112</v>
      </c>
      <c r="H12" s="181">
        <v>8</v>
      </c>
      <c r="I12" s="185">
        <v>7</v>
      </c>
      <c r="J12" s="96">
        <f>5+1+3</f>
        <v>9</v>
      </c>
      <c r="K12" s="186">
        <f>8352.39+384.2+1463.8+3720.67</f>
        <v>13921.06</v>
      </c>
      <c r="L12" s="186">
        <f>8352.39+384.2+1463.8+3720.67</f>
        <v>13921.06</v>
      </c>
      <c r="M12" s="78">
        <f t="shared" si="1"/>
        <v>0</v>
      </c>
      <c r="N12" s="100"/>
      <c r="O12" s="186"/>
      <c r="P12" s="186"/>
      <c r="Q12" s="79">
        <f t="shared" si="2"/>
        <v>0</v>
      </c>
    </row>
    <row r="13" spans="1:18" s="15" customFormat="1" ht="15.75" x14ac:dyDescent="0.25">
      <c r="A13" s="14"/>
      <c r="B13" s="80" t="s">
        <v>19</v>
      </c>
      <c r="C13" s="181" t="s">
        <v>17</v>
      </c>
      <c r="D13" s="182"/>
      <c r="E13" s="183" t="s">
        <v>20</v>
      </c>
      <c r="F13" s="73" t="s">
        <v>323</v>
      </c>
      <c r="G13" s="74" t="s">
        <v>112</v>
      </c>
      <c r="H13" s="75">
        <v>11</v>
      </c>
      <c r="I13" s="76">
        <v>8</v>
      </c>
      <c r="J13" s="96">
        <f>1+2+5+2+1</f>
        <v>11</v>
      </c>
      <c r="K13" s="77">
        <f>422.62+4792.51+1796.14+1373.52</f>
        <v>8384.7900000000009</v>
      </c>
      <c r="L13" s="77">
        <f>422.62+4792.51+1796.14+1373.52</f>
        <v>8384.7900000000009</v>
      </c>
      <c r="M13" s="78">
        <f t="shared" si="1"/>
        <v>0</v>
      </c>
      <c r="N13" s="100">
        <f>8+3+1</f>
        <v>12</v>
      </c>
      <c r="O13" s="81">
        <f>6459.36+7124.45</f>
        <v>13583.81</v>
      </c>
      <c r="P13" s="81">
        <f>6459.36+7124.45</f>
        <v>13583.81</v>
      </c>
      <c r="Q13" s="79">
        <f t="shared" si="2"/>
        <v>0</v>
      </c>
      <c r="R13" s="141"/>
    </row>
    <row r="14" spans="1:18" s="15" customFormat="1" ht="15.75" x14ac:dyDescent="0.25">
      <c r="A14" s="14"/>
      <c r="B14" s="80" t="s">
        <v>19</v>
      </c>
      <c r="C14" s="181" t="s">
        <v>17</v>
      </c>
      <c r="D14" s="182"/>
      <c r="E14" s="183" t="s">
        <v>20</v>
      </c>
      <c r="F14" s="73" t="s">
        <v>451</v>
      </c>
      <c r="G14" s="184" t="s">
        <v>114</v>
      </c>
      <c r="H14" s="181">
        <v>6</v>
      </c>
      <c r="I14" s="185">
        <v>1</v>
      </c>
      <c r="J14" s="190">
        <v>1</v>
      </c>
      <c r="K14" s="77">
        <v>1267.68</v>
      </c>
      <c r="L14" s="77">
        <v>1267.68</v>
      </c>
      <c r="M14" s="187">
        <f t="shared" si="1"/>
        <v>0</v>
      </c>
      <c r="N14" s="101">
        <v>9</v>
      </c>
      <c r="O14" s="186">
        <v>16688.7</v>
      </c>
      <c r="P14" s="186">
        <v>16688.7</v>
      </c>
      <c r="Q14" s="188">
        <f t="shared" si="2"/>
        <v>0</v>
      </c>
    </row>
    <row r="15" spans="1:18" s="15" customFormat="1" ht="15.75" x14ac:dyDescent="0.25">
      <c r="A15" s="14"/>
      <c r="B15" s="62" t="s">
        <v>153</v>
      </c>
      <c r="C15" s="181" t="s">
        <v>17</v>
      </c>
      <c r="D15" s="182"/>
      <c r="E15" s="183" t="s">
        <v>20</v>
      </c>
      <c r="F15" s="73" t="s">
        <v>324</v>
      </c>
      <c r="G15" s="74" t="s">
        <v>112</v>
      </c>
      <c r="H15" s="75">
        <v>10</v>
      </c>
      <c r="I15" s="82">
        <v>6</v>
      </c>
      <c r="J15" s="96">
        <f>1+1+2+1+1+2</f>
        <v>8</v>
      </c>
      <c r="K15" s="77">
        <f>950.9+2451.87+3074.57+845.24+1977.86</f>
        <v>9300.44</v>
      </c>
      <c r="L15" s="77">
        <f>950.9+2451.87+3074.57+845.24+1977.86</f>
        <v>9300.44</v>
      </c>
      <c r="M15" s="78">
        <f>K15-L15</f>
        <v>0</v>
      </c>
      <c r="N15" s="114">
        <f>1+2+1+2+1+1</f>
        <v>8</v>
      </c>
      <c r="O15" s="81">
        <f>422.62+945.61+2484.69+7964.81+1536.8</f>
        <v>13354.529999999999</v>
      </c>
      <c r="P15" s="81">
        <f>422.62+945.61+2484.69+7964.81+1536.8</f>
        <v>13354.529999999999</v>
      </c>
      <c r="Q15" s="79">
        <f t="shared" si="2"/>
        <v>0</v>
      </c>
      <c r="R15" s="141"/>
    </row>
    <row r="16" spans="1:18" s="15" customFormat="1" ht="15.75" x14ac:dyDescent="0.25">
      <c r="A16" s="14"/>
      <c r="B16" s="191" t="s">
        <v>153</v>
      </c>
      <c r="C16" s="181" t="s">
        <v>17</v>
      </c>
      <c r="D16" s="182"/>
      <c r="E16" s="183" t="s">
        <v>20</v>
      </c>
      <c r="F16" s="73" t="s">
        <v>452</v>
      </c>
      <c r="G16" s="184" t="s">
        <v>114</v>
      </c>
      <c r="H16" s="181">
        <v>13</v>
      </c>
      <c r="I16" s="185">
        <v>3</v>
      </c>
      <c r="J16" s="190">
        <v>3</v>
      </c>
      <c r="K16" s="77">
        <v>3957.08</v>
      </c>
      <c r="L16" s="77">
        <v>3957.08</v>
      </c>
      <c r="M16" s="187">
        <f t="shared" si="1"/>
        <v>0</v>
      </c>
      <c r="N16" s="101">
        <v>9</v>
      </c>
      <c r="O16" s="186">
        <v>23692.58</v>
      </c>
      <c r="P16" s="186">
        <v>23692.58</v>
      </c>
      <c r="Q16" s="188">
        <f t="shared" si="2"/>
        <v>0</v>
      </c>
    </row>
    <row r="17" spans="1:18" s="13" customFormat="1" ht="15.75" x14ac:dyDescent="0.25">
      <c r="A17" s="10"/>
      <c r="B17" s="30" t="s">
        <v>22</v>
      </c>
      <c r="C17" s="181" t="s">
        <v>17</v>
      </c>
      <c r="D17" s="182"/>
      <c r="E17" s="183" t="s">
        <v>23</v>
      </c>
      <c r="F17" s="73" t="s">
        <v>325</v>
      </c>
      <c r="G17" s="74" t="s">
        <v>112</v>
      </c>
      <c r="H17" s="75">
        <v>18</v>
      </c>
      <c r="I17" s="76">
        <v>10</v>
      </c>
      <c r="J17" s="96">
        <f>1+2+1+9</f>
        <v>13</v>
      </c>
      <c r="K17" s="77">
        <f>2698.64+1402.33+11601.84</f>
        <v>15702.81</v>
      </c>
      <c r="L17" s="77">
        <f>2698.64+1402.33+11601.84</f>
        <v>15702.81</v>
      </c>
      <c r="M17" s="78">
        <f>K17-L17</f>
        <v>0</v>
      </c>
      <c r="N17" s="100">
        <f>14+3+7+1+1</f>
        <v>26</v>
      </c>
      <c r="O17" s="81">
        <f>22716.4+4171.06+18768.39+8172.47</f>
        <v>53828.320000000007</v>
      </c>
      <c r="P17" s="81">
        <f>22716.4+4171.06+18768.39+8172.47</f>
        <v>53828.320000000007</v>
      </c>
      <c r="Q17" s="79">
        <f t="shared" si="2"/>
        <v>0</v>
      </c>
      <c r="R17" s="141"/>
    </row>
    <row r="18" spans="1:18" s="13" customFormat="1" ht="15.75" x14ac:dyDescent="0.25">
      <c r="A18" s="10"/>
      <c r="B18" s="30" t="s">
        <v>154</v>
      </c>
      <c r="C18" s="181" t="s">
        <v>17</v>
      </c>
      <c r="D18" s="182"/>
      <c r="E18" s="183" t="s">
        <v>20</v>
      </c>
      <c r="F18" s="73" t="s">
        <v>453</v>
      </c>
      <c r="G18" s="184" t="s">
        <v>114</v>
      </c>
      <c r="H18" s="181">
        <v>19</v>
      </c>
      <c r="I18" s="192">
        <v>2</v>
      </c>
      <c r="J18" s="190">
        <v>2</v>
      </c>
      <c r="K18" s="193">
        <v>1152.5999999999999</v>
      </c>
      <c r="L18" s="193">
        <v>1152.5999999999999</v>
      </c>
      <c r="M18" s="187">
        <f t="shared" si="1"/>
        <v>0</v>
      </c>
      <c r="N18" s="114">
        <v>13</v>
      </c>
      <c r="O18" s="186">
        <v>31595.24</v>
      </c>
      <c r="P18" s="186">
        <v>31595.24</v>
      </c>
      <c r="Q18" s="188">
        <f t="shared" si="2"/>
        <v>0</v>
      </c>
    </row>
    <row r="19" spans="1:18" s="13" customFormat="1" ht="15.75" x14ac:dyDescent="0.25">
      <c r="A19" s="10"/>
      <c r="B19" s="30" t="s">
        <v>154</v>
      </c>
      <c r="C19" s="181" t="s">
        <v>17</v>
      </c>
      <c r="D19" s="182"/>
      <c r="E19" s="183" t="s">
        <v>20</v>
      </c>
      <c r="F19" s="73" t="s">
        <v>326</v>
      </c>
      <c r="G19" s="74" t="s">
        <v>112</v>
      </c>
      <c r="H19" s="75">
        <v>19</v>
      </c>
      <c r="I19" s="76">
        <v>12</v>
      </c>
      <c r="J19" s="96">
        <f>1+1+2+2+2+6</f>
        <v>14</v>
      </c>
      <c r="K19" s="77">
        <f>950.9+864.46+845.24+405.02+739.59</f>
        <v>3805.2100000000005</v>
      </c>
      <c r="L19" s="77">
        <f>950.9+864.46+845.24+405.02+739.59</f>
        <v>3805.2100000000005</v>
      </c>
      <c r="M19" s="78">
        <f t="shared" si="1"/>
        <v>0</v>
      </c>
      <c r="N19" s="100">
        <f>6+3+1+1+1+2+1</f>
        <v>15</v>
      </c>
      <c r="O19" s="81">
        <f>6681.33+7017+1523.5+9094.74</f>
        <v>24316.57</v>
      </c>
      <c r="P19" s="81">
        <f>6681.33+7017+1523.5+9094.74</f>
        <v>24316.57</v>
      </c>
      <c r="Q19" s="79">
        <f t="shared" si="2"/>
        <v>0</v>
      </c>
      <c r="R19" s="141"/>
    </row>
    <row r="20" spans="1:18" s="13" customFormat="1" ht="15.75" x14ac:dyDescent="0.25">
      <c r="A20" s="10"/>
      <c r="B20" s="62" t="s">
        <v>24</v>
      </c>
      <c r="C20" s="181" t="s">
        <v>17</v>
      </c>
      <c r="D20" s="182"/>
      <c r="E20" s="183" t="s">
        <v>20</v>
      </c>
      <c r="F20" s="73" t="s">
        <v>327</v>
      </c>
      <c r="G20" s="74" t="s">
        <v>112</v>
      </c>
      <c r="H20" s="75">
        <v>6</v>
      </c>
      <c r="I20" s="76">
        <v>3</v>
      </c>
      <c r="J20" s="96">
        <f>3</f>
        <v>3</v>
      </c>
      <c r="K20" s="77">
        <f>1191.02</f>
        <v>1191.02</v>
      </c>
      <c r="L20" s="77">
        <f>1191.02</f>
        <v>1191.02</v>
      </c>
      <c r="M20" s="78">
        <f t="shared" si="1"/>
        <v>0</v>
      </c>
      <c r="N20" s="100">
        <f>1+1</f>
        <v>2</v>
      </c>
      <c r="O20" s="81">
        <f>576.3+1810.93</f>
        <v>2387.23</v>
      </c>
      <c r="P20" s="81">
        <f>576.3+1810.93</f>
        <v>2387.23</v>
      </c>
      <c r="Q20" s="188">
        <f t="shared" si="2"/>
        <v>0</v>
      </c>
      <c r="R20" s="141"/>
    </row>
    <row r="21" spans="1:18" s="13" customFormat="1" ht="15.75" x14ac:dyDescent="0.25">
      <c r="A21" s="10"/>
      <c r="B21" s="62" t="s">
        <v>24</v>
      </c>
      <c r="C21" s="181" t="s">
        <v>17</v>
      </c>
      <c r="D21" s="182"/>
      <c r="E21" s="183" t="s">
        <v>20</v>
      </c>
      <c r="F21" s="73" t="s">
        <v>454</v>
      </c>
      <c r="G21" s="184" t="s">
        <v>114</v>
      </c>
      <c r="H21" s="181">
        <v>12</v>
      </c>
      <c r="I21" s="185"/>
      <c r="J21" s="190"/>
      <c r="K21" s="77"/>
      <c r="L21" s="77"/>
      <c r="M21" s="187">
        <f t="shared" si="1"/>
        <v>0</v>
      </c>
      <c r="N21" s="100">
        <v>15</v>
      </c>
      <c r="O21" s="186">
        <v>14635.6</v>
      </c>
      <c r="P21" s="186">
        <v>14635.6</v>
      </c>
      <c r="Q21" s="188">
        <f t="shared" si="2"/>
        <v>0</v>
      </c>
    </row>
    <row r="22" spans="1:18" s="13" customFormat="1" ht="15.75" x14ac:dyDescent="0.25">
      <c r="A22" s="10"/>
      <c r="B22" s="62" t="s">
        <v>25</v>
      </c>
      <c r="C22" s="181" t="s">
        <v>17</v>
      </c>
      <c r="D22" s="182"/>
      <c r="E22" s="183" t="s">
        <v>20</v>
      </c>
      <c r="F22" s="73" t="s">
        <v>328</v>
      </c>
      <c r="G22" s="74" t="s">
        <v>112</v>
      </c>
      <c r="H22" s="75">
        <v>8</v>
      </c>
      <c r="I22" s="76">
        <v>4</v>
      </c>
      <c r="J22" s="96">
        <f>1+1+1+1+1</f>
        <v>5</v>
      </c>
      <c r="K22" s="173">
        <f>403.41</f>
        <v>403.41</v>
      </c>
      <c r="L22" s="173">
        <v>403.41</v>
      </c>
      <c r="M22" s="78">
        <f>K22-L22</f>
        <v>0</v>
      </c>
      <c r="N22" s="100">
        <f>6+1+2+2</f>
        <v>11</v>
      </c>
      <c r="O22" s="81">
        <f>14526.7+5595.3+2440.62+2839.24</f>
        <v>25401.86</v>
      </c>
      <c r="P22" s="81">
        <f>14526.7+5595.3+2440.62+2839.24</f>
        <v>25401.86</v>
      </c>
      <c r="Q22" s="188">
        <f t="shared" si="2"/>
        <v>0</v>
      </c>
      <c r="R22" s="141"/>
    </row>
    <row r="23" spans="1:18" s="13" customFormat="1" ht="15.75" x14ac:dyDescent="0.25">
      <c r="A23" s="10"/>
      <c r="B23" s="62" t="s">
        <v>25</v>
      </c>
      <c r="C23" s="181" t="s">
        <v>17</v>
      </c>
      <c r="D23" s="182"/>
      <c r="E23" s="183" t="s">
        <v>20</v>
      </c>
      <c r="F23" s="73" t="s">
        <v>455</v>
      </c>
      <c r="G23" s="184" t="s">
        <v>114</v>
      </c>
      <c r="H23" s="181">
        <v>3</v>
      </c>
      <c r="I23" s="185"/>
      <c r="J23" s="190"/>
      <c r="K23" s="77"/>
      <c r="L23" s="77"/>
      <c r="M23" s="187">
        <f t="shared" si="1"/>
        <v>0</v>
      </c>
      <c r="N23" s="100">
        <v>3</v>
      </c>
      <c r="O23" s="186">
        <v>4146.2</v>
      </c>
      <c r="P23" s="186">
        <f>4146.2</f>
        <v>4146.2</v>
      </c>
      <c r="Q23" s="188">
        <f t="shared" si="2"/>
        <v>0</v>
      </c>
    </row>
    <row r="24" spans="1:18" s="13" customFormat="1" ht="15.75" x14ac:dyDescent="0.25">
      <c r="A24" s="10"/>
      <c r="B24" s="62" t="s">
        <v>26</v>
      </c>
      <c r="C24" s="181" t="s">
        <v>17</v>
      </c>
      <c r="D24" s="182"/>
      <c r="E24" s="183" t="s">
        <v>27</v>
      </c>
      <c r="F24" s="73" t="s">
        <v>329</v>
      </c>
      <c r="G24" s="74" t="s">
        <v>112</v>
      </c>
      <c r="H24" s="75">
        <v>14</v>
      </c>
      <c r="I24" s="76">
        <v>7</v>
      </c>
      <c r="J24" s="96">
        <f>2+2+4</f>
        <v>8</v>
      </c>
      <c r="K24" s="77">
        <f>845.24+1056.55+5121.1+26225.35</f>
        <v>33248.239999999998</v>
      </c>
      <c r="L24" s="77">
        <f>845.24+1056.55+5121.1+26225.35</f>
        <v>33248.239999999998</v>
      </c>
      <c r="M24" s="78">
        <f t="shared" si="1"/>
        <v>0</v>
      </c>
      <c r="N24" s="100">
        <f>6+1+1+2</f>
        <v>10</v>
      </c>
      <c r="O24" s="81">
        <f>17838.53+2535.75+7238.9</f>
        <v>27613.18</v>
      </c>
      <c r="P24" s="81">
        <f>17838.53+2535.75+7238.9</f>
        <v>27613.18</v>
      </c>
      <c r="Q24" s="188">
        <f t="shared" si="2"/>
        <v>0</v>
      </c>
      <c r="R24" s="141"/>
    </row>
    <row r="25" spans="1:18" s="15" customFormat="1" ht="15.75" x14ac:dyDescent="0.25">
      <c r="A25" s="14"/>
      <c r="B25" s="80" t="s">
        <v>28</v>
      </c>
      <c r="C25" s="181" t="s">
        <v>17</v>
      </c>
      <c r="D25" s="182"/>
      <c r="E25" s="194" t="s">
        <v>29</v>
      </c>
      <c r="F25" s="73" t="s">
        <v>330</v>
      </c>
      <c r="G25" s="74" t="s">
        <v>112</v>
      </c>
      <c r="H25" s="75">
        <v>6</v>
      </c>
      <c r="I25" s="76">
        <v>6</v>
      </c>
      <c r="J25" s="96">
        <f>2+1+2+1</f>
        <v>6</v>
      </c>
      <c r="K25" s="77">
        <f>6135.14+2440.63+9722.07</f>
        <v>18297.84</v>
      </c>
      <c r="L25" s="77">
        <f>6135.14+2440.63+9722.07</f>
        <v>18297.84</v>
      </c>
      <c r="M25" s="78">
        <f t="shared" si="1"/>
        <v>0</v>
      </c>
      <c r="N25" s="100">
        <f>3+2+4+3</f>
        <v>12</v>
      </c>
      <c r="O25" s="81">
        <f>5310.83+4630.52+14679.01+36087.29</f>
        <v>60707.65</v>
      </c>
      <c r="P25" s="81">
        <f>5310.83+4630.52+14679.01+36087.29</f>
        <v>60707.65</v>
      </c>
      <c r="Q25" s="188">
        <f t="shared" si="2"/>
        <v>0</v>
      </c>
      <c r="R25" s="141"/>
    </row>
    <row r="26" spans="1:18" s="15" customFormat="1" ht="30" x14ac:dyDescent="0.25">
      <c r="A26" s="14"/>
      <c r="B26" s="80" t="s">
        <v>28</v>
      </c>
      <c r="C26" s="181" t="s">
        <v>17</v>
      </c>
      <c r="D26" s="182"/>
      <c r="E26" s="194" t="s">
        <v>29</v>
      </c>
      <c r="F26" s="73" t="s">
        <v>420</v>
      </c>
      <c r="G26" s="195" t="s">
        <v>117</v>
      </c>
      <c r="H26" s="181">
        <v>1</v>
      </c>
      <c r="I26" s="196"/>
      <c r="J26" s="97"/>
      <c r="K26" s="77"/>
      <c r="L26" s="77"/>
      <c r="M26" s="78">
        <f t="shared" si="1"/>
        <v>0</v>
      </c>
      <c r="N26" s="101">
        <v>2</v>
      </c>
      <c r="O26" s="186">
        <v>2766.24</v>
      </c>
      <c r="P26" s="186">
        <v>2766.24</v>
      </c>
      <c r="Q26" s="79">
        <f t="shared" si="2"/>
        <v>0</v>
      </c>
    </row>
    <row r="27" spans="1:18" s="15" customFormat="1" ht="30" x14ac:dyDescent="0.25">
      <c r="A27" s="14"/>
      <c r="B27" s="191" t="s">
        <v>500</v>
      </c>
      <c r="C27" s="181" t="s">
        <v>17</v>
      </c>
      <c r="D27" s="182"/>
      <c r="E27" s="194"/>
      <c r="F27" s="73" t="s">
        <v>503</v>
      </c>
      <c r="G27" s="195" t="s">
        <v>112</v>
      </c>
      <c r="H27" s="181">
        <v>10</v>
      </c>
      <c r="I27" s="196">
        <v>3</v>
      </c>
      <c r="J27" s="97">
        <f>2+2</f>
        <v>4</v>
      </c>
      <c r="K27" s="77">
        <v>1202.51</v>
      </c>
      <c r="L27" s="77">
        <v>1202.51</v>
      </c>
      <c r="M27" s="78">
        <f t="shared" si="1"/>
        <v>0</v>
      </c>
      <c r="N27" s="101"/>
      <c r="O27" s="186"/>
      <c r="P27" s="186"/>
      <c r="Q27" s="79"/>
    </row>
    <row r="28" spans="1:18" s="13" customFormat="1" ht="15.75" x14ac:dyDescent="0.25">
      <c r="A28" s="10"/>
      <c r="B28" s="27" t="s">
        <v>30</v>
      </c>
      <c r="C28" s="181" t="s">
        <v>17</v>
      </c>
      <c r="D28" s="182"/>
      <c r="E28" s="194" t="s">
        <v>21</v>
      </c>
      <c r="F28" s="73" t="s">
        <v>333</v>
      </c>
      <c r="G28" s="74" t="s">
        <v>112</v>
      </c>
      <c r="H28" s="75">
        <v>15</v>
      </c>
      <c r="I28" s="76">
        <v>11</v>
      </c>
      <c r="J28" s="96">
        <f>3+1+3+1+4+1+1</f>
        <v>14</v>
      </c>
      <c r="K28" s="77">
        <f>16637.24+1045.98</f>
        <v>17683.22</v>
      </c>
      <c r="L28" s="77">
        <f>16637.24+1045.98-1465.72</f>
        <v>16217.500000000002</v>
      </c>
      <c r="M28" s="78">
        <f t="shared" si="1"/>
        <v>1465.7199999999993</v>
      </c>
      <c r="N28" s="100">
        <f>9+1+3+1+1+1+2+1+1+2</f>
        <v>22</v>
      </c>
      <c r="O28" s="81">
        <f>77047.8+15703.07</f>
        <v>92750.87</v>
      </c>
      <c r="P28" s="81">
        <f>77047.8+15703.07</f>
        <v>92750.87</v>
      </c>
      <c r="Q28" s="188">
        <f t="shared" si="2"/>
        <v>0</v>
      </c>
      <c r="R28" s="141"/>
    </row>
    <row r="29" spans="1:18" s="13" customFormat="1" ht="15.75" x14ac:dyDescent="0.25">
      <c r="A29" s="10"/>
      <c r="B29" s="27" t="s">
        <v>491</v>
      </c>
      <c r="C29" s="181" t="s">
        <v>17</v>
      </c>
      <c r="D29" s="182"/>
      <c r="E29" s="183" t="s">
        <v>20</v>
      </c>
      <c r="F29" s="73" t="s">
        <v>495</v>
      </c>
      <c r="G29" s="74" t="s">
        <v>112</v>
      </c>
      <c r="H29" s="75">
        <v>8</v>
      </c>
      <c r="I29" s="76">
        <v>4</v>
      </c>
      <c r="J29" s="96">
        <f>2+2</f>
        <v>4</v>
      </c>
      <c r="K29" s="77">
        <f>1727.9+2093.89</f>
        <v>3821.79</v>
      </c>
      <c r="L29" s="77">
        <f>1727.9+2093.89</f>
        <v>3821.79</v>
      </c>
      <c r="M29" s="78">
        <f t="shared" si="1"/>
        <v>0</v>
      </c>
      <c r="N29" s="100"/>
      <c r="O29" s="81"/>
      <c r="P29" s="81"/>
      <c r="Q29" s="188"/>
      <c r="R29" s="141"/>
    </row>
    <row r="30" spans="1:18" s="13" customFormat="1" ht="15.75" x14ac:dyDescent="0.25">
      <c r="A30" s="10"/>
      <c r="B30" s="27" t="s">
        <v>491</v>
      </c>
      <c r="C30" s="181" t="s">
        <v>17</v>
      </c>
      <c r="D30" s="182"/>
      <c r="E30" s="183" t="s">
        <v>20</v>
      </c>
      <c r="F30" s="73" t="s">
        <v>504</v>
      </c>
      <c r="G30" s="74" t="s">
        <v>114</v>
      </c>
      <c r="H30" s="75">
        <v>6</v>
      </c>
      <c r="I30" s="76">
        <v>1</v>
      </c>
      <c r="J30" s="96">
        <v>1</v>
      </c>
      <c r="K30" s="77"/>
      <c r="L30" s="77"/>
      <c r="M30" s="187">
        <f t="shared" si="1"/>
        <v>0</v>
      </c>
      <c r="N30" s="100"/>
      <c r="O30" s="81"/>
      <c r="P30" s="81"/>
      <c r="Q30" s="188">
        <f t="shared" si="2"/>
        <v>0</v>
      </c>
      <c r="R30" s="141"/>
    </row>
    <row r="31" spans="1:18" s="13" customFormat="1" ht="30" x14ac:dyDescent="0.25">
      <c r="A31" s="10"/>
      <c r="B31" s="27" t="s">
        <v>491</v>
      </c>
      <c r="C31" s="181" t="s">
        <v>17</v>
      </c>
      <c r="D31" s="182"/>
      <c r="E31" s="183"/>
      <c r="F31" s="73"/>
      <c r="G31" s="195" t="s">
        <v>117</v>
      </c>
      <c r="H31" s="75">
        <v>1</v>
      </c>
      <c r="I31" s="76"/>
      <c r="J31" s="96"/>
      <c r="K31" s="77"/>
      <c r="L31" s="77"/>
      <c r="M31" s="187"/>
      <c r="N31" s="100"/>
      <c r="O31" s="81"/>
      <c r="P31" s="81"/>
      <c r="Q31" s="188"/>
      <c r="R31" s="141"/>
    </row>
    <row r="32" spans="1:18" s="13" customFormat="1" ht="15.75" x14ac:dyDescent="0.25">
      <c r="A32" s="10"/>
      <c r="B32" s="30" t="s">
        <v>31</v>
      </c>
      <c r="C32" s="181" t="s">
        <v>17</v>
      </c>
      <c r="D32" s="182"/>
      <c r="E32" s="183" t="s">
        <v>32</v>
      </c>
      <c r="F32" s="73" t="s">
        <v>331</v>
      </c>
      <c r="G32" s="74" t="s">
        <v>112</v>
      </c>
      <c r="H32" s="75">
        <v>11</v>
      </c>
      <c r="I32" s="76">
        <v>8</v>
      </c>
      <c r="J32" s="96">
        <f>1+2+3+1+4</f>
        <v>11</v>
      </c>
      <c r="K32" s="77">
        <f>633.93+1045.98+5377.62+950.9+6004.09</f>
        <v>14012.52</v>
      </c>
      <c r="L32" s="77">
        <f>633.93+1045.98+5377.62+950.9+6004.09</f>
        <v>14012.52</v>
      </c>
      <c r="M32" s="78">
        <f>K32-L32</f>
        <v>0</v>
      </c>
      <c r="N32" s="100">
        <f>1+3+3+1+1+2</f>
        <v>11</v>
      </c>
      <c r="O32" s="81">
        <f>2299.8+15239.58+6152.75+2720.49+1483.38+7043.49+11175.04</f>
        <v>46114.530000000006</v>
      </c>
      <c r="P32" s="81">
        <f>2299.8+15239.58+6152.75+2720.49+1483.38+7043.49+11175.04</f>
        <v>46114.530000000006</v>
      </c>
      <c r="Q32" s="79">
        <f t="shared" si="2"/>
        <v>0</v>
      </c>
      <c r="R32" s="141"/>
    </row>
    <row r="33" spans="1:18" s="13" customFormat="1" ht="30" x14ac:dyDescent="0.25">
      <c r="A33" s="10"/>
      <c r="B33" s="30" t="s">
        <v>31</v>
      </c>
      <c r="C33" s="181" t="s">
        <v>17</v>
      </c>
      <c r="D33" s="182"/>
      <c r="E33" s="183" t="s">
        <v>32</v>
      </c>
      <c r="F33" s="73" t="s">
        <v>422</v>
      </c>
      <c r="G33" s="195" t="s">
        <v>117</v>
      </c>
      <c r="H33" s="181">
        <v>9</v>
      </c>
      <c r="I33" s="185">
        <v>2</v>
      </c>
      <c r="J33" s="96">
        <v>2</v>
      </c>
      <c r="K33" s="77">
        <v>4073.2</v>
      </c>
      <c r="L33" s="77">
        <v>4073.2</v>
      </c>
      <c r="M33" s="187">
        <f t="shared" si="1"/>
        <v>0</v>
      </c>
      <c r="N33" s="100">
        <v>7</v>
      </c>
      <c r="O33" s="77">
        <v>13695.79</v>
      </c>
      <c r="P33" s="77">
        <v>13695.79</v>
      </c>
      <c r="Q33" s="188">
        <f t="shared" si="2"/>
        <v>0</v>
      </c>
    </row>
    <row r="34" spans="1:18" s="15" customFormat="1" ht="15.75" x14ac:dyDescent="0.25">
      <c r="A34" s="14"/>
      <c r="B34" s="80" t="s">
        <v>33</v>
      </c>
      <c r="C34" s="181" t="s">
        <v>17</v>
      </c>
      <c r="D34" s="182"/>
      <c r="E34" s="197" t="s">
        <v>20</v>
      </c>
      <c r="F34" s="73" t="s">
        <v>332</v>
      </c>
      <c r="G34" s="74" t="s">
        <v>112</v>
      </c>
      <c r="H34" s="75">
        <v>8</v>
      </c>
      <c r="I34" s="76">
        <v>5</v>
      </c>
      <c r="J34" s="96">
        <f>1+1+1+1+1</f>
        <v>5</v>
      </c>
      <c r="K34" s="77">
        <f>845.245+5363.43+5912.72+845.24</f>
        <v>12966.635</v>
      </c>
      <c r="L34" s="77">
        <f>845.245+5363.43+5912.72+845.24</f>
        <v>12966.635</v>
      </c>
      <c r="M34" s="78">
        <f>K34-L34</f>
        <v>0</v>
      </c>
      <c r="N34" s="100">
        <f>2+1+1+1+1+2+1</f>
        <v>9</v>
      </c>
      <c r="O34" s="81">
        <f>845.24+1613.64+3380.96+3639.33+1152.6</f>
        <v>10631.77</v>
      </c>
      <c r="P34" s="81">
        <f>845.24+1613.64+3380.96+3639.33+1152.6</f>
        <v>10631.77</v>
      </c>
      <c r="Q34" s="79">
        <f t="shared" si="2"/>
        <v>0</v>
      </c>
      <c r="R34" s="141"/>
    </row>
    <row r="35" spans="1:18" s="15" customFormat="1" ht="15.75" x14ac:dyDescent="0.25">
      <c r="A35" s="14"/>
      <c r="B35" s="80" t="s">
        <v>33</v>
      </c>
      <c r="C35" s="181" t="s">
        <v>17</v>
      </c>
      <c r="D35" s="182"/>
      <c r="E35" s="183" t="s">
        <v>20</v>
      </c>
      <c r="F35" s="73" t="s">
        <v>481</v>
      </c>
      <c r="G35" s="184" t="s">
        <v>114</v>
      </c>
      <c r="H35" s="181">
        <v>5</v>
      </c>
      <c r="I35" s="185"/>
      <c r="J35" s="190"/>
      <c r="K35" s="77"/>
      <c r="L35" s="77"/>
      <c r="M35" s="187">
        <f t="shared" si="1"/>
        <v>0</v>
      </c>
      <c r="N35" s="101">
        <v>15</v>
      </c>
      <c r="O35" s="186">
        <v>32944.949999999997</v>
      </c>
      <c r="P35" s="186">
        <v>25645.14</v>
      </c>
      <c r="Q35" s="188">
        <f t="shared" si="2"/>
        <v>7299.8099999999977</v>
      </c>
    </row>
    <row r="36" spans="1:18" s="15" customFormat="1" ht="15.75" x14ac:dyDescent="0.25">
      <c r="A36" s="14"/>
      <c r="B36" s="62" t="s">
        <v>147</v>
      </c>
      <c r="C36" s="181" t="s">
        <v>17</v>
      </c>
      <c r="D36" s="182"/>
      <c r="E36" s="183" t="s">
        <v>29</v>
      </c>
      <c r="F36" s="73" t="s">
        <v>334</v>
      </c>
      <c r="G36" s="74" t="s">
        <v>112</v>
      </c>
      <c r="H36" s="75">
        <v>7</v>
      </c>
      <c r="I36" s="192">
        <v>1</v>
      </c>
      <c r="J36" s="97">
        <f>1+1</f>
        <v>2</v>
      </c>
      <c r="K36" s="77">
        <f>1854.88+2824.48</f>
        <v>4679.3600000000006</v>
      </c>
      <c r="L36" s="77">
        <f>1854.88+2824.48</f>
        <v>4679.3600000000006</v>
      </c>
      <c r="M36" s="78">
        <f>K36-L36</f>
        <v>0</v>
      </c>
      <c r="N36" s="114">
        <f>1+1+1</f>
        <v>3</v>
      </c>
      <c r="O36" s="81">
        <f>1394.65+2473.17+1961.49</f>
        <v>5829.31</v>
      </c>
      <c r="P36" s="81">
        <f>1394.65+2473.17+1961.49</f>
        <v>5829.31</v>
      </c>
      <c r="Q36" s="79">
        <f t="shared" si="2"/>
        <v>0</v>
      </c>
      <c r="R36" s="141"/>
    </row>
    <row r="37" spans="1:18" s="15" customFormat="1" ht="15.75" x14ac:dyDescent="0.25">
      <c r="A37" s="14"/>
      <c r="B37" s="191" t="s">
        <v>147</v>
      </c>
      <c r="C37" s="181" t="s">
        <v>17</v>
      </c>
      <c r="D37" s="182"/>
      <c r="E37" s="183" t="s">
        <v>29</v>
      </c>
      <c r="F37" s="73" t="s">
        <v>423</v>
      </c>
      <c r="G37" s="184" t="s">
        <v>117</v>
      </c>
      <c r="H37" s="181">
        <v>5</v>
      </c>
      <c r="I37" s="196">
        <v>4</v>
      </c>
      <c r="J37" s="97">
        <v>4</v>
      </c>
      <c r="K37" s="77">
        <v>5241.5</v>
      </c>
      <c r="L37" s="77">
        <v>5241.5</v>
      </c>
      <c r="M37" s="187">
        <f t="shared" si="1"/>
        <v>0</v>
      </c>
      <c r="N37" s="101">
        <v>4</v>
      </c>
      <c r="O37" s="186">
        <v>4706.45</v>
      </c>
      <c r="P37" s="186">
        <v>4706.45</v>
      </c>
      <c r="Q37" s="188">
        <f t="shared" si="2"/>
        <v>0</v>
      </c>
    </row>
    <row r="38" spans="1:18" s="13" customFormat="1" ht="15.75" x14ac:dyDescent="0.25">
      <c r="A38" s="10"/>
      <c r="B38" s="62" t="s">
        <v>34</v>
      </c>
      <c r="C38" s="181" t="s">
        <v>17</v>
      </c>
      <c r="D38" s="182"/>
      <c r="E38" s="194" t="s">
        <v>35</v>
      </c>
      <c r="F38" s="73" t="s">
        <v>335</v>
      </c>
      <c r="G38" s="74" t="s">
        <v>112</v>
      </c>
      <c r="H38" s="75">
        <v>19</v>
      </c>
      <c r="I38" s="76">
        <v>12</v>
      </c>
      <c r="J38" s="96">
        <f>4+2+2+7</f>
        <v>15</v>
      </c>
      <c r="K38" s="77">
        <f>8288.4+1267.86+845.24+13964.6+11418.26</f>
        <v>35784.36</v>
      </c>
      <c r="L38" s="77">
        <f>8288.4+1267.86+845.24+13964.6+11418.26</f>
        <v>35784.36</v>
      </c>
      <c r="M38" s="78">
        <f>K38-L38</f>
        <v>0</v>
      </c>
      <c r="N38" s="100">
        <f>4+4+6+1+3+1+3+1</f>
        <v>23</v>
      </c>
      <c r="O38" s="81">
        <f>23915.04+21171.88+6399.1+11460.81</f>
        <v>62946.829999999994</v>
      </c>
      <c r="P38" s="81">
        <f>23915.04+21171.88+6399.1+11460.81</f>
        <v>62946.829999999994</v>
      </c>
      <c r="Q38" s="79">
        <f t="shared" si="2"/>
        <v>0</v>
      </c>
      <c r="R38" s="141"/>
    </row>
    <row r="39" spans="1:18" s="13" customFormat="1" ht="30" x14ac:dyDescent="0.25">
      <c r="A39" s="10"/>
      <c r="B39" s="62" t="s">
        <v>34</v>
      </c>
      <c r="C39" s="181" t="s">
        <v>17</v>
      </c>
      <c r="D39" s="182"/>
      <c r="E39" s="194" t="s">
        <v>35</v>
      </c>
      <c r="F39" s="73" t="s">
        <v>424</v>
      </c>
      <c r="G39" s="195" t="s">
        <v>117</v>
      </c>
      <c r="H39" s="181">
        <v>2</v>
      </c>
      <c r="I39" s="185">
        <v>1</v>
      </c>
      <c r="J39" s="96">
        <v>2</v>
      </c>
      <c r="K39" s="77">
        <v>3842</v>
      </c>
      <c r="L39" s="77">
        <v>3842</v>
      </c>
      <c r="M39" s="187">
        <f t="shared" si="1"/>
        <v>0</v>
      </c>
      <c r="N39" s="100">
        <v>3</v>
      </c>
      <c r="O39" s="186">
        <v>9220.7999999999993</v>
      </c>
      <c r="P39" s="186">
        <v>9220.7999999999993</v>
      </c>
      <c r="Q39" s="188">
        <f t="shared" si="2"/>
        <v>0</v>
      </c>
    </row>
    <row r="40" spans="1:18" s="13" customFormat="1" ht="15.75" x14ac:dyDescent="0.25">
      <c r="A40" s="10"/>
      <c r="B40" s="27" t="s">
        <v>36</v>
      </c>
      <c r="C40" s="181" t="s">
        <v>17</v>
      </c>
      <c r="D40" s="182"/>
      <c r="E40" s="194" t="s">
        <v>32</v>
      </c>
      <c r="F40" s="73" t="s">
        <v>336</v>
      </c>
      <c r="G40" s="74" t="s">
        <v>112</v>
      </c>
      <c r="H40" s="75">
        <v>18</v>
      </c>
      <c r="I40" s="76">
        <v>9</v>
      </c>
      <c r="J40" s="96">
        <f>1+3+4+2</f>
        <v>10</v>
      </c>
      <c r="K40" s="77">
        <f>2091.97+4201.22+3643.94+998.92</f>
        <v>10936.050000000001</v>
      </c>
      <c r="L40" s="77">
        <f>2091.97+4201.22+3643.94+998.92</f>
        <v>10936.050000000001</v>
      </c>
      <c r="M40" s="78">
        <f t="shared" si="1"/>
        <v>0</v>
      </c>
      <c r="N40" s="100">
        <f>4+2+5+1+1+4</f>
        <v>17</v>
      </c>
      <c r="O40" s="81">
        <f>26828.22+3116.2+14162+4691+13237.22</f>
        <v>62034.64</v>
      </c>
      <c r="P40" s="81">
        <f>26828.22+3116.2+14162+4691+13237.22</f>
        <v>62034.64</v>
      </c>
      <c r="Q40" s="79">
        <f t="shared" si="2"/>
        <v>0</v>
      </c>
      <c r="R40" s="141"/>
    </row>
    <row r="41" spans="1:18" s="13" customFormat="1" ht="15.75" x14ac:dyDescent="0.25">
      <c r="A41" s="10"/>
      <c r="B41" s="27" t="s">
        <v>38</v>
      </c>
      <c r="C41" s="181" t="s">
        <v>17</v>
      </c>
      <c r="D41" s="182"/>
      <c r="E41" s="183" t="s">
        <v>20</v>
      </c>
      <c r="F41" s="73" t="s">
        <v>338</v>
      </c>
      <c r="G41" s="74" t="s">
        <v>112</v>
      </c>
      <c r="H41" s="75">
        <v>33</v>
      </c>
      <c r="I41" s="76">
        <v>24</v>
      </c>
      <c r="J41" s="96">
        <f>5+9+3+4+4+2+3+3</f>
        <v>33</v>
      </c>
      <c r="K41" s="77">
        <f>4427.07+14262.52+23391.74+11108.38+9141.17+3923.07</f>
        <v>66253.95</v>
      </c>
      <c r="L41" s="77">
        <f>4427.07+14262.52+23391.74+11108.38+9141.17+3923.07</f>
        <v>66253.95</v>
      </c>
      <c r="M41" s="78">
        <f t="shared" si="1"/>
        <v>0</v>
      </c>
      <c r="N41" s="100">
        <f>1+14+2+2+2+3</f>
        <v>24</v>
      </c>
      <c r="O41" s="81">
        <f>34449.99+27363.78+23604.86+16739.26+15240.34+16003.48</f>
        <v>133401.71</v>
      </c>
      <c r="P41" s="81">
        <f>34449.99+27363.78+23604.86+16739.26+15240.34+16003.48</f>
        <v>133401.71</v>
      </c>
      <c r="Q41" s="79">
        <f t="shared" si="2"/>
        <v>0</v>
      </c>
      <c r="R41" s="141"/>
    </row>
    <row r="42" spans="1:18" s="13" customFormat="1" ht="15.75" x14ac:dyDescent="0.25">
      <c r="A42" s="10"/>
      <c r="B42" s="27" t="s">
        <v>38</v>
      </c>
      <c r="C42" s="181" t="s">
        <v>17</v>
      </c>
      <c r="D42" s="182"/>
      <c r="E42" s="183" t="s">
        <v>20</v>
      </c>
      <c r="F42" s="73" t="s">
        <v>268</v>
      </c>
      <c r="G42" s="184" t="s">
        <v>114</v>
      </c>
      <c r="H42" s="181"/>
      <c r="I42" s="185"/>
      <c r="J42" s="190"/>
      <c r="K42" s="77"/>
      <c r="L42" s="77"/>
      <c r="M42" s="187">
        <f t="shared" si="1"/>
        <v>0</v>
      </c>
      <c r="N42" s="100"/>
      <c r="O42" s="186"/>
      <c r="P42" s="186"/>
      <c r="Q42" s="188">
        <f t="shared" si="2"/>
        <v>0</v>
      </c>
    </row>
    <row r="43" spans="1:18" s="13" customFormat="1" ht="15.75" x14ac:dyDescent="0.25">
      <c r="A43" s="10"/>
      <c r="B43" s="27" t="s">
        <v>38</v>
      </c>
      <c r="C43" s="181" t="s">
        <v>17</v>
      </c>
      <c r="D43" s="182"/>
      <c r="E43" s="183" t="s">
        <v>18</v>
      </c>
      <c r="F43" s="73" t="s">
        <v>324</v>
      </c>
      <c r="G43" s="184" t="s">
        <v>116</v>
      </c>
      <c r="H43" s="181">
        <v>3</v>
      </c>
      <c r="I43" s="185">
        <v>6</v>
      </c>
      <c r="J43" s="190">
        <v>6</v>
      </c>
      <c r="K43" s="77"/>
      <c r="L43" s="77"/>
      <c r="M43" s="187">
        <f t="shared" si="1"/>
        <v>0</v>
      </c>
      <c r="N43" s="100"/>
      <c r="O43" s="186"/>
      <c r="P43" s="186"/>
      <c r="Q43" s="188">
        <f t="shared" si="2"/>
        <v>0</v>
      </c>
    </row>
    <row r="44" spans="1:18" s="13" customFormat="1" ht="15.75" x14ac:dyDescent="0.25">
      <c r="A44" s="10"/>
      <c r="B44" s="62" t="s">
        <v>39</v>
      </c>
      <c r="C44" s="181" t="s">
        <v>17</v>
      </c>
      <c r="D44" s="182"/>
      <c r="E44" s="183" t="s">
        <v>20</v>
      </c>
      <c r="F44" s="73" t="s">
        <v>269</v>
      </c>
      <c r="G44" s="184" t="s">
        <v>114</v>
      </c>
      <c r="H44" s="181"/>
      <c r="I44" s="185"/>
      <c r="J44" s="190"/>
      <c r="K44" s="77"/>
      <c r="L44" s="77"/>
      <c r="M44" s="187">
        <f t="shared" si="1"/>
        <v>0</v>
      </c>
      <c r="N44" s="100"/>
      <c r="O44" s="186"/>
      <c r="P44" s="186"/>
      <c r="Q44" s="188">
        <f t="shared" si="2"/>
        <v>0</v>
      </c>
    </row>
    <row r="45" spans="1:18" s="13" customFormat="1" ht="15.75" x14ac:dyDescent="0.25">
      <c r="A45" s="10"/>
      <c r="B45" s="27" t="s">
        <v>40</v>
      </c>
      <c r="C45" s="181" t="s">
        <v>17</v>
      </c>
      <c r="D45" s="182"/>
      <c r="E45" s="194" t="s">
        <v>41</v>
      </c>
      <c r="F45" s="73" t="s">
        <v>339</v>
      </c>
      <c r="G45" s="74" t="s">
        <v>112</v>
      </c>
      <c r="H45" s="75">
        <v>17</v>
      </c>
      <c r="I45" s="76">
        <v>15</v>
      </c>
      <c r="J45" s="96">
        <f>1+1+3+9+4+4+3</f>
        <v>25</v>
      </c>
      <c r="K45" s="77">
        <f>1045.98+3271.86+15658.52+8166.35+6035.99</f>
        <v>34178.699999999997</v>
      </c>
      <c r="L45" s="77">
        <f>1045.98+3271.86+15658.52+8166.35+6035.99</f>
        <v>34178.699999999997</v>
      </c>
      <c r="M45" s="78">
        <f>K45-L45</f>
        <v>0</v>
      </c>
      <c r="N45" s="100">
        <f>3+13+6+5+4+2+1</f>
        <v>34</v>
      </c>
      <c r="O45" s="81">
        <f>17269.31+39990.78+16582.12+23492.44+7068.31+4243.84</f>
        <v>108646.79999999999</v>
      </c>
      <c r="P45" s="81">
        <f>17269.31+39990.78+16582.12+23492.44+7068.31+4243.84</f>
        <v>108646.79999999999</v>
      </c>
      <c r="Q45" s="79">
        <f t="shared" si="2"/>
        <v>0</v>
      </c>
      <c r="R45" s="141"/>
    </row>
    <row r="46" spans="1:18" s="13" customFormat="1" ht="15.75" x14ac:dyDescent="0.25">
      <c r="A46" s="10"/>
      <c r="B46" s="27" t="s">
        <v>40</v>
      </c>
      <c r="C46" s="181" t="s">
        <v>17</v>
      </c>
      <c r="D46" s="182"/>
      <c r="E46" s="194" t="s">
        <v>41</v>
      </c>
      <c r="F46" s="73" t="s">
        <v>482</v>
      </c>
      <c r="G46" s="184" t="s">
        <v>114</v>
      </c>
      <c r="H46" s="181"/>
      <c r="I46" s="185"/>
      <c r="J46" s="190"/>
      <c r="K46" s="77"/>
      <c r="L46" s="77"/>
      <c r="M46" s="187">
        <f t="shared" si="1"/>
        <v>0</v>
      </c>
      <c r="N46" s="100">
        <v>1</v>
      </c>
      <c r="O46" s="186">
        <v>3073.6</v>
      </c>
      <c r="P46" s="186">
        <f>3073.6</f>
        <v>3073.6</v>
      </c>
      <c r="Q46" s="188">
        <f t="shared" si="2"/>
        <v>0</v>
      </c>
    </row>
    <row r="47" spans="1:18" s="13" customFormat="1" ht="15.75" x14ac:dyDescent="0.25">
      <c r="A47" s="10"/>
      <c r="B47" s="27" t="s">
        <v>148</v>
      </c>
      <c r="C47" s="181" t="s">
        <v>17</v>
      </c>
      <c r="D47" s="182"/>
      <c r="E47" s="183" t="s">
        <v>20</v>
      </c>
      <c r="F47" s="73" t="s">
        <v>340</v>
      </c>
      <c r="G47" s="74" t="s">
        <v>112</v>
      </c>
      <c r="H47" s="75">
        <v>16</v>
      </c>
      <c r="I47" s="82">
        <v>7</v>
      </c>
      <c r="J47" s="96">
        <f>1+2+1+4</f>
        <v>8</v>
      </c>
      <c r="K47" s="77">
        <f>537.88+2110.03+6723.98</f>
        <v>9371.89</v>
      </c>
      <c r="L47" s="77">
        <f>537.88+2110.03+6723.98</f>
        <v>9371.89</v>
      </c>
      <c r="M47" s="78">
        <f>K47-L47</f>
        <v>0</v>
      </c>
      <c r="N47" s="100">
        <f>6+5+3+1+1+1</f>
        <v>17</v>
      </c>
      <c r="O47" s="81">
        <f>9370.6+9456.38+8868.69+5367.27+11572.62</f>
        <v>44635.560000000005</v>
      </c>
      <c r="P47" s="81">
        <f>9370.6+9456.38+8868.69+5367.27+11572.62</f>
        <v>44635.560000000005</v>
      </c>
      <c r="Q47" s="79">
        <f t="shared" si="2"/>
        <v>0</v>
      </c>
      <c r="R47" s="141"/>
    </row>
    <row r="48" spans="1:18" s="13" customFormat="1" ht="15.75" x14ac:dyDescent="0.25">
      <c r="A48" s="10"/>
      <c r="B48" s="27" t="s">
        <v>148</v>
      </c>
      <c r="C48" s="181" t="s">
        <v>17</v>
      </c>
      <c r="D48" s="182"/>
      <c r="E48" s="194" t="s">
        <v>32</v>
      </c>
      <c r="F48" s="73" t="s">
        <v>425</v>
      </c>
      <c r="G48" s="184" t="s">
        <v>117</v>
      </c>
      <c r="H48" s="181">
        <v>8</v>
      </c>
      <c r="I48" s="185">
        <v>1</v>
      </c>
      <c r="J48" s="96">
        <v>1</v>
      </c>
      <c r="K48" s="77">
        <v>1344.7</v>
      </c>
      <c r="L48" s="77">
        <v>1344.7</v>
      </c>
      <c r="M48" s="187">
        <f t="shared" si="1"/>
        <v>0</v>
      </c>
      <c r="N48" s="100">
        <v>4</v>
      </c>
      <c r="O48" s="186">
        <v>12851.49</v>
      </c>
      <c r="P48" s="186">
        <v>12851.49</v>
      </c>
      <c r="Q48" s="188">
        <f t="shared" si="2"/>
        <v>0</v>
      </c>
    </row>
    <row r="49" spans="1:18" s="13" customFormat="1" ht="15.75" x14ac:dyDescent="0.25">
      <c r="A49" s="10"/>
      <c r="B49" s="30" t="s">
        <v>42</v>
      </c>
      <c r="C49" s="181" t="s">
        <v>17</v>
      </c>
      <c r="D49" s="182"/>
      <c r="E49" s="183" t="s">
        <v>23</v>
      </c>
      <c r="F49" s="73" t="s">
        <v>341</v>
      </c>
      <c r="G49" s="74" t="s">
        <v>112</v>
      </c>
      <c r="H49" s="75">
        <v>36</v>
      </c>
      <c r="I49" s="76">
        <v>20</v>
      </c>
      <c r="J49" s="96">
        <f>5+3+5+3+8+3</f>
        <v>27</v>
      </c>
      <c r="K49" s="77">
        <f>7156.22+3849.11+8154.25+4149.36+15912.38</f>
        <v>39221.32</v>
      </c>
      <c r="L49" s="77">
        <f>7156.22+3849.11+8154.25+4149.36+15912.38</f>
        <v>39221.32</v>
      </c>
      <c r="M49" s="78">
        <f>K49-L49</f>
        <v>0</v>
      </c>
      <c r="N49" s="100">
        <f>4+6+9+2+4+2+2+3+3</f>
        <v>35</v>
      </c>
      <c r="O49" s="81">
        <f>5364.2+26170.88+2849.25+18965.6+9565.56+9423.5</f>
        <v>72338.989999999991</v>
      </c>
      <c r="P49" s="81">
        <f>5364.2+26170.88+2849.25+18965.6+9565.56+9423.5</f>
        <v>72338.989999999991</v>
      </c>
      <c r="Q49" s="79">
        <f t="shared" si="2"/>
        <v>0</v>
      </c>
      <c r="R49" s="141"/>
    </row>
    <row r="50" spans="1:18" s="13" customFormat="1" ht="15.75" x14ac:dyDescent="0.25">
      <c r="A50" s="10"/>
      <c r="B50" s="30" t="s">
        <v>42</v>
      </c>
      <c r="C50" s="181" t="s">
        <v>17</v>
      </c>
      <c r="D50" s="182"/>
      <c r="E50" s="183" t="s">
        <v>23</v>
      </c>
      <c r="F50" s="73" t="s">
        <v>437</v>
      </c>
      <c r="G50" s="184" t="s">
        <v>118</v>
      </c>
      <c r="H50" s="181">
        <v>2</v>
      </c>
      <c r="I50" s="185"/>
      <c r="J50" s="96"/>
      <c r="K50" s="77"/>
      <c r="L50" s="77"/>
      <c r="M50" s="187">
        <f t="shared" si="1"/>
        <v>0</v>
      </c>
      <c r="N50" s="100">
        <v>1</v>
      </c>
      <c r="O50" s="186">
        <v>7766.4</v>
      </c>
      <c r="P50" s="186">
        <v>7766.4</v>
      </c>
      <c r="Q50" s="188">
        <f t="shared" si="2"/>
        <v>0</v>
      </c>
    </row>
    <row r="51" spans="1:18" s="13" customFormat="1" ht="15.75" x14ac:dyDescent="0.25">
      <c r="A51" s="10"/>
      <c r="B51" s="30" t="s">
        <v>173</v>
      </c>
      <c r="C51" s="181" t="s">
        <v>17</v>
      </c>
      <c r="D51" s="182"/>
      <c r="E51" s="184" t="s">
        <v>118</v>
      </c>
      <c r="F51" s="73" t="s">
        <v>342</v>
      </c>
      <c r="G51" s="74" t="s">
        <v>112</v>
      </c>
      <c r="H51" s="75">
        <v>4</v>
      </c>
      <c r="I51" s="76">
        <v>4</v>
      </c>
      <c r="J51" s="96">
        <f>1+2+1</f>
        <v>4</v>
      </c>
      <c r="K51" s="77">
        <f>6833.76+696.36</f>
        <v>7530.12</v>
      </c>
      <c r="L51" s="77">
        <f>6833.76+696.36</f>
        <v>7530.12</v>
      </c>
      <c r="M51" s="78">
        <f>K51-L51</f>
        <v>0</v>
      </c>
      <c r="N51" s="100">
        <f>4+2</f>
        <v>6</v>
      </c>
      <c r="O51" s="81">
        <f>5931.9+4183.92+3158.95</f>
        <v>13274.77</v>
      </c>
      <c r="P51" s="81">
        <f>5931.9+4183.92+3158.95</f>
        <v>13274.77</v>
      </c>
      <c r="Q51" s="79">
        <f t="shared" si="2"/>
        <v>0</v>
      </c>
      <c r="R51" s="141"/>
    </row>
    <row r="52" spans="1:18" s="13" customFormat="1" ht="15.75" x14ac:dyDescent="0.25">
      <c r="A52" s="10"/>
      <c r="B52" s="62" t="s">
        <v>143</v>
      </c>
      <c r="C52" s="181" t="s">
        <v>64</v>
      </c>
      <c r="D52" s="182" t="s">
        <v>444</v>
      </c>
      <c r="E52" s="183" t="s">
        <v>20</v>
      </c>
      <c r="F52" s="73" t="s">
        <v>445</v>
      </c>
      <c r="G52" s="184" t="s">
        <v>114</v>
      </c>
      <c r="H52" s="181">
        <v>15</v>
      </c>
      <c r="I52" s="192">
        <v>3</v>
      </c>
      <c r="J52" s="190">
        <v>3</v>
      </c>
      <c r="K52" s="193">
        <v>4802.5</v>
      </c>
      <c r="L52" s="193">
        <v>4802.5</v>
      </c>
      <c r="M52" s="187">
        <f t="shared" si="1"/>
        <v>0</v>
      </c>
      <c r="N52" s="114">
        <v>18</v>
      </c>
      <c r="O52" s="186">
        <v>27390.400000000001</v>
      </c>
      <c r="P52" s="186">
        <v>27390.400000000001</v>
      </c>
      <c r="Q52" s="188">
        <f t="shared" si="2"/>
        <v>0</v>
      </c>
    </row>
    <row r="53" spans="1:18" s="13" customFormat="1" ht="15.75" x14ac:dyDescent="0.25">
      <c r="A53" s="10"/>
      <c r="B53" s="30" t="s">
        <v>158</v>
      </c>
      <c r="C53" s="181" t="s">
        <v>17</v>
      </c>
      <c r="D53" s="182"/>
      <c r="E53" s="194" t="s">
        <v>32</v>
      </c>
      <c r="F53" s="73" t="s">
        <v>426</v>
      </c>
      <c r="G53" s="184" t="s">
        <v>117</v>
      </c>
      <c r="H53" s="181">
        <v>7</v>
      </c>
      <c r="I53" s="192">
        <v>4</v>
      </c>
      <c r="J53" s="190">
        <v>5</v>
      </c>
      <c r="K53" s="193">
        <v>9666.64</v>
      </c>
      <c r="L53" s="193">
        <v>9666.64</v>
      </c>
      <c r="M53" s="187">
        <f t="shared" si="1"/>
        <v>0</v>
      </c>
      <c r="N53" s="114">
        <v>4</v>
      </c>
      <c r="O53" s="186">
        <v>9789.2000000000007</v>
      </c>
      <c r="P53" s="186">
        <v>9789.2000000000007</v>
      </c>
      <c r="Q53" s="188">
        <f t="shared" si="2"/>
        <v>0</v>
      </c>
    </row>
    <row r="54" spans="1:18" s="15" customFormat="1" ht="15.75" x14ac:dyDescent="0.25">
      <c r="A54" s="14"/>
      <c r="B54" s="80" t="s">
        <v>43</v>
      </c>
      <c r="C54" s="181" t="s">
        <v>17</v>
      </c>
      <c r="D54" s="182"/>
      <c r="E54" s="183" t="s">
        <v>18</v>
      </c>
      <c r="F54" s="73" t="s">
        <v>344</v>
      </c>
      <c r="G54" s="74" t="s">
        <v>112</v>
      </c>
      <c r="H54" s="75">
        <v>21</v>
      </c>
      <c r="I54" s="76">
        <v>15</v>
      </c>
      <c r="J54" s="96">
        <f>1+2+2+5+2+3+2</f>
        <v>17</v>
      </c>
      <c r="K54" s="77">
        <f>1776.93+926.88+3328.29+3172.19</f>
        <v>9204.2900000000009</v>
      </c>
      <c r="L54" s="77">
        <f>1776.93+926.88+3328.29+3172.19</f>
        <v>9204.2900000000009</v>
      </c>
      <c r="M54" s="78">
        <f>K54-L54</f>
        <v>0</v>
      </c>
      <c r="N54" s="100">
        <f>1+5+4+1+1+1+1</f>
        <v>14</v>
      </c>
      <c r="O54" s="81">
        <f>1223.8+3810.29+4959.02+10043.87+2769.48+2146.91+11926.24-1465.64</f>
        <v>35413.97</v>
      </c>
      <c r="P54" s="81">
        <f>1223.8+3810.29+4959.02+10043.87+2769.48+2146.91+11926.24-1465.64</f>
        <v>35413.97</v>
      </c>
      <c r="Q54" s="79">
        <f t="shared" si="2"/>
        <v>0</v>
      </c>
      <c r="R54" s="141"/>
    </row>
    <row r="55" spans="1:18" s="15" customFormat="1" ht="30" x14ac:dyDescent="0.25">
      <c r="A55" s="14"/>
      <c r="B55" s="62" t="s">
        <v>43</v>
      </c>
      <c r="C55" s="181" t="s">
        <v>304</v>
      </c>
      <c r="D55" s="182" t="s">
        <v>473</v>
      </c>
      <c r="E55" s="183" t="s">
        <v>18</v>
      </c>
      <c r="F55" s="73" t="s">
        <v>323</v>
      </c>
      <c r="G55" s="184" t="s">
        <v>113</v>
      </c>
      <c r="H55" s="181">
        <v>20</v>
      </c>
      <c r="I55" s="198">
        <v>12</v>
      </c>
      <c r="J55" s="199">
        <v>12</v>
      </c>
      <c r="K55" s="77">
        <v>16405</v>
      </c>
      <c r="L55" s="77">
        <v>16405</v>
      </c>
      <c r="M55" s="187">
        <f t="shared" si="1"/>
        <v>0</v>
      </c>
      <c r="N55" s="114">
        <v>13</v>
      </c>
      <c r="O55" s="186">
        <v>29954</v>
      </c>
      <c r="P55" s="186">
        <v>29954</v>
      </c>
      <c r="Q55" s="188">
        <f t="shared" si="2"/>
        <v>0</v>
      </c>
    </row>
    <row r="56" spans="1:18" s="13" customFormat="1" ht="15.75" x14ac:dyDescent="0.25">
      <c r="A56" s="10"/>
      <c r="B56" s="30" t="s">
        <v>44</v>
      </c>
      <c r="C56" s="181" t="s">
        <v>17</v>
      </c>
      <c r="D56" s="182"/>
      <c r="E56" s="183" t="s">
        <v>20</v>
      </c>
      <c r="F56" s="73" t="s">
        <v>345</v>
      </c>
      <c r="G56" s="74" t="s">
        <v>112</v>
      </c>
      <c r="H56" s="75">
        <v>6</v>
      </c>
      <c r="I56" s="76">
        <v>6</v>
      </c>
      <c r="J56" s="96">
        <f>1+1+1+4</f>
        <v>7</v>
      </c>
      <c r="K56" s="77">
        <f>2422.38+1267.86+15410.58</f>
        <v>19100.82</v>
      </c>
      <c r="L56" s="77">
        <f>2422.38+1267.86+15410.58</f>
        <v>19100.82</v>
      </c>
      <c r="M56" s="78">
        <f>K56-L56</f>
        <v>0</v>
      </c>
      <c r="N56" s="100">
        <f>1+11</f>
        <v>12</v>
      </c>
      <c r="O56" s="81">
        <f>421.62+4603.39+10559.77+72902.04</f>
        <v>88486.819999999992</v>
      </c>
      <c r="P56" s="81">
        <f>421.62+4603.39+10559.77+72902.04</f>
        <v>88486.819999999992</v>
      </c>
      <c r="Q56" s="79">
        <f t="shared" si="2"/>
        <v>0</v>
      </c>
      <c r="R56" s="141"/>
    </row>
    <row r="57" spans="1:18" s="13" customFormat="1" ht="15.75" x14ac:dyDescent="0.25">
      <c r="A57" s="10"/>
      <c r="B57" s="30" t="s">
        <v>44</v>
      </c>
      <c r="C57" s="181" t="s">
        <v>17</v>
      </c>
      <c r="D57" s="182"/>
      <c r="E57" s="183" t="s">
        <v>20</v>
      </c>
      <c r="F57" s="73" t="s">
        <v>483</v>
      </c>
      <c r="G57" s="184" t="s">
        <v>114</v>
      </c>
      <c r="H57" s="181"/>
      <c r="I57" s="185"/>
      <c r="J57" s="190"/>
      <c r="K57" s="77"/>
      <c r="L57" s="77"/>
      <c r="M57" s="187">
        <f t="shared" si="1"/>
        <v>0</v>
      </c>
      <c r="N57" s="100">
        <v>2</v>
      </c>
      <c r="O57" s="186">
        <v>6723.5</v>
      </c>
      <c r="P57" s="186">
        <v>6723.5</v>
      </c>
      <c r="Q57" s="188">
        <f t="shared" si="2"/>
        <v>0</v>
      </c>
    </row>
    <row r="58" spans="1:18" s="13" customFormat="1" ht="15.75" x14ac:dyDescent="0.25">
      <c r="A58" s="10"/>
      <c r="B58" s="30" t="s">
        <v>492</v>
      </c>
      <c r="C58" s="181" t="s">
        <v>17</v>
      </c>
      <c r="D58" s="182"/>
      <c r="E58" s="183" t="s">
        <v>20</v>
      </c>
      <c r="F58" s="73" t="s">
        <v>499</v>
      </c>
      <c r="G58" s="184" t="s">
        <v>112</v>
      </c>
      <c r="H58" s="181">
        <v>9</v>
      </c>
      <c r="I58" s="185">
        <v>1</v>
      </c>
      <c r="J58" s="190">
        <f>1</f>
        <v>1</v>
      </c>
      <c r="K58" s="77">
        <f>1044.98</f>
        <v>1044.98</v>
      </c>
      <c r="L58" s="77">
        <f>1044.98</f>
        <v>1044.98</v>
      </c>
      <c r="M58" s="78">
        <f t="shared" si="1"/>
        <v>0</v>
      </c>
      <c r="N58" s="100"/>
      <c r="O58" s="186"/>
      <c r="P58" s="186"/>
      <c r="Q58" s="79">
        <f t="shared" si="2"/>
        <v>0</v>
      </c>
    </row>
    <row r="59" spans="1:18" s="13" customFormat="1" ht="15.75" x14ac:dyDescent="0.25">
      <c r="A59" s="10"/>
      <c r="B59" s="27" t="s">
        <v>45</v>
      </c>
      <c r="C59" s="181" t="s">
        <v>17</v>
      </c>
      <c r="D59" s="182"/>
      <c r="E59" s="183" t="s">
        <v>20</v>
      </c>
      <c r="F59" s="73" t="s">
        <v>346</v>
      </c>
      <c r="G59" s="74" t="s">
        <v>112</v>
      </c>
      <c r="H59" s="75"/>
      <c r="I59" s="76"/>
      <c r="J59" s="96"/>
      <c r="K59" s="77"/>
      <c r="L59" s="77"/>
      <c r="M59" s="78">
        <f t="shared" si="1"/>
        <v>0</v>
      </c>
      <c r="N59" s="100">
        <f>1</f>
        <v>1</v>
      </c>
      <c r="O59" s="81">
        <f>17995.91+2729.8</f>
        <v>20725.71</v>
      </c>
      <c r="P59" s="81">
        <f>17995.91+2729.8</f>
        <v>20725.71</v>
      </c>
      <c r="Q59" s="79">
        <f t="shared" si="2"/>
        <v>0</v>
      </c>
      <c r="R59" s="141"/>
    </row>
    <row r="60" spans="1:18" s="13" customFormat="1" ht="15.75" x14ac:dyDescent="0.25">
      <c r="A60" s="10"/>
      <c r="B60" s="27" t="s">
        <v>45</v>
      </c>
      <c r="C60" s="181" t="s">
        <v>17</v>
      </c>
      <c r="D60" s="182"/>
      <c r="E60" s="183" t="s">
        <v>20</v>
      </c>
      <c r="F60" s="73" t="s">
        <v>484</v>
      </c>
      <c r="G60" s="184" t="s">
        <v>114</v>
      </c>
      <c r="H60" s="181"/>
      <c r="I60" s="185"/>
      <c r="J60" s="190"/>
      <c r="K60" s="77"/>
      <c r="L60" s="77"/>
      <c r="M60" s="187">
        <f t="shared" si="1"/>
        <v>0</v>
      </c>
      <c r="N60" s="100"/>
      <c r="O60" s="186"/>
      <c r="P60" s="186"/>
      <c r="Q60" s="188">
        <f t="shared" si="2"/>
        <v>0</v>
      </c>
    </row>
    <row r="61" spans="1:18" s="15" customFormat="1" ht="15.75" x14ac:dyDescent="0.25">
      <c r="A61" s="14"/>
      <c r="B61" s="28" t="s">
        <v>46</v>
      </c>
      <c r="C61" s="181" t="s">
        <v>17</v>
      </c>
      <c r="D61" s="182"/>
      <c r="E61" s="183" t="s">
        <v>20</v>
      </c>
      <c r="F61" s="73" t="s">
        <v>347</v>
      </c>
      <c r="G61" s="74" t="s">
        <v>112</v>
      </c>
      <c r="H61" s="75">
        <v>14</v>
      </c>
      <c r="I61" s="76">
        <v>11</v>
      </c>
      <c r="J61" s="96">
        <f>1+2+3+2+4+1+4</f>
        <v>17</v>
      </c>
      <c r="K61" s="77">
        <f>1045.98+1068.08+8157.32+1778.85+9152.67</f>
        <v>21202.9</v>
      </c>
      <c r="L61" s="77">
        <f>1045.98+1068.08+8157.32+1778.85+9152.67</f>
        <v>21202.9</v>
      </c>
      <c r="M61" s="78">
        <f>K61-L61</f>
        <v>0</v>
      </c>
      <c r="N61" s="100">
        <f>4+4+1+1</f>
        <v>10</v>
      </c>
      <c r="O61" s="81">
        <f>10759.2+10685.34+7362.04</f>
        <v>28806.58</v>
      </c>
      <c r="P61" s="81">
        <f>10759.2+10685.34+7362.04</f>
        <v>28806.58</v>
      </c>
      <c r="Q61" s="79">
        <f t="shared" si="2"/>
        <v>0</v>
      </c>
      <c r="R61" s="141"/>
    </row>
    <row r="62" spans="1:18" s="15" customFormat="1" ht="15.75" x14ac:dyDescent="0.25">
      <c r="A62" s="14"/>
      <c r="B62" s="28" t="s">
        <v>46</v>
      </c>
      <c r="C62" s="181" t="s">
        <v>17</v>
      </c>
      <c r="D62" s="182"/>
      <c r="E62" s="183" t="s">
        <v>20</v>
      </c>
      <c r="F62" s="73" t="s">
        <v>273</v>
      </c>
      <c r="G62" s="184" t="s">
        <v>114</v>
      </c>
      <c r="H62" s="181">
        <v>2</v>
      </c>
      <c r="I62" s="185">
        <v>1</v>
      </c>
      <c r="J62" s="190">
        <v>1</v>
      </c>
      <c r="K62" s="77">
        <v>576.29999999999995</v>
      </c>
      <c r="L62" s="77"/>
      <c r="M62" s="187">
        <f t="shared" si="1"/>
        <v>576.29999999999995</v>
      </c>
      <c r="N62" s="101">
        <v>3</v>
      </c>
      <c r="O62" s="186">
        <v>9356.9</v>
      </c>
      <c r="P62" s="186">
        <v>9356.9</v>
      </c>
      <c r="Q62" s="188">
        <f t="shared" si="2"/>
        <v>0</v>
      </c>
    </row>
    <row r="63" spans="1:18" s="13" customFormat="1" ht="45" x14ac:dyDescent="0.25">
      <c r="A63" s="10"/>
      <c r="B63" s="30" t="s">
        <v>47</v>
      </c>
      <c r="C63" s="181" t="s">
        <v>304</v>
      </c>
      <c r="D63" s="182" t="s">
        <v>474</v>
      </c>
      <c r="E63" s="183" t="s">
        <v>18</v>
      </c>
      <c r="F63" s="73" t="s">
        <v>348</v>
      </c>
      <c r="G63" s="74" t="s">
        <v>112</v>
      </c>
      <c r="H63" s="75">
        <v>38</v>
      </c>
      <c r="I63" s="76">
        <v>21</v>
      </c>
      <c r="J63" s="98">
        <f>1+1+3+21+7+2+5+2+7</f>
        <v>49</v>
      </c>
      <c r="K63" s="77">
        <f>30728.27+19236.99</f>
        <v>49965.26</v>
      </c>
      <c r="L63" s="77">
        <f>30728.27+19236.99</f>
        <v>49965.26</v>
      </c>
      <c r="M63" s="78">
        <f>K63-L63</f>
        <v>0</v>
      </c>
      <c r="N63" s="100">
        <f>7+3+4+10+6+1+2+1+3</f>
        <v>37</v>
      </c>
      <c r="O63" s="81">
        <f>8477.51+15159.83+14079.46+15414.2+17995.91+2065.56+1859.53+9543.86+1728.53+14526.84</f>
        <v>100851.23</v>
      </c>
      <c r="P63" s="81">
        <f>8477.51+15159.83+14079.46+15414.2+17995.91+2065.56+1859.53+9543.86+1728.53+14526.84</f>
        <v>100851.23</v>
      </c>
      <c r="Q63" s="79">
        <f t="shared" si="2"/>
        <v>0</v>
      </c>
      <c r="R63" s="141"/>
    </row>
    <row r="64" spans="1:18" s="13" customFormat="1" ht="45" x14ac:dyDescent="0.25">
      <c r="A64" s="10"/>
      <c r="B64" s="62" t="s">
        <v>120</v>
      </c>
      <c r="C64" s="181" t="s">
        <v>304</v>
      </c>
      <c r="D64" s="182" t="s">
        <v>474</v>
      </c>
      <c r="E64" s="183" t="s">
        <v>18</v>
      </c>
      <c r="F64" s="73" t="s">
        <v>334</v>
      </c>
      <c r="G64" s="184" t="s">
        <v>116</v>
      </c>
      <c r="H64" s="181">
        <v>23</v>
      </c>
      <c r="I64" s="192">
        <v>9</v>
      </c>
      <c r="J64" s="98">
        <v>11</v>
      </c>
      <c r="K64" s="77">
        <v>12583</v>
      </c>
      <c r="L64" s="77">
        <v>12583</v>
      </c>
      <c r="M64" s="78">
        <f t="shared" si="1"/>
        <v>0</v>
      </c>
      <c r="N64" s="100">
        <v>12</v>
      </c>
      <c r="O64" s="186">
        <v>47383</v>
      </c>
      <c r="P64" s="186">
        <v>45904</v>
      </c>
      <c r="Q64" s="188">
        <f t="shared" si="2"/>
        <v>1479</v>
      </c>
    </row>
    <row r="65" spans="1:18" s="13" customFormat="1" ht="15.75" x14ac:dyDescent="0.25">
      <c r="A65" s="10"/>
      <c r="B65" s="30" t="s">
        <v>134</v>
      </c>
      <c r="C65" s="181" t="s">
        <v>17</v>
      </c>
      <c r="D65" s="182"/>
      <c r="E65" s="183" t="s">
        <v>20</v>
      </c>
      <c r="F65" s="73" t="s">
        <v>349</v>
      </c>
      <c r="G65" s="74" t="s">
        <v>112</v>
      </c>
      <c r="H65" s="75">
        <v>12</v>
      </c>
      <c r="I65" s="76">
        <v>10</v>
      </c>
      <c r="J65" s="96">
        <f>1+4+1+1+2</f>
        <v>9</v>
      </c>
      <c r="K65" s="77">
        <f>7301.48+1473.89+1911.09+1690.48+845.24</f>
        <v>13222.179999999998</v>
      </c>
      <c r="L65" s="77">
        <f>7301.48+1473.89+1911.09+1690.48+845.24</f>
        <v>13222.179999999998</v>
      </c>
      <c r="M65" s="78">
        <f>K65-L65</f>
        <v>0</v>
      </c>
      <c r="N65" s="100">
        <f>4+1+1+1</f>
        <v>7</v>
      </c>
      <c r="O65" s="81">
        <f>5020.05+3215.31+12312.39+4648.82+32425.98+7889.42</f>
        <v>65511.97</v>
      </c>
      <c r="P65" s="81">
        <f>5020.05+3215.31+12312.39+4648.82+32425.98+7889.42</f>
        <v>65511.97</v>
      </c>
      <c r="Q65" s="79">
        <f t="shared" si="2"/>
        <v>0</v>
      </c>
      <c r="R65" s="141"/>
    </row>
    <row r="66" spans="1:18" s="13" customFormat="1" ht="15.75" x14ac:dyDescent="0.25">
      <c r="A66" s="10"/>
      <c r="B66" s="30" t="s">
        <v>134</v>
      </c>
      <c r="C66" s="181" t="s">
        <v>17</v>
      </c>
      <c r="D66" s="182"/>
      <c r="E66" s="183" t="s">
        <v>20</v>
      </c>
      <c r="F66" s="73" t="s">
        <v>456</v>
      </c>
      <c r="G66" s="184" t="s">
        <v>114</v>
      </c>
      <c r="H66" s="181">
        <v>17</v>
      </c>
      <c r="I66" s="185">
        <v>5</v>
      </c>
      <c r="J66" s="190">
        <v>5</v>
      </c>
      <c r="K66" s="77">
        <v>7146.12</v>
      </c>
      <c r="L66" s="77">
        <v>3688.32</v>
      </c>
      <c r="M66" s="187">
        <f t="shared" si="1"/>
        <v>3457.7999999999997</v>
      </c>
      <c r="N66" s="100">
        <v>27</v>
      </c>
      <c r="O66" s="186">
        <v>60089.9</v>
      </c>
      <c r="P66" s="186">
        <v>54903.199999999997</v>
      </c>
      <c r="Q66" s="188">
        <f t="shared" si="2"/>
        <v>5186.7000000000044</v>
      </c>
    </row>
    <row r="67" spans="1:18" s="13" customFormat="1" ht="15.75" x14ac:dyDescent="0.25">
      <c r="A67" s="10"/>
      <c r="B67" s="62" t="s">
        <v>48</v>
      </c>
      <c r="C67" s="181" t="s">
        <v>17</v>
      </c>
      <c r="D67" s="182"/>
      <c r="E67" s="183" t="s">
        <v>20</v>
      </c>
      <c r="F67" s="73" t="s">
        <v>350</v>
      </c>
      <c r="G67" s="74" t="s">
        <v>112</v>
      </c>
      <c r="H67" s="75">
        <v>12</v>
      </c>
      <c r="I67" s="76">
        <v>7</v>
      </c>
      <c r="J67" s="96">
        <f>1+1+2+1</f>
        <v>5</v>
      </c>
      <c r="K67" s="77">
        <f>4805.96+2585.78+3065.92+2588.55</f>
        <v>13046.21</v>
      </c>
      <c r="L67" s="77">
        <f>4805.96+2585.78+3065.92+2588.55</f>
        <v>13046.21</v>
      </c>
      <c r="M67" s="78">
        <f t="shared" si="1"/>
        <v>0</v>
      </c>
      <c r="N67" s="100">
        <f>2+1+2</f>
        <v>5</v>
      </c>
      <c r="O67" s="81">
        <f>23174.33+2535.72+11633.02+6993.42+20756.4</f>
        <v>65092.890000000007</v>
      </c>
      <c r="P67" s="81">
        <f>23174.33+2535.72+11633.02+6993.42+20756.4</f>
        <v>65092.890000000007</v>
      </c>
      <c r="Q67" s="79">
        <f t="shared" si="2"/>
        <v>0</v>
      </c>
      <c r="R67" s="141"/>
    </row>
    <row r="68" spans="1:18" s="13" customFormat="1" ht="15.75" x14ac:dyDescent="0.25">
      <c r="A68" s="10"/>
      <c r="B68" s="62" t="s">
        <v>49</v>
      </c>
      <c r="C68" s="181" t="s">
        <v>17</v>
      </c>
      <c r="D68" s="182"/>
      <c r="E68" s="183" t="s">
        <v>50</v>
      </c>
      <c r="F68" s="73" t="s">
        <v>351</v>
      </c>
      <c r="G68" s="74" t="s">
        <v>112</v>
      </c>
      <c r="H68" s="75">
        <v>21</v>
      </c>
      <c r="I68" s="76">
        <v>10</v>
      </c>
      <c r="J68" s="96">
        <f>1+4+8</f>
        <v>13</v>
      </c>
      <c r="K68" s="77">
        <f>525.65+1267.86+6544.72+13939.57</f>
        <v>22277.8</v>
      </c>
      <c r="L68" s="77">
        <f>525.65+1267.86+6544.72+13939.57</f>
        <v>22277.8</v>
      </c>
      <c r="M68" s="78">
        <f t="shared" si="1"/>
        <v>0</v>
      </c>
      <c r="N68" s="100">
        <f>5+1+3</f>
        <v>9</v>
      </c>
      <c r="O68" s="81">
        <f>7374+1806.93+7275.53+4666.9+2684.03</f>
        <v>23807.39</v>
      </c>
      <c r="P68" s="81">
        <f>7374+1806.93+7275.53+4666.9+2684.03</f>
        <v>23807.39</v>
      </c>
      <c r="Q68" s="188">
        <f t="shared" si="2"/>
        <v>0</v>
      </c>
      <c r="R68" s="141"/>
    </row>
    <row r="69" spans="1:18" s="13" customFormat="1" ht="15.75" x14ac:dyDescent="0.25">
      <c r="A69" s="10"/>
      <c r="B69" s="62" t="s">
        <v>49</v>
      </c>
      <c r="C69" s="181" t="s">
        <v>17</v>
      </c>
      <c r="D69" s="182"/>
      <c r="E69" s="183" t="s">
        <v>50</v>
      </c>
      <c r="F69" s="73" t="s">
        <v>427</v>
      </c>
      <c r="G69" s="184" t="s">
        <v>115</v>
      </c>
      <c r="H69" s="181">
        <v>10</v>
      </c>
      <c r="I69" s="185">
        <v>4</v>
      </c>
      <c r="J69" s="96">
        <v>4</v>
      </c>
      <c r="K69" s="77">
        <v>7514.63</v>
      </c>
      <c r="L69" s="77">
        <v>7514.63</v>
      </c>
      <c r="M69" s="187">
        <f t="shared" si="1"/>
        <v>0</v>
      </c>
      <c r="N69" s="100">
        <v>8</v>
      </c>
      <c r="O69" s="186">
        <v>11237.9</v>
      </c>
      <c r="P69" s="186">
        <v>11237.9</v>
      </c>
      <c r="Q69" s="79">
        <f t="shared" si="2"/>
        <v>0</v>
      </c>
    </row>
    <row r="70" spans="1:18" s="13" customFormat="1" ht="15.75" x14ac:dyDescent="0.25">
      <c r="A70" s="10"/>
      <c r="B70" s="27" t="s">
        <v>51</v>
      </c>
      <c r="C70" s="181" t="s">
        <v>17</v>
      </c>
      <c r="D70" s="182"/>
      <c r="E70" s="183" t="s">
        <v>20</v>
      </c>
      <c r="F70" s="73" t="s">
        <v>186</v>
      </c>
      <c r="G70" s="74" t="s">
        <v>112</v>
      </c>
      <c r="H70" s="75"/>
      <c r="I70" s="76"/>
      <c r="J70" s="96"/>
      <c r="K70" s="77"/>
      <c r="L70" s="77"/>
      <c r="M70" s="78">
        <f>K70-L70</f>
        <v>0</v>
      </c>
      <c r="N70" s="100">
        <f>1</f>
        <v>1</v>
      </c>
      <c r="O70" s="81">
        <v>2451.87</v>
      </c>
      <c r="P70" s="81">
        <v>2451.87</v>
      </c>
      <c r="Q70" s="188">
        <f t="shared" si="2"/>
        <v>0</v>
      </c>
      <c r="R70" s="141"/>
    </row>
    <row r="71" spans="1:18" s="13" customFormat="1" ht="15.75" x14ac:dyDescent="0.25">
      <c r="A71" s="10"/>
      <c r="B71" s="27" t="s">
        <v>51</v>
      </c>
      <c r="C71" s="181" t="s">
        <v>17</v>
      </c>
      <c r="D71" s="182"/>
      <c r="E71" s="183" t="s">
        <v>20</v>
      </c>
      <c r="F71" s="73" t="s">
        <v>276</v>
      </c>
      <c r="G71" s="184" t="s">
        <v>114</v>
      </c>
      <c r="H71" s="181"/>
      <c r="I71" s="185"/>
      <c r="J71" s="190"/>
      <c r="K71" s="77"/>
      <c r="L71" s="77"/>
      <c r="M71" s="187">
        <f t="shared" si="1"/>
        <v>0</v>
      </c>
      <c r="N71" s="100">
        <v>3</v>
      </c>
      <c r="O71" s="186">
        <v>6763.6</v>
      </c>
      <c r="P71" s="186">
        <v>6763.6</v>
      </c>
      <c r="Q71" s="188">
        <f t="shared" si="2"/>
        <v>0</v>
      </c>
    </row>
    <row r="72" spans="1:18" s="13" customFormat="1" ht="15.75" x14ac:dyDescent="0.25">
      <c r="A72" s="10"/>
      <c r="B72" s="62" t="s">
        <v>52</v>
      </c>
      <c r="C72" s="181" t="s">
        <v>17</v>
      </c>
      <c r="D72" s="182"/>
      <c r="E72" s="183" t="s">
        <v>20</v>
      </c>
      <c r="F72" s="73" t="s">
        <v>352</v>
      </c>
      <c r="G72" s="74" t="s">
        <v>112</v>
      </c>
      <c r="H72" s="75">
        <v>9</v>
      </c>
      <c r="I72" s="76">
        <v>3</v>
      </c>
      <c r="J72" s="96">
        <f>1+1+1+1</f>
        <v>4</v>
      </c>
      <c r="K72" s="77">
        <f>10714.2+2747.14+2138.07</f>
        <v>15599.41</v>
      </c>
      <c r="L72" s="77">
        <f>10714.2+2747.14+2138.07</f>
        <v>15599.41</v>
      </c>
      <c r="M72" s="78">
        <f>K72-L72</f>
        <v>0</v>
      </c>
      <c r="N72" s="100">
        <f>4+3+1+1+2+3+1</f>
        <v>15</v>
      </c>
      <c r="O72" s="81">
        <f>5977.15+48296.91+7596.86+1061.83+8902.9+6856.31</f>
        <v>78691.960000000006</v>
      </c>
      <c r="P72" s="81">
        <f>5977.15+48296.91+7596.86+1061.83+8902.9+6856.31</f>
        <v>78691.960000000006</v>
      </c>
      <c r="Q72" s="188">
        <f t="shared" si="2"/>
        <v>0</v>
      </c>
      <c r="R72" s="141"/>
    </row>
    <row r="73" spans="1:18" s="13" customFormat="1" ht="15.75" x14ac:dyDescent="0.25">
      <c r="A73" s="10"/>
      <c r="B73" s="62" t="s">
        <v>52</v>
      </c>
      <c r="C73" s="181" t="s">
        <v>17</v>
      </c>
      <c r="D73" s="182"/>
      <c r="E73" s="183" t="s">
        <v>20</v>
      </c>
      <c r="F73" s="73" t="s">
        <v>457</v>
      </c>
      <c r="G73" s="184" t="s">
        <v>114</v>
      </c>
      <c r="H73" s="181">
        <v>9</v>
      </c>
      <c r="I73" s="185">
        <v>2</v>
      </c>
      <c r="J73" s="190">
        <v>2</v>
      </c>
      <c r="K73" s="77">
        <v>1152.5999999999999</v>
      </c>
      <c r="L73" s="77">
        <v>1152.5999999999999</v>
      </c>
      <c r="M73" s="187">
        <f t="shared" si="1"/>
        <v>0</v>
      </c>
      <c r="N73" s="100">
        <v>20</v>
      </c>
      <c r="O73" s="186">
        <v>27349.86</v>
      </c>
      <c r="P73" s="186">
        <v>27349.86</v>
      </c>
      <c r="Q73" s="188">
        <f t="shared" si="2"/>
        <v>0</v>
      </c>
    </row>
    <row r="74" spans="1:18" s="13" customFormat="1" ht="15.75" x14ac:dyDescent="0.25">
      <c r="A74" s="10"/>
      <c r="B74" s="27" t="s">
        <v>53</v>
      </c>
      <c r="C74" s="181" t="s">
        <v>17</v>
      </c>
      <c r="D74" s="182"/>
      <c r="E74" s="183" t="s">
        <v>20</v>
      </c>
      <c r="F74" s="73" t="s">
        <v>353</v>
      </c>
      <c r="G74" s="74" t="s">
        <v>112</v>
      </c>
      <c r="H74" s="75">
        <v>10</v>
      </c>
      <c r="I74" s="76">
        <v>6</v>
      </c>
      <c r="J74" s="96">
        <f>2+2+2</f>
        <v>6</v>
      </c>
      <c r="K74" s="77">
        <f>3655.66+6862.24+2535.72</f>
        <v>13053.619999999999</v>
      </c>
      <c r="L74" s="77">
        <f>3655.66+6862.24+2535.72</f>
        <v>13053.619999999999</v>
      </c>
      <c r="M74" s="78">
        <f t="shared" si="1"/>
        <v>0</v>
      </c>
      <c r="N74" s="100">
        <f>1+2+2+1+1</f>
        <v>7</v>
      </c>
      <c r="O74" s="81">
        <f>1743.3+3921.71+422.62+5626.45</f>
        <v>11714.08</v>
      </c>
      <c r="P74" s="81">
        <f>1743.3+3921.71+422.62+5626.45</f>
        <v>11714.08</v>
      </c>
      <c r="Q74" s="188">
        <f t="shared" si="2"/>
        <v>0</v>
      </c>
      <c r="R74" s="141"/>
    </row>
    <row r="75" spans="1:18" s="13" customFormat="1" ht="15.75" x14ac:dyDescent="0.25">
      <c r="A75" s="10"/>
      <c r="B75" s="27" t="s">
        <v>149</v>
      </c>
      <c r="C75" s="181" t="s">
        <v>17</v>
      </c>
      <c r="D75" s="182"/>
      <c r="E75" s="183" t="s">
        <v>383</v>
      </c>
      <c r="F75" s="73" t="s">
        <v>354</v>
      </c>
      <c r="G75" s="74" t="s">
        <v>112</v>
      </c>
      <c r="H75" s="75">
        <v>32</v>
      </c>
      <c r="I75" s="76"/>
      <c r="J75" s="96"/>
      <c r="K75" s="77"/>
      <c r="L75" s="77"/>
      <c r="M75" s="78">
        <f t="shared" si="1"/>
        <v>0</v>
      </c>
      <c r="N75" s="100">
        <f>2+2</f>
        <v>4</v>
      </c>
      <c r="O75" s="81">
        <f>3676.8+3431.65</f>
        <v>7108.4500000000007</v>
      </c>
      <c r="P75" s="81">
        <f>3676.8+3431.65</f>
        <v>7108.4500000000007</v>
      </c>
      <c r="Q75" s="79">
        <f t="shared" si="2"/>
        <v>0</v>
      </c>
      <c r="R75" s="141"/>
    </row>
    <row r="76" spans="1:18" s="13" customFormat="1" ht="15.75" x14ac:dyDescent="0.25">
      <c r="A76" s="10"/>
      <c r="B76" s="27" t="s">
        <v>149</v>
      </c>
      <c r="C76" s="181" t="s">
        <v>17</v>
      </c>
      <c r="D76" s="182"/>
      <c r="E76" s="183" t="s">
        <v>383</v>
      </c>
      <c r="F76" s="73" t="s">
        <v>438</v>
      </c>
      <c r="G76" s="184" t="s">
        <v>118</v>
      </c>
      <c r="H76" s="181">
        <v>7</v>
      </c>
      <c r="I76" s="192">
        <v>1</v>
      </c>
      <c r="J76" s="190">
        <v>1</v>
      </c>
      <c r="K76" s="193">
        <v>576.29999999999995</v>
      </c>
      <c r="L76" s="193">
        <v>576.29999999999995</v>
      </c>
      <c r="M76" s="78">
        <f t="shared" si="1"/>
        <v>0</v>
      </c>
      <c r="N76" s="114">
        <v>7</v>
      </c>
      <c r="O76" s="186">
        <v>9835.52</v>
      </c>
      <c r="P76" s="186">
        <v>9835.52</v>
      </c>
      <c r="Q76" s="188">
        <f t="shared" si="2"/>
        <v>0</v>
      </c>
    </row>
    <row r="77" spans="1:18" s="13" customFormat="1" ht="15.75" x14ac:dyDescent="0.25">
      <c r="A77" s="10"/>
      <c r="B77" s="62" t="s">
        <v>107</v>
      </c>
      <c r="C77" s="181" t="s">
        <v>17</v>
      </c>
      <c r="D77" s="182"/>
      <c r="E77" s="194" t="s">
        <v>20</v>
      </c>
      <c r="F77" s="73" t="s">
        <v>355</v>
      </c>
      <c r="G77" s="74" t="s">
        <v>112</v>
      </c>
      <c r="H77" s="75">
        <v>10</v>
      </c>
      <c r="I77" s="76">
        <v>5</v>
      </c>
      <c r="J77" s="96">
        <f>1+3+3</f>
        <v>7</v>
      </c>
      <c r="K77" s="77">
        <f>666.63+7071.2+5333.38+13316.37</f>
        <v>26387.58</v>
      </c>
      <c r="L77" s="77">
        <f>666.63+7071.2+5333.38+13316.37</f>
        <v>26387.58</v>
      </c>
      <c r="M77" s="78">
        <f t="shared" si="1"/>
        <v>0</v>
      </c>
      <c r="N77" s="100">
        <f>2+6+1+1+2</f>
        <v>12</v>
      </c>
      <c r="O77" s="81">
        <f>7612.92+18804.48+9163.33+3260.98+6297.63</f>
        <v>45139.340000000004</v>
      </c>
      <c r="P77" s="81">
        <f>7612.92+18804.48+9163.33+3260.98+6297.63</f>
        <v>45139.340000000004</v>
      </c>
      <c r="Q77" s="79">
        <f t="shared" si="2"/>
        <v>0</v>
      </c>
      <c r="R77" s="141"/>
    </row>
    <row r="78" spans="1:18" s="13" customFormat="1" ht="15.75" x14ac:dyDescent="0.25">
      <c r="A78" s="10"/>
      <c r="B78" s="30" t="s">
        <v>54</v>
      </c>
      <c r="C78" s="181" t="s">
        <v>17</v>
      </c>
      <c r="D78" s="182"/>
      <c r="E78" s="194" t="s">
        <v>20</v>
      </c>
      <c r="F78" s="73" t="s">
        <v>356</v>
      </c>
      <c r="G78" s="74" t="s">
        <v>112</v>
      </c>
      <c r="H78" s="75"/>
      <c r="I78" s="76"/>
      <c r="J78" s="96"/>
      <c r="K78" s="77"/>
      <c r="L78" s="77"/>
      <c r="M78" s="78">
        <f t="shared" si="1"/>
        <v>0</v>
      </c>
      <c r="N78" s="100">
        <f>4+1+1</f>
        <v>6</v>
      </c>
      <c r="O78" s="81">
        <f>17895.28+17443.73+5473.41</f>
        <v>40812.42</v>
      </c>
      <c r="P78" s="81">
        <f>17895.28+17443.73+5473.41</f>
        <v>40812.42</v>
      </c>
      <c r="Q78" s="79">
        <f t="shared" si="2"/>
        <v>0</v>
      </c>
      <c r="R78" s="141"/>
    </row>
    <row r="79" spans="1:18" s="13" customFormat="1" ht="30" x14ac:dyDescent="0.25">
      <c r="A79" s="10"/>
      <c r="B79" s="27" t="s">
        <v>55</v>
      </c>
      <c r="C79" s="181" t="s">
        <v>304</v>
      </c>
      <c r="D79" s="182" t="s">
        <v>387</v>
      </c>
      <c r="E79" s="183" t="s">
        <v>20</v>
      </c>
      <c r="F79" s="73" t="s">
        <v>357</v>
      </c>
      <c r="G79" s="74" t="s">
        <v>112</v>
      </c>
      <c r="H79" s="75">
        <v>15</v>
      </c>
      <c r="I79" s="76">
        <v>10</v>
      </c>
      <c r="J79" s="96">
        <f>3+1+1+2</f>
        <v>7</v>
      </c>
      <c r="K79" s="77">
        <f>1267.86+6667.8+5756.15+1180.38</f>
        <v>14872.189999999999</v>
      </c>
      <c r="L79" s="77">
        <f>1267.86+6667.8+5756.15+1180.38</f>
        <v>14872.189999999999</v>
      </c>
      <c r="M79" s="78">
        <f t="shared" si="1"/>
        <v>0</v>
      </c>
      <c r="N79" s="100">
        <f>2+1+2+2+2+1+2</f>
        <v>12</v>
      </c>
      <c r="O79" s="81">
        <f>34854.19+2113.1+6430.67+5463.42+39145.22+2535.72+5132.44</f>
        <v>95674.760000000009</v>
      </c>
      <c r="P79" s="81">
        <f>34854.19+2113.1+6430.67+5463.42+39145.22+2535.72+5132.44</f>
        <v>95674.760000000009</v>
      </c>
      <c r="Q79" s="188">
        <f t="shared" si="2"/>
        <v>0</v>
      </c>
      <c r="R79" s="141"/>
    </row>
    <row r="80" spans="1:18" s="13" customFormat="1" ht="30" x14ac:dyDescent="0.25">
      <c r="A80" s="10"/>
      <c r="B80" s="62" t="s">
        <v>56</v>
      </c>
      <c r="C80" s="181" t="s">
        <v>17</v>
      </c>
      <c r="D80" s="182" t="s">
        <v>386</v>
      </c>
      <c r="E80" s="183" t="s">
        <v>18</v>
      </c>
      <c r="F80" s="73" t="s">
        <v>358</v>
      </c>
      <c r="G80" s="74" t="s">
        <v>112</v>
      </c>
      <c r="H80" s="75">
        <v>7</v>
      </c>
      <c r="I80" s="76">
        <v>4</v>
      </c>
      <c r="J80" s="96">
        <f>1+1+2</f>
        <v>4</v>
      </c>
      <c r="K80" s="77">
        <f>678.11+678.11+4865.7</f>
        <v>6221.92</v>
      </c>
      <c r="L80" s="77">
        <f>678.11+678.11+4865.7</f>
        <v>6221.92</v>
      </c>
      <c r="M80" s="78">
        <f t="shared" si="1"/>
        <v>0</v>
      </c>
      <c r="N80" s="100">
        <f>1</f>
        <v>1</v>
      </c>
      <c r="O80" s="81">
        <f>4395.5</f>
        <v>4395.5</v>
      </c>
      <c r="P80" s="81">
        <f>4395.5</f>
        <v>4395.5</v>
      </c>
      <c r="Q80" s="79">
        <f t="shared" si="2"/>
        <v>0</v>
      </c>
      <c r="R80" s="141"/>
    </row>
    <row r="81" spans="1:18" s="13" customFormat="1" ht="30" x14ac:dyDescent="0.25">
      <c r="A81" s="10"/>
      <c r="B81" s="62" t="s">
        <v>56</v>
      </c>
      <c r="C81" s="181" t="s">
        <v>304</v>
      </c>
      <c r="D81" s="182" t="s">
        <v>386</v>
      </c>
      <c r="E81" s="183" t="s">
        <v>18</v>
      </c>
      <c r="F81" s="73" t="s">
        <v>476</v>
      </c>
      <c r="G81" s="184" t="s">
        <v>113</v>
      </c>
      <c r="H81" s="181">
        <v>7</v>
      </c>
      <c r="I81" s="185">
        <v>3</v>
      </c>
      <c r="J81" s="96">
        <v>3</v>
      </c>
      <c r="K81" s="77">
        <v>4745</v>
      </c>
      <c r="L81" s="77">
        <v>4745</v>
      </c>
      <c r="M81" s="78">
        <f t="shared" si="1"/>
        <v>0</v>
      </c>
      <c r="N81" s="100"/>
      <c r="O81" s="186">
        <v>7612</v>
      </c>
      <c r="P81" s="186">
        <v>7612</v>
      </c>
      <c r="Q81" s="188">
        <f t="shared" ref="Q81:Q149" si="3">O81-P81</f>
        <v>0</v>
      </c>
    </row>
    <row r="82" spans="1:18" s="13" customFormat="1" ht="15.75" x14ac:dyDescent="0.25">
      <c r="A82" s="10"/>
      <c r="B82" s="62" t="s">
        <v>156</v>
      </c>
      <c r="C82" s="181" t="s">
        <v>304</v>
      </c>
      <c r="D82" s="182"/>
      <c r="E82" s="183" t="s">
        <v>20</v>
      </c>
      <c r="F82" s="73" t="s">
        <v>359</v>
      </c>
      <c r="G82" s="74" t="s">
        <v>112</v>
      </c>
      <c r="H82" s="75">
        <v>3</v>
      </c>
      <c r="I82" s="76">
        <v>2</v>
      </c>
      <c r="J82" s="96">
        <f>2</f>
        <v>2</v>
      </c>
      <c r="K82" s="77">
        <f>1690.48+993.47</f>
        <v>2683.95</v>
      </c>
      <c r="L82" s="77">
        <f>1690.48+993.47</f>
        <v>2683.95</v>
      </c>
      <c r="M82" s="78">
        <f t="shared" si="1"/>
        <v>0</v>
      </c>
      <c r="N82" s="100">
        <f>3+1</f>
        <v>4</v>
      </c>
      <c r="O82" s="81">
        <f>5488.54+2398.37+422.62</f>
        <v>8309.5300000000007</v>
      </c>
      <c r="P82" s="81">
        <f>5488.54+2398.37+422.62</f>
        <v>8309.5300000000007</v>
      </c>
      <c r="Q82" s="79">
        <f t="shared" si="3"/>
        <v>0</v>
      </c>
      <c r="R82" s="141"/>
    </row>
    <row r="83" spans="1:18" s="15" customFormat="1" ht="15.75" x14ac:dyDescent="0.25">
      <c r="A83" s="14"/>
      <c r="B83" s="80" t="s">
        <v>57</v>
      </c>
      <c r="C83" s="181" t="s">
        <v>17</v>
      </c>
      <c r="D83" s="182"/>
      <c r="E83" s="183" t="s">
        <v>20</v>
      </c>
      <c r="F83" s="73" t="s">
        <v>360</v>
      </c>
      <c r="G83" s="74" t="s">
        <v>112</v>
      </c>
      <c r="H83" s="75">
        <v>6</v>
      </c>
      <c r="I83" s="76">
        <v>6</v>
      </c>
      <c r="J83" s="96">
        <f>2+1+1+2</f>
        <v>6</v>
      </c>
      <c r="K83" s="77">
        <f>806.82+1728.9+422.62+2958.34</f>
        <v>5916.68</v>
      </c>
      <c r="L83" s="77">
        <f>806.82+1728.9+422.62+2958.34</f>
        <v>5916.68</v>
      </c>
      <c r="M83" s="78">
        <f t="shared" si="1"/>
        <v>0</v>
      </c>
      <c r="N83" s="100">
        <f>2+1</f>
        <v>3</v>
      </c>
      <c r="O83" s="81">
        <f>2745.3</f>
        <v>2745.3</v>
      </c>
      <c r="P83" s="81">
        <f>2745.3</f>
        <v>2745.3</v>
      </c>
      <c r="Q83" s="188">
        <f t="shared" si="3"/>
        <v>0</v>
      </c>
      <c r="R83" s="141"/>
    </row>
    <row r="84" spans="1:18" s="15" customFormat="1" ht="15.75" x14ac:dyDescent="0.25">
      <c r="A84" s="14"/>
      <c r="B84" s="80" t="s">
        <v>57</v>
      </c>
      <c r="C84" s="181" t="s">
        <v>17</v>
      </c>
      <c r="D84" s="182"/>
      <c r="E84" s="183" t="s">
        <v>20</v>
      </c>
      <c r="F84" s="73" t="s">
        <v>458</v>
      </c>
      <c r="G84" s="184" t="s">
        <v>114</v>
      </c>
      <c r="H84" s="181">
        <v>31</v>
      </c>
      <c r="I84" s="185">
        <v>5</v>
      </c>
      <c r="J84" s="190">
        <v>5</v>
      </c>
      <c r="K84" s="77">
        <v>8068.2</v>
      </c>
      <c r="L84" s="77">
        <v>3765.16</v>
      </c>
      <c r="M84" s="187">
        <f t="shared" si="1"/>
        <v>4303.04</v>
      </c>
      <c r="N84" s="101">
        <v>17</v>
      </c>
      <c r="O84" s="186">
        <v>38071.1</v>
      </c>
      <c r="P84" s="186">
        <v>36726.400000000001</v>
      </c>
      <c r="Q84" s="188">
        <f t="shared" si="3"/>
        <v>1344.6999999999971</v>
      </c>
    </row>
    <row r="85" spans="1:18" s="13" customFormat="1" ht="15.75" x14ac:dyDescent="0.25">
      <c r="A85" s="10"/>
      <c r="B85" s="62" t="s">
        <v>58</v>
      </c>
      <c r="C85" s="181" t="s">
        <v>17</v>
      </c>
      <c r="D85" s="182"/>
      <c r="E85" s="183" t="s">
        <v>20</v>
      </c>
      <c r="F85" s="73" t="s">
        <v>361</v>
      </c>
      <c r="G85" s="74" t="s">
        <v>112</v>
      </c>
      <c r="H85" s="75">
        <v>7</v>
      </c>
      <c r="I85" s="76">
        <v>4</v>
      </c>
      <c r="J85" s="96">
        <f>1+2+1</f>
        <v>4</v>
      </c>
      <c r="K85" s="77">
        <f>1892.47+3118.94+422.62</f>
        <v>5434.03</v>
      </c>
      <c r="L85" s="77">
        <f>1892.47+3118.94+422.62</f>
        <v>5434.03</v>
      </c>
      <c r="M85" s="78">
        <f>K85-L85</f>
        <v>0</v>
      </c>
      <c r="N85" s="100">
        <f>1+1+3</f>
        <v>5</v>
      </c>
      <c r="O85" s="81">
        <f>9196.24+2480.78+2954.11+15214.32</f>
        <v>29845.45</v>
      </c>
      <c r="P85" s="81">
        <f>9196.24+2480.78+2954.11+15214.32</f>
        <v>29845.45</v>
      </c>
      <c r="Q85" s="188">
        <f t="shared" si="3"/>
        <v>0</v>
      </c>
      <c r="R85" s="141"/>
    </row>
    <row r="86" spans="1:18" s="13" customFormat="1" ht="15.75" x14ac:dyDescent="0.25">
      <c r="A86" s="10"/>
      <c r="B86" s="62" t="s">
        <v>58</v>
      </c>
      <c r="C86" s="181" t="s">
        <v>17</v>
      </c>
      <c r="D86" s="182"/>
      <c r="E86" s="183" t="s">
        <v>20</v>
      </c>
      <c r="F86" s="73" t="s">
        <v>478</v>
      </c>
      <c r="G86" s="184" t="s">
        <v>114</v>
      </c>
      <c r="H86" s="181">
        <v>15</v>
      </c>
      <c r="I86" s="185">
        <v>2</v>
      </c>
      <c r="J86" s="190">
        <v>2</v>
      </c>
      <c r="K86" s="77">
        <v>3765.16</v>
      </c>
      <c r="L86" s="77">
        <v>3765.16</v>
      </c>
      <c r="M86" s="187">
        <f t="shared" si="1"/>
        <v>0</v>
      </c>
      <c r="N86" s="100">
        <v>21</v>
      </c>
      <c r="O86" s="186">
        <v>54215.77</v>
      </c>
      <c r="P86" s="186">
        <v>54215.77</v>
      </c>
      <c r="Q86" s="188">
        <f t="shared" si="3"/>
        <v>0</v>
      </c>
    </row>
    <row r="87" spans="1:18" s="13" customFormat="1" ht="15.75" x14ac:dyDescent="0.25">
      <c r="A87" s="10"/>
      <c r="B87" s="62" t="s">
        <v>59</v>
      </c>
      <c r="C87" s="181" t="s">
        <v>17</v>
      </c>
      <c r="D87" s="182"/>
      <c r="E87" s="183" t="s">
        <v>20</v>
      </c>
      <c r="F87" s="73" t="s">
        <v>362</v>
      </c>
      <c r="G87" s="74" t="s">
        <v>112</v>
      </c>
      <c r="H87" s="75">
        <v>11</v>
      </c>
      <c r="I87" s="76">
        <v>8</v>
      </c>
      <c r="J87" s="96">
        <f>1+1+1+3+1+1</f>
        <v>8</v>
      </c>
      <c r="K87" s="77">
        <f>403.41+1431.16+845.24+998.92</f>
        <v>3678.7300000000005</v>
      </c>
      <c r="L87" s="77">
        <f>403.41+1431.16+845.24+998.92</f>
        <v>3678.7300000000005</v>
      </c>
      <c r="M87" s="78">
        <f>K87-L87</f>
        <v>0</v>
      </c>
      <c r="N87" s="100">
        <f>1+2+2+1+1+1</f>
        <v>8</v>
      </c>
      <c r="O87" s="81">
        <f>6646.05+1267.86+979.71</f>
        <v>8893.619999999999</v>
      </c>
      <c r="P87" s="81">
        <f>2353.23+5561.68+978.71</f>
        <v>8893.619999999999</v>
      </c>
      <c r="Q87" s="188">
        <f t="shared" si="3"/>
        <v>0</v>
      </c>
      <c r="R87" s="141"/>
    </row>
    <row r="88" spans="1:18" s="13" customFormat="1" ht="15.75" x14ac:dyDescent="0.25">
      <c r="A88" s="10"/>
      <c r="B88" s="62" t="s">
        <v>59</v>
      </c>
      <c r="C88" s="181" t="s">
        <v>17</v>
      </c>
      <c r="D88" s="182"/>
      <c r="E88" s="183" t="s">
        <v>20</v>
      </c>
      <c r="F88" s="73" t="s">
        <v>128</v>
      </c>
      <c r="G88" s="184" t="s">
        <v>114</v>
      </c>
      <c r="H88" s="181"/>
      <c r="I88" s="185"/>
      <c r="J88" s="190"/>
      <c r="K88" s="77"/>
      <c r="L88" s="77"/>
      <c r="M88" s="187">
        <f t="shared" si="1"/>
        <v>0</v>
      </c>
      <c r="N88" s="100"/>
      <c r="O88" s="186"/>
      <c r="P88" s="186"/>
      <c r="Q88" s="188">
        <f t="shared" si="3"/>
        <v>0</v>
      </c>
    </row>
    <row r="89" spans="1:18" s="13" customFormat="1" ht="15.75" x14ac:dyDescent="0.25">
      <c r="A89" s="10"/>
      <c r="B89" s="27" t="s">
        <v>60</v>
      </c>
      <c r="C89" s="181" t="s">
        <v>17</v>
      </c>
      <c r="D89" s="182"/>
      <c r="E89" s="183" t="s">
        <v>20</v>
      </c>
      <c r="F89" s="73" t="s">
        <v>364</v>
      </c>
      <c r="G89" s="74" t="s">
        <v>112</v>
      </c>
      <c r="H89" s="75">
        <v>16</v>
      </c>
      <c r="I89" s="76">
        <v>7</v>
      </c>
      <c r="J89" s="96">
        <f>1+1+1+4</f>
        <v>7</v>
      </c>
      <c r="K89" s="77">
        <f>634.93+893.27</f>
        <v>1528.1999999999998</v>
      </c>
      <c r="L89" s="77">
        <f>634.93+893.27</f>
        <v>1528.1999999999998</v>
      </c>
      <c r="M89" s="78">
        <f>K89-L89</f>
        <v>0</v>
      </c>
      <c r="N89" s="100">
        <f>4+1+3+1</f>
        <v>9</v>
      </c>
      <c r="O89" s="81">
        <f>15124.53+2065.75+8492.52</f>
        <v>25682.799999999999</v>
      </c>
      <c r="P89" s="81">
        <f>15124.53+2065.75+8492.52</f>
        <v>25682.799999999999</v>
      </c>
      <c r="Q89" s="188">
        <f t="shared" si="3"/>
        <v>0</v>
      </c>
      <c r="R89" s="141"/>
    </row>
    <row r="90" spans="1:18" s="13" customFormat="1" ht="15.75" x14ac:dyDescent="0.25">
      <c r="A90" s="10"/>
      <c r="B90" s="27" t="s">
        <v>60</v>
      </c>
      <c r="C90" s="181" t="s">
        <v>17</v>
      </c>
      <c r="D90" s="182"/>
      <c r="E90" s="183" t="s">
        <v>20</v>
      </c>
      <c r="F90" s="73" t="s">
        <v>479</v>
      </c>
      <c r="G90" s="184" t="s">
        <v>114</v>
      </c>
      <c r="H90" s="181">
        <v>9</v>
      </c>
      <c r="I90" s="185">
        <v>2</v>
      </c>
      <c r="J90" s="190">
        <v>2</v>
      </c>
      <c r="K90" s="77">
        <v>2881.5</v>
      </c>
      <c r="L90" s="77">
        <v>2881.5</v>
      </c>
      <c r="M90" s="187">
        <f t="shared" si="1"/>
        <v>0</v>
      </c>
      <c r="N90" s="100">
        <v>12</v>
      </c>
      <c r="O90" s="186">
        <v>15864.4</v>
      </c>
      <c r="P90" s="186">
        <v>15864.4</v>
      </c>
      <c r="Q90" s="188">
        <f t="shared" si="3"/>
        <v>0</v>
      </c>
    </row>
    <row r="91" spans="1:18" s="13" customFormat="1" ht="15.75" x14ac:dyDescent="0.25">
      <c r="A91" s="10"/>
      <c r="B91" s="27" t="s">
        <v>493</v>
      </c>
      <c r="C91" s="181" t="s">
        <v>17</v>
      </c>
      <c r="D91" s="182"/>
      <c r="E91" s="183" t="s">
        <v>20</v>
      </c>
      <c r="F91" s="73" t="s">
        <v>496</v>
      </c>
      <c r="G91" s="184" t="s">
        <v>112</v>
      </c>
      <c r="H91" s="181">
        <v>9</v>
      </c>
      <c r="I91" s="185">
        <v>5</v>
      </c>
      <c r="J91" s="190">
        <f>3+2+1</f>
        <v>6</v>
      </c>
      <c r="K91" s="77">
        <f>3387.04+3467.41+1267.86</f>
        <v>8122.3099999999995</v>
      </c>
      <c r="L91" s="77">
        <f>3387.04+3467.41+1267.86</f>
        <v>8122.3099999999995</v>
      </c>
      <c r="M91" s="78">
        <f t="shared" ref="M91:M160" si="4">K91-L91</f>
        <v>0</v>
      </c>
      <c r="N91" s="100"/>
      <c r="O91" s="186"/>
      <c r="P91" s="186"/>
      <c r="Q91" s="79"/>
    </row>
    <row r="92" spans="1:18" s="15" customFormat="1" ht="15.75" x14ac:dyDescent="0.25">
      <c r="A92" s="14"/>
      <c r="B92" s="28" t="s">
        <v>61</v>
      </c>
      <c r="C92" s="181" t="s">
        <v>17</v>
      </c>
      <c r="D92" s="182"/>
      <c r="E92" s="183" t="s">
        <v>20</v>
      </c>
      <c r="F92" s="73" t="s">
        <v>363</v>
      </c>
      <c r="G92" s="74" t="s">
        <v>112</v>
      </c>
      <c r="H92" s="75"/>
      <c r="I92" s="76"/>
      <c r="J92" s="96"/>
      <c r="K92" s="77"/>
      <c r="L92" s="77"/>
      <c r="M92" s="78">
        <f t="shared" si="4"/>
        <v>0</v>
      </c>
      <c r="N92" s="100"/>
      <c r="O92" s="81"/>
      <c r="P92" s="81"/>
      <c r="Q92" s="188">
        <f t="shared" si="3"/>
        <v>0</v>
      </c>
      <c r="R92" s="141"/>
    </row>
    <row r="93" spans="1:18" s="15" customFormat="1" ht="15.75" x14ac:dyDescent="0.25">
      <c r="A93" s="14"/>
      <c r="B93" s="28" t="s">
        <v>61</v>
      </c>
      <c r="C93" s="181" t="s">
        <v>17</v>
      </c>
      <c r="D93" s="182"/>
      <c r="E93" s="183" t="s">
        <v>20</v>
      </c>
      <c r="F93" s="73" t="s">
        <v>121</v>
      </c>
      <c r="G93" s="184" t="s">
        <v>114</v>
      </c>
      <c r="H93" s="181"/>
      <c r="I93" s="185"/>
      <c r="J93" s="190"/>
      <c r="K93" s="77"/>
      <c r="L93" s="77"/>
      <c r="M93" s="187">
        <f t="shared" si="4"/>
        <v>0</v>
      </c>
      <c r="N93" s="101"/>
      <c r="O93" s="186"/>
      <c r="P93" s="186"/>
      <c r="Q93" s="188">
        <f t="shared" si="3"/>
        <v>0</v>
      </c>
    </row>
    <row r="94" spans="1:18" s="15" customFormat="1" ht="15.75" x14ac:dyDescent="0.25">
      <c r="A94" s="14"/>
      <c r="B94" s="200" t="s">
        <v>306</v>
      </c>
      <c r="C94" s="181" t="s">
        <v>17</v>
      </c>
      <c r="D94" s="182"/>
      <c r="E94" s="183" t="s">
        <v>35</v>
      </c>
      <c r="F94" s="73" t="s">
        <v>365</v>
      </c>
      <c r="G94" s="184" t="s">
        <v>112</v>
      </c>
      <c r="H94" s="181">
        <v>26</v>
      </c>
      <c r="I94" s="185">
        <v>16</v>
      </c>
      <c r="J94" s="190">
        <f>1+2+1+3+3+2+3+1</f>
        <v>16</v>
      </c>
      <c r="K94" s="77">
        <f>1045.98+2658.7+35696.14+4892.46+1024.04+2384.53+10793.24+5320.79</f>
        <v>63815.88</v>
      </c>
      <c r="L94" s="77">
        <f>1045.98+2658.7+35696.14+4892.46+1024.04+2384.53+10793.24+5320.79</f>
        <v>63815.88</v>
      </c>
      <c r="M94" s="78">
        <f>K94-L94</f>
        <v>0</v>
      </c>
      <c r="N94" s="114">
        <f>7+2+2+2+1+1</f>
        <v>15</v>
      </c>
      <c r="O94" s="186">
        <f>2313.84+6162.57+2330.32+1690.48+3706.14+3107.65</f>
        <v>19311</v>
      </c>
      <c r="P94" s="186">
        <f>2313.84+6162.57+2330.32+1690.48+3706.14+3107.65</f>
        <v>19311</v>
      </c>
      <c r="Q94" s="188">
        <f t="shared" si="3"/>
        <v>0</v>
      </c>
      <c r="R94" s="141"/>
    </row>
    <row r="95" spans="1:18" s="13" customFormat="1" ht="15.75" x14ac:dyDescent="0.25">
      <c r="A95" s="10"/>
      <c r="B95" s="62" t="s">
        <v>306</v>
      </c>
      <c r="C95" s="181" t="s">
        <v>17</v>
      </c>
      <c r="D95" s="182"/>
      <c r="E95" s="183" t="s">
        <v>27</v>
      </c>
      <c r="F95" s="73" t="s">
        <v>421</v>
      </c>
      <c r="G95" s="184" t="s">
        <v>117</v>
      </c>
      <c r="H95" s="181">
        <v>2</v>
      </c>
      <c r="I95" s="185"/>
      <c r="J95" s="96"/>
      <c r="K95" s="77"/>
      <c r="L95" s="77"/>
      <c r="M95" s="78">
        <f>K95-L95</f>
        <v>0</v>
      </c>
      <c r="N95" s="100"/>
      <c r="O95" s="77"/>
      <c r="P95" s="77"/>
      <c r="Q95" s="79">
        <f>O95-P95</f>
        <v>0</v>
      </c>
    </row>
    <row r="96" spans="1:18" s="13" customFormat="1" ht="15.75" x14ac:dyDescent="0.25">
      <c r="A96" s="10"/>
      <c r="B96" s="27" t="s">
        <v>62</v>
      </c>
      <c r="C96" s="181" t="s">
        <v>17</v>
      </c>
      <c r="D96" s="182"/>
      <c r="E96" s="183" t="s">
        <v>35</v>
      </c>
      <c r="F96" s="73" t="s">
        <v>366</v>
      </c>
      <c r="G96" s="74" t="s">
        <v>112</v>
      </c>
      <c r="H96" s="75">
        <v>18</v>
      </c>
      <c r="I96" s="76">
        <v>9</v>
      </c>
      <c r="J96" s="96">
        <f>1+3+1+1+2</f>
        <v>8</v>
      </c>
      <c r="K96" s="77">
        <f>3613.4+1872.01+1394.65+3518.32</f>
        <v>10398.379999999999</v>
      </c>
      <c r="L96" s="77">
        <f>3613.4+1872.01+1394.65+3518.32</f>
        <v>10398.379999999999</v>
      </c>
      <c r="M96" s="78">
        <f>K96-L96</f>
        <v>0</v>
      </c>
      <c r="N96" s="100">
        <f>6+2+1+2+1+3</f>
        <v>15</v>
      </c>
      <c r="O96" s="81">
        <f>19511.33+1270.93+3979.74+2500.85+8530.18+845.24+12787.47</f>
        <v>49425.74</v>
      </c>
      <c r="P96" s="81">
        <f>19511.33+1270.93+3979.74+2500.85+8530.18+845.24+12787.47</f>
        <v>49425.74</v>
      </c>
      <c r="Q96" s="79">
        <f t="shared" si="3"/>
        <v>0</v>
      </c>
      <c r="R96" s="141"/>
    </row>
    <row r="97" spans="1:18" s="13" customFormat="1" ht="15.75" x14ac:dyDescent="0.25">
      <c r="A97" s="10"/>
      <c r="B97" s="27" t="s">
        <v>62</v>
      </c>
      <c r="C97" s="181" t="s">
        <v>17</v>
      </c>
      <c r="D97" s="182"/>
      <c r="E97" s="183" t="s">
        <v>35</v>
      </c>
      <c r="F97" s="73" t="s">
        <v>428</v>
      </c>
      <c r="G97" s="184" t="s">
        <v>117</v>
      </c>
      <c r="H97" s="181">
        <v>2</v>
      </c>
      <c r="I97" s="185"/>
      <c r="J97" s="96"/>
      <c r="K97" s="77"/>
      <c r="L97" s="77"/>
      <c r="M97" s="78">
        <f t="shared" si="4"/>
        <v>0</v>
      </c>
      <c r="N97" s="100">
        <v>9</v>
      </c>
      <c r="O97" s="186">
        <v>22788.1</v>
      </c>
      <c r="P97" s="186">
        <v>22788.1</v>
      </c>
      <c r="Q97" s="188">
        <f t="shared" si="3"/>
        <v>0</v>
      </c>
    </row>
    <row r="98" spans="1:18" s="13" customFormat="1" ht="15.75" x14ac:dyDescent="0.25">
      <c r="A98" s="10"/>
      <c r="B98" s="27" t="s">
        <v>63</v>
      </c>
      <c r="C98" s="181" t="s">
        <v>64</v>
      </c>
      <c r="D98" s="182" t="s">
        <v>65</v>
      </c>
      <c r="E98" s="183" t="s">
        <v>20</v>
      </c>
      <c r="F98" s="73" t="s">
        <v>480</v>
      </c>
      <c r="G98" s="184" t="s">
        <v>114</v>
      </c>
      <c r="H98" s="181"/>
      <c r="I98" s="185"/>
      <c r="J98" s="190"/>
      <c r="K98" s="77"/>
      <c r="L98" s="77"/>
      <c r="M98" s="187">
        <f t="shared" si="4"/>
        <v>0</v>
      </c>
      <c r="N98" s="100"/>
      <c r="O98" s="186"/>
      <c r="P98" s="186"/>
      <c r="Q98" s="188">
        <f t="shared" si="3"/>
        <v>0</v>
      </c>
    </row>
    <row r="99" spans="1:18" s="13" customFormat="1" ht="15.75" x14ac:dyDescent="0.25">
      <c r="A99" s="10"/>
      <c r="B99" s="27" t="s">
        <v>155</v>
      </c>
      <c r="C99" s="181" t="s">
        <v>17</v>
      </c>
      <c r="D99" s="182"/>
      <c r="E99" s="183" t="s">
        <v>20</v>
      </c>
      <c r="F99" s="73" t="s">
        <v>367</v>
      </c>
      <c r="G99" s="74" t="s">
        <v>112</v>
      </c>
      <c r="H99" s="75">
        <v>9</v>
      </c>
      <c r="I99" s="82">
        <v>5</v>
      </c>
      <c r="J99" s="96">
        <f>1+2+3</f>
        <v>6</v>
      </c>
      <c r="K99" s="77">
        <f>3117.56+2266.78+5307.72</f>
        <v>10692.060000000001</v>
      </c>
      <c r="L99" s="77">
        <f>3117.56+2266.78+5307.72</f>
        <v>10692.060000000001</v>
      </c>
      <c r="M99" s="78">
        <f>K99-L99</f>
        <v>0</v>
      </c>
      <c r="N99" s="100">
        <f>1+1+1</f>
        <v>3</v>
      </c>
      <c r="O99" s="81">
        <f>1798.06+2123.67</f>
        <v>3921.73</v>
      </c>
      <c r="P99" s="81">
        <f>1798.06+2123.67</f>
        <v>3921.73</v>
      </c>
      <c r="Q99" s="188">
        <f t="shared" si="3"/>
        <v>0</v>
      </c>
      <c r="R99" s="141"/>
    </row>
    <row r="100" spans="1:18" s="13" customFormat="1" ht="15.75" x14ac:dyDescent="0.25">
      <c r="A100" s="10"/>
      <c r="B100" s="27" t="s">
        <v>155</v>
      </c>
      <c r="C100" s="181" t="s">
        <v>17</v>
      </c>
      <c r="D100" s="182"/>
      <c r="E100" s="183" t="s">
        <v>20</v>
      </c>
      <c r="F100" s="73" t="s">
        <v>459</v>
      </c>
      <c r="G100" s="184" t="s">
        <v>114</v>
      </c>
      <c r="H100" s="181">
        <v>8</v>
      </c>
      <c r="I100" s="185">
        <v>4</v>
      </c>
      <c r="J100" s="190">
        <v>4</v>
      </c>
      <c r="K100" s="77">
        <v>6147.2</v>
      </c>
      <c r="L100" s="77">
        <v>4994.6000000000004</v>
      </c>
      <c r="M100" s="187">
        <f t="shared" ref="M100" si="5">K100-L100</f>
        <v>1152.5999999999995</v>
      </c>
      <c r="N100" s="100">
        <v>15</v>
      </c>
      <c r="O100" s="186">
        <v>33202.26</v>
      </c>
      <c r="P100" s="186">
        <v>27266.37</v>
      </c>
      <c r="Q100" s="188">
        <f t="shared" si="3"/>
        <v>5935.8900000000031</v>
      </c>
    </row>
    <row r="101" spans="1:18" s="13" customFormat="1" ht="15.75" x14ac:dyDescent="0.25">
      <c r="A101" s="10"/>
      <c r="B101" s="30" t="s">
        <v>66</v>
      </c>
      <c r="C101" s="181" t="s">
        <v>17</v>
      </c>
      <c r="D101" s="182"/>
      <c r="E101" s="183" t="s">
        <v>21</v>
      </c>
      <c r="F101" s="73" t="s">
        <v>368</v>
      </c>
      <c r="G101" s="74" t="s">
        <v>112</v>
      </c>
      <c r="H101" s="75">
        <v>22</v>
      </c>
      <c r="I101" s="76">
        <v>13</v>
      </c>
      <c r="J101" s="96">
        <f>1+3+2+3+2+1+2+1</f>
        <v>15</v>
      </c>
      <c r="K101" s="77">
        <f>1045.98+4309.04+3820.12+1872.01+4253.49+3044.79+1191.19+4942.84</f>
        <v>24479.46</v>
      </c>
      <c r="L101" s="77">
        <f>1045.98+4309.04+3820.12+1872.01+4253.49+3044.79+1191.19+4942.84</f>
        <v>24479.46</v>
      </c>
      <c r="M101" s="78">
        <f>K101-L101</f>
        <v>0</v>
      </c>
      <c r="N101" s="100">
        <f>6+3+8+7+1+1+1+2+1+1+1+1</f>
        <v>33</v>
      </c>
      <c r="O101" s="81">
        <f>11911.17+23136+18060.17+1977.84+2091.97+19535.65+19124.11+3199.71+4430.07</f>
        <v>103466.69</v>
      </c>
      <c r="P101" s="81">
        <f>11911.17+23136+18060.17+1977.84+2091.97+19535.65+19124.11+3199.71+4430.07</f>
        <v>103466.69</v>
      </c>
      <c r="Q101" s="188">
        <f t="shared" si="3"/>
        <v>0</v>
      </c>
      <c r="R101" s="141"/>
    </row>
    <row r="102" spans="1:18" s="13" customFormat="1" ht="15.75" x14ac:dyDescent="0.25">
      <c r="A102" s="10"/>
      <c r="B102" s="30" t="s">
        <v>66</v>
      </c>
      <c r="C102" s="181" t="s">
        <v>17</v>
      </c>
      <c r="D102" s="182"/>
      <c r="E102" s="183" t="s">
        <v>21</v>
      </c>
      <c r="F102" s="73" t="s">
        <v>439</v>
      </c>
      <c r="G102" s="184" t="s">
        <v>118</v>
      </c>
      <c r="H102" s="181">
        <v>6</v>
      </c>
      <c r="I102" s="185">
        <v>1</v>
      </c>
      <c r="J102" s="96">
        <v>1</v>
      </c>
      <c r="K102" s="77">
        <v>1152.5999999999999</v>
      </c>
      <c r="L102" s="77">
        <v>1152.5999999999999</v>
      </c>
      <c r="M102" s="187">
        <f t="shared" si="4"/>
        <v>0</v>
      </c>
      <c r="N102" s="100">
        <v>16</v>
      </c>
      <c r="O102" s="186">
        <v>66871.69</v>
      </c>
      <c r="P102" s="186">
        <v>66871.69</v>
      </c>
      <c r="Q102" s="79">
        <f t="shared" si="3"/>
        <v>0</v>
      </c>
    </row>
    <row r="103" spans="1:18" s="13" customFormat="1" ht="15.75" x14ac:dyDescent="0.25">
      <c r="A103" s="10"/>
      <c r="B103" s="62" t="s">
        <v>137</v>
      </c>
      <c r="C103" s="181" t="s">
        <v>17</v>
      </c>
      <c r="D103" s="182"/>
      <c r="E103" s="194" t="s">
        <v>35</v>
      </c>
      <c r="F103" s="73" t="s">
        <v>369</v>
      </c>
      <c r="G103" s="74" t="s">
        <v>112</v>
      </c>
      <c r="H103" s="75">
        <v>26</v>
      </c>
      <c r="I103" s="76">
        <v>15</v>
      </c>
      <c r="J103" s="96">
        <f>3+3+1+4+1+3</f>
        <v>15</v>
      </c>
      <c r="K103" s="77">
        <f>504.26+845.24+3380.96+422.62+2535.72</f>
        <v>7688.7999999999993</v>
      </c>
      <c r="L103" s="77">
        <f>504.26+845.24+3380.96+422.62+2535.72</f>
        <v>7688.7999999999993</v>
      </c>
      <c r="M103" s="78">
        <f>K103-L103</f>
        <v>0</v>
      </c>
      <c r="N103" s="100">
        <f>5+1+1+2+1</f>
        <v>10</v>
      </c>
      <c r="O103" s="81">
        <f>2617.36+422.62+3852.18+3380.96+422.62</f>
        <v>10695.74</v>
      </c>
      <c r="P103" s="81">
        <f>2617.36+422.62+3852.18+3380.96+422.62</f>
        <v>10695.74</v>
      </c>
      <c r="Q103" s="188">
        <f t="shared" si="3"/>
        <v>0</v>
      </c>
      <c r="R103" s="141"/>
    </row>
    <row r="104" spans="1:18" s="13" customFormat="1" ht="15.75" x14ac:dyDescent="0.25">
      <c r="A104" s="10"/>
      <c r="B104" s="62" t="s">
        <v>137</v>
      </c>
      <c r="C104" s="181" t="s">
        <v>17</v>
      </c>
      <c r="D104" s="182"/>
      <c r="E104" s="194" t="s">
        <v>35</v>
      </c>
      <c r="F104" s="73" t="s">
        <v>429</v>
      </c>
      <c r="G104" s="184" t="s">
        <v>117</v>
      </c>
      <c r="H104" s="181">
        <v>2</v>
      </c>
      <c r="I104" s="185">
        <v>1</v>
      </c>
      <c r="J104" s="190">
        <v>1</v>
      </c>
      <c r="K104" s="193">
        <v>1921</v>
      </c>
      <c r="L104" s="193">
        <v>1921</v>
      </c>
      <c r="M104" s="78">
        <f t="shared" si="4"/>
        <v>0</v>
      </c>
      <c r="N104" s="114">
        <v>2</v>
      </c>
      <c r="O104" s="186">
        <v>10565.5</v>
      </c>
      <c r="P104" s="186">
        <v>10565.5</v>
      </c>
      <c r="Q104" s="79">
        <f t="shared" si="3"/>
        <v>0</v>
      </c>
    </row>
    <row r="105" spans="1:18" s="13" customFormat="1" ht="15.75" x14ac:dyDescent="0.25">
      <c r="A105" s="10"/>
      <c r="B105" s="30" t="s">
        <v>67</v>
      </c>
      <c r="C105" s="181" t="s">
        <v>17</v>
      </c>
      <c r="D105" s="182"/>
      <c r="E105" s="194" t="s">
        <v>21</v>
      </c>
      <c r="F105" s="73" t="s">
        <v>370</v>
      </c>
      <c r="G105" s="74" t="s">
        <v>112</v>
      </c>
      <c r="H105" s="75">
        <v>24</v>
      </c>
      <c r="I105" s="76">
        <v>12</v>
      </c>
      <c r="J105" s="96">
        <f>2+1+1+2+1+1+2+2+1+2</f>
        <v>15</v>
      </c>
      <c r="K105" s="77">
        <f>3319.85+1198.9+864.45+7235.32+1947.89+5377.75+8701.73</f>
        <v>28645.89</v>
      </c>
      <c r="L105" s="77">
        <f>3319.85+1198.9+864.45+7235.32+1947.89+5377.75+8701.73</f>
        <v>28645.89</v>
      </c>
      <c r="M105" s="78">
        <f>K105-L105</f>
        <v>0</v>
      </c>
      <c r="N105" s="100">
        <f>4+9+4+4+1+3+1+3+1+1</f>
        <v>31</v>
      </c>
      <c r="O105" s="81">
        <f>29696.65+38129.03+13567.9+20687.05+2022.79+8145.77+17250.05+1233.28</f>
        <v>130732.51999999999</v>
      </c>
      <c r="P105" s="81">
        <f>29696.65+38129.03+13567.9+20687.05+2022.79+8145.77+17250.05+1233.28</f>
        <v>130732.51999999999</v>
      </c>
      <c r="Q105" s="188">
        <f t="shared" si="3"/>
        <v>0</v>
      </c>
      <c r="R105" s="141"/>
    </row>
    <row r="106" spans="1:18" s="13" customFormat="1" ht="15.75" x14ac:dyDescent="0.25">
      <c r="A106" s="10"/>
      <c r="B106" s="30" t="s">
        <v>67</v>
      </c>
      <c r="C106" s="181" t="s">
        <v>17</v>
      </c>
      <c r="D106" s="182"/>
      <c r="E106" s="194" t="s">
        <v>21</v>
      </c>
      <c r="F106" s="73" t="s">
        <v>440</v>
      </c>
      <c r="G106" s="184" t="s">
        <v>118</v>
      </c>
      <c r="H106" s="181">
        <v>10</v>
      </c>
      <c r="I106" s="185">
        <v>1</v>
      </c>
      <c r="J106" s="96">
        <v>1</v>
      </c>
      <c r="K106" s="77">
        <v>3476.24</v>
      </c>
      <c r="L106" s="77">
        <v>3476.24</v>
      </c>
      <c r="M106" s="78">
        <f t="shared" si="4"/>
        <v>0</v>
      </c>
      <c r="N106" s="100">
        <v>12</v>
      </c>
      <c r="O106" s="186">
        <v>49443.59</v>
      </c>
      <c r="P106" s="186">
        <v>49443.59</v>
      </c>
      <c r="Q106" s="79">
        <f t="shared" si="3"/>
        <v>0</v>
      </c>
    </row>
    <row r="107" spans="1:18" s="13" customFormat="1" ht="15.75" x14ac:dyDescent="0.25">
      <c r="A107" s="10"/>
      <c r="B107" s="30" t="s">
        <v>68</v>
      </c>
      <c r="C107" s="181" t="s">
        <v>17</v>
      </c>
      <c r="D107" s="182"/>
      <c r="E107" s="194" t="s">
        <v>32</v>
      </c>
      <c r="F107" s="73" t="s">
        <v>371</v>
      </c>
      <c r="G107" s="74" t="s">
        <v>112</v>
      </c>
      <c r="H107" s="75">
        <v>16</v>
      </c>
      <c r="I107" s="76">
        <v>9</v>
      </c>
      <c r="J107" s="96">
        <f>2+1+2+5</f>
        <v>10</v>
      </c>
      <c r="K107" s="77">
        <f>1128.59+422.62+1152.6+4557.81+10981.59</f>
        <v>18243.21</v>
      </c>
      <c r="L107" s="77">
        <f>1128.59+422.62+1152.6+4557.81+10981.59</f>
        <v>18243.21</v>
      </c>
      <c r="M107" s="78">
        <f>K107-L107</f>
        <v>0</v>
      </c>
      <c r="N107" s="100">
        <f>6+5+1+4+2</f>
        <v>18</v>
      </c>
      <c r="O107" s="81">
        <f>7813.73+8523.5+1452.28+12582.19+18077.76</f>
        <v>48449.459999999992</v>
      </c>
      <c r="P107" s="81">
        <f>7813.73+8523.5+1452.28+12582.19+18077.76</f>
        <v>48449.459999999992</v>
      </c>
      <c r="Q107" s="188">
        <f t="shared" si="3"/>
        <v>0</v>
      </c>
      <c r="R107" s="141"/>
    </row>
    <row r="108" spans="1:18" s="13" customFormat="1" ht="30" x14ac:dyDescent="0.25">
      <c r="A108" s="10"/>
      <c r="B108" s="30" t="s">
        <v>68</v>
      </c>
      <c r="C108" s="181" t="s">
        <v>17</v>
      </c>
      <c r="D108" s="182"/>
      <c r="E108" s="194" t="s">
        <v>32</v>
      </c>
      <c r="F108" s="73" t="s">
        <v>430</v>
      </c>
      <c r="G108" s="195" t="s">
        <v>117</v>
      </c>
      <c r="H108" s="181">
        <v>2</v>
      </c>
      <c r="I108" s="185"/>
      <c r="J108" s="96"/>
      <c r="K108" s="77"/>
      <c r="L108" s="77"/>
      <c r="M108" s="78">
        <f t="shared" si="4"/>
        <v>0</v>
      </c>
      <c r="N108" s="100"/>
      <c r="O108" s="77"/>
      <c r="P108" s="77"/>
      <c r="Q108" s="79">
        <f t="shared" si="3"/>
        <v>0</v>
      </c>
    </row>
    <row r="109" spans="1:18" s="15" customFormat="1" ht="15.75" x14ac:dyDescent="0.25">
      <c r="A109" s="14"/>
      <c r="B109" s="28" t="s">
        <v>69</v>
      </c>
      <c r="C109" s="181" t="s">
        <v>17</v>
      </c>
      <c r="D109" s="182"/>
      <c r="E109" s="183" t="s">
        <v>20</v>
      </c>
      <c r="F109" s="73" t="s">
        <v>372</v>
      </c>
      <c r="G109" s="74" t="s">
        <v>112</v>
      </c>
      <c r="H109" s="75">
        <v>5</v>
      </c>
      <c r="I109" s="76">
        <v>3</v>
      </c>
      <c r="J109" s="96">
        <f>1+1+1+1</f>
        <v>4</v>
      </c>
      <c r="K109" s="77">
        <f>422.62+17390.69+3114.71+475.45</f>
        <v>21403.469999999998</v>
      </c>
      <c r="L109" s="77">
        <f>422.62+17390.69+3114.71+475.45</f>
        <v>21403.469999999998</v>
      </c>
      <c r="M109" s="78">
        <f t="shared" si="4"/>
        <v>0</v>
      </c>
      <c r="N109" s="100">
        <f>3+2+1+1+1</f>
        <v>8</v>
      </c>
      <c r="O109" s="77">
        <f>7210.31+3647.96+1306.28+1267.86+2697.06</f>
        <v>16129.470000000001</v>
      </c>
      <c r="P109" s="77">
        <f>7210.31+3647.96+1306.28+1267.86+2697.06</f>
        <v>16129.470000000001</v>
      </c>
      <c r="Q109" s="188">
        <f t="shared" si="3"/>
        <v>0</v>
      </c>
      <c r="R109" s="141"/>
    </row>
    <row r="110" spans="1:18" s="15" customFormat="1" ht="15.75" x14ac:dyDescent="0.25">
      <c r="A110" s="14"/>
      <c r="B110" s="200" t="s">
        <v>502</v>
      </c>
      <c r="C110" s="181"/>
      <c r="D110" s="182"/>
      <c r="E110" s="183"/>
      <c r="F110" s="73"/>
      <c r="G110" s="74" t="s">
        <v>112</v>
      </c>
      <c r="H110" s="75">
        <v>8</v>
      </c>
      <c r="I110" s="76"/>
      <c r="J110" s="96"/>
      <c r="K110" s="77"/>
      <c r="L110" s="77"/>
      <c r="M110" s="78">
        <f t="shared" si="4"/>
        <v>0</v>
      </c>
      <c r="N110" s="100"/>
      <c r="O110" s="77"/>
      <c r="P110" s="77"/>
      <c r="Q110" s="188"/>
      <c r="R110" s="141"/>
    </row>
    <row r="111" spans="1:18" s="15" customFormat="1" ht="30" x14ac:dyDescent="0.25">
      <c r="A111" s="14"/>
      <c r="B111" s="200" t="s">
        <v>502</v>
      </c>
      <c r="C111" s="181"/>
      <c r="D111" s="182"/>
      <c r="E111" s="183"/>
      <c r="F111" s="73"/>
      <c r="G111" s="195" t="s">
        <v>117</v>
      </c>
      <c r="H111" s="75">
        <v>3</v>
      </c>
      <c r="I111" s="76"/>
      <c r="J111" s="96"/>
      <c r="K111" s="77"/>
      <c r="L111" s="77"/>
      <c r="M111" s="187"/>
      <c r="N111" s="100"/>
      <c r="O111" s="77"/>
      <c r="P111" s="77"/>
      <c r="Q111" s="188"/>
      <c r="R111" s="141"/>
    </row>
    <row r="112" spans="1:18" s="13" customFormat="1" ht="15.75" x14ac:dyDescent="0.25">
      <c r="A112" s="10"/>
      <c r="B112" s="62" t="s">
        <v>70</v>
      </c>
      <c r="C112" s="181" t="s">
        <v>17</v>
      </c>
      <c r="D112" s="182"/>
      <c r="E112" s="183" t="s">
        <v>20</v>
      </c>
      <c r="F112" s="73" t="s">
        <v>373</v>
      </c>
      <c r="G112" s="74" t="s">
        <v>112</v>
      </c>
      <c r="H112" s="75">
        <v>10</v>
      </c>
      <c r="I112" s="76">
        <v>7</v>
      </c>
      <c r="J112" s="96">
        <f>2+2+2</f>
        <v>6</v>
      </c>
      <c r="K112" s="77">
        <f>19498+3011.17</f>
        <v>22509.17</v>
      </c>
      <c r="L112" s="77">
        <f>19498+3011.17</f>
        <v>22509.17</v>
      </c>
      <c r="M112" s="78">
        <f>K112-L112</f>
        <v>0</v>
      </c>
      <c r="N112" s="100">
        <f>2+3+4+2</f>
        <v>11</v>
      </c>
      <c r="O112" s="81">
        <f>7606.2+16795.84</f>
        <v>24402.04</v>
      </c>
      <c r="P112" s="81">
        <f>7606.2+16795.84</f>
        <v>24402.04</v>
      </c>
      <c r="Q112" s="79">
        <f t="shared" si="3"/>
        <v>0</v>
      </c>
      <c r="R112" s="141"/>
    </row>
    <row r="113" spans="1:19" s="13" customFormat="1" ht="15.75" x14ac:dyDescent="0.25">
      <c r="A113" s="10"/>
      <c r="B113" s="62" t="s">
        <v>70</v>
      </c>
      <c r="C113" s="181" t="s">
        <v>17</v>
      </c>
      <c r="D113" s="182"/>
      <c r="E113" s="183" t="s">
        <v>20</v>
      </c>
      <c r="F113" s="73" t="s">
        <v>460</v>
      </c>
      <c r="G113" s="184" t="s">
        <v>114</v>
      </c>
      <c r="H113" s="181">
        <v>29</v>
      </c>
      <c r="I113" s="185">
        <v>7</v>
      </c>
      <c r="J113" s="190">
        <v>7</v>
      </c>
      <c r="K113" s="77">
        <v>14541.97</v>
      </c>
      <c r="L113" s="77">
        <v>8971.07</v>
      </c>
      <c r="M113" s="187">
        <f t="shared" ref="M113" si="6">K113-L113</f>
        <v>5570.9</v>
      </c>
      <c r="N113" s="100">
        <v>31</v>
      </c>
      <c r="O113" s="186">
        <v>67328.240000000005</v>
      </c>
      <c r="P113" s="186">
        <v>60028.44</v>
      </c>
      <c r="Q113" s="188">
        <f t="shared" si="3"/>
        <v>7299.8000000000029</v>
      </c>
    </row>
    <row r="114" spans="1:19" s="15" customFormat="1" ht="15.75" x14ac:dyDescent="0.25">
      <c r="A114" s="14"/>
      <c r="B114" s="80" t="s">
        <v>71</v>
      </c>
      <c r="C114" s="181" t="s">
        <v>17</v>
      </c>
      <c r="D114" s="182"/>
      <c r="E114" s="183" t="s">
        <v>32</v>
      </c>
      <c r="F114" s="73" t="s">
        <v>374</v>
      </c>
      <c r="G114" s="74" t="s">
        <v>112</v>
      </c>
      <c r="H114" s="75">
        <v>16</v>
      </c>
      <c r="I114" s="76">
        <v>7</v>
      </c>
      <c r="J114" s="96">
        <f>3+1+2+1+1</f>
        <v>8</v>
      </c>
      <c r="K114" s="77">
        <f>1536.8+461.04+1748.88+633.93+3169.65</f>
        <v>7550.3000000000011</v>
      </c>
      <c r="L114" s="77">
        <f>1536.8+461.04+1748.88+633.93+3169.65</f>
        <v>7550.3000000000011</v>
      </c>
      <c r="M114" s="78">
        <f>K114-L114</f>
        <v>0</v>
      </c>
      <c r="N114" s="100">
        <f>3+2+1+1+2</f>
        <v>9</v>
      </c>
      <c r="O114" s="81">
        <f>9567.93+3616.67+403.41+14275.52+10922.18</f>
        <v>38785.71</v>
      </c>
      <c r="P114" s="81">
        <f>9567.93+3616.67+403.41+14275.52+10922.18</f>
        <v>38785.71</v>
      </c>
      <c r="Q114" s="79">
        <f t="shared" si="3"/>
        <v>0</v>
      </c>
      <c r="R114" s="141"/>
      <c r="S114" s="36"/>
    </row>
    <row r="115" spans="1:19" s="15" customFormat="1" ht="15.75" x14ac:dyDescent="0.25">
      <c r="A115" s="14"/>
      <c r="B115" s="80" t="s">
        <v>71</v>
      </c>
      <c r="C115" s="181" t="s">
        <v>17</v>
      </c>
      <c r="D115" s="182"/>
      <c r="E115" s="183" t="s">
        <v>32</v>
      </c>
      <c r="F115" s="73" t="s">
        <v>431</v>
      </c>
      <c r="G115" s="184" t="s">
        <v>115</v>
      </c>
      <c r="H115" s="181">
        <v>6</v>
      </c>
      <c r="I115" s="196">
        <v>4</v>
      </c>
      <c r="J115" s="97">
        <v>4</v>
      </c>
      <c r="K115" s="217">
        <v>6627.45</v>
      </c>
      <c r="L115" s="217">
        <v>6627.45</v>
      </c>
      <c r="M115" s="187">
        <f t="shared" si="4"/>
        <v>0</v>
      </c>
      <c r="N115" s="114">
        <f>5</f>
        <v>5</v>
      </c>
      <c r="O115" s="77">
        <v>6595.5</v>
      </c>
      <c r="P115" s="77">
        <v>6595.5</v>
      </c>
      <c r="Q115" s="188">
        <f t="shared" si="3"/>
        <v>0</v>
      </c>
    </row>
    <row r="116" spans="1:19" s="13" customFormat="1" ht="15.75" x14ac:dyDescent="0.25">
      <c r="A116" s="10"/>
      <c r="B116" s="62" t="s">
        <v>319</v>
      </c>
      <c r="C116" s="181" t="s">
        <v>17</v>
      </c>
      <c r="D116" s="182"/>
      <c r="E116" s="183" t="s">
        <v>20</v>
      </c>
      <c r="F116" s="73" t="s">
        <v>375</v>
      </c>
      <c r="G116" s="74" t="s">
        <v>112</v>
      </c>
      <c r="H116" s="75">
        <v>25</v>
      </c>
      <c r="I116" s="76">
        <v>15</v>
      </c>
      <c r="J116" s="96">
        <f>2+1+4+3+6+2</f>
        <v>18</v>
      </c>
      <c r="K116" s="77">
        <f>710.77+1523.35+6753.23+7215.52+1437.48</f>
        <v>17640.349999999999</v>
      </c>
      <c r="L116" s="77">
        <f>710.77+1523.35+6753.23+7215.52+1437.48</f>
        <v>17640.349999999999</v>
      </c>
      <c r="M116" s="78">
        <f t="shared" si="4"/>
        <v>0</v>
      </c>
      <c r="N116" s="100">
        <f>3+1+2+1+2</f>
        <v>9</v>
      </c>
      <c r="O116" s="77">
        <f>13419.94+726.71+2846.77+3770.56</f>
        <v>20763.980000000003</v>
      </c>
      <c r="P116" s="77">
        <f>13419.94+726.71+2846.77+3770.56</f>
        <v>20763.980000000003</v>
      </c>
      <c r="Q116" s="79">
        <f>O116-P116</f>
        <v>0</v>
      </c>
      <c r="R116" s="141"/>
    </row>
    <row r="117" spans="1:19" s="15" customFormat="1" ht="15.75" x14ac:dyDescent="0.25">
      <c r="A117" s="14"/>
      <c r="B117" s="62" t="s">
        <v>150</v>
      </c>
      <c r="C117" s="181" t="s">
        <v>17</v>
      </c>
      <c r="D117" s="182"/>
      <c r="E117" s="183" t="s">
        <v>35</v>
      </c>
      <c r="F117" s="73" t="s">
        <v>376</v>
      </c>
      <c r="G117" s="74" t="s">
        <v>112</v>
      </c>
      <c r="H117" s="75">
        <v>17</v>
      </c>
      <c r="I117" s="76">
        <v>7</v>
      </c>
      <c r="J117" s="97">
        <f>1+1+2+2+1</f>
        <v>7</v>
      </c>
      <c r="K117" s="77">
        <f>1343.65+384.2+1690.4+4889.84</f>
        <v>8308.09</v>
      </c>
      <c r="L117" s="77">
        <f>1343.65+384.2+1690.4+4889.84</f>
        <v>8308.09</v>
      </c>
      <c r="M117" s="78">
        <f t="shared" si="4"/>
        <v>0</v>
      </c>
      <c r="N117" s="114">
        <f>8+1+1+2+3+1+1+1</f>
        <v>18</v>
      </c>
      <c r="O117" s="77">
        <f>5997.32+3719.39+3054.34+13138.17+6578.46+6198.68</f>
        <v>38686.36</v>
      </c>
      <c r="P117" s="77">
        <f>5997.32+3719.39+3054.34+13138.17+6578.46+6198.68</f>
        <v>38686.36</v>
      </c>
      <c r="Q117" s="79">
        <f t="shared" si="3"/>
        <v>0</v>
      </c>
      <c r="R117" s="141"/>
    </row>
    <row r="118" spans="1:19" s="15" customFormat="1" ht="15.75" x14ac:dyDescent="0.25">
      <c r="A118" s="14"/>
      <c r="B118" s="191" t="s">
        <v>150</v>
      </c>
      <c r="C118" s="181" t="s">
        <v>17</v>
      </c>
      <c r="D118" s="182"/>
      <c r="E118" s="183" t="s">
        <v>32</v>
      </c>
      <c r="F118" s="73" t="s">
        <v>487</v>
      </c>
      <c r="G118" s="184" t="s">
        <v>117</v>
      </c>
      <c r="H118" s="181">
        <v>2</v>
      </c>
      <c r="I118" s="196"/>
      <c r="J118" s="97"/>
      <c r="K118" s="77"/>
      <c r="L118" s="193"/>
      <c r="M118" s="187">
        <f t="shared" si="4"/>
        <v>0</v>
      </c>
      <c r="N118" s="101">
        <v>2</v>
      </c>
      <c r="O118" s="77">
        <v>8240.2000000000007</v>
      </c>
      <c r="P118" s="77">
        <v>8240.2000000000007</v>
      </c>
      <c r="Q118" s="188">
        <f t="shared" si="3"/>
        <v>0</v>
      </c>
    </row>
    <row r="119" spans="1:19" s="13" customFormat="1" ht="15.75" x14ac:dyDescent="0.25">
      <c r="A119" s="10"/>
      <c r="B119" s="30" t="s">
        <v>72</v>
      </c>
      <c r="C119" s="181" t="s">
        <v>17</v>
      </c>
      <c r="D119" s="182"/>
      <c r="E119" s="183" t="s">
        <v>21</v>
      </c>
      <c r="F119" s="73" t="s">
        <v>377</v>
      </c>
      <c r="G119" s="74" t="s">
        <v>112</v>
      </c>
      <c r="H119" s="75">
        <v>17</v>
      </c>
      <c r="I119" s="76">
        <v>9</v>
      </c>
      <c r="J119" s="96">
        <f>1+1+1+1+6+2</f>
        <v>12</v>
      </c>
      <c r="K119" s="77">
        <f>633.93+1415.78+1610.18+1394.65+18140.86</f>
        <v>23195.4</v>
      </c>
      <c r="L119" s="77">
        <f>633.93+1415.78+1610.18+1394.65+18140.86</f>
        <v>23195.4</v>
      </c>
      <c r="M119" s="78">
        <f>K119-L119</f>
        <v>0</v>
      </c>
      <c r="N119" s="100">
        <f>1+3+1+1+1+3+1+3</f>
        <v>14</v>
      </c>
      <c r="O119" s="81">
        <f>1950.74+10237.13+6595.95+3861.21+1348.53+10328.94+50451.86-19567+15859.78</f>
        <v>81067.14</v>
      </c>
      <c r="P119" s="81">
        <f>1950.74+10237.13+6595.95+3861.21+1348.53+10328.94+50451.86-19567+15859.78</f>
        <v>81067.14</v>
      </c>
      <c r="Q119" s="79">
        <f t="shared" si="3"/>
        <v>0</v>
      </c>
      <c r="R119" s="141"/>
    </row>
    <row r="120" spans="1:19" s="13" customFormat="1" ht="15.75" x14ac:dyDescent="0.25">
      <c r="A120" s="10"/>
      <c r="B120" s="30" t="s">
        <v>72</v>
      </c>
      <c r="C120" s="181" t="s">
        <v>17</v>
      </c>
      <c r="D120" s="182"/>
      <c r="E120" s="183" t="s">
        <v>21</v>
      </c>
      <c r="F120" s="73" t="s">
        <v>441</v>
      </c>
      <c r="G120" s="184" t="s">
        <v>118</v>
      </c>
      <c r="H120" s="181">
        <v>6</v>
      </c>
      <c r="I120" s="185">
        <v>1</v>
      </c>
      <c r="J120" s="96">
        <v>1</v>
      </c>
      <c r="K120" s="77">
        <v>1728.9</v>
      </c>
      <c r="L120" s="77">
        <v>1728.9</v>
      </c>
      <c r="M120" s="187">
        <f t="shared" si="4"/>
        <v>0</v>
      </c>
      <c r="N120" s="100">
        <v>13</v>
      </c>
      <c r="O120" s="186">
        <v>45577.03</v>
      </c>
      <c r="P120" s="186">
        <v>45577.03</v>
      </c>
      <c r="Q120" s="188">
        <f t="shared" si="3"/>
        <v>0</v>
      </c>
    </row>
    <row r="121" spans="1:19" s="15" customFormat="1" ht="15.75" x14ac:dyDescent="0.25">
      <c r="A121" s="14"/>
      <c r="B121" s="84" t="s">
        <v>73</v>
      </c>
      <c r="C121" s="181" t="s">
        <v>17</v>
      </c>
      <c r="D121" s="182"/>
      <c r="E121" s="183" t="s">
        <v>74</v>
      </c>
      <c r="F121" s="73" t="s">
        <v>378</v>
      </c>
      <c r="G121" s="74" t="s">
        <v>112</v>
      </c>
      <c r="H121" s="75">
        <v>24</v>
      </c>
      <c r="I121" s="76">
        <v>23</v>
      </c>
      <c r="J121" s="96">
        <f>9+8+2+2+10</f>
        <v>31</v>
      </c>
      <c r="K121" s="77">
        <f>6305.33+12574.83+14899.84</f>
        <v>33780</v>
      </c>
      <c r="L121" s="77">
        <f>6305.33+12574.83+14899.84</f>
        <v>33780</v>
      </c>
      <c r="M121" s="78">
        <f>K121-L121</f>
        <v>0</v>
      </c>
      <c r="N121" s="100">
        <f>5+3+3+1</f>
        <v>12</v>
      </c>
      <c r="O121" s="81">
        <f>5416.39+9506.99+12269.39+7610.68+1928.68</f>
        <v>36732.129999999997</v>
      </c>
      <c r="P121" s="81">
        <f>5416.39+9506.99+12269.39+7610.68+1928.68</f>
        <v>36732.129999999997</v>
      </c>
      <c r="Q121" s="79">
        <f t="shared" si="3"/>
        <v>0</v>
      </c>
      <c r="R121" s="141"/>
    </row>
    <row r="122" spans="1:19" s="15" customFormat="1" ht="15.75" x14ac:dyDescent="0.25">
      <c r="A122" s="14"/>
      <c r="B122" s="84" t="s">
        <v>73</v>
      </c>
      <c r="C122" s="181" t="s">
        <v>17</v>
      </c>
      <c r="D122" s="182"/>
      <c r="E122" s="183" t="s">
        <v>74</v>
      </c>
      <c r="F122" s="73" t="s">
        <v>282</v>
      </c>
      <c r="G122" s="184" t="s">
        <v>114</v>
      </c>
      <c r="H122" s="181"/>
      <c r="I122" s="185"/>
      <c r="J122" s="190"/>
      <c r="K122" s="77"/>
      <c r="L122" s="77"/>
      <c r="M122" s="187">
        <f t="shared" ref="M122" si="7">K122-L122</f>
        <v>0</v>
      </c>
      <c r="N122" s="101">
        <v>1</v>
      </c>
      <c r="O122" s="186">
        <v>1728.9</v>
      </c>
      <c r="P122" s="186">
        <v>0</v>
      </c>
      <c r="Q122" s="188">
        <f t="shared" si="3"/>
        <v>1728.9</v>
      </c>
    </row>
    <row r="123" spans="1:19" s="13" customFormat="1" ht="15.75" x14ac:dyDescent="0.25">
      <c r="A123" s="10"/>
      <c r="B123" s="30" t="s">
        <v>135</v>
      </c>
      <c r="C123" s="181" t="s">
        <v>17</v>
      </c>
      <c r="D123" s="182"/>
      <c r="E123" s="194" t="s">
        <v>35</v>
      </c>
      <c r="F123" s="73" t="s">
        <v>379</v>
      </c>
      <c r="G123" s="74" t="s">
        <v>112</v>
      </c>
      <c r="H123" s="75">
        <v>24</v>
      </c>
      <c r="I123" s="76">
        <v>17</v>
      </c>
      <c r="J123" s="96">
        <f>1+6+5+3+3</f>
        <v>18</v>
      </c>
      <c r="K123" s="77">
        <f>697.32+4374.12+5747.44+4426.94</f>
        <v>15245.82</v>
      </c>
      <c r="L123" s="77">
        <f>697.32+4374.12+5747.44+1891.22</f>
        <v>12710.099999999999</v>
      </c>
      <c r="M123" s="78">
        <f>K123-L123</f>
        <v>2535.7200000000012</v>
      </c>
      <c r="N123" s="100">
        <f>2+5+1+2+2+2</f>
        <v>14</v>
      </c>
      <c r="O123" s="81">
        <f>6432.89+2283.68+4932.13</f>
        <v>13648.7</v>
      </c>
      <c r="P123" s="81">
        <f>6432.89+2283.68+4932.13</f>
        <v>13648.7</v>
      </c>
      <c r="Q123" s="188">
        <f t="shared" si="3"/>
        <v>0</v>
      </c>
      <c r="R123" s="141"/>
    </row>
    <row r="124" spans="1:19" s="13" customFormat="1" ht="15.75" x14ac:dyDescent="0.25">
      <c r="A124" s="10"/>
      <c r="B124" s="30" t="s">
        <v>135</v>
      </c>
      <c r="C124" s="181" t="s">
        <v>17</v>
      </c>
      <c r="D124" s="182"/>
      <c r="E124" s="194" t="s">
        <v>35</v>
      </c>
      <c r="F124" s="73" t="s">
        <v>432</v>
      </c>
      <c r="G124" s="184" t="s">
        <v>115</v>
      </c>
      <c r="H124" s="181"/>
      <c r="I124" s="185"/>
      <c r="J124" s="96"/>
      <c r="K124" s="77"/>
      <c r="L124" s="77"/>
      <c r="M124" s="78">
        <f t="shared" si="4"/>
        <v>0</v>
      </c>
      <c r="N124" s="100">
        <v>1</v>
      </c>
      <c r="O124" s="186">
        <v>2689.4</v>
      </c>
      <c r="P124" s="186">
        <v>2689.4</v>
      </c>
      <c r="Q124" s="79">
        <f t="shared" si="3"/>
        <v>0</v>
      </c>
    </row>
    <row r="125" spans="1:19" s="13" customFormat="1" ht="15.75" x14ac:dyDescent="0.25">
      <c r="A125" s="10"/>
      <c r="B125" s="30" t="s">
        <v>145</v>
      </c>
      <c r="C125" s="181" t="s">
        <v>17</v>
      </c>
      <c r="D125" s="182"/>
      <c r="E125" s="194" t="s">
        <v>20</v>
      </c>
      <c r="F125" s="73" t="s">
        <v>380</v>
      </c>
      <c r="G125" s="74" t="s">
        <v>112</v>
      </c>
      <c r="H125" s="75">
        <v>13</v>
      </c>
      <c r="I125" s="82">
        <v>6</v>
      </c>
      <c r="J125" s="96">
        <f>2+1+1+2+2</f>
        <v>8</v>
      </c>
      <c r="K125" s="77">
        <f>5169.72+1100+538.84+4293.82+3949.22+3361.76</f>
        <v>18413.36</v>
      </c>
      <c r="L125" s="77">
        <f>5169.72+1100+538.84+4293.82+3949.22+3361.76</f>
        <v>18413.36</v>
      </c>
      <c r="M125" s="78">
        <f>K125-L125</f>
        <v>0</v>
      </c>
      <c r="N125" s="100">
        <f>1+1+2+1</f>
        <v>5</v>
      </c>
      <c r="O125" s="81">
        <f>5120.23+3915.15+1114.12</f>
        <v>10149.5</v>
      </c>
      <c r="P125" s="81">
        <f>5120.23+3915.15+1114.12</f>
        <v>10149.5</v>
      </c>
      <c r="Q125" s="188">
        <f t="shared" si="3"/>
        <v>0</v>
      </c>
      <c r="R125" s="141"/>
    </row>
    <row r="126" spans="1:19" s="13" customFormat="1" ht="15.75" x14ac:dyDescent="0.25">
      <c r="A126" s="10"/>
      <c r="B126" s="30" t="s">
        <v>145</v>
      </c>
      <c r="C126" s="181" t="s">
        <v>17</v>
      </c>
      <c r="D126" s="182"/>
      <c r="E126" s="194" t="s">
        <v>20</v>
      </c>
      <c r="F126" s="73" t="s">
        <v>461</v>
      </c>
      <c r="G126" s="184" t="s">
        <v>114</v>
      </c>
      <c r="H126" s="181">
        <v>3</v>
      </c>
      <c r="I126" s="185">
        <v>1</v>
      </c>
      <c r="J126" s="190">
        <v>1</v>
      </c>
      <c r="K126" s="77"/>
      <c r="L126" s="77"/>
      <c r="M126" s="187">
        <f t="shared" ref="M126" si="8">K126-L126</f>
        <v>0</v>
      </c>
      <c r="N126" s="100">
        <v>10</v>
      </c>
      <c r="O126" s="186">
        <v>19379.400000000001</v>
      </c>
      <c r="P126" s="186">
        <v>19379.400000000001</v>
      </c>
      <c r="Q126" s="188">
        <f t="shared" si="3"/>
        <v>0</v>
      </c>
    </row>
    <row r="127" spans="1:19" s="13" customFormat="1" ht="15.75" x14ac:dyDescent="0.25">
      <c r="A127" s="10"/>
      <c r="B127" s="62" t="s">
        <v>76</v>
      </c>
      <c r="C127" s="181" t="s">
        <v>17</v>
      </c>
      <c r="D127" s="182"/>
      <c r="E127" s="183" t="s">
        <v>20</v>
      </c>
      <c r="F127" s="73" t="s">
        <v>381</v>
      </c>
      <c r="G127" s="74" t="s">
        <v>112</v>
      </c>
      <c r="H127" s="75">
        <v>20</v>
      </c>
      <c r="I127" s="76">
        <v>13</v>
      </c>
      <c r="J127" s="96">
        <f>1+6+3+1+3+1+2</f>
        <v>17</v>
      </c>
      <c r="K127" s="77">
        <f>6556.06+2806.39+2697.06+1267.86+11775.51+1557.35+2113.1</f>
        <v>28773.329999999998</v>
      </c>
      <c r="L127" s="77">
        <f>6556.06+2806.39+2697.06+1267.86+11775.51+1557.35+2113.1</f>
        <v>28773.329999999998</v>
      </c>
      <c r="M127" s="78">
        <f>K127-L127</f>
        <v>0</v>
      </c>
      <c r="N127" s="100">
        <f>5+6+2+1+1</f>
        <v>15</v>
      </c>
      <c r="O127" s="81">
        <f>11527.9+19846.52+1011.91+9641+2451.87+10072.83+11307.66+2243.83</f>
        <v>68103.520000000004</v>
      </c>
      <c r="P127" s="81">
        <f>11527.9+19846.52+1011.91+9641+2451.87+10072.83+11307.66+2243.83</f>
        <v>68103.520000000004</v>
      </c>
      <c r="Q127" s="188">
        <f t="shared" si="3"/>
        <v>0</v>
      </c>
      <c r="R127" s="141"/>
    </row>
    <row r="128" spans="1:19" s="13" customFormat="1" ht="15.75" x14ac:dyDescent="0.25">
      <c r="A128" s="10"/>
      <c r="B128" s="62" t="s">
        <v>76</v>
      </c>
      <c r="C128" s="181" t="s">
        <v>17</v>
      </c>
      <c r="D128" s="182"/>
      <c r="E128" s="183" t="s">
        <v>20</v>
      </c>
      <c r="F128" s="73" t="s">
        <v>462</v>
      </c>
      <c r="G128" s="184" t="s">
        <v>114</v>
      </c>
      <c r="H128" s="181">
        <v>9</v>
      </c>
      <c r="I128" s="185">
        <v>1</v>
      </c>
      <c r="J128" s="190">
        <v>1</v>
      </c>
      <c r="K128" s="77">
        <v>2113.1</v>
      </c>
      <c r="L128" s="77">
        <v>2113.1</v>
      </c>
      <c r="M128" s="187">
        <f t="shared" ref="M128" si="9">K128-L128</f>
        <v>0</v>
      </c>
      <c r="N128" s="100">
        <v>8</v>
      </c>
      <c r="O128" s="186">
        <v>27398.29</v>
      </c>
      <c r="P128" s="186">
        <v>27398.29</v>
      </c>
      <c r="Q128" s="188">
        <f t="shared" si="3"/>
        <v>0</v>
      </c>
    </row>
    <row r="129" spans="1:18" s="13" customFormat="1" ht="15.75" x14ac:dyDescent="0.25">
      <c r="A129" s="10"/>
      <c r="B129" s="30" t="s">
        <v>77</v>
      </c>
      <c r="C129" s="181" t="s">
        <v>17</v>
      </c>
      <c r="D129" s="182"/>
      <c r="E129" s="183" t="s">
        <v>32</v>
      </c>
      <c r="F129" s="73" t="s">
        <v>388</v>
      </c>
      <c r="G129" s="74" t="s">
        <v>112</v>
      </c>
      <c r="H129" s="75">
        <v>13</v>
      </c>
      <c r="I129" s="76">
        <v>7</v>
      </c>
      <c r="J129" s="96">
        <f>2+2+2+6</f>
        <v>12</v>
      </c>
      <c r="K129" s="77">
        <f>2440.63+1507.02+2101.48+13625.7</f>
        <v>19674.830000000002</v>
      </c>
      <c r="L129" s="77">
        <f>2440.63+1507.02+2101.48+13625.7</f>
        <v>19674.830000000002</v>
      </c>
      <c r="M129" s="78">
        <f>K129-L129</f>
        <v>0</v>
      </c>
      <c r="N129" s="100">
        <f>5+2+3+3+1+1</f>
        <v>15</v>
      </c>
      <c r="O129" s="81">
        <f>11716.73+6848.82+4046.18+11166.34+8845.95</f>
        <v>42624.020000000004</v>
      </c>
      <c r="P129" s="81">
        <f>11716.73+6848.82+4046.18+11166.34+8845.95</f>
        <v>42624.020000000004</v>
      </c>
      <c r="Q129" s="188">
        <f t="shared" si="3"/>
        <v>0</v>
      </c>
      <c r="R129" s="141"/>
    </row>
    <row r="130" spans="1:18" s="13" customFormat="1" ht="15.75" x14ac:dyDescent="0.25">
      <c r="A130" s="10"/>
      <c r="B130" s="30" t="s">
        <v>77</v>
      </c>
      <c r="C130" s="181" t="s">
        <v>17</v>
      </c>
      <c r="D130" s="182"/>
      <c r="E130" s="183" t="s">
        <v>32</v>
      </c>
      <c r="F130" s="73" t="s">
        <v>433</v>
      </c>
      <c r="G130" s="184" t="s">
        <v>117</v>
      </c>
      <c r="H130" s="181">
        <v>1</v>
      </c>
      <c r="I130" s="185">
        <v>1</v>
      </c>
      <c r="J130" s="96">
        <v>1</v>
      </c>
      <c r="K130" s="77">
        <v>1921</v>
      </c>
      <c r="L130" s="77">
        <v>1921</v>
      </c>
      <c r="M130" s="78">
        <f t="shared" si="4"/>
        <v>0</v>
      </c>
      <c r="N130" s="100">
        <v>6</v>
      </c>
      <c r="O130" s="186">
        <v>18164.11</v>
      </c>
      <c r="P130" s="186">
        <v>18164.11</v>
      </c>
      <c r="Q130" s="79">
        <f t="shared" si="3"/>
        <v>0</v>
      </c>
    </row>
    <row r="131" spans="1:18" s="13" customFormat="1" ht="15.75" x14ac:dyDescent="0.25">
      <c r="A131" s="10"/>
      <c r="B131" s="30" t="s">
        <v>321</v>
      </c>
      <c r="C131" s="181" t="s">
        <v>17</v>
      </c>
      <c r="D131" s="182"/>
      <c r="E131" s="183" t="s">
        <v>21</v>
      </c>
      <c r="F131" s="73" t="s">
        <v>489</v>
      </c>
      <c r="G131" s="184" t="s">
        <v>112</v>
      </c>
      <c r="H131" s="181">
        <v>3</v>
      </c>
      <c r="I131" s="185"/>
      <c r="J131" s="96"/>
      <c r="K131" s="77"/>
      <c r="L131" s="77"/>
      <c r="M131" s="78">
        <f t="shared" si="4"/>
        <v>0</v>
      </c>
      <c r="N131" s="100"/>
      <c r="O131" s="186"/>
      <c r="P131" s="186"/>
      <c r="Q131" s="79"/>
      <c r="R131" s="141"/>
    </row>
    <row r="132" spans="1:18" s="13" customFormat="1" ht="30" x14ac:dyDescent="0.25">
      <c r="A132" s="10"/>
      <c r="B132" s="62" t="s">
        <v>79</v>
      </c>
      <c r="C132" s="181" t="s">
        <v>304</v>
      </c>
      <c r="D132" s="182" t="s">
        <v>385</v>
      </c>
      <c r="E132" s="183" t="s">
        <v>18</v>
      </c>
      <c r="F132" s="73" t="s">
        <v>389</v>
      </c>
      <c r="G132" s="74" t="s">
        <v>112</v>
      </c>
      <c r="H132" s="75">
        <v>14</v>
      </c>
      <c r="I132" s="76">
        <v>10</v>
      </c>
      <c r="J132" s="96">
        <f>2+5+2+3</f>
        <v>12</v>
      </c>
      <c r="K132" s="77">
        <f>2091.97+3190.2+5703.08+6368.88+4029.68</f>
        <v>21383.81</v>
      </c>
      <c r="L132" s="77">
        <f>2091.97+3190.2+5703.08+6368.88+4029.68</f>
        <v>21383.81</v>
      </c>
      <c r="M132" s="78">
        <f t="shared" si="4"/>
        <v>0</v>
      </c>
      <c r="N132" s="100">
        <f>2+2+1+2+1+1</f>
        <v>9</v>
      </c>
      <c r="O132" s="81">
        <f>1547.4+4166.12+7835.61+1675.01+4717.63+6039.62+18829.39</f>
        <v>44810.78</v>
      </c>
      <c r="P132" s="81">
        <f>1547.4+4166.12+7835.61+1675.01+4717.63+6039.62+18829.39</f>
        <v>44810.78</v>
      </c>
      <c r="Q132" s="188">
        <f t="shared" si="3"/>
        <v>0</v>
      </c>
      <c r="R132" s="141"/>
    </row>
    <row r="133" spans="1:18" s="13" customFormat="1" ht="30" x14ac:dyDescent="0.25">
      <c r="A133" s="10"/>
      <c r="B133" s="62" t="s">
        <v>79</v>
      </c>
      <c r="C133" s="181" t="s">
        <v>304</v>
      </c>
      <c r="D133" s="182" t="s">
        <v>475</v>
      </c>
      <c r="E133" s="183" t="s">
        <v>18</v>
      </c>
      <c r="F133" s="73" t="s">
        <v>329</v>
      </c>
      <c r="G133" s="184" t="s">
        <v>113</v>
      </c>
      <c r="H133" s="181">
        <v>36</v>
      </c>
      <c r="I133" s="192">
        <v>12</v>
      </c>
      <c r="J133" s="98">
        <v>13</v>
      </c>
      <c r="K133" s="186">
        <v>21353</v>
      </c>
      <c r="L133" s="186">
        <v>21353</v>
      </c>
      <c r="M133" s="78">
        <f t="shared" si="4"/>
        <v>0</v>
      </c>
      <c r="N133" s="100">
        <v>14</v>
      </c>
      <c r="O133" s="186">
        <v>51293</v>
      </c>
      <c r="P133" s="186">
        <v>46683</v>
      </c>
      <c r="Q133" s="79">
        <f t="shared" si="3"/>
        <v>4610</v>
      </c>
    </row>
    <row r="134" spans="1:18" s="13" customFormat="1" ht="15.75" x14ac:dyDescent="0.25">
      <c r="A134" s="10"/>
      <c r="B134" s="62" t="s">
        <v>151</v>
      </c>
      <c r="C134" s="181" t="s">
        <v>17</v>
      </c>
      <c r="D134" s="182"/>
      <c r="E134" s="183" t="s">
        <v>32</v>
      </c>
      <c r="F134" s="73" t="s">
        <v>390</v>
      </c>
      <c r="G134" s="74" t="s">
        <v>112</v>
      </c>
      <c r="H134" s="75">
        <v>40</v>
      </c>
      <c r="I134" s="82">
        <v>21</v>
      </c>
      <c r="J134" s="96">
        <f>1+3+3+5+3+9</f>
        <v>24</v>
      </c>
      <c r="K134" s="81">
        <f>2317+4640.19+5864.19+10765+12519.53</f>
        <v>36105.909999999996</v>
      </c>
      <c r="L134" s="81">
        <f>2317+4640.19+5864.19+10765+12519.53</f>
        <v>36105.909999999996</v>
      </c>
      <c r="M134" s="78">
        <f>K134-L134</f>
        <v>0</v>
      </c>
      <c r="N134" s="100">
        <f>9+3+5+1+4+4</f>
        <v>26</v>
      </c>
      <c r="O134" s="81">
        <f>10726.94+18822.65+5703.53+12846.53+1320.36+4050.1+22728.38</f>
        <v>76198.490000000005</v>
      </c>
      <c r="P134" s="81">
        <f>10726.94+18822.65+5703.53+12846.53+1320.36+4050.1+22728.38</f>
        <v>76198.490000000005</v>
      </c>
      <c r="Q134" s="188">
        <f t="shared" si="3"/>
        <v>0</v>
      </c>
      <c r="R134" s="141"/>
    </row>
    <row r="135" spans="1:18" s="13" customFormat="1" ht="15.75" x14ac:dyDescent="0.25">
      <c r="A135" s="10"/>
      <c r="B135" s="62" t="s">
        <v>151</v>
      </c>
      <c r="C135" s="181" t="s">
        <v>17</v>
      </c>
      <c r="D135" s="182"/>
      <c r="E135" s="183" t="s">
        <v>32</v>
      </c>
      <c r="F135" s="73" t="s">
        <v>434</v>
      </c>
      <c r="G135" s="184" t="s">
        <v>117</v>
      </c>
      <c r="H135" s="181">
        <v>11</v>
      </c>
      <c r="I135" s="185"/>
      <c r="J135" s="96"/>
      <c r="K135" s="77"/>
      <c r="L135" s="77"/>
      <c r="M135" s="78">
        <f t="shared" si="4"/>
        <v>0</v>
      </c>
      <c r="N135" s="100">
        <v>13</v>
      </c>
      <c r="O135" s="186">
        <v>24537.7</v>
      </c>
      <c r="P135" s="186">
        <v>24537.7</v>
      </c>
      <c r="Q135" s="79">
        <f t="shared" si="3"/>
        <v>0</v>
      </c>
    </row>
    <row r="136" spans="1:18" s="13" customFormat="1" ht="15.75" x14ac:dyDescent="0.25">
      <c r="A136" s="10"/>
      <c r="B136" s="62" t="s">
        <v>80</v>
      </c>
      <c r="C136" s="181" t="s">
        <v>17</v>
      </c>
      <c r="D136" s="182"/>
      <c r="E136" s="183" t="s">
        <v>81</v>
      </c>
      <c r="F136" s="73" t="s">
        <v>417</v>
      </c>
      <c r="G136" s="74" t="s">
        <v>112</v>
      </c>
      <c r="H136" s="75"/>
      <c r="I136" s="76"/>
      <c r="J136" s="96"/>
      <c r="K136" s="77">
        <f>749.19+8649.27</f>
        <v>9398.4600000000009</v>
      </c>
      <c r="L136" s="77">
        <f>749.19+8649.27</f>
        <v>9398.4600000000009</v>
      </c>
      <c r="M136" s="78">
        <f>K136-L136</f>
        <v>0</v>
      </c>
      <c r="N136" s="100">
        <f>2+2</f>
        <v>4</v>
      </c>
      <c r="O136" s="81">
        <f>3040.94</f>
        <v>3040.94</v>
      </c>
      <c r="P136" s="81">
        <f>3040.94</f>
        <v>3040.94</v>
      </c>
      <c r="Q136" s="188">
        <f t="shared" si="3"/>
        <v>0</v>
      </c>
      <c r="R136" s="141"/>
    </row>
    <row r="137" spans="1:18" s="13" customFormat="1" ht="15.75" x14ac:dyDescent="0.25">
      <c r="A137" s="10"/>
      <c r="B137" s="62" t="s">
        <v>80</v>
      </c>
      <c r="C137" s="181" t="s">
        <v>17</v>
      </c>
      <c r="D137" s="182"/>
      <c r="E137" s="183" t="s">
        <v>81</v>
      </c>
      <c r="F137" s="73" t="s">
        <v>285</v>
      </c>
      <c r="G137" s="184" t="s">
        <v>114</v>
      </c>
      <c r="H137" s="181"/>
      <c r="I137" s="185"/>
      <c r="J137" s="190"/>
      <c r="K137" s="77"/>
      <c r="L137" s="77"/>
      <c r="M137" s="187">
        <f t="shared" ref="M137" si="10">K137-L137</f>
        <v>0</v>
      </c>
      <c r="N137" s="100">
        <v>23</v>
      </c>
      <c r="O137" s="186">
        <v>47615.74</v>
      </c>
      <c r="P137" s="186">
        <v>47615.74</v>
      </c>
      <c r="Q137" s="188">
        <f t="shared" si="3"/>
        <v>0</v>
      </c>
    </row>
    <row r="138" spans="1:18" s="13" customFormat="1" ht="15.75" x14ac:dyDescent="0.25">
      <c r="A138" s="10"/>
      <c r="B138" s="30" t="s">
        <v>82</v>
      </c>
      <c r="C138" s="181" t="s">
        <v>17</v>
      </c>
      <c r="D138" s="182"/>
      <c r="E138" s="183" t="s">
        <v>20</v>
      </c>
      <c r="F138" s="73" t="s">
        <v>394</v>
      </c>
      <c r="G138" s="74" t="s">
        <v>112</v>
      </c>
      <c r="H138" s="75">
        <v>10</v>
      </c>
      <c r="I138" s="76">
        <v>9</v>
      </c>
      <c r="J138" s="96">
        <f>4+3+2+2</f>
        <v>11</v>
      </c>
      <c r="K138" s="77">
        <f>7750.47</f>
        <v>7750.47</v>
      </c>
      <c r="L138" s="77">
        <f>7750.47</f>
        <v>7750.47</v>
      </c>
      <c r="M138" s="78">
        <f>K138-L138</f>
        <v>0</v>
      </c>
      <c r="N138" s="100">
        <f>3+5+1+1</f>
        <v>10</v>
      </c>
      <c r="O138" s="81">
        <f>5975.84+23579.15+1426.34</f>
        <v>30981.33</v>
      </c>
      <c r="P138" s="81">
        <f>5975.84+23579.15+1426.34</f>
        <v>30981.33</v>
      </c>
      <c r="Q138" s="188">
        <f t="shared" si="3"/>
        <v>0</v>
      </c>
      <c r="R138" s="141"/>
    </row>
    <row r="139" spans="1:18" s="13" customFormat="1" ht="15.75" x14ac:dyDescent="0.25">
      <c r="A139" s="10"/>
      <c r="B139" s="30" t="s">
        <v>82</v>
      </c>
      <c r="C139" s="181" t="s">
        <v>17</v>
      </c>
      <c r="D139" s="182"/>
      <c r="E139" s="183" t="s">
        <v>20</v>
      </c>
      <c r="F139" s="73" t="s">
        <v>463</v>
      </c>
      <c r="G139" s="184" t="s">
        <v>114</v>
      </c>
      <c r="H139" s="181">
        <v>16</v>
      </c>
      <c r="I139" s="185">
        <v>5</v>
      </c>
      <c r="J139" s="190">
        <v>5</v>
      </c>
      <c r="K139" s="77">
        <v>5378.8</v>
      </c>
      <c r="L139" s="77">
        <v>5378.8</v>
      </c>
      <c r="M139" s="187">
        <f t="shared" ref="M139" si="11">K139-L139</f>
        <v>0</v>
      </c>
      <c r="N139" s="100">
        <v>14</v>
      </c>
      <c r="O139" s="186">
        <v>40552.51</v>
      </c>
      <c r="P139" s="186">
        <v>40552.51</v>
      </c>
      <c r="Q139" s="188">
        <f t="shared" si="3"/>
        <v>0</v>
      </c>
    </row>
    <row r="140" spans="1:18" s="13" customFormat="1" ht="15.75" x14ac:dyDescent="0.25">
      <c r="A140" s="10"/>
      <c r="B140" s="30" t="s">
        <v>309</v>
      </c>
      <c r="C140" s="181"/>
      <c r="D140" s="182"/>
      <c r="E140" s="183" t="s">
        <v>20</v>
      </c>
      <c r="F140" s="73" t="s">
        <v>391</v>
      </c>
      <c r="G140" s="184" t="s">
        <v>112</v>
      </c>
      <c r="H140" s="181">
        <v>13</v>
      </c>
      <c r="I140" s="185">
        <v>5</v>
      </c>
      <c r="J140" s="190">
        <f>1+5</f>
        <v>6</v>
      </c>
      <c r="K140" s="77">
        <f>3606.1+3402.77</f>
        <v>7008.87</v>
      </c>
      <c r="L140" s="77">
        <f>3606.1+3402.77</f>
        <v>7008.87</v>
      </c>
      <c r="M140" s="78">
        <f t="shared" si="4"/>
        <v>0</v>
      </c>
      <c r="N140" s="100">
        <f>1+5+1+3</f>
        <v>10</v>
      </c>
      <c r="O140" s="186">
        <f>3088.97+13147.65+1267.86+5955.71</f>
        <v>23460.19</v>
      </c>
      <c r="P140" s="186">
        <f>3088.97+13147.65+1267.86+5955.71</f>
        <v>23460.19</v>
      </c>
      <c r="Q140" s="188">
        <f t="shared" si="3"/>
        <v>0</v>
      </c>
      <c r="R140" s="141"/>
    </row>
    <row r="141" spans="1:18" s="13" customFormat="1" ht="15.75" x14ac:dyDescent="0.25">
      <c r="A141" s="10"/>
      <c r="B141" s="30" t="s">
        <v>152</v>
      </c>
      <c r="C141" s="181" t="s">
        <v>17</v>
      </c>
      <c r="D141" s="182"/>
      <c r="E141" s="183" t="s">
        <v>35</v>
      </c>
      <c r="F141" s="73" t="s">
        <v>392</v>
      </c>
      <c r="G141" s="74" t="s">
        <v>112</v>
      </c>
      <c r="H141" s="75">
        <v>7</v>
      </c>
      <c r="I141" s="76">
        <v>6</v>
      </c>
      <c r="J141" s="96">
        <f>1+1+2+1+1</f>
        <v>6</v>
      </c>
      <c r="K141" s="77">
        <f>403.41+845.24+2113.1</f>
        <v>3361.75</v>
      </c>
      <c r="L141" s="77">
        <f>403.41+845.24+2113.1</f>
        <v>3361.75</v>
      </c>
      <c r="M141" s="78">
        <f t="shared" si="4"/>
        <v>0</v>
      </c>
      <c r="N141" s="100">
        <f>2+2+2+1+1+1</f>
        <v>9</v>
      </c>
      <c r="O141" s="81">
        <f>1690.48+3050.26+3661.61+4648.82+1267.86+1690.48+9282.42+4052.53</f>
        <v>29344.46</v>
      </c>
      <c r="P141" s="81">
        <f>1690.48+3050.26+3661.61+4648.82+1267.86+1690.48+9282.42+4052.53</f>
        <v>29344.46</v>
      </c>
      <c r="Q141" s="188">
        <f t="shared" si="3"/>
        <v>0</v>
      </c>
      <c r="R141" s="141"/>
    </row>
    <row r="142" spans="1:18" s="13" customFormat="1" ht="15.75" x14ac:dyDescent="0.25">
      <c r="A142" s="10"/>
      <c r="B142" s="30" t="s">
        <v>152</v>
      </c>
      <c r="C142" s="181" t="s">
        <v>17</v>
      </c>
      <c r="D142" s="182"/>
      <c r="E142" s="183" t="s">
        <v>32</v>
      </c>
      <c r="F142" s="73"/>
      <c r="G142" s="184" t="s">
        <v>117</v>
      </c>
      <c r="H142" s="181"/>
      <c r="I142" s="185"/>
      <c r="J142" s="96"/>
      <c r="K142" s="77"/>
      <c r="L142" s="77"/>
      <c r="M142" s="78">
        <f t="shared" si="4"/>
        <v>0</v>
      </c>
      <c r="N142" s="100"/>
      <c r="O142" s="186"/>
      <c r="P142" s="186"/>
      <c r="Q142" s="79">
        <f t="shared" si="3"/>
        <v>0</v>
      </c>
    </row>
    <row r="143" spans="1:18" s="13" customFormat="1" ht="15.75" x14ac:dyDescent="0.25">
      <c r="A143" s="10"/>
      <c r="B143" s="30" t="s">
        <v>83</v>
      </c>
      <c r="C143" s="181" t="s">
        <v>17</v>
      </c>
      <c r="D143" s="182"/>
      <c r="E143" s="183" t="s">
        <v>20</v>
      </c>
      <c r="F143" s="73" t="s">
        <v>393</v>
      </c>
      <c r="G143" s="74" t="s">
        <v>112</v>
      </c>
      <c r="H143" s="75">
        <v>12</v>
      </c>
      <c r="I143" s="76">
        <v>6</v>
      </c>
      <c r="J143" s="96">
        <f>1+1+2+1+1+1</f>
        <v>7</v>
      </c>
      <c r="K143" s="77">
        <f>768.4+2535.72+845.24+14407.5</f>
        <v>18556.86</v>
      </c>
      <c r="L143" s="77">
        <f>768.4+2535.72+845.24+14407.5</f>
        <v>18556.86</v>
      </c>
      <c r="M143" s="78">
        <f>K143-L143</f>
        <v>0</v>
      </c>
      <c r="N143" s="100">
        <f>1+2+1+1+1+2</f>
        <v>8</v>
      </c>
      <c r="O143" s="81">
        <f>5837.09+1922.92+4288.54+1686.25</f>
        <v>13734.8</v>
      </c>
      <c r="P143" s="81">
        <f>5837.09+1922.92+4288.54+1686.25</f>
        <v>13734.8</v>
      </c>
      <c r="Q143" s="188">
        <f t="shared" si="3"/>
        <v>0</v>
      </c>
      <c r="R143" s="141"/>
    </row>
    <row r="144" spans="1:18" s="13" customFormat="1" ht="15.75" x14ac:dyDescent="0.25">
      <c r="A144" s="10"/>
      <c r="B144" s="30" t="s">
        <v>83</v>
      </c>
      <c r="C144" s="181" t="s">
        <v>17</v>
      </c>
      <c r="D144" s="182"/>
      <c r="E144" s="183" t="s">
        <v>20</v>
      </c>
      <c r="F144" s="73" t="s">
        <v>464</v>
      </c>
      <c r="G144" s="184" t="s">
        <v>114</v>
      </c>
      <c r="H144" s="181">
        <v>26</v>
      </c>
      <c r="I144" s="185">
        <v>4</v>
      </c>
      <c r="J144" s="190">
        <v>4</v>
      </c>
      <c r="K144" s="77">
        <v>5494.06</v>
      </c>
      <c r="L144" s="77">
        <v>5494.06</v>
      </c>
      <c r="M144" s="187">
        <f t="shared" ref="M144:M146" si="12">K144-L144</f>
        <v>0</v>
      </c>
      <c r="N144" s="100">
        <v>27</v>
      </c>
      <c r="O144" s="186">
        <v>77239.070000000007</v>
      </c>
      <c r="P144" s="186">
        <v>77239.070000000007</v>
      </c>
      <c r="Q144" s="188">
        <f t="shared" si="3"/>
        <v>0</v>
      </c>
    </row>
    <row r="145" spans="1:18" s="13" customFormat="1" ht="15.75" x14ac:dyDescent="0.25">
      <c r="A145" s="10"/>
      <c r="B145" s="30" t="s">
        <v>310</v>
      </c>
      <c r="C145" s="181" t="s">
        <v>17</v>
      </c>
      <c r="D145" s="182"/>
      <c r="E145" s="183" t="s">
        <v>20</v>
      </c>
      <c r="F145" s="73"/>
      <c r="G145" s="184" t="s">
        <v>114</v>
      </c>
      <c r="H145" s="181"/>
      <c r="I145" s="185"/>
      <c r="J145" s="190"/>
      <c r="K145" s="77"/>
      <c r="L145" s="77"/>
      <c r="M145" s="187">
        <f t="shared" si="12"/>
        <v>0</v>
      </c>
      <c r="N145" s="100"/>
      <c r="O145" s="186"/>
      <c r="P145" s="186"/>
      <c r="Q145" s="188">
        <f t="shared" si="3"/>
        <v>0</v>
      </c>
    </row>
    <row r="146" spans="1:18" s="13" customFormat="1" ht="15.75" x14ac:dyDescent="0.25">
      <c r="A146" s="10"/>
      <c r="B146" s="30" t="s">
        <v>84</v>
      </c>
      <c r="C146" s="181" t="s">
        <v>17</v>
      </c>
      <c r="D146" s="182"/>
      <c r="E146" s="183" t="s">
        <v>20</v>
      </c>
      <c r="F146" s="73" t="s">
        <v>287</v>
      </c>
      <c r="G146" s="184" t="s">
        <v>114</v>
      </c>
      <c r="H146" s="181"/>
      <c r="I146" s="185"/>
      <c r="J146" s="190"/>
      <c r="K146" s="77"/>
      <c r="L146" s="77"/>
      <c r="M146" s="187">
        <f t="shared" si="12"/>
        <v>0</v>
      </c>
      <c r="N146" s="100"/>
      <c r="O146" s="186"/>
      <c r="P146" s="186"/>
      <c r="Q146" s="188">
        <f t="shared" si="3"/>
        <v>0</v>
      </c>
    </row>
    <row r="147" spans="1:18" s="13" customFormat="1" ht="45" x14ac:dyDescent="0.25">
      <c r="A147" s="10"/>
      <c r="B147" s="30" t="s">
        <v>85</v>
      </c>
      <c r="C147" s="181" t="s">
        <v>304</v>
      </c>
      <c r="D147" s="182" t="s">
        <v>415</v>
      </c>
      <c r="E147" s="183" t="s">
        <v>20</v>
      </c>
      <c r="F147" s="73" t="s">
        <v>395</v>
      </c>
      <c r="G147" s="74" t="s">
        <v>112</v>
      </c>
      <c r="H147" s="75">
        <v>15</v>
      </c>
      <c r="I147" s="76">
        <v>6</v>
      </c>
      <c r="J147" s="96">
        <f>2</f>
        <v>2</v>
      </c>
      <c r="K147" s="77">
        <f>4800.58</f>
        <v>4800.58</v>
      </c>
      <c r="L147" s="77">
        <f>4800.58</f>
        <v>4800.58</v>
      </c>
      <c r="M147" s="78">
        <f t="shared" si="4"/>
        <v>0</v>
      </c>
      <c r="N147" s="100">
        <f>2</f>
        <v>2</v>
      </c>
      <c r="O147" s="81">
        <f>3917.73+8936.21</f>
        <v>12853.939999999999</v>
      </c>
      <c r="P147" s="81">
        <f>3917.73+8936.21</f>
        <v>12853.939999999999</v>
      </c>
      <c r="Q147" s="79">
        <f t="shared" si="3"/>
        <v>0</v>
      </c>
      <c r="R147" s="141"/>
    </row>
    <row r="148" spans="1:18" s="13" customFormat="1" ht="15.75" x14ac:dyDescent="0.25">
      <c r="A148" s="10"/>
      <c r="B148" s="27" t="s">
        <v>86</v>
      </c>
      <c r="C148" s="181" t="s">
        <v>17</v>
      </c>
      <c r="D148" s="182"/>
      <c r="E148" s="194" t="s">
        <v>20</v>
      </c>
      <c r="F148" s="73" t="s">
        <v>396</v>
      </c>
      <c r="G148" s="74" t="s">
        <v>112</v>
      </c>
      <c r="H148" s="75">
        <v>11</v>
      </c>
      <c r="I148" s="76">
        <v>8</v>
      </c>
      <c r="J148" s="96">
        <f>1+3+1+7+2</f>
        <v>14</v>
      </c>
      <c r="K148" s="77">
        <f>950.9+5134.06+2091.97+528.03+8954.46+5719.74</f>
        <v>23379.159999999996</v>
      </c>
      <c r="L148" s="77">
        <f>950.9+5134.06+2091.97+528.03+8954.46+5719.74</f>
        <v>23379.159999999996</v>
      </c>
      <c r="M148" s="78">
        <f t="shared" si="4"/>
        <v>0</v>
      </c>
      <c r="N148" s="100">
        <f>15+4+2+1+2</f>
        <v>24</v>
      </c>
      <c r="O148" s="81">
        <f>30236.61+18366.75+8887.09+1077.68+8961.95</f>
        <v>67530.080000000002</v>
      </c>
      <c r="P148" s="81">
        <f>30236.61+18366.75+8887.09+1077.68+8961.95</f>
        <v>67530.080000000002</v>
      </c>
      <c r="Q148" s="188">
        <f t="shared" si="3"/>
        <v>0</v>
      </c>
      <c r="R148" s="141"/>
    </row>
    <row r="149" spans="1:18" s="13" customFormat="1" ht="15.75" x14ac:dyDescent="0.25">
      <c r="A149" s="10"/>
      <c r="B149" s="27" t="s">
        <v>86</v>
      </c>
      <c r="C149" s="181" t="s">
        <v>17</v>
      </c>
      <c r="D149" s="182"/>
      <c r="E149" s="194" t="s">
        <v>20</v>
      </c>
      <c r="F149" s="73" t="s">
        <v>465</v>
      </c>
      <c r="G149" s="184" t="s">
        <v>114</v>
      </c>
      <c r="H149" s="181">
        <v>4</v>
      </c>
      <c r="I149" s="185">
        <v>1</v>
      </c>
      <c r="J149" s="190">
        <v>1</v>
      </c>
      <c r="K149" s="77"/>
      <c r="L149" s="77"/>
      <c r="M149" s="187">
        <f t="shared" si="4"/>
        <v>0</v>
      </c>
      <c r="N149" s="100">
        <v>9</v>
      </c>
      <c r="O149" s="186">
        <v>15209.53</v>
      </c>
      <c r="P149" s="186">
        <v>15209.53</v>
      </c>
      <c r="Q149" s="188">
        <f t="shared" si="3"/>
        <v>0</v>
      </c>
    </row>
    <row r="150" spans="1:18" s="13" customFormat="1" ht="15.75" x14ac:dyDescent="0.25">
      <c r="A150" s="10"/>
      <c r="B150" s="62" t="s">
        <v>312</v>
      </c>
      <c r="C150" s="181" t="s">
        <v>17</v>
      </c>
      <c r="D150" s="182"/>
      <c r="E150" s="194" t="s">
        <v>20</v>
      </c>
      <c r="F150" s="73" t="s">
        <v>320</v>
      </c>
      <c r="G150" s="74" t="s">
        <v>112</v>
      </c>
      <c r="H150" s="75">
        <v>13</v>
      </c>
      <c r="I150" s="76">
        <v>5</v>
      </c>
      <c r="J150" s="96">
        <f>1+1+1+2</f>
        <v>5</v>
      </c>
      <c r="K150" s="77">
        <f>3319.49+845.24+4965.79</f>
        <v>9130.52</v>
      </c>
      <c r="L150" s="77">
        <f>3319.49+845.24+4965.79</f>
        <v>9130.52</v>
      </c>
      <c r="M150" s="78">
        <f t="shared" si="4"/>
        <v>0</v>
      </c>
      <c r="N150" s="100">
        <f>5+6+1+1</f>
        <v>13</v>
      </c>
      <c r="O150" s="81">
        <f>4226.2+6627.45+4360.59</f>
        <v>15214.24</v>
      </c>
      <c r="P150" s="81">
        <f>4226.2+6627.45</f>
        <v>10853.65</v>
      </c>
      <c r="Q150" s="188"/>
      <c r="R150" s="141"/>
    </row>
    <row r="151" spans="1:18" s="13" customFormat="1" ht="15.75" x14ac:dyDescent="0.25">
      <c r="A151" s="10"/>
      <c r="B151" s="62" t="s">
        <v>494</v>
      </c>
      <c r="C151" s="181" t="s">
        <v>17</v>
      </c>
      <c r="D151" s="182"/>
      <c r="E151" s="194" t="s">
        <v>20</v>
      </c>
      <c r="F151" s="73" t="s">
        <v>497</v>
      </c>
      <c r="G151" s="74" t="s">
        <v>112</v>
      </c>
      <c r="H151" s="75">
        <v>9</v>
      </c>
      <c r="I151" s="76">
        <v>6</v>
      </c>
      <c r="J151" s="96">
        <f>1+1+1+1+2</f>
        <v>6</v>
      </c>
      <c r="K151" s="77">
        <f>3379+5494.06+576.3</f>
        <v>9449.36</v>
      </c>
      <c r="L151" s="77">
        <f>3379+5494.06+576.3</f>
        <v>9449.36</v>
      </c>
      <c r="M151" s="78">
        <f t="shared" si="4"/>
        <v>0</v>
      </c>
      <c r="N151" s="100"/>
      <c r="O151" s="81"/>
      <c r="P151" s="81"/>
      <c r="Q151" s="188"/>
      <c r="R151" s="141"/>
    </row>
    <row r="152" spans="1:18" s="13" customFormat="1" ht="15.75" x14ac:dyDescent="0.25">
      <c r="A152" s="10"/>
      <c r="B152" s="62" t="s">
        <v>494</v>
      </c>
      <c r="C152" s="181" t="s">
        <v>17</v>
      </c>
      <c r="D152" s="182"/>
      <c r="E152" s="194" t="s">
        <v>20</v>
      </c>
      <c r="F152" s="73" t="s">
        <v>507</v>
      </c>
      <c r="G152" s="74" t="s">
        <v>114</v>
      </c>
      <c r="H152" s="75">
        <v>25</v>
      </c>
      <c r="I152" s="76">
        <v>4</v>
      </c>
      <c r="J152" s="96">
        <v>4</v>
      </c>
      <c r="K152" s="77"/>
      <c r="L152" s="77"/>
      <c r="M152" s="187">
        <f t="shared" si="4"/>
        <v>0</v>
      </c>
      <c r="N152" s="100"/>
      <c r="O152" s="81"/>
      <c r="P152" s="81"/>
      <c r="Q152" s="188">
        <f t="shared" ref="Q152:Q195" si="13">O152-P152</f>
        <v>0</v>
      </c>
      <c r="R152" s="141"/>
    </row>
    <row r="153" spans="1:18" s="13" customFormat="1" ht="15.75" x14ac:dyDescent="0.25">
      <c r="A153" s="10"/>
      <c r="B153" s="30" t="s">
        <v>88</v>
      </c>
      <c r="C153" s="181" t="s">
        <v>17</v>
      </c>
      <c r="D153" s="182"/>
      <c r="E153" s="183" t="s">
        <v>89</v>
      </c>
      <c r="F153" s="73" t="s">
        <v>397</v>
      </c>
      <c r="G153" s="74" t="s">
        <v>112</v>
      </c>
      <c r="H153" s="75">
        <v>8</v>
      </c>
      <c r="I153" s="76">
        <v>5</v>
      </c>
      <c r="J153" s="96">
        <f>1+3+1</f>
        <v>5</v>
      </c>
      <c r="K153" s="77">
        <f>4226.2+2394.91+6485.1+556.71</f>
        <v>13662.919999999998</v>
      </c>
      <c r="L153" s="77">
        <f>4226.2+2394.91+6485.1+556.71</f>
        <v>13662.919999999998</v>
      </c>
      <c r="M153" s="78">
        <f>K153-L153</f>
        <v>0</v>
      </c>
      <c r="N153" s="100">
        <f>4+1+3+1+2+2+1+1+2</f>
        <v>17</v>
      </c>
      <c r="O153" s="81">
        <f>11967.83+2831.55+10544.37+9418.99+3799.13+1798.04+2548.4-12193.52+4083.77</f>
        <v>34798.559999999998</v>
      </c>
      <c r="P153" s="81">
        <f>11967.83+2831.55+10544.37+9418.99+3799.13+1798.04+2548.4-12193.52+4083.77</f>
        <v>34798.559999999998</v>
      </c>
      <c r="Q153" s="79">
        <f t="shared" si="13"/>
        <v>0</v>
      </c>
      <c r="R153" s="141"/>
    </row>
    <row r="154" spans="1:18" s="13" customFormat="1" ht="15.75" x14ac:dyDescent="0.25">
      <c r="A154" s="10"/>
      <c r="B154" s="30" t="s">
        <v>88</v>
      </c>
      <c r="C154" s="181" t="s">
        <v>17</v>
      </c>
      <c r="D154" s="182"/>
      <c r="E154" s="183" t="s">
        <v>89</v>
      </c>
      <c r="F154" s="73" t="s">
        <v>442</v>
      </c>
      <c r="G154" s="184" t="s">
        <v>118</v>
      </c>
      <c r="H154" s="181">
        <v>1</v>
      </c>
      <c r="I154" s="185"/>
      <c r="J154" s="96"/>
      <c r="K154" s="77"/>
      <c r="L154" s="77"/>
      <c r="M154" s="187">
        <f t="shared" si="4"/>
        <v>0</v>
      </c>
      <c r="N154" s="100">
        <v>3</v>
      </c>
      <c r="O154" s="186">
        <v>11020.82</v>
      </c>
      <c r="P154" s="186">
        <v>11020.82</v>
      </c>
      <c r="Q154" s="188">
        <f t="shared" si="13"/>
        <v>0</v>
      </c>
    </row>
    <row r="155" spans="1:18" s="13" customFormat="1" ht="15.75" x14ac:dyDescent="0.25">
      <c r="A155" s="10"/>
      <c r="B155" s="30" t="s">
        <v>88</v>
      </c>
      <c r="C155" s="181" t="s">
        <v>17</v>
      </c>
      <c r="D155" s="182"/>
      <c r="E155" s="194" t="s">
        <v>505</v>
      </c>
      <c r="F155" s="73" t="s">
        <v>506</v>
      </c>
      <c r="G155" s="184" t="s">
        <v>114</v>
      </c>
      <c r="H155" s="181">
        <v>5</v>
      </c>
      <c r="I155" s="185">
        <v>1</v>
      </c>
      <c r="J155" s="96">
        <v>1</v>
      </c>
      <c r="K155" s="77">
        <v>3763.9</v>
      </c>
      <c r="L155" s="77"/>
      <c r="M155" s="187">
        <f t="shared" si="4"/>
        <v>3763.9</v>
      </c>
      <c r="N155" s="100"/>
      <c r="O155" s="186"/>
      <c r="P155" s="186"/>
      <c r="Q155" s="188">
        <f t="shared" si="13"/>
        <v>0</v>
      </c>
    </row>
    <row r="156" spans="1:18" s="13" customFormat="1" ht="15.75" x14ac:dyDescent="0.25">
      <c r="A156" s="10"/>
      <c r="B156" s="30" t="s">
        <v>90</v>
      </c>
      <c r="C156" s="181" t="s">
        <v>17</v>
      </c>
      <c r="D156" s="182"/>
      <c r="E156" s="194" t="s">
        <v>20</v>
      </c>
      <c r="F156" s="73" t="s">
        <v>398</v>
      </c>
      <c r="G156" s="74" t="s">
        <v>112</v>
      </c>
      <c r="H156" s="75">
        <v>8</v>
      </c>
      <c r="I156" s="76">
        <v>5</v>
      </c>
      <c r="J156" s="96">
        <f>1+1+1+4</f>
        <v>7</v>
      </c>
      <c r="K156" s="77">
        <f>422.62+4662.44</f>
        <v>5085.0599999999995</v>
      </c>
      <c r="L156" s="77">
        <f>422.62+4662.44</f>
        <v>5085.0599999999995</v>
      </c>
      <c r="M156" s="78">
        <f>K156-L156</f>
        <v>0</v>
      </c>
      <c r="N156" s="100">
        <f>1+1+1+1+2</f>
        <v>6</v>
      </c>
      <c r="O156" s="81">
        <f>2122.67+787.61+15453.48</f>
        <v>18363.759999999998</v>
      </c>
      <c r="P156" s="81">
        <f>2122.67+787.61+15453.48</f>
        <v>18363.759999999998</v>
      </c>
      <c r="Q156" s="79">
        <f t="shared" si="13"/>
        <v>0</v>
      </c>
      <c r="R156" s="141"/>
    </row>
    <row r="157" spans="1:18" s="13" customFormat="1" ht="15.75" x14ac:dyDescent="0.25">
      <c r="A157" s="10"/>
      <c r="B157" s="30" t="s">
        <v>90</v>
      </c>
      <c r="C157" s="181" t="s">
        <v>17</v>
      </c>
      <c r="D157" s="182"/>
      <c r="E157" s="194" t="s">
        <v>20</v>
      </c>
      <c r="F157" s="73" t="s">
        <v>466</v>
      </c>
      <c r="G157" s="184" t="s">
        <v>114</v>
      </c>
      <c r="H157" s="181">
        <v>14</v>
      </c>
      <c r="I157" s="185">
        <v>4</v>
      </c>
      <c r="J157" s="190">
        <v>4</v>
      </c>
      <c r="K157" s="77">
        <v>6454.56</v>
      </c>
      <c r="L157" s="77">
        <v>6454.56</v>
      </c>
      <c r="M157" s="187">
        <f t="shared" ref="M157" si="14">K157-L157</f>
        <v>0</v>
      </c>
      <c r="N157" s="100">
        <v>25</v>
      </c>
      <c r="O157" s="186">
        <v>77320.7</v>
      </c>
      <c r="P157" s="186">
        <v>77320.7</v>
      </c>
      <c r="Q157" s="188">
        <f t="shared" si="13"/>
        <v>0</v>
      </c>
    </row>
    <row r="158" spans="1:18" s="13" customFormat="1" ht="15.75" x14ac:dyDescent="0.25">
      <c r="A158" s="10"/>
      <c r="B158" s="30" t="s">
        <v>91</v>
      </c>
      <c r="C158" s="181" t="s">
        <v>17</v>
      </c>
      <c r="D158" s="182"/>
      <c r="E158" s="194" t="s">
        <v>20</v>
      </c>
      <c r="F158" s="73" t="s">
        <v>399</v>
      </c>
      <c r="G158" s="74" t="s">
        <v>112</v>
      </c>
      <c r="H158" s="75"/>
      <c r="I158" s="76"/>
      <c r="J158" s="96"/>
      <c r="K158" s="77"/>
      <c r="L158" s="77"/>
      <c r="M158" s="78">
        <f>K158-L158</f>
        <v>0</v>
      </c>
      <c r="N158" s="100"/>
      <c r="O158" s="81"/>
      <c r="P158" s="81"/>
      <c r="Q158" s="79">
        <f t="shared" si="13"/>
        <v>0</v>
      </c>
      <c r="R158" s="141"/>
    </row>
    <row r="159" spans="1:18" s="13" customFormat="1" ht="15.75" x14ac:dyDescent="0.25">
      <c r="A159" s="10"/>
      <c r="B159" s="62" t="s">
        <v>138</v>
      </c>
      <c r="C159" s="181" t="s">
        <v>17</v>
      </c>
      <c r="D159" s="182"/>
      <c r="E159" s="194" t="s">
        <v>20</v>
      </c>
      <c r="F159" s="73" t="s">
        <v>467</v>
      </c>
      <c r="G159" s="184" t="s">
        <v>114</v>
      </c>
      <c r="H159" s="181">
        <v>6</v>
      </c>
      <c r="I159" s="185">
        <v>1</v>
      </c>
      <c r="J159" s="190">
        <v>1</v>
      </c>
      <c r="K159" s="193">
        <v>1728.9</v>
      </c>
      <c r="L159" s="193">
        <v>1728.9</v>
      </c>
      <c r="M159" s="187">
        <f t="shared" ref="M159" si="15">K159-L159</f>
        <v>0</v>
      </c>
      <c r="N159" s="114">
        <v>6</v>
      </c>
      <c r="O159" s="186">
        <v>12214.4</v>
      </c>
      <c r="P159" s="186">
        <v>12214.4</v>
      </c>
      <c r="Q159" s="188">
        <f t="shared" si="13"/>
        <v>0</v>
      </c>
    </row>
    <row r="160" spans="1:18" s="13" customFormat="1" ht="15.75" x14ac:dyDescent="0.25">
      <c r="A160" s="10"/>
      <c r="B160" s="62" t="s">
        <v>138</v>
      </c>
      <c r="C160" s="181" t="s">
        <v>17</v>
      </c>
      <c r="D160" s="182"/>
      <c r="E160" s="194" t="s">
        <v>20</v>
      </c>
      <c r="F160" s="73" t="s">
        <v>400</v>
      </c>
      <c r="G160" s="74" t="s">
        <v>112</v>
      </c>
      <c r="H160" s="75">
        <v>9</v>
      </c>
      <c r="I160" s="82">
        <v>4</v>
      </c>
      <c r="J160" s="96">
        <f>3+1+1</f>
        <v>5</v>
      </c>
      <c r="K160" s="77">
        <f>2224.52+9639.33</f>
        <v>11863.85</v>
      </c>
      <c r="L160" s="77">
        <f>2224.52+9639.33</f>
        <v>11863.85</v>
      </c>
      <c r="M160" s="78">
        <f t="shared" si="4"/>
        <v>0</v>
      </c>
      <c r="N160" s="100">
        <f>5+4</f>
        <v>9</v>
      </c>
      <c r="O160" s="81">
        <f>8995.87+8641.99</f>
        <v>17637.86</v>
      </c>
      <c r="P160" s="81">
        <f>8995.87+8641.99</f>
        <v>17637.86</v>
      </c>
      <c r="Q160" s="79">
        <f t="shared" si="13"/>
        <v>0</v>
      </c>
      <c r="R160" s="141"/>
    </row>
    <row r="161" spans="1:18" s="13" customFormat="1" ht="15.75" x14ac:dyDescent="0.25">
      <c r="A161" s="10"/>
      <c r="B161" s="62" t="s">
        <v>157</v>
      </c>
      <c r="C161" s="181" t="s">
        <v>17</v>
      </c>
      <c r="D161" s="182"/>
      <c r="E161" s="194" t="s">
        <v>20</v>
      </c>
      <c r="F161" s="73" t="s">
        <v>401</v>
      </c>
      <c r="G161" s="74" t="s">
        <v>112</v>
      </c>
      <c r="H161" s="75">
        <v>11</v>
      </c>
      <c r="I161" s="82"/>
      <c r="J161" s="96"/>
      <c r="K161" s="77"/>
      <c r="L161" s="77"/>
      <c r="M161" s="78">
        <f t="shared" ref="M161:M193" si="16">K161-L161</f>
        <v>0</v>
      </c>
      <c r="N161" s="100"/>
      <c r="O161" s="81"/>
      <c r="P161" s="81"/>
      <c r="Q161" s="188">
        <f t="shared" si="13"/>
        <v>0</v>
      </c>
      <c r="R161" s="141"/>
    </row>
    <row r="162" spans="1:18" s="13" customFormat="1" ht="15.75" x14ac:dyDescent="0.25">
      <c r="A162" s="10"/>
      <c r="B162" s="62" t="s">
        <v>157</v>
      </c>
      <c r="C162" s="181" t="s">
        <v>17</v>
      </c>
      <c r="D162" s="182"/>
      <c r="E162" s="194" t="s">
        <v>20</v>
      </c>
      <c r="F162" s="73"/>
      <c r="G162" s="184" t="s">
        <v>114</v>
      </c>
      <c r="H162" s="181"/>
      <c r="I162" s="185"/>
      <c r="J162" s="190"/>
      <c r="K162" s="193"/>
      <c r="L162" s="193"/>
      <c r="M162" s="187">
        <f t="shared" si="16"/>
        <v>0</v>
      </c>
      <c r="N162" s="114"/>
      <c r="O162" s="186"/>
      <c r="P162" s="186"/>
      <c r="Q162" s="188">
        <f t="shared" si="13"/>
        <v>0</v>
      </c>
    </row>
    <row r="163" spans="1:18" s="15" customFormat="1" ht="15.75" x14ac:dyDescent="0.25">
      <c r="A163" s="14"/>
      <c r="B163" s="80" t="s">
        <v>92</v>
      </c>
      <c r="C163" s="181" t="s">
        <v>17</v>
      </c>
      <c r="D163" s="182"/>
      <c r="E163" s="194" t="s">
        <v>20</v>
      </c>
      <c r="F163" s="73" t="s">
        <v>402</v>
      </c>
      <c r="G163" s="74" t="s">
        <v>112</v>
      </c>
      <c r="H163" s="75">
        <v>8</v>
      </c>
      <c r="I163" s="76">
        <v>8</v>
      </c>
      <c r="J163" s="96">
        <f>1+2+5</f>
        <v>8</v>
      </c>
      <c r="K163" s="77">
        <f>1951.74+1335.1</f>
        <v>3286.84</v>
      </c>
      <c r="L163" s="77">
        <f>1951.74+1335.1</f>
        <v>3286.84</v>
      </c>
      <c r="M163" s="78">
        <f>K163-L163</f>
        <v>0</v>
      </c>
      <c r="N163" s="100">
        <f>4+1+1</f>
        <v>6</v>
      </c>
      <c r="O163" s="81">
        <f>12624.74+2697.06+1225.93</f>
        <v>16547.73</v>
      </c>
      <c r="P163" s="81">
        <f>12624.74+2697.06+1225.93</f>
        <v>16547.73</v>
      </c>
      <c r="Q163" s="188">
        <f t="shared" si="13"/>
        <v>0</v>
      </c>
      <c r="R163" s="141"/>
    </row>
    <row r="164" spans="1:18" s="15" customFormat="1" ht="15.75" x14ac:dyDescent="0.25">
      <c r="A164" s="14"/>
      <c r="B164" s="80" t="s">
        <v>92</v>
      </c>
      <c r="C164" s="181" t="s">
        <v>17</v>
      </c>
      <c r="D164" s="182"/>
      <c r="E164" s="194" t="s">
        <v>20</v>
      </c>
      <c r="F164" s="73" t="s">
        <v>129</v>
      </c>
      <c r="G164" s="184" t="s">
        <v>114</v>
      </c>
      <c r="H164" s="181"/>
      <c r="I164" s="185"/>
      <c r="J164" s="190"/>
      <c r="K164" s="77"/>
      <c r="L164" s="77"/>
      <c r="M164" s="187">
        <f t="shared" ref="M164" si="17">K164-L164</f>
        <v>0</v>
      </c>
      <c r="N164" s="114"/>
      <c r="O164" s="186"/>
      <c r="P164" s="186"/>
      <c r="Q164" s="188">
        <f t="shared" si="13"/>
        <v>0</v>
      </c>
    </row>
    <row r="165" spans="1:18" s="13" customFormat="1" ht="15.75" x14ac:dyDescent="0.25">
      <c r="A165" s="10"/>
      <c r="B165" s="30" t="s">
        <v>93</v>
      </c>
      <c r="C165" s="181" t="s">
        <v>17</v>
      </c>
      <c r="D165" s="182"/>
      <c r="E165" s="183" t="s">
        <v>94</v>
      </c>
      <c r="F165" s="73" t="s">
        <v>403</v>
      </c>
      <c r="G165" s="74" t="s">
        <v>112</v>
      </c>
      <c r="H165" s="75">
        <v>7</v>
      </c>
      <c r="I165" s="76">
        <v>2</v>
      </c>
      <c r="J165" s="96">
        <f>2</f>
        <v>2</v>
      </c>
      <c r="K165" s="77">
        <f>2336.84</f>
        <v>2336.84</v>
      </c>
      <c r="L165" s="77">
        <f>2336.84</f>
        <v>2336.84</v>
      </c>
      <c r="M165" s="78">
        <f>K165-L165</f>
        <v>0</v>
      </c>
      <c r="N165" s="100">
        <f>3+8</f>
        <v>11</v>
      </c>
      <c r="O165" s="81">
        <f>20117.75</f>
        <v>20117.75</v>
      </c>
      <c r="P165" s="81">
        <f>20117.75</f>
        <v>20117.75</v>
      </c>
      <c r="Q165" s="188">
        <f t="shared" si="13"/>
        <v>0</v>
      </c>
      <c r="R165" s="141"/>
    </row>
    <row r="166" spans="1:18" s="13" customFormat="1" ht="15.75" x14ac:dyDescent="0.25">
      <c r="A166" s="10"/>
      <c r="B166" s="30" t="s">
        <v>93</v>
      </c>
      <c r="C166" s="181" t="s">
        <v>17</v>
      </c>
      <c r="D166" s="182"/>
      <c r="E166" s="183" t="s">
        <v>94</v>
      </c>
      <c r="F166" s="73" t="s">
        <v>130</v>
      </c>
      <c r="G166" s="184" t="s">
        <v>114</v>
      </c>
      <c r="H166" s="181"/>
      <c r="I166" s="185"/>
      <c r="J166" s="190"/>
      <c r="K166" s="77"/>
      <c r="L166" s="77"/>
      <c r="M166" s="187">
        <f t="shared" ref="M166" si="18">K166-L166</f>
        <v>0</v>
      </c>
      <c r="N166" s="100"/>
      <c r="O166" s="186"/>
      <c r="P166" s="186"/>
      <c r="Q166" s="188">
        <f t="shared" si="13"/>
        <v>0</v>
      </c>
    </row>
    <row r="167" spans="1:18" s="13" customFormat="1" ht="15.75" x14ac:dyDescent="0.25">
      <c r="A167" s="10"/>
      <c r="B167" s="30" t="s">
        <v>93</v>
      </c>
      <c r="C167" s="181" t="s">
        <v>17</v>
      </c>
      <c r="D167" s="182"/>
      <c r="E167" s="183" t="s">
        <v>94</v>
      </c>
      <c r="F167" s="73" t="s">
        <v>240</v>
      </c>
      <c r="G167" s="184" t="s">
        <v>118</v>
      </c>
      <c r="H167" s="181"/>
      <c r="I167" s="185"/>
      <c r="J167" s="96"/>
      <c r="K167" s="77"/>
      <c r="L167" s="77"/>
      <c r="M167" s="78">
        <f t="shared" si="16"/>
        <v>0</v>
      </c>
      <c r="N167" s="100"/>
      <c r="O167" s="186"/>
      <c r="P167" s="186"/>
      <c r="Q167" s="188">
        <f t="shared" si="13"/>
        <v>0</v>
      </c>
    </row>
    <row r="168" spans="1:18" s="13" customFormat="1" ht="15.75" x14ac:dyDescent="0.25">
      <c r="A168" s="10"/>
      <c r="B168" s="30" t="s">
        <v>95</v>
      </c>
      <c r="C168" s="181" t="s">
        <v>17</v>
      </c>
      <c r="D168" s="182"/>
      <c r="E168" s="194" t="s">
        <v>20</v>
      </c>
      <c r="F168" s="73" t="s">
        <v>404</v>
      </c>
      <c r="G168" s="74" t="s">
        <v>112</v>
      </c>
      <c r="H168" s="75">
        <v>15</v>
      </c>
      <c r="I168" s="76">
        <v>6</v>
      </c>
      <c r="J168" s="96">
        <f>1+4+4</f>
        <v>9</v>
      </c>
      <c r="K168" s="77">
        <f>1061.35+5770.05+5238.9</f>
        <v>12070.3</v>
      </c>
      <c r="L168" s="77">
        <f>1061.35+5770.05+5238.9</f>
        <v>12070.3</v>
      </c>
      <c r="M168" s="78">
        <f>K168-L168</f>
        <v>0</v>
      </c>
      <c r="N168" s="100">
        <f>1+6+1+4</f>
        <v>12</v>
      </c>
      <c r="O168" s="81">
        <f>11603.82+7559.28+6777.29+24757.02</f>
        <v>50697.41</v>
      </c>
      <c r="P168" s="81">
        <f>11603.82+7559.28+6777.29+24757.02</f>
        <v>50697.41</v>
      </c>
      <c r="Q168" s="79">
        <f t="shared" si="13"/>
        <v>0</v>
      </c>
      <c r="R168" s="141"/>
    </row>
    <row r="169" spans="1:18" s="13" customFormat="1" ht="15.75" x14ac:dyDescent="0.25">
      <c r="A169" s="10"/>
      <c r="B169" s="30" t="s">
        <v>95</v>
      </c>
      <c r="C169" s="181" t="s">
        <v>17</v>
      </c>
      <c r="D169" s="182"/>
      <c r="E169" s="194" t="s">
        <v>20</v>
      </c>
      <c r="F169" s="73" t="s">
        <v>291</v>
      </c>
      <c r="G169" s="184" t="s">
        <v>114</v>
      </c>
      <c r="H169" s="181">
        <v>8</v>
      </c>
      <c r="I169" s="185">
        <v>1</v>
      </c>
      <c r="J169" s="190">
        <v>1</v>
      </c>
      <c r="K169" s="77">
        <v>1152.5999999999999</v>
      </c>
      <c r="L169" s="77">
        <v>1152.5999999999999</v>
      </c>
      <c r="M169" s="187">
        <f t="shared" ref="M169" si="19">K169-L169</f>
        <v>0</v>
      </c>
      <c r="N169" s="100">
        <v>11</v>
      </c>
      <c r="O169" s="186">
        <f>27182.15</f>
        <v>27182.15</v>
      </c>
      <c r="P169" s="186">
        <f>27182.15</f>
        <v>27182.15</v>
      </c>
      <c r="Q169" s="188">
        <f t="shared" si="13"/>
        <v>0</v>
      </c>
    </row>
    <row r="170" spans="1:18" s="13" customFormat="1" ht="15.75" x14ac:dyDescent="0.25">
      <c r="A170" s="10"/>
      <c r="B170" s="30" t="s">
        <v>96</v>
      </c>
      <c r="C170" s="181" t="s">
        <v>17</v>
      </c>
      <c r="D170" s="182"/>
      <c r="E170" s="194" t="s">
        <v>97</v>
      </c>
      <c r="F170" s="73" t="s">
        <v>405</v>
      </c>
      <c r="G170" s="74" t="s">
        <v>112</v>
      </c>
      <c r="H170" s="75">
        <v>1</v>
      </c>
      <c r="I170" s="76">
        <v>1</v>
      </c>
      <c r="J170" s="96">
        <f>2</f>
        <v>2</v>
      </c>
      <c r="K170" s="77"/>
      <c r="L170" s="77"/>
      <c r="M170" s="78">
        <f>K170-L170</f>
        <v>0</v>
      </c>
      <c r="N170" s="103">
        <f>1+2+1</f>
        <v>4</v>
      </c>
      <c r="O170" s="77">
        <f>1742.31+9358.48</f>
        <v>11100.789999999999</v>
      </c>
      <c r="P170" s="77">
        <f>1742.31+9358.48</f>
        <v>11100.789999999999</v>
      </c>
      <c r="Q170" s="79">
        <f t="shared" si="13"/>
        <v>0</v>
      </c>
      <c r="R170" s="141"/>
    </row>
    <row r="171" spans="1:18" s="13" customFormat="1" ht="15.75" x14ac:dyDescent="0.25">
      <c r="A171" s="10"/>
      <c r="B171" s="30" t="s">
        <v>96</v>
      </c>
      <c r="C171" s="181" t="s">
        <v>17</v>
      </c>
      <c r="D171" s="182"/>
      <c r="E171" s="194" t="s">
        <v>97</v>
      </c>
      <c r="F171" s="73" t="s">
        <v>468</v>
      </c>
      <c r="G171" s="184" t="s">
        <v>114</v>
      </c>
      <c r="H171" s="181">
        <v>1</v>
      </c>
      <c r="I171" s="185"/>
      <c r="J171" s="190"/>
      <c r="K171" s="77"/>
      <c r="L171" s="77"/>
      <c r="M171" s="187">
        <f t="shared" ref="M171" si="20">K171-L171</f>
        <v>0</v>
      </c>
      <c r="N171" s="100">
        <v>4</v>
      </c>
      <c r="O171" s="186">
        <v>3682</v>
      </c>
      <c r="P171" s="186"/>
      <c r="Q171" s="188">
        <f t="shared" si="13"/>
        <v>3682</v>
      </c>
    </row>
    <row r="172" spans="1:18" s="13" customFormat="1" ht="15.75" x14ac:dyDescent="0.25">
      <c r="A172" s="10"/>
      <c r="B172" s="30" t="s">
        <v>98</v>
      </c>
      <c r="C172" s="181" t="s">
        <v>17</v>
      </c>
      <c r="D172" s="182"/>
      <c r="E172" s="194" t="s">
        <v>35</v>
      </c>
      <c r="F172" s="73" t="s">
        <v>406</v>
      </c>
      <c r="G172" s="74" t="s">
        <v>112</v>
      </c>
      <c r="H172" s="75">
        <v>26</v>
      </c>
      <c r="I172" s="76">
        <v>16</v>
      </c>
      <c r="J172" s="96">
        <f>1+2+1+1+4</f>
        <v>9</v>
      </c>
      <c r="K172" s="77">
        <f>845.24+1764.25+8353.03+1298.98+7610.68+13826.64</f>
        <v>33698.82</v>
      </c>
      <c r="L172" s="77">
        <f>845.24+1764.25+8353.03+1298.98+7610.68+13826.64</f>
        <v>33698.82</v>
      </c>
      <c r="M172" s="78">
        <f>K172-L172</f>
        <v>0</v>
      </c>
      <c r="N172" s="100">
        <f>9+1+1+4+2+1+2+4</f>
        <v>24</v>
      </c>
      <c r="O172" s="81">
        <f>73585.55+12034.56</f>
        <v>85620.11</v>
      </c>
      <c r="P172" s="81">
        <f>73585.55+12034.56</f>
        <v>85620.11</v>
      </c>
      <c r="Q172" s="79">
        <f t="shared" si="13"/>
        <v>0</v>
      </c>
      <c r="R172" s="141"/>
    </row>
    <row r="173" spans="1:18" s="13" customFormat="1" ht="30" x14ac:dyDescent="0.25">
      <c r="A173" s="10"/>
      <c r="B173" s="30" t="s">
        <v>98</v>
      </c>
      <c r="C173" s="181" t="s">
        <v>17</v>
      </c>
      <c r="D173" s="182"/>
      <c r="E173" s="194" t="s">
        <v>35</v>
      </c>
      <c r="F173" s="73" t="s">
        <v>435</v>
      </c>
      <c r="G173" s="195" t="s">
        <v>117</v>
      </c>
      <c r="H173" s="181">
        <v>3</v>
      </c>
      <c r="I173" s="185">
        <v>2</v>
      </c>
      <c r="J173" s="96">
        <v>2</v>
      </c>
      <c r="K173" s="77">
        <v>2486.83</v>
      </c>
      <c r="L173" s="77">
        <v>2486.83</v>
      </c>
      <c r="M173" s="78">
        <f t="shared" si="16"/>
        <v>0</v>
      </c>
      <c r="N173" s="100">
        <v>5</v>
      </c>
      <c r="O173" s="77">
        <v>18950.45</v>
      </c>
      <c r="P173" s="77">
        <v>18950.45</v>
      </c>
      <c r="Q173" s="188">
        <f t="shared" si="13"/>
        <v>0</v>
      </c>
    </row>
    <row r="174" spans="1:18" s="13" customFormat="1" ht="30" x14ac:dyDescent="0.25">
      <c r="A174" s="10"/>
      <c r="B174" s="30" t="s">
        <v>488</v>
      </c>
      <c r="C174" s="181" t="s">
        <v>17</v>
      </c>
      <c r="D174" s="182"/>
      <c r="E174" s="194" t="s">
        <v>97</v>
      </c>
      <c r="F174" s="73" t="s">
        <v>498</v>
      </c>
      <c r="G174" s="195" t="s">
        <v>112</v>
      </c>
      <c r="H174" s="181">
        <v>8</v>
      </c>
      <c r="I174" s="185">
        <v>5</v>
      </c>
      <c r="J174" s="96">
        <f>4+1</f>
        <v>5</v>
      </c>
      <c r="K174" s="77">
        <v>1535.8</v>
      </c>
      <c r="L174" s="77">
        <v>1535.8</v>
      </c>
      <c r="M174" s="78">
        <f t="shared" si="16"/>
        <v>0</v>
      </c>
      <c r="N174" s="100"/>
      <c r="O174" s="77"/>
      <c r="P174" s="77"/>
      <c r="Q174" s="188"/>
    </row>
    <row r="175" spans="1:18" s="15" customFormat="1" ht="15.75" x14ac:dyDescent="0.25">
      <c r="A175" s="14"/>
      <c r="B175" s="84" t="s">
        <v>99</v>
      </c>
      <c r="C175" s="181" t="s">
        <v>17</v>
      </c>
      <c r="D175" s="182"/>
      <c r="E175" s="183" t="s">
        <v>32</v>
      </c>
      <c r="F175" s="73" t="s">
        <v>418</v>
      </c>
      <c r="G175" s="74" t="s">
        <v>112</v>
      </c>
      <c r="H175" s="75"/>
      <c r="I175" s="76"/>
      <c r="J175" s="96"/>
      <c r="K175" s="77"/>
      <c r="L175" s="77"/>
      <c r="M175" s="78">
        <f t="shared" si="16"/>
        <v>0</v>
      </c>
      <c r="N175" s="100"/>
      <c r="O175" s="81"/>
      <c r="P175" s="81"/>
      <c r="Q175" s="79">
        <f t="shared" si="13"/>
        <v>0</v>
      </c>
      <c r="R175" s="141"/>
    </row>
    <row r="176" spans="1:18" s="15" customFormat="1" ht="30" x14ac:dyDescent="0.25">
      <c r="A176" s="14"/>
      <c r="B176" s="84" t="s">
        <v>99</v>
      </c>
      <c r="C176" s="181" t="s">
        <v>17</v>
      </c>
      <c r="D176" s="182"/>
      <c r="E176" s="183" t="s">
        <v>32</v>
      </c>
      <c r="F176" s="73" t="s">
        <v>423</v>
      </c>
      <c r="G176" s="195" t="s">
        <v>117</v>
      </c>
      <c r="H176" s="181"/>
      <c r="I176" s="185"/>
      <c r="J176" s="190"/>
      <c r="K176" s="77"/>
      <c r="L176" s="77"/>
      <c r="M176" s="78">
        <f t="shared" si="16"/>
        <v>0</v>
      </c>
      <c r="N176" s="114"/>
      <c r="O176" s="77"/>
      <c r="P176" s="77"/>
      <c r="Q176" s="188">
        <f t="shared" si="13"/>
        <v>0</v>
      </c>
    </row>
    <row r="177" spans="1:18" s="15" customFormat="1" ht="30" x14ac:dyDescent="0.25">
      <c r="A177" s="14"/>
      <c r="B177" s="30" t="s">
        <v>144</v>
      </c>
      <c r="C177" s="181" t="s">
        <v>304</v>
      </c>
      <c r="D177" s="182" t="s">
        <v>313</v>
      </c>
      <c r="E177" s="194" t="s">
        <v>97</v>
      </c>
      <c r="F177" s="73" t="s">
        <v>407</v>
      </c>
      <c r="G177" s="66" t="s">
        <v>112</v>
      </c>
      <c r="H177" s="75">
        <v>15</v>
      </c>
      <c r="I177" s="76">
        <v>14</v>
      </c>
      <c r="J177" s="98">
        <f>2+2+1+3+1+1+5+2</f>
        <v>17</v>
      </c>
      <c r="K177" s="77">
        <f>950.9+1449.39+2272.32+2785.92+5112.01</f>
        <v>12570.54</v>
      </c>
      <c r="L177" s="77">
        <f>950.9+1449.39+2272.32+2785.92+5112.01</f>
        <v>12570.54</v>
      </c>
      <c r="M177" s="78">
        <f>K177-L177</f>
        <v>0</v>
      </c>
      <c r="N177" s="100">
        <f>3+2+1+1+1+1</f>
        <v>9</v>
      </c>
      <c r="O177" s="77">
        <f>5020.57+5566.06+2694.94+845.24</f>
        <v>14126.810000000001</v>
      </c>
      <c r="P177" s="77">
        <f>5020.57+5566.06+2694.94+845.24</f>
        <v>14126.810000000001</v>
      </c>
      <c r="Q177" s="79">
        <f t="shared" si="13"/>
        <v>0</v>
      </c>
      <c r="R177" s="141"/>
    </row>
    <row r="178" spans="1:18" s="15" customFormat="1" ht="15.75" x14ac:dyDescent="0.25">
      <c r="A178" s="14"/>
      <c r="B178" s="30" t="s">
        <v>488</v>
      </c>
      <c r="C178" s="181"/>
      <c r="D178" s="182"/>
      <c r="E178" s="194"/>
      <c r="F178" s="73"/>
      <c r="G178" s="66" t="s">
        <v>114</v>
      </c>
      <c r="H178" s="75">
        <v>19</v>
      </c>
      <c r="I178" s="76">
        <v>8</v>
      </c>
      <c r="J178" s="98">
        <v>8</v>
      </c>
      <c r="K178" s="77">
        <v>13216.48</v>
      </c>
      <c r="L178" s="77">
        <v>9835.52</v>
      </c>
      <c r="M178" s="187">
        <f t="shared" ref="M178" si="21">K178-L178</f>
        <v>3380.9599999999991</v>
      </c>
      <c r="N178" s="100"/>
      <c r="O178" s="77"/>
      <c r="P178" s="77"/>
      <c r="Q178" s="188">
        <f t="shared" si="13"/>
        <v>0</v>
      </c>
    </row>
    <row r="179" spans="1:18" s="15" customFormat="1" ht="15.75" x14ac:dyDescent="0.25">
      <c r="A179" s="14"/>
      <c r="B179" s="30" t="s">
        <v>488</v>
      </c>
      <c r="C179" s="181"/>
      <c r="D179" s="182"/>
      <c r="E179" s="194"/>
      <c r="F179" s="73"/>
      <c r="G179" s="66" t="s">
        <v>113</v>
      </c>
      <c r="H179" s="75">
        <v>11</v>
      </c>
      <c r="I179" s="76">
        <v>5</v>
      </c>
      <c r="J179" s="98">
        <v>5</v>
      </c>
      <c r="K179" s="77">
        <v>7271</v>
      </c>
      <c r="L179" s="77">
        <v>6109</v>
      </c>
      <c r="M179" s="78">
        <f t="shared" ref="M179:M180" si="22">K179-L179</f>
        <v>1162</v>
      </c>
      <c r="N179" s="100"/>
      <c r="O179" s="77"/>
      <c r="P179" s="77"/>
      <c r="Q179" s="79"/>
    </row>
    <row r="180" spans="1:18" s="15" customFormat="1" ht="30" x14ac:dyDescent="0.25">
      <c r="A180" s="14"/>
      <c r="B180" s="201" t="s">
        <v>144</v>
      </c>
      <c r="C180" s="181" t="s">
        <v>446</v>
      </c>
      <c r="D180" s="182" t="s">
        <v>313</v>
      </c>
      <c r="E180" s="183" t="s">
        <v>20</v>
      </c>
      <c r="F180" s="73" t="s">
        <v>485</v>
      </c>
      <c r="G180" s="195" t="s">
        <v>114</v>
      </c>
      <c r="H180" s="181">
        <v>24</v>
      </c>
      <c r="I180" s="192">
        <v>7</v>
      </c>
      <c r="J180" s="202">
        <v>7</v>
      </c>
      <c r="K180" s="77">
        <v>9412.9</v>
      </c>
      <c r="L180" s="77">
        <v>9412.9</v>
      </c>
      <c r="M180" s="187">
        <f t="shared" si="22"/>
        <v>0</v>
      </c>
      <c r="N180" s="101">
        <v>21</v>
      </c>
      <c r="O180" s="186">
        <v>44847.4</v>
      </c>
      <c r="P180" s="186">
        <v>36779.199999999997</v>
      </c>
      <c r="Q180" s="188">
        <f t="shared" ref="Q180" si="23">O180-P180</f>
        <v>8068.2000000000044</v>
      </c>
    </row>
    <row r="181" spans="1:18" s="21" customFormat="1" ht="45" x14ac:dyDescent="0.25">
      <c r="A181" s="1"/>
      <c r="B181" s="30" t="s">
        <v>100</v>
      </c>
      <c r="C181" s="181" t="s">
        <v>304</v>
      </c>
      <c r="D181" s="182" t="s">
        <v>416</v>
      </c>
      <c r="E181" s="194" t="s">
        <v>20</v>
      </c>
      <c r="F181" s="73" t="s">
        <v>408</v>
      </c>
      <c r="G181" s="27" t="s">
        <v>112</v>
      </c>
      <c r="H181" s="75">
        <v>12</v>
      </c>
      <c r="I181" s="76">
        <v>6</v>
      </c>
      <c r="J181" s="98">
        <f>5+1</f>
        <v>6</v>
      </c>
      <c r="K181" s="86">
        <f>6524.55+600.31</f>
        <v>7124.8600000000006</v>
      </c>
      <c r="L181" s="86">
        <f>6524.55+600.31</f>
        <v>7124.8600000000006</v>
      </c>
      <c r="M181" s="78">
        <f>K181-L181</f>
        <v>0</v>
      </c>
      <c r="N181" s="100">
        <f>1+3</f>
        <v>4</v>
      </c>
      <c r="O181" s="87">
        <f>10770.58+2113.01</f>
        <v>12883.59</v>
      </c>
      <c r="P181" s="87">
        <f>10770.58+2113.01</f>
        <v>12883.59</v>
      </c>
      <c r="Q181" s="79">
        <f t="shared" si="13"/>
        <v>0</v>
      </c>
      <c r="R181" s="141"/>
    </row>
    <row r="182" spans="1:18" s="21" customFormat="1" ht="60" x14ac:dyDescent="0.25">
      <c r="A182" s="1"/>
      <c r="B182" s="30" t="s">
        <v>100</v>
      </c>
      <c r="C182" s="203" t="s">
        <v>125</v>
      </c>
      <c r="D182" s="182" t="s">
        <v>126</v>
      </c>
      <c r="E182" s="194" t="s">
        <v>20</v>
      </c>
      <c r="F182" s="73" t="s">
        <v>486</v>
      </c>
      <c r="G182" s="200" t="s">
        <v>114</v>
      </c>
      <c r="H182" s="181">
        <v>9</v>
      </c>
      <c r="I182" s="192"/>
      <c r="J182" s="202"/>
      <c r="K182" s="86"/>
      <c r="L182" s="86"/>
      <c r="M182" s="187">
        <f t="shared" ref="M182" si="24">K182-L182</f>
        <v>0</v>
      </c>
      <c r="N182" s="100"/>
      <c r="O182" s="204"/>
      <c r="P182" s="204"/>
      <c r="Q182" s="188">
        <f t="shared" si="13"/>
        <v>0</v>
      </c>
    </row>
    <row r="183" spans="1:18" s="13" customFormat="1" ht="15.75" x14ac:dyDescent="0.25">
      <c r="A183" s="10"/>
      <c r="B183" s="62" t="s">
        <v>101</v>
      </c>
      <c r="C183" s="181" t="s">
        <v>17</v>
      </c>
      <c r="D183" s="182"/>
      <c r="E183" s="194" t="s">
        <v>20</v>
      </c>
      <c r="F183" s="73" t="s">
        <v>409</v>
      </c>
      <c r="G183" s="74" t="s">
        <v>112</v>
      </c>
      <c r="H183" s="75">
        <v>11</v>
      </c>
      <c r="I183" s="76">
        <v>7</v>
      </c>
      <c r="J183" s="96">
        <f>1+5+1+1+2</f>
        <v>10</v>
      </c>
      <c r="K183" s="77">
        <f>1045.98+3354.45+1225.93</f>
        <v>5626.3600000000006</v>
      </c>
      <c r="L183" s="77">
        <f>1045.98+3354.45+1225.93</f>
        <v>5626.3600000000006</v>
      </c>
      <c r="M183" s="78">
        <f t="shared" si="16"/>
        <v>0</v>
      </c>
      <c r="N183" s="100">
        <f>5+2+1+1</f>
        <v>9</v>
      </c>
      <c r="O183" s="81">
        <f>6288.07+3061.62+3426.18+12951.18</f>
        <v>25727.05</v>
      </c>
      <c r="P183" s="81">
        <f>6288.07+3061.62+3426.18+12951.18</f>
        <v>25727.05</v>
      </c>
      <c r="Q183" s="79">
        <f t="shared" si="13"/>
        <v>0</v>
      </c>
      <c r="R183" s="141"/>
    </row>
    <row r="184" spans="1:18" s="13" customFormat="1" ht="15.75" x14ac:dyDescent="0.25">
      <c r="A184" s="10"/>
      <c r="B184" s="62" t="s">
        <v>146</v>
      </c>
      <c r="C184" s="181" t="s">
        <v>17</v>
      </c>
      <c r="D184" s="182"/>
      <c r="E184" s="194" t="s">
        <v>20</v>
      </c>
      <c r="F184" s="73" t="s">
        <v>410</v>
      </c>
      <c r="G184" s="74" t="s">
        <v>112</v>
      </c>
      <c r="H184" s="75">
        <v>10</v>
      </c>
      <c r="I184" s="76">
        <v>7</v>
      </c>
      <c r="J184" s="96">
        <f>4+1+1</f>
        <v>6</v>
      </c>
      <c r="K184" s="77">
        <f>4610.77+1568.98+1854.88</f>
        <v>8034.63</v>
      </c>
      <c r="L184" s="77">
        <f>4610.77+1568.98+1854.88</f>
        <v>8034.63</v>
      </c>
      <c r="M184" s="78">
        <f t="shared" si="16"/>
        <v>0</v>
      </c>
      <c r="N184" s="100">
        <f>5+1+1+2+1</f>
        <v>10</v>
      </c>
      <c r="O184" s="81">
        <f>13579.06+1287.07+2636.18+26196.83</f>
        <v>43699.14</v>
      </c>
      <c r="P184" s="81">
        <f>13579.06+1287.07+2636.18+26196.83</f>
        <v>43699.14</v>
      </c>
      <c r="Q184" s="188">
        <f t="shared" si="13"/>
        <v>0</v>
      </c>
      <c r="R184" s="141"/>
    </row>
    <row r="185" spans="1:18" s="13" customFormat="1" ht="15.75" x14ac:dyDescent="0.25">
      <c r="A185" s="10"/>
      <c r="B185" s="62" t="s">
        <v>146</v>
      </c>
      <c r="C185" s="181" t="s">
        <v>17</v>
      </c>
      <c r="D185" s="182"/>
      <c r="E185" s="183" t="s">
        <v>21</v>
      </c>
      <c r="F185" s="73" t="s">
        <v>443</v>
      </c>
      <c r="G185" s="184" t="s">
        <v>118</v>
      </c>
      <c r="H185" s="181">
        <v>7</v>
      </c>
      <c r="I185" s="192">
        <v>1</v>
      </c>
      <c r="J185" s="190">
        <v>1</v>
      </c>
      <c r="K185" s="193">
        <v>1152.5999999999999</v>
      </c>
      <c r="L185" s="193">
        <v>1152.5999999999999</v>
      </c>
      <c r="M185" s="187">
        <f t="shared" si="16"/>
        <v>0</v>
      </c>
      <c r="N185" s="114">
        <v>5</v>
      </c>
      <c r="O185" s="186">
        <v>5349.99</v>
      </c>
      <c r="P185" s="186">
        <v>5349.99</v>
      </c>
      <c r="Q185" s="79">
        <f t="shared" si="13"/>
        <v>0</v>
      </c>
    </row>
    <row r="186" spans="1:18" s="13" customFormat="1" ht="15.75" x14ac:dyDescent="0.25">
      <c r="A186" s="10"/>
      <c r="B186" s="27" t="s">
        <v>102</v>
      </c>
      <c r="C186" s="181" t="s">
        <v>17</v>
      </c>
      <c r="D186" s="182"/>
      <c r="E186" s="194" t="s">
        <v>20</v>
      </c>
      <c r="F186" s="73" t="s">
        <v>411</v>
      </c>
      <c r="G186" s="74" t="s">
        <v>112</v>
      </c>
      <c r="H186" s="75">
        <v>10</v>
      </c>
      <c r="I186" s="76">
        <v>5</v>
      </c>
      <c r="J186" s="96">
        <f>1+1+2+1</f>
        <v>5</v>
      </c>
      <c r="K186" s="77">
        <f>845.24+845.24+1690.48+1394.65</f>
        <v>4775.6100000000006</v>
      </c>
      <c r="L186" s="77">
        <f>845.24+845.24+1690.48+1394.65</f>
        <v>4775.6100000000006</v>
      </c>
      <c r="M186" s="78">
        <f>K186-L186</f>
        <v>0</v>
      </c>
      <c r="N186" s="100">
        <f>3+1</f>
        <v>4</v>
      </c>
      <c r="O186" s="81">
        <f>7808.21+30833.77-12193.52+9963.17</f>
        <v>36411.630000000005</v>
      </c>
      <c r="P186" s="81">
        <f>7808.21+30833.77-12193.52+9963.17</f>
        <v>36411.630000000005</v>
      </c>
      <c r="Q186" s="188">
        <f t="shared" si="13"/>
        <v>0</v>
      </c>
      <c r="R186" s="141"/>
    </row>
    <row r="187" spans="1:18" s="13" customFormat="1" ht="15.75" x14ac:dyDescent="0.25">
      <c r="A187" s="10"/>
      <c r="B187" s="27" t="s">
        <v>102</v>
      </c>
      <c r="C187" s="181" t="s">
        <v>17</v>
      </c>
      <c r="D187" s="182"/>
      <c r="E187" s="194" t="s">
        <v>20</v>
      </c>
      <c r="F187" s="73" t="s">
        <v>469</v>
      </c>
      <c r="G187" s="184" t="s">
        <v>114</v>
      </c>
      <c r="H187" s="181">
        <v>9</v>
      </c>
      <c r="I187" s="185">
        <v>3</v>
      </c>
      <c r="J187" s="190">
        <v>3</v>
      </c>
      <c r="K187" s="77">
        <v>1267.8599999999999</v>
      </c>
      <c r="L187" s="77"/>
      <c r="M187" s="187">
        <f t="shared" ref="M187" si="25">K187-L187</f>
        <v>1267.8599999999999</v>
      </c>
      <c r="N187" s="100">
        <v>6</v>
      </c>
      <c r="O187" s="186">
        <v>19552.72</v>
      </c>
      <c r="P187" s="186">
        <v>16479.12</v>
      </c>
      <c r="Q187" s="188">
        <f t="shared" si="13"/>
        <v>3073.6000000000022</v>
      </c>
    </row>
    <row r="188" spans="1:18" s="13" customFormat="1" ht="15.75" x14ac:dyDescent="0.25">
      <c r="A188" s="10"/>
      <c r="B188" s="27" t="s">
        <v>103</v>
      </c>
      <c r="C188" s="181" t="s">
        <v>17</v>
      </c>
      <c r="D188" s="182"/>
      <c r="E188" s="183" t="s">
        <v>20</v>
      </c>
      <c r="F188" s="73" t="s">
        <v>412</v>
      </c>
      <c r="G188" s="74" t="s">
        <v>112</v>
      </c>
      <c r="H188" s="75">
        <v>10</v>
      </c>
      <c r="I188" s="76">
        <v>7</v>
      </c>
      <c r="J188" s="96">
        <f>4+1+2</f>
        <v>7</v>
      </c>
      <c r="K188" s="77">
        <f>16248.67</f>
        <v>16248.67</v>
      </c>
      <c r="L188" s="77">
        <f>16248.67</f>
        <v>16248.67</v>
      </c>
      <c r="M188" s="78">
        <f>K188-L188</f>
        <v>0</v>
      </c>
      <c r="N188" s="100">
        <f>7+2+1+1</f>
        <v>11</v>
      </c>
      <c r="O188" s="77">
        <f>20193.14</f>
        <v>20193.14</v>
      </c>
      <c r="P188" s="77">
        <f>20193.14</f>
        <v>20193.14</v>
      </c>
      <c r="Q188" s="188">
        <f t="shared" si="13"/>
        <v>0</v>
      </c>
      <c r="R188" s="141"/>
    </row>
    <row r="189" spans="1:18" s="13" customFormat="1" ht="15.75" x14ac:dyDescent="0.25">
      <c r="A189" s="10"/>
      <c r="B189" s="27" t="s">
        <v>103</v>
      </c>
      <c r="C189" s="181" t="s">
        <v>17</v>
      </c>
      <c r="D189" s="182"/>
      <c r="E189" s="183" t="s">
        <v>20</v>
      </c>
      <c r="F189" s="73" t="s">
        <v>470</v>
      </c>
      <c r="G189" s="184" t="s">
        <v>114</v>
      </c>
      <c r="H189" s="181">
        <v>11</v>
      </c>
      <c r="I189" s="185">
        <v>1</v>
      </c>
      <c r="J189" s="190">
        <v>1</v>
      </c>
      <c r="K189" s="77">
        <v>1728.9</v>
      </c>
      <c r="L189" s="77">
        <v>1728.9</v>
      </c>
      <c r="M189" s="187">
        <f t="shared" ref="M189" si="26">K189-L189</f>
        <v>0</v>
      </c>
      <c r="N189" s="100">
        <v>4</v>
      </c>
      <c r="O189" s="186">
        <v>10431.89</v>
      </c>
      <c r="P189" s="186">
        <v>10431.89</v>
      </c>
      <c r="Q189" s="188">
        <f t="shared" si="13"/>
        <v>0</v>
      </c>
    </row>
    <row r="190" spans="1:18" s="15" customFormat="1" ht="15.75" x14ac:dyDescent="0.25">
      <c r="A190" s="14"/>
      <c r="B190" s="28" t="s">
        <v>104</v>
      </c>
      <c r="C190" s="181" t="s">
        <v>17</v>
      </c>
      <c r="D190" s="182"/>
      <c r="E190" s="183" t="s">
        <v>20</v>
      </c>
      <c r="F190" s="73" t="s">
        <v>413</v>
      </c>
      <c r="G190" s="74" t="s">
        <v>112</v>
      </c>
      <c r="H190" s="75">
        <v>9</v>
      </c>
      <c r="I190" s="76">
        <v>4</v>
      </c>
      <c r="J190" s="96">
        <f>3+1</f>
        <v>4</v>
      </c>
      <c r="K190" s="77">
        <f>5112.82+422.64</f>
        <v>5535.46</v>
      </c>
      <c r="L190" s="77">
        <f>5112.82+422.64</f>
        <v>5535.46</v>
      </c>
      <c r="M190" s="78">
        <f>K190-L190</f>
        <v>0</v>
      </c>
      <c r="N190" s="100">
        <f>4+1+1+2</f>
        <v>8</v>
      </c>
      <c r="O190" s="81">
        <f>7087.22+3426.18+3496.22</f>
        <v>14009.619999999999</v>
      </c>
      <c r="P190" s="81">
        <f>7087.22+3426.18+3496.22</f>
        <v>14009.619999999999</v>
      </c>
      <c r="Q190" s="188">
        <f t="shared" si="13"/>
        <v>0</v>
      </c>
      <c r="R190" s="141"/>
    </row>
    <row r="191" spans="1:18" s="15" customFormat="1" ht="15.75" x14ac:dyDescent="0.25">
      <c r="A191" s="14"/>
      <c r="B191" s="28" t="s">
        <v>104</v>
      </c>
      <c r="C191" s="181" t="s">
        <v>17</v>
      </c>
      <c r="D191" s="182"/>
      <c r="E191" s="183" t="s">
        <v>20</v>
      </c>
      <c r="F191" s="73" t="s">
        <v>471</v>
      </c>
      <c r="G191" s="184" t="s">
        <v>114</v>
      </c>
      <c r="H191" s="181">
        <v>29</v>
      </c>
      <c r="I191" s="185">
        <v>4</v>
      </c>
      <c r="J191" s="190">
        <v>4</v>
      </c>
      <c r="K191" s="77">
        <v>6646.48</v>
      </c>
      <c r="L191" s="77">
        <v>4533.38</v>
      </c>
      <c r="M191" s="187">
        <f t="shared" ref="M191" si="27">K191-L191</f>
        <v>2113.0999999999995</v>
      </c>
      <c r="N191" s="114">
        <v>16</v>
      </c>
      <c r="O191" s="186">
        <v>29848.55</v>
      </c>
      <c r="P191" s="186">
        <v>24277.65</v>
      </c>
      <c r="Q191" s="188">
        <f t="shared" si="13"/>
        <v>5570.8999999999978</v>
      </c>
    </row>
    <row r="192" spans="1:18" s="13" customFormat="1" ht="15.75" x14ac:dyDescent="0.25">
      <c r="A192" s="10"/>
      <c r="B192" s="30" t="s">
        <v>26</v>
      </c>
      <c r="C192" s="181" t="s">
        <v>17</v>
      </c>
      <c r="D192" s="182"/>
      <c r="E192" s="183" t="s">
        <v>32</v>
      </c>
      <c r="F192" s="73" t="s">
        <v>246</v>
      </c>
      <c r="G192" s="74" t="s">
        <v>117</v>
      </c>
      <c r="H192" s="75"/>
      <c r="I192" s="76"/>
      <c r="J192" s="96"/>
      <c r="K192" s="77"/>
      <c r="L192" s="77"/>
      <c r="M192" s="78">
        <f t="shared" si="16"/>
        <v>0</v>
      </c>
      <c r="N192" s="100">
        <v>5</v>
      </c>
      <c r="O192" s="81">
        <v>7808.15</v>
      </c>
      <c r="P192" s="81">
        <v>7808.15</v>
      </c>
      <c r="Q192" s="188">
        <f t="shared" si="13"/>
        <v>0</v>
      </c>
    </row>
    <row r="193" spans="1:18" s="13" customFormat="1" ht="15.75" x14ac:dyDescent="0.25">
      <c r="A193" s="10"/>
      <c r="B193" s="30" t="s">
        <v>105</v>
      </c>
      <c r="C193" s="181" t="s">
        <v>17</v>
      </c>
      <c r="D193" s="182"/>
      <c r="E193" s="194" t="s">
        <v>35</v>
      </c>
      <c r="F193" s="73" t="s">
        <v>436</v>
      </c>
      <c r="G193" s="184" t="s">
        <v>117</v>
      </c>
      <c r="H193" s="181"/>
      <c r="I193" s="192"/>
      <c r="J193" s="96"/>
      <c r="K193" s="77"/>
      <c r="L193" s="77"/>
      <c r="M193" s="187">
        <f t="shared" si="16"/>
        <v>0</v>
      </c>
      <c r="N193" s="100"/>
      <c r="O193" s="186"/>
      <c r="P193" s="186"/>
      <c r="Q193" s="79">
        <f t="shared" si="13"/>
        <v>0</v>
      </c>
    </row>
    <row r="194" spans="1:18" s="13" customFormat="1" ht="15.75" x14ac:dyDescent="0.25">
      <c r="A194" s="10"/>
      <c r="B194" s="62" t="s">
        <v>106</v>
      </c>
      <c r="C194" s="181" t="s">
        <v>17</v>
      </c>
      <c r="D194" s="205"/>
      <c r="E194" s="194" t="s">
        <v>20</v>
      </c>
      <c r="F194" s="73" t="s">
        <v>414</v>
      </c>
      <c r="G194" s="74" t="s">
        <v>112</v>
      </c>
      <c r="H194" s="75">
        <v>10</v>
      </c>
      <c r="I194" s="76">
        <v>4</v>
      </c>
      <c r="J194" s="96">
        <f>1+4</f>
        <v>5</v>
      </c>
      <c r="K194" s="77"/>
      <c r="L194" s="77"/>
      <c r="M194" s="78">
        <f>K194-L194</f>
        <v>0</v>
      </c>
      <c r="N194" s="100">
        <f>3+1</f>
        <v>4</v>
      </c>
      <c r="O194" s="81">
        <f>15956.85+4551.62</f>
        <v>20508.47</v>
      </c>
      <c r="P194" s="81">
        <f>15956.85+4551.62</f>
        <v>20508.47</v>
      </c>
      <c r="Q194" s="188">
        <f t="shared" si="13"/>
        <v>0</v>
      </c>
      <c r="R194" s="141"/>
    </row>
    <row r="195" spans="1:18" x14ac:dyDescent="0.25">
      <c r="A195" s="7"/>
      <c r="B195" s="66"/>
      <c r="C195" s="206"/>
      <c r="D195" s="195"/>
      <c r="E195" s="195"/>
      <c r="F195" s="73"/>
      <c r="G195" s="195" t="s">
        <v>131</v>
      </c>
      <c r="H195" s="207">
        <f t="shared" ref="H195:P195" si="28">SUM(H10:H194)</f>
        <v>1891</v>
      </c>
      <c r="I195" s="220">
        <f t="shared" si="28"/>
        <v>881</v>
      </c>
      <c r="J195" s="208">
        <f t="shared" si="28"/>
        <v>1027</v>
      </c>
      <c r="K195" s="209">
        <f t="shared" si="28"/>
        <v>1551285.6550000012</v>
      </c>
      <c r="L195" s="209">
        <f t="shared" si="28"/>
        <v>1520172.7550000013</v>
      </c>
      <c r="M195" s="210">
        <f>K195-L195</f>
        <v>31112.899999999907</v>
      </c>
      <c r="N195" s="208">
        <f t="shared" si="28"/>
        <v>1603</v>
      </c>
      <c r="O195" s="211">
        <f t="shared" si="28"/>
        <v>4674260.4299999988</v>
      </c>
      <c r="P195" s="211">
        <f t="shared" si="28"/>
        <v>4604620.3399999989</v>
      </c>
      <c r="Q195" s="79">
        <f t="shared" si="13"/>
        <v>69640.089999999851</v>
      </c>
      <c r="R195" s="129"/>
    </row>
    <row r="196" spans="1:18" x14ac:dyDescent="0.25">
      <c r="K196" s="91" t="s">
        <v>305</v>
      </c>
    </row>
    <row r="197" spans="1:18" ht="45" x14ac:dyDescent="0.25">
      <c r="B197" s="89" t="s">
        <v>316</v>
      </c>
      <c r="F197" s="104" t="s">
        <v>317</v>
      </c>
      <c r="M197" s="142"/>
      <c r="Q197" s="133"/>
    </row>
    <row r="198" spans="1:18" x14ac:dyDescent="0.25">
      <c r="M198" s="216"/>
    </row>
  </sheetData>
  <autoFilter ref="A8:Q197"/>
  <mergeCells count="7">
    <mergeCell ref="O1:Q1"/>
    <mergeCell ref="A3:Q3"/>
    <mergeCell ref="A4:Q4"/>
    <mergeCell ref="A5:Q5"/>
    <mergeCell ref="B7:G7"/>
    <mergeCell ref="H7:M7"/>
    <mergeCell ref="N7:Q7"/>
  </mergeCell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98"/>
  <sheetViews>
    <sheetView workbookViewId="0">
      <selection sqref="A1:XFD1048576"/>
    </sheetView>
  </sheetViews>
  <sheetFormatPr defaultRowHeight="15" x14ac:dyDescent="0.25"/>
  <cols>
    <col min="1" max="1" width="1.85546875" style="6" customWidth="1"/>
    <col min="2" max="2" width="38.28515625" style="88" customWidth="1"/>
    <col min="3" max="3" width="6.5703125" style="19" customWidth="1"/>
    <col min="4" max="4" width="17.42578125" style="19" customWidth="1"/>
    <col min="5" max="5" width="19" style="19" customWidth="1"/>
    <col min="6" max="6" width="19" style="89" customWidth="1"/>
    <col min="7" max="7" width="20.140625" style="89" customWidth="1"/>
    <col min="8" max="9" width="15.7109375" style="90" customWidth="1"/>
    <col min="10" max="10" width="15.7109375" style="99" customWidth="1"/>
    <col min="11" max="13" width="15.7109375" style="91" customWidth="1"/>
    <col min="14" max="14" width="15.7109375" style="99" customWidth="1"/>
    <col min="15" max="17" width="15.7109375" style="92" customWidth="1"/>
    <col min="18" max="18" width="11.7109375" style="6" customWidth="1"/>
    <col min="19" max="19" width="9.42578125" style="6" customWidth="1"/>
    <col min="20" max="21" width="9.140625" style="6" customWidth="1"/>
    <col min="22" max="16384" width="9.140625" style="6"/>
  </cols>
  <sheetData>
    <row r="1" spans="1:18" s="105" customFormat="1" x14ac:dyDescent="0.25">
      <c r="A1" s="60"/>
      <c r="B1" s="60"/>
      <c r="C1" s="225"/>
      <c r="D1" s="225"/>
      <c r="E1" s="225"/>
      <c r="F1" s="63"/>
      <c r="G1" s="63"/>
      <c r="H1" s="64"/>
      <c r="I1" s="64"/>
      <c r="J1" s="93"/>
      <c r="K1" s="65"/>
      <c r="L1" s="65"/>
      <c r="M1" s="65"/>
      <c r="N1" s="93"/>
      <c r="O1" s="362" t="s">
        <v>15</v>
      </c>
      <c r="P1" s="362"/>
      <c r="Q1" s="362"/>
    </row>
    <row r="2" spans="1:18" s="105" customFormat="1" x14ac:dyDescent="0.25">
      <c r="A2" s="223"/>
      <c r="B2" s="223"/>
      <c r="C2" s="226"/>
      <c r="D2" s="226"/>
      <c r="E2" s="226"/>
      <c r="F2" s="66"/>
      <c r="G2" s="66"/>
      <c r="H2" s="222"/>
      <c r="I2" s="222"/>
      <c r="J2" s="94"/>
      <c r="K2" s="67"/>
      <c r="L2" s="67"/>
      <c r="M2" s="67"/>
      <c r="N2" s="94"/>
      <c r="O2" s="68"/>
      <c r="P2" s="68"/>
      <c r="Q2" s="68"/>
    </row>
    <row r="3" spans="1:18" s="105" customFormat="1" x14ac:dyDescent="0.25">
      <c r="A3" s="380" t="s">
        <v>318</v>
      </c>
      <c r="B3" s="367"/>
      <c r="C3" s="380"/>
      <c r="D3" s="380"/>
      <c r="E3" s="380"/>
      <c r="F3" s="367"/>
      <c r="G3" s="367"/>
      <c r="H3" s="366"/>
      <c r="I3" s="366"/>
      <c r="J3" s="367"/>
      <c r="K3" s="367"/>
      <c r="L3" s="367"/>
      <c r="M3" s="367"/>
      <c r="N3" s="367"/>
      <c r="O3" s="367"/>
      <c r="P3" s="367"/>
      <c r="Q3" s="367"/>
    </row>
    <row r="4" spans="1:18" s="105" customFormat="1" x14ac:dyDescent="0.25">
      <c r="A4" s="381">
        <v>43668</v>
      </c>
      <c r="B4" s="373"/>
      <c r="C4" s="382"/>
      <c r="D4" s="382"/>
      <c r="E4" s="382"/>
      <c r="F4" s="373"/>
      <c r="G4" s="373"/>
      <c r="H4" s="372"/>
      <c r="I4" s="372"/>
      <c r="J4" s="373"/>
      <c r="K4" s="373"/>
      <c r="L4" s="373"/>
      <c r="M4" s="373"/>
      <c r="N4" s="373"/>
      <c r="O4" s="373"/>
      <c r="P4" s="373"/>
      <c r="Q4" s="373"/>
    </row>
    <row r="5" spans="1:18" s="105" customFormat="1" x14ac:dyDescent="0.25">
      <c r="A5" s="367" t="s">
        <v>14</v>
      </c>
      <c r="B5" s="367"/>
      <c r="C5" s="367"/>
      <c r="D5" s="367"/>
      <c r="E5" s="367"/>
      <c r="F5" s="367"/>
      <c r="G5" s="367"/>
      <c r="H5" s="366"/>
      <c r="I5" s="366"/>
      <c r="J5" s="367"/>
      <c r="K5" s="367"/>
      <c r="L5" s="367"/>
      <c r="M5" s="367"/>
      <c r="N5" s="367"/>
      <c r="O5" s="367"/>
      <c r="P5" s="367"/>
      <c r="Q5" s="367"/>
    </row>
    <row r="6" spans="1:18" s="105" customFormat="1" x14ac:dyDescent="0.25">
      <c r="A6" s="223"/>
      <c r="B6" s="223"/>
      <c r="C6" s="226"/>
      <c r="D6" s="226"/>
      <c r="E6" s="226"/>
      <c r="F6" s="66"/>
      <c r="G6" s="66"/>
      <c r="H6" s="222"/>
      <c r="I6" s="222"/>
      <c r="J6" s="94"/>
      <c r="K6" s="67"/>
      <c r="L6" s="67"/>
      <c r="M6" s="67"/>
      <c r="N6" s="94"/>
      <c r="O6" s="68"/>
      <c r="P6" s="68"/>
      <c r="Q6" s="68"/>
    </row>
    <row r="7" spans="1:18" x14ac:dyDescent="0.25">
      <c r="A7" s="227" t="s">
        <v>0</v>
      </c>
      <c r="B7" s="367" t="s">
        <v>10</v>
      </c>
      <c r="C7" s="380"/>
      <c r="D7" s="380"/>
      <c r="E7" s="380"/>
      <c r="F7" s="367"/>
      <c r="G7" s="367"/>
      <c r="H7" s="366" t="s">
        <v>472</v>
      </c>
      <c r="I7" s="366"/>
      <c r="J7" s="367"/>
      <c r="K7" s="367"/>
      <c r="L7" s="367"/>
      <c r="M7" s="367"/>
      <c r="N7" s="367" t="s">
        <v>132</v>
      </c>
      <c r="O7" s="367"/>
      <c r="P7" s="367"/>
      <c r="Q7" s="367"/>
    </row>
    <row r="8" spans="1:18" ht="195" x14ac:dyDescent="0.25">
      <c r="A8" s="227"/>
      <c r="B8" s="223" t="s">
        <v>4</v>
      </c>
      <c r="C8" s="226" t="s">
        <v>1</v>
      </c>
      <c r="D8" s="226" t="s">
        <v>3</v>
      </c>
      <c r="E8" s="226" t="s">
        <v>2</v>
      </c>
      <c r="F8" s="223" t="s">
        <v>6</v>
      </c>
      <c r="G8" s="66" t="s">
        <v>5</v>
      </c>
      <c r="H8" s="223" t="s">
        <v>7</v>
      </c>
      <c r="I8" s="223" t="s">
        <v>8</v>
      </c>
      <c r="J8" s="94" t="s">
        <v>9</v>
      </c>
      <c r="K8" s="67" t="s">
        <v>11</v>
      </c>
      <c r="L8" s="67" t="s">
        <v>12</v>
      </c>
      <c r="M8" s="67" t="s">
        <v>13</v>
      </c>
      <c r="N8" s="94" t="s">
        <v>9</v>
      </c>
      <c r="O8" s="68" t="s">
        <v>11</v>
      </c>
      <c r="P8" s="68" t="s">
        <v>12</v>
      </c>
      <c r="Q8" s="68" t="s">
        <v>13</v>
      </c>
    </row>
    <row r="9" spans="1:18" x14ac:dyDescent="0.25">
      <c r="A9" s="228">
        <v>1</v>
      </c>
      <c r="B9" s="61">
        <f>A9+1</f>
        <v>2</v>
      </c>
      <c r="C9" s="228">
        <f t="shared" ref="C9:Q9" si="0">B9+1</f>
        <v>3</v>
      </c>
      <c r="D9" s="228">
        <f t="shared" si="0"/>
        <v>4</v>
      </c>
      <c r="E9" s="228">
        <f t="shared" si="0"/>
        <v>5</v>
      </c>
      <c r="F9" s="69">
        <f t="shared" si="0"/>
        <v>6</v>
      </c>
      <c r="G9" s="69">
        <f t="shared" si="0"/>
        <v>7</v>
      </c>
      <c r="H9" s="70">
        <f t="shared" si="0"/>
        <v>8</v>
      </c>
      <c r="I9" s="70">
        <f t="shared" si="0"/>
        <v>9</v>
      </c>
      <c r="J9" s="95">
        <f t="shared" si="0"/>
        <v>10</v>
      </c>
      <c r="K9" s="71">
        <f t="shared" si="0"/>
        <v>11</v>
      </c>
      <c r="L9" s="71">
        <f t="shared" si="0"/>
        <v>12</v>
      </c>
      <c r="M9" s="71">
        <f t="shared" si="0"/>
        <v>13</v>
      </c>
      <c r="N9" s="95">
        <f t="shared" si="0"/>
        <v>14</v>
      </c>
      <c r="O9" s="72">
        <f t="shared" si="0"/>
        <v>15</v>
      </c>
      <c r="P9" s="72">
        <f t="shared" si="0"/>
        <v>16</v>
      </c>
      <c r="Q9" s="72">
        <f t="shared" si="0"/>
        <v>17</v>
      </c>
    </row>
    <row r="10" spans="1:18" s="13" customFormat="1" ht="30" x14ac:dyDescent="0.25">
      <c r="A10" s="229"/>
      <c r="B10" s="62" t="s">
        <v>16</v>
      </c>
      <c r="C10" s="181" t="s">
        <v>304</v>
      </c>
      <c r="D10" s="182" t="s">
        <v>315</v>
      </c>
      <c r="E10" s="183" t="s">
        <v>18</v>
      </c>
      <c r="F10" s="73" t="s">
        <v>322</v>
      </c>
      <c r="G10" s="74" t="s">
        <v>112</v>
      </c>
      <c r="H10" s="75">
        <v>11</v>
      </c>
      <c r="I10" s="76">
        <v>9</v>
      </c>
      <c r="J10" s="98">
        <f>2+1+3+3</f>
        <v>9</v>
      </c>
      <c r="K10" s="77">
        <f>4792.51+1138.19+504.26+11366.06+4859.68+3954.5</f>
        <v>26615.200000000001</v>
      </c>
      <c r="L10" s="77">
        <f>4792.51+1138.19+504.26+11366.06+4859.68+3954.5</f>
        <v>26615.200000000001</v>
      </c>
      <c r="M10" s="78">
        <f>K10-L10</f>
        <v>0</v>
      </c>
      <c r="N10" s="100">
        <f>2+5+1+2+1</f>
        <v>11</v>
      </c>
      <c r="O10" s="77">
        <f>9108.77+6924.32+22366.06+8197.52</f>
        <v>46596.67</v>
      </c>
      <c r="P10" s="77">
        <f>9108.77+6924.32+12366.06+8197.52</f>
        <v>36596.67</v>
      </c>
      <c r="Q10" s="79">
        <f>O10-P10</f>
        <v>10000</v>
      </c>
      <c r="R10" s="141"/>
    </row>
    <row r="11" spans="1:18" s="13" customFormat="1" ht="30" x14ac:dyDescent="0.25">
      <c r="A11" s="229"/>
      <c r="B11" s="62" t="s">
        <v>16</v>
      </c>
      <c r="C11" s="181" t="s">
        <v>304</v>
      </c>
      <c r="D11" s="182" t="s">
        <v>315</v>
      </c>
      <c r="E11" s="183" t="s">
        <v>18</v>
      </c>
      <c r="F11" s="73" t="s">
        <v>322</v>
      </c>
      <c r="G11" s="230" t="s">
        <v>116</v>
      </c>
      <c r="H11" s="181">
        <v>10</v>
      </c>
      <c r="I11" s="231">
        <v>4</v>
      </c>
      <c r="J11" s="96">
        <v>4</v>
      </c>
      <c r="K11" s="224">
        <v>7070</v>
      </c>
      <c r="L11" s="224">
        <v>6707</v>
      </c>
      <c r="M11" s="187">
        <f t="shared" ref="M11:M90" si="1">K11-L11</f>
        <v>363</v>
      </c>
      <c r="N11" s="100">
        <v>0</v>
      </c>
      <c r="O11" s="224">
        <v>2945</v>
      </c>
      <c r="P11" s="224">
        <v>2945</v>
      </c>
      <c r="Q11" s="232">
        <f t="shared" ref="Q11:Q80" si="2">O11-P11</f>
        <v>0</v>
      </c>
    </row>
    <row r="12" spans="1:18" s="13" customFormat="1" x14ac:dyDescent="0.25">
      <c r="A12" s="229"/>
      <c r="B12" s="62" t="s">
        <v>490</v>
      </c>
      <c r="C12" s="181" t="s">
        <v>304</v>
      </c>
      <c r="D12" s="182"/>
      <c r="E12" s="183"/>
      <c r="F12" s="189" t="s">
        <v>501</v>
      </c>
      <c r="G12" s="230" t="s">
        <v>112</v>
      </c>
      <c r="H12" s="181">
        <v>12</v>
      </c>
      <c r="I12" s="231">
        <v>7</v>
      </c>
      <c r="J12" s="96">
        <f>5+1+3</f>
        <v>9</v>
      </c>
      <c r="K12" s="224">
        <f>8352.39+384.2+1463.8+3720.67</f>
        <v>13921.06</v>
      </c>
      <c r="L12" s="224">
        <f>8352.39+384.2+1463.8+3720.67</f>
        <v>13921.06</v>
      </c>
      <c r="M12" s="78">
        <f t="shared" si="1"/>
        <v>0</v>
      </c>
      <c r="N12" s="100"/>
      <c r="O12" s="224"/>
      <c r="P12" s="224"/>
      <c r="Q12" s="79">
        <f t="shared" si="2"/>
        <v>0</v>
      </c>
    </row>
    <row r="13" spans="1:18" s="15" customFormat="1" x14ac:dyDescent="0.25">
      <c r="A13" s="229"/>
      <c r="B13" s="62" t="s">
        <v>19</v>
      </c>
      <c r="C13" s="181" t="s">
        <v>17</v>
      </c>
      <c r="D13" s="182"/>
      <c r="E13" s="183" t="s">
        <v>20</v>
      </c>
      <c r="F13" s="73" t="s">
        <v>323</v>
      </c>
      <c r="G13" s="74" t="s">
        <v>112</v>
      </c>
      <c r="H13" s="75">
        <v>11</v>
      </c>
      <c r="I13" s="76">
        <v>8</v>
      </c>
      <c r="J13" s="96">
        <f>1+2+5+2+1</f>
        <v>11</v>
      </c>
      <c r="K13" s="77">
        <f>422.62+4792.51+1796.14+1373.52</f>
        <v>8384.7900000000009</v>
      </c>
      <c r="L13" s="77">
        <f>422.62+4792.51+1796.14+1373.52</f>
        <v>8384.7900000000009</v>
      </c>
      <c r="M13" s="78">
        <f t="shared" si="1"/>
        <v>0</v>
      </c>
      <c r="N13" s="100">
        <f>8+3+1</f>
        <v>12</v>
      </c>
      <c r="O13" s="81">
        <f>6459.36+7124.45</f>
        <v>13583.81</v>
      </c>
      <c r="P13" s="81">
        <f>6459.36+7124.45</f>
        <v>13583.81</v>
      </c>
      <c r="Q13" s="79">
        <f t="shared" si="2"/>
        <v>0</v>
      </c>
      <c r="R13" s="141"/>
    </row>
    <row r="14" spans="1:18" s="15" customFormat="1" x14ac:dyDescent="0.25">
      <c r="A14" s="229"/>
      <c r="B14" s="62" t="s">
        <v>19</v>
      </c>
      <c r="C14" s="181" t="s">
        <v>17</v>
      </c>
      <c r="D14" s="182"/>
      <c r="E14" s="183" t="s">
        <v>20</v>
      </c>
      <c r="F14" s="73" t="s">
        <v>451</v>
      </c>
      <c r="G14" s="230" t="s">
        <v>114</v>
      </c>
      <c r="H14" s="181">
        <v>6</v>
      </c>
      <c r="I14" s="231">
        <v>1</v>
      </c>
      <c r="J14" s="190">
        <v>1</v>
      </c>
      <c r="K14" s="77">
        <v>1267.68</v>
      </c>
      <c r="L14" s="77">
        <v>1267.68</v>
      </c>
      <c r="M14" s="187">
        <f t="shared" si="1"/>
        <v>0</v>
      </c>
      <c r="N14" s="100">
        <v>9</v>
      </c>
      <c r="O14" s="224">
        <v>16688.7</v>
      </c>
      <c r="P14" s="224">
        <v>16688.7</v>
      </c>
      <c r="Q14" s="232">
        <f t="shared" si="2"/>
        <v>0</v>
      </c>
    </row>
    <row r="15" spans="1:18" s="15" customFormat="1" x14ac:dyDescent="0.25">
      <c r="A15" s="229"/>
      <c r="B15" s="62" t="s">
        <v>153</v>
      </c>
      <c r="C15" s="181" t="s">
        <v>17</v>
      </c>
      <c r="D15" s="182"/>
      <c r="E15" s="183" t="s">
        <v>20</v>
      </c>
      <c r="F15" s="73" t="s">
        <v>324</v>
      </c>
      <c r="G15" s="74" t="s">
        <v>112</v>
      </c>
      <c r="H15" s="75">
        <v>10</v>
      </c>
      <c r="I15" s="82">
        <v>6</v>
      </c>
      <c r="J15" s="96">
        <f>1+1+2+1+1+2</f>
        <v>8</v>
      </c>
      <c r="K15" s="77">
        <f>950.9+2451.87+3074.57+845.24+1977.86+1284.48</f>
        <v>10584.92</v>
      </c>
      <c r="L15" s="77">
        <f>950.9+2451.87+3074.57+845.24+1977.86</f>
        <v>9300.44</v>
      </c>
      <c r="M15" s="78">
        <f>K15-L15</f>
        <v>1284.4799999999996</v>
      </c>
      <c r="N15" s="114">
        <f>1+2+1+2+1+1</f>
        <v>8</v>
      </c>
      <c r="O15" s="81">
        <f>422.62+945.61+2484.69+7964.81+1536.8+2498.17</f>
        <v>15852.699999999999</v>
      </c>
      <c r="P15" s="81">
        <f>422.62+945.61+2484.69+7964.81+1536.8</f>
        <v>13354.529999999999</v>
      </c>
      <c r="Q15" s="79">
        <f t="shared" si="2"/>
        <v>2498.17</v>
      </c>
      <c r="R15" s="141"/>
    </row>
    <row r="16" spans="1:18" s="15" customFormat="1" x14ac:dyDescent="0.25">
      <c r="A16" s="229"/>
      <c r="B16" s="233" t="s">
        <v>153</v>
      </c>
      <c r="C16" s="181" t="s">
        <v>17</v>
      </c>
      <c r="D16" s="182"/>
      <c r="E16" s="183" t="s">
        <v>20</v>
      </c>
      <c r="F16" s="73" t="s">
        <v>452</v>
      </c>
      <c r="G16" s="230" t="s">
        <v>114</v>
      </c>
      <c r="H16" s="181">
        <v>13</v>
      </c>
      <c r="I16" s="231">
        <v>3</v>
      </c>
      <c r="J16" s="190">
        <v>3</v>
      </c>
      <c r="K16" s="77">
        <v>3957.08</v>
      </c>
      <c r="L16" s="77">
        <v>3957.08</v>
      </c>
      <c r="M16" s="187">
        <f t="shared" si="1"/>
        <v>0</v>
      </c>
      <c r="N16" s="100">
        <v>9</v>
      </c>
      <c r="O16" s="224">
        <v>31921.279999999999</v>
      </c>
      <c r="P16" s="224">
        <v>23692.58</v>
      </c>
      <c r="Q16" s="232">
        <f t="shared" si="2"/>
        <v>8228.6999999999971</v>
      </c>
    </row>
    <row r="17" spans="1:18" s="13" customFormat="1" x14ac:dyDescent="0.25">
      <c r="A17" s="229"/>
      <c r="B17" s="30" t="s">
        <v>22</v>
      </c>
      <c r="C17" s="181" t="s">
        <v>17</v>
      </c>
      <c r="D17" s="182"/>
      <c r="E17" s="183" t="s">
        <v>23</v>
      </c>
      <c r="F17" s="73" t="s">
        <v>325</v>
      </c>
      <c r="G17" s="74" t="s">
        <v>112</v>
      </c>
      <c r="H17" s="75">
        <v>19</v>
      </c>
      <c r="I17" s="76">
        <v>10</v>
      </c>
      <c r="J17" s="96">
        <f>1+2+1+9</f>
        <v>13</v>
      </c>
      <c r="K17" s="77">
        <f>2698.64+1402.33+11601.84</f>
        <v>15702.81</v>
      </c>
      <c r="L17" s="77">
        <f>2698.64+1402.33+11601.84</f>
        <v>15702.81</v>
      </c>
      <c r="M17" s="78">
        <f>K17-L17</f>
        <v>0</v>
      </c>
      <c r="N17" s="100">
        <f>14+3+7+1+1</f>
        <v>26</v>
      </c>
      <c r="O17" s="81">
        <f>22716.4+4171.06+18768.39+8172.47</f>
        <v>53828.320000000007</v>
      </c>
      <c r="P17" s="81">
        <f>22716.4+4171.06+18768.39+8172.47</f>
        <v>53828.320000000007</v>
      </c>
      <c r="Q17" s="79">
        <f t="shared" si="2"/>
        <v>0</v>
      </c>
      <c r="R17" s="141"/>
    </row>
    <row r="18" spans="1:18" s="13" customFormat="1" x14ac:dyDescent="0.25">
      <c r="A18" s="229"/>
      <c r="B18" s="30" t="s">
        <v>154</v>
      </c>
      <c r="C18" s="181" t="s">
        <v>17</v>
      </c>
      <c r="D18" s="182"/>
      <c r="E18" s="183" t="s">
        <v>20</v>
      </c>
      <c r="F18" s="73" t="s">
        <v>453</v>
      </c>
      <c r="G18" s="230" t="s">
        <v>114</v>
      </c>
      <c r="H18" s="181">
        <v>21</v>
      </c>
      <c r="I18" s="234">
        <v>2</v>
      </c>
      <c r="J18" s="190">
        <v>2</v>
      </c>
      <c r="K18" s="193">
        <v>2938.2</v>
      </c>
      <c r="L18" s="193">
        <v>1152.5999999999999</v>
      </c>
      <c r="M18" s="187">
        <f t="shared" si="1"/>
        <v>1785.6</v>
      </c>
      <c r="N18" s="114">
        <v>13</v>
      </c>
      <c r="O18" s="224">
        <v>34624.39</v>
      </c>
      <c r="P18" s="224">
        <v>31595.24</v>
      </c>
      <c r="Q18" s="232">
        <f t="shared" si="2"/>
        <v>3029.1499999999978</v>
      </c>
    </row>
    <row r="19" spans="1:18" s="13" customFormat="1" x14ac:dyDescent="0.25">
      <c r="A19" s="229"/>
      <c r="B19" s="30" t="s">
        <v>154</v>
      </c>
      <c r="C19" s="181" t="s">
        <v>17</v>
      </c>
      <c r="D19" s="182"/>
      <c r="E19" s="183" t="s">
        <v>20</v>
      </c>
      <c r="F19" s="73" t="s">
        <v>326</v>
      </c>
      <c r="G19" s="74" t="s">
        <v>112</v>
      </c>
      <c r="H19" s="75">
        <v>19</v>
      </c>
      <c r="I19" s="76">
        <v>13</v>
      </c>
      <c r="J19" s="96">
        <f>1+1+2+2+2+6+1</f>
        <v>15</v>
      </c>
      <c r="K19" s="77">
        <f>950.9+864.46+845.24+405.02+739.59+6850.57</f>
        <v>10655.78</v>
      </c>
      <c r="L19" s="77">
        <f>950.9+864.46+845.24+405.02+739.59</f>
        <v>3805.2100000000005</v>
      </c>
      <c r="M19" s="78">
        <f t="shared" si="1"/>
        <v>6850.57</v>
      </c>
      <c r="N19" s="100">
        <f>6+3+1+1+1+2+1+1</f>
        <v>16</v>
      </c>
      <c r="O19" s="81">
        <f>6681.33+7017+1523.5+9094.74</f>
        <v>24316.57</v>
      </c>
      <c r="P19" s="81">
        <f>6681.33+7017+1523.5+9094.74</f>
        <v>24316.57</v>
      </c>
      <c r="Q19" s="79">
        <f t="shared" si="2"/>
        <v>0</v>
      </c>
      <c r="R19" s="141"/>
    </row>
    <row r="20" spans="1:18" s="13" customFormat="1" x14ac:dyDescent="0.25">
      <c r="A20" s="229"/>
      <c r="B20" s="62" t="s">
        <v>24</v>
      </c>
      <c r="C20" s="181" t="s">
        <v>17</v>
      </c>
      <c r="D20" s="182"/>
      <c r="E20" s="183" t="s">
        <v>20</v>
      </c>
      <c r="F20" s="73" t="s">
        <v>327</v>
      </c>
      <c r="G20" s="74" t="s">
        <v>112</v>
      </c>
      <c r="H20" s="75">
        <v>7</v>
      </c>
      <c r="I20" s="76">
        <v>3</v>
      </c>
      <c r="J20" s="96">
        <f>3</f>
        <v>3</v>
      </c>
      <c r="K20" s="77">
        <f>1191.02</f>
        <v>1191.02</v>
      </c>
      <c r="L20" s="77">
        <f>1191.02</f>
        <v>1191.02</v>
      </c>
      <c r="M20" s="78">
        <f t="shared" si="1"/>
        <v>0</v>
      </c>
      <c r="N20" s="100">
        <f>1+1</f>
        <v>2</v>
      </c>
      <c r="O20" s="81">
        <f>576.3+1810.93</f>
        <v>2387.23</v>
      </c>
      <c r="P20" s="81">
        <f>576.3+1810.93</f>
        <v>2387.23</v>
      </c>
      <c r="Q20" s="232">
        <f t="shared" si="2"/>
        <v>0</v>
      </c>
      <c r="R20" s="141"/>
    </row>
    <row r="21" spans="1:18" s="13" customFormat="1" x14ac:dyDescent="0.25">
      <c r="A21" s="229"/>
      <c r="B21" s="62" t="s">
        <v>24</v>
      </c>
      <c r="C21" s="181" t="s">
        <v>17</v>
      </c>
      <c r="D21" s="182"/>
      <c r="E21" s="183" t="s">
        <v>20</v>
      </c>
      <c r="F21" s="73" t="s">
        <v>454</v>
      </c>
      <c r="G21" s="230" t="s">
        <v>114</v>
      </c>
      <c r="H21" s="181">
        <v>12</v>
      </c>
      <c r="I21" s="231"/>
      <c r="J21" s="190"/>
      <c r="K21" s="77"/>
      <c r="L21" s="77"/>
      <c r="M21" s="187">
        <f t="shared" si="1"/>
        <v>0</v>
      </c>
      <c r="N21" s="100">
        <v>15</v>
      </c>
      <c r="O21" s="224">
        <v>14635.6</v>
      </c>
      <c r="P21" s="224">
        <v>14635.6</v>
      </c>
      <c r="Q21" s="232">
        <f t="shared" si="2"/>
        <v>0</v>
      </c>
    </row>
    <row r="22" spans="1:18" s="13" customFormat="1" x14ac:dyDescent="0.25">
      <c r="A22" s="229"/>
      <c r="B22" s="62" t="s">
        <v>25</v>
      </c>
      <c r="C22" s="181" t="s">
        <v>17</v>
      </c>
      <c r="D22" s="182"/>
      <c r="E22" s="183" t="s">
        <v>20</v>
      </c>
      <c r="F22" s="73" t="s">
        <v>328</v>
      </c>
      <c r="G22" s="74" t="s">
        <v>112</v>
      </c>
      <c r="H22" s="75">
        <v>9</v>
      </c>
      <c r="I22" s="76">
        <v>4</v>
      </c>
      <c r="J22" s="96">
        <f>1+1+1+1+1</f>
        <v>5</v>
      </c>
      <c r="K22" s="173">
        <f>403.41+1605.6+3697.9</f>
        <v>5706.91</v>
      </c>
      <c r="L22" s="173">
        <v>403.41</v>
      </c>
      <c r="M22" s="78">
        <f>K22-L22</f>
        <v>5303.5</v>
      </c>
      <c r="N22" s="100">
        <f>6+1+2+2+1</f>
        <v>12</v>
      </c>
      <c r="O22" s="81">
        <f>14526.7+5595.3+2440.62+2839.24</f>
        <v>25401.86</v>
      </c>
      <c r="P22" s="81">
        <f>14526.7+5595.3+2440.62+2839.24</f>
        <v>25401.86</v>
      </c>
      <c r="Q22" s="232">
        <f t="shared" si="2"/>
        <v>0</v>
      </c>
      <c r="R22" s="141"/>
    </row>
    <row r="23" spans="1:18" s="13" customFormat="1" x14ac:dyDescent="0.25">
      <c r="A23" s="229"/>
      <c r="B23" s="62" t="s">
        <v>25</v>
      </c>
      <c r="C23" s="181" t="s">
        <v>17</v>
      </c>
      <c r="D23" s="182"/>
      <c r="E23" s="183" t="s">
        <v>20</v>
      </c>
      <c r="F23" s="73" t="s">
        <v>455</v>
      </c>
      <c r="G23" s="230" t="s">
        <v>114</v>
      </c>
      <c r="H23" s="181">
        <v>4</v>
      </c>
      <c r="I23" s="231"/>
      <c r="J23" s="190"/>
      <c r="K23" s="77"/>
      <c r="L23" s="77"/>
      <c r="M23" s="187">
        <f t="shared" si="1"/>
        <v>0</v>
      </c>
      <c r="N23" s="100">
        <v>3</v>
      </c>
      <c r="O23" s="224">
        <v>4146.2</v>
      </c>
      <c r="P23" s="224">
        <f>4146.2</f>
        <v>4146.2</v>
      </c>
      <c r="Q23" s="232">
        <f t="shared" si="2"/>
        <v>0</v>
      </c>
    </row>
    <row r="24" spans="1:18" s="13" customFormat="1" x14ac:dyDescent="0.25">
      <c r="A24" s="229"/>
      <c r="B24" s="62" t="s">
        <v>26</v>
      </c>
      <c r="C24" s="181" t="s">
        <v>17</v>
      </c>
      <c r="D24" s="182"/>
      <c r="E24" s="183" t="s">
        <v>27</v>
      </c>
      <c r="F24" s="73" t="s">
        <v>329</v>
      </c>
      <c r="G24" s="74" t="s">
        <v>112</v>
      </c>
      <c r="H24" s="75">
        <v>15</v>
      </c>
      <c r="I24" s="76">
        <v>8</v>
      </c>
      <c r="J24" s="96">
        <f>2+2+4+1</f>
        <v>9</v>
      </c>
      <c r="K24" s="77">
        <f>845.24+1056.55+5121.1+26225.35+422.62</f>
        <v>33670.86</v>
      </c>
      <c r="L24" s="77">
        <f>845.24+1056.55+5121.1+26225.35</f>
        <v>33248.239999999998</v>
      </c>
      <c r="M24" s="78">
        <f t="shared" si="1"/>
        <v>422.62000000000262</v>
      </c>
      <c r="N24" s="100">
        <f>6+1+1+2</f>
        <v>10</v>
      </c>
      <c r="O24" s="81">
        <f>17838.53+2535.75+7238.9</f>
        <v>27613.18</v>
      </c>
      <c r="P24" s="81">
        <f>17838.53+2535.75+7238.9</f>
        <v>27613.18</v>
      </c>
      <c r="Q24" s="232">
        <f t="shared" si="2"/>
        <v>0</v>
      </c>
      <c r="R24" s="141"/>
    </row>
    <row r="25" spans="1:18" s="15" customFormat="1" x14ac:dyDescent="0.25">
      <c r="A25" s="229"/>
      <c r="B25" s="62" t="s">
        <v>28</v>
      </c>
      <c r="C25" s="181" t="s">
        <v>17</v>
      </c>
      <c r="D25" s="182"/>
      <c r="E25" s="194" t="s">
        <v>29</v>
      </c>
      <c r="F25" s="73" t="s">
        <v>330</v>
      </c>
      <c r="G25" s="74" t="s">
        <v>112</v>
      </c>
      <c r="H25" s="75">
        <v>7</v>
      </c>
      <c r="I25" s="76">
        <v>6</v>
      </c>
      <c r="J25" s="96">
        <f>2+1+2+1</f>
        <v>6</v>
      </c>
      <c r="K25" s="77">
        <f>6135.14+2440.63+9722.07</f>
        <v>18297.84</v>
      </c>
      <c r="L25" s="77">
        <f>6135.14+2440.63+9722.07</f>
        <v>18297.84</v>
      </c>
      <c r="M25" s="78">
        <f t="shared" si="1"/>
        <v>0</v>
      </c>
      <c r="N25" s="100">
        <f>3+2+4+3</f>
        <v>12</v>
      </c>
      <c r="O25" s="81">
        <f>5310.83+4630.52+14679.01+36087.29</f>
        <v>60707.65</v>
      </c>
      <c r="P25" s="81">
        <f>5310.83+4630.52+14679.01+36087.29</f>
        <v>60707.65</v>
      </c>
      <c r="Q25" s="232">
        <f t="shared" si="2"/>
        <v>0</v>
      </c>
      <c r="R25" s="141"/>
    </row>
    <row r="26" spans="1:18" s="15" customFormat="1" x14ac:dyDescent="0.25">
      <c r="A26" s="229"/>
      <c r="B26" s="62" t="s">
        <v>28</v>
      </c>
      <c r="C26" s="181" t="s">
        <v>17</v>
      </c>
      <c r="D26" s="182"/>
      <c r="E26" s="194" t="s">
        <v>29</v>
      </c>
      <c r="F26" s="73" t="s">
        <v>420</v>
      </c>
      <c r="G26" s="235" t="s">
        <v>117</v>
      </c>
      <c r="H26" s="181">
        <v>1</v>
      </c>
      <c r="I26" s="231"/>
      <c r="J26" s="96"/>
      <c r="K26" s="77"/>
      <c r="L26" s="77"/>
      <c r="M26" s="78">
        <f t="shared" si="1"/>
        <v>0</v>
      </c>
      <c r="N26" s="100">
        <v>2</v>
      </c>
      <c r="O26" s="224">
        <v>2766.24</v>
      </c>
      <c r="P26" s="224">
        <v>2766.24</v>
      </c>
      <c r="Q26" s="79">
        <f t="shared" si="2"/>
        <v>0</v>
      </c>
    </row>
    <row r="27" spans="1:18" s="15" customFormat="1" x14ac:dyDescent="0.25">
      <c r="A27" s="229"/>
      <c r="B27" s="233" t="s">
        <v>500</v>
      </c>
      <c r="C27" s="181" t="s">
        <v>17</v>
      </c>
      <c r="D27" s="182"/>
      <c r="E27" s="194"/>
      <c r="F27" s="73" t="s">
        <v>503</v>
      </c>
      <c r="G27" s="235" t="s">
        <v>112</v>
      </c>
      <c r="H27" s="181">
        <v>10</v>
      </c>
      <c r="I27" s="231">
        <v>3</v>
      </c>
      <c r="J27" s="96">
        <f>2+2</f>
        <v>4</v>
      </c>
      <c r="K27" s="77">
        <f>1202.51+3555.1</f>
        <v>4757.6099999999997</v>
      </c>
      <c r="L27" s="77">
        <v>1202.51</v>
      </c>
      <c r="M27" s="78">
        <f t="shared" si="1"/>
        <v>3555.0999999999995</v>
      </c>
      <c r="N27" s="100"/>
      <c r="O27" s="224"/>
      <c r="P27" s="224"/>
      <c r="Q27" s="79"/>
    </row>
    <row r="28" spans="1:18" s="13" customFormat="1" x14ac:dyDescent="0.25">
      <c r="A28" s="229"/>
      <c r="B28" s="27" t="s">
        <v>30</v>
      </c>
      <c r="C28" s="181" t="s">
        <v>17</v>
      </c>
      <c r="D28" s="182"/>
      <c r="E28" s="194" t="s">
        <v>21</v>
      </c>
      <c r="F28" s="73" t="s">
        <v>333</v>
      </c>
      <c r="G28" s="74" t="s">
        <v>112</v>
      </c>
      <c r="H28" s="75">
        <v>16</v>
      </c>
      <c r="I28" s="76">
        <v>11</v>
      </c>
      <c r="J28" s="96">
        <f>3+1+3+1+4+1+1</f>
        <v>14</v>
      </c>
      <c r="K28" s="77">
        <f>16637.24+1045.98</f>
        <v>17683.22</v>
      </c>
      <c r="L28" s="77">
        <f>16637.24+1045.98-1465.72</f>
        <v>16217.500000000002</v>
      </c>
      <c r="M28" s="78">
        <f t="shared" si="1"/>
        <v>1465.7199999999993</v>
      </c>
      <c r="N28" s="100">
        <f>9+1+3+1+1+1+2+1+1+2</f>
        <v>22</v>
      </c>
      <c r="O28" s="81">
        <f>77047.8+15703.07+7288.94</f>
        <v>100039.81</v>
      </c>
      <c r="P28" s="81">
        <f>77047.8+15703.07</f>
        <v>92750.87</v>
      </c>
      <c r="Q28" s="232">
        <f t="shared" si="2"/>
        <v>7288.9400000000023</v>
      </c>
      <c r="R28" s="141"/>
    </row>
    <row r="29" spans="1:18" s="13" customFormat="1" x14ac:dyDescent="0.25">
      <c r="A29" s="229"/>
      <c r="B29" s="27" t="s">
        <v>491</v>
      </c>
      <c r="C29" s="181" t="s">
        <v>17</v>
      </c>
      <c r="D29" s="182"/>
      <c r="E29" s="183" t="s">
        <v>20</v>
      </c>
      <c r="F29" s="73" t="s">
        <v>495</v>
      </c>
      <c r="G29" s="74" t="s">
        <v>112</v>
      </c>
      <c r="H29" s="75">
        <v>8</v>
      </c>
      <c r="I29" s="76">
        <v>5</v>
      </c>
      <c r="J29" s="96">
        <f>2+2+1</f>
        <v>5</v>
      </c>
      <c r="K29" s="77">
        <f>1727.9+2093.89+728.54</f>
        <v>4550.33</v>
      </c>
      <c r="L29" s="77">
        <f>1727.9+2093.89</f>
        <v>3821.79</v>
      </c>
      <c r="M29" s="78">
        <f t="shared" si="1"/>
        <v>728.54</v>
      </c>
      <c r="N29" s="100"/>
      <c r="O29" s="81"/>
      <c r="P29" s="81"/>
      <c r="Q29" s="232"/>
      <c r="R29" s="141"/>
    </row>
    <row r="30" spans="1:18" s="13" customFormat="1" x14ac:dyDescent="0.25">
      <c r="A30" s="229"/>
      <c r="B30" s="27" t="s">
        <v>491</v>
      </c>
      <c r="C30" s="181" t="s">
        <v>17</v>
      </c>
      <c r="D30" s="182"/>
      <c r="E30" s="183" t="s">
        <v>20</v>
      </c>
      <c r="F30" s="73" t="s">
        <v>504</v>
      </c>
      <c r="G30" s="74" t="s">
        <v>114</v>
      </c>
      <c r="H30" s="75">
        <v>7</v>
      </c>
      <c r="I30" s="76">
        <v>1</v>
      </c>
      <c r="J30" s="96">
        <v>1</v>
      </c>
      <c r="K30" s="77"/>
      <c r="L30" s="77"/>
      <c r="M30" s="187">
        <f t="shared" si="1"/>
        <v>0</v>
      </c>
      <c r="N30" s="100"/>
      <c r="O30" s="81"/>
      <c r="P30" s="81"/>
      <c r="Q30" s="232">
        <f t="shared" si="2"/>
        <v>0</v>
      </c>
      <c r="R30" s="141"/>
    </row>
    <row r="31" spans="1:18" s="13" customFormat="1" x14ac:dyDescent="0.25">
      <c r="A31" s="229"/>
      <c r="B31" s="27" t="s">
        <v>491</v>
      </c>
      <c r="C31" s="181" t="s">
        <v>17</v>
      </c>
      <c r="D31" s="182"/>
      <c r="E31" s="183"/>
      <c r="F31" s="73"/>
      <c r="G31" s="235" t="s">
        <v>117</v>
      </c>
      <c r="H31" s="75">
        <v>1</v>
      </c>
      <c r="I31" s="76"/>
      <c r="J31" s="96"/>
      <c r="K31" s="77"/>
      <c r="L31" s="77"/>
      <c r="M31" s="187"/>
      <c r="N31" s="100"/>
      <c r="O31" s="81"/>
      <c r="P31" s="81"/>
      <c r="Q31" s="232"/>
      <c r="R31" s="141"/>
    </row>
    <row r="32" spans="1:18" s="13" customFormat="1" x14ac:dyDescent="0.25">
      <c r="A32" s="229"/>
      <c r="B32" s="30" t="s">
        <v>31</v>
      </c>
      <c r="C32" s="181" t="s">
        <v>17</v>
      </c>
      <c r="D32" s="182"/>
      <c r="E32" s="183" t="s">
        <v>32</v>
      </c>
      <c r="F32" s="73" t="s">
        <v>331</v>
      </c>
      <c r="G32" s="74" t="s">
        <v>112</v>
      </c>
      <c r="H32" s="75">
        <v>11</v>
      </c>
      <c r="I32" s="76">
        <v>10</v>
      </c>
      <c r="J32" s="96">
        <f>1+2+3+1+4+3</f>
        <v>14</v>
      </c>
      <c r="K32" s="77">
        <f>633.93+1045.98+5377.62+950.9+6004.09+4598.82</f>
        <v>18611.34</v>
      </c>
      <c r="L32" s="77">
        <f>633.93+1045.98+5377.62+950.9+6004.09</f>
        <v>14012.52</v>
      </c>
      <c r="M32" s="78">
        <f>K32-L32</f>
        <v>4598.82</v>
      </c>
      <c r="N32" s="100">
        <f>1+3+3+1+1+2+1</f>
        <v>12</v>
      </c>
      <c r="O32" s="81">
        <f>2299.8+15239.58+6152.75+2720.49+1483.38+7043.49+11175.04</f>
        <v>46114.530000000006</v>
      </c>
      <c r="P32" s="81">
        <f>2299.8+15239.58+6152.75+2720.49+1483.38+7043.49+11175.04</f>
        <v>46114.530000000006</v>
      </c>
      <c r="Q32" s="79">
        <f t="shared" si="2"/>
        <v>0</v>
      </c>
      <c r="R32" s="141"/>
    </row>
    <row r="33" spans="1:18" s="13" customFormat="1" x14ac:dyDescent="0.25">
      <c r="A33" s="229"/>
      <c r="B33" s="30" t="s">
        <v>31</v>
      </c>
      <c r="C33" s="181" t="s">
        <v>17</v>
      </c>
      <c r="D33" s="182"/>
      <c r="E33" s="183" t="s">
        <v>32</v>
      </c>
      <c r="F33" s="73" t="s">
        <v>422</v>
      </c>
      <c r="G33" s="235" t="s">
        <v>117</v>
      </c>
      <c r="H33" s="181">
        <v>9</v>
      </c>
      <c r="I33" s="231">
        <v>2</v>
      </c>
      <c r="J33" s="96">
        <v>2</v>
      </c>
      <c r="K33" s="77">
        <v>4073.2</v>
      </c>
      <c r="L33" s="77">
        <v>4073.2</v>
      </c>
      <c r="M33" s="187">
        <f t="shared" si="1"/>
        <v>0</v>
      </c>
      <c r="N33" s="100">
        <v>7</v>
      </c>
      <c r="O33" s="77">
        <v>13695.79</v>
      </c>
      <c r="P33" s="77">
        <v>13695.79</v>
      </c>
      <c r="Q33" s="232">
        <f t="shared" si="2"/>
        <v>0</v>
      </c>
    </row>
    <row r="34" spans="1:18" s="15" customFormat="1" x14ac:dyDescent="0.25">
      <c r="A34" s="229"/>
      <c r="B34" s="62" t="s">
        <v>33</v>
      </c>
      <c r="C34" s="181" t="s">
        <v>17</v>
      </c>
      <c r="D34" s="182"/>
      <c r="E34" s="183" t="s">
        <v>20</v>
      </c>
      <c r="F34" s="73" t="s">
        <v>332</v>
      </c>
      <c r="G34" s="74" t="s">
        <v>112</v>
      </c>
      <c r="H34" s="75">
        <v>8</v>
      </c>
      <c r="I34" s="76">
        <v>5</v>
      </c>
      <c r="J34" s="96">
        <f>1+1+1+1+1</f>
        <v>5</v>
      </c>
      <c r="K34" s="77">
        <f>845.245+5363.43+5912.72+845.24+12887.16</f>
        <v>25853.794999999998</v>
      </c>
      <c r="L34" s="77">
        <f>845.245+5363.43+5912.72+845.24</f>
        <v>12966.635</v>
      </c>
      <c r="M34" s="78">
        <f>K34-L34</f>
        <v>12887.159999999998</v>
      </c>
      <c r="N34" s="100">
        <f>2+1+1+1+1+2+1</f>
        <v>9</v>
      </c>
      <c r="O34" s="81">
        <f>845.24+1613.64+3380.96+3639.33+1152.6</f>
        <v>10631.77</v>
      </c>
      <c r="P34" s="81">
        <f>845.24+1613.64+3380.96+3639.33+1152.6</f>
        <v>10631.77</v>
      </c>
      <c r="Q34" s="79">
        <f t="shared" si="2"/>
        <v>0</v>
      </c>
      <c r="R34" s="141"/>
    </row>
    <row r="35" spans="1:18" s="15" customFormat="1" x14ac:dyDescent="0.25">
      <c r="A35" s="229"/>
      <c r="B35" s="62" t="s">
        <v>33</v>
      </c>
      <c r="C35" s="181" t="s">
        <v>17</v>
      </c>
      <c r="D35" s="182"/>
      <c r="E35" s="183" t="s">
        <v>20</v>
      </c>
      <c r="F35" s="73" t="s">
        <v>481</v>
      </c>
      <c r="G35" s="230" t="s">
        <v>114</v>
      </c>
      <c r="H35" s="181">
        <v>7</v>
      </c>
      <c r="I35" s="231"/>
      <c r="J35" s="190"/>
      <c r="K35" s="77"/>
      <c r="L35" s="77"/>
      <c r="M35" s="187">
        <f t="shared" si="1"/>
        <v>0</v>
      </c>
      <c r="N35" s="100">
        <v>15</v>
      </c>
      <c r="O35" s="224">
        <v>32944.949999999997</v>
      </c>
      <c r="P35" s="224">
        <v>25645.14</v>
      </c>
      <c r="Q35" s="232">
        <f t="shared" si="2"/>
        <v>7299.8099999999977</v>
      </c>
    </row>
    <row r="36" spans="1:18" s="15" customFormat="1" x14ac:dyDescent="0.25">
      <c r="A36" s="229"/>
      <c r="B36" s="62" t="s">
        <v>147</v>
      </c>
      <c r="C36" s="181" t="s">
        <v>17</v>
      </c>
      <c r="D36" s="182"/>
      <c r="E36" s="183" t="s">
        <v>29</v>
      </c>
      <c r="F36" s="73" t="s">
        <v>334</v>
      </c>
      <c r="G36" s="74" t="s">
        <v>112</v>
      </c>
      <c r="H36" s="75">
        <v>7</v>
      </c>
      <c r="I36" s="234">
        <v>1</v>
      </c>
      <c r="J36" s="96">
        <f>1+1</f>
        <v>2</v>
      </c>
      <c r="K36" s="77">
        <f>1854.88+2824.48</f>
        <v>4679.3600000000006</v>
      </c>
      <c r="L36" s="77">
        <f>1854.88+2824.48</f>
        <v>4679.3600000000006</v>
      </c>
      <c r="M36" s="78">
        <f>K36-L36</f>
        <v>0</v>
      </c>
      <c r="N36" s="114">
        <f>1+1+1</f>
        <v>3</v>
      </c>
      <c r="O36" s="81">
        <f>1394.65+2473.17+1961.49</f>
        <v>5829.31</v>
      </c>
      <c r="P36" s="81">
        <f>1394.65+2473.17+1961.49</f>
        <v>5829.31</v>
      </c>
      <c r="Q36" s="79">
        <f t="shared" si="2"/>
        <v>0</v>
      </c>
      <c r="R36" s="141"/>
    </row>
    <row r="37" spans="1:18" s="15" customFormat="1" x14ac:dyDescent="0.25">
      <c r="A37" s="229"/>
      <c r="B37" s="233" t="s">
        <v>147</v>
      </c>
      <c r="C37" s="181" t="s">
        <v>17</v>
      </c>
      <c r="D37" s="182"/>
      <c r="E37" s="183" t="s">
        <v>29</v>
      </c>
      <c r="F37" s="73" t="s">
        <v>423</v>
      </c>
      <c r="G37" s="230" t="s">
        <v>117</v>
      </c>
      <c r="H37" s="181">
        <v>5</v>
      </c>
      <c r="I37" s="231">
        <v>4</v>
      </c>
      <c r="J37" s="96">
        <v>4</v>
      </c>
      <c r="K37" s="77">
        <v>5241.5</v>
      </c>
      <c r="L37" s="77">
        <v>5241.5</v>
      </c>
      <c r="M37" s="187">
        <f t="shared" si="1"/>
        <v>0</v>
      </c>
      <c r="N37" s="100">
        <v>4</v>
      </c>
      <c r="O37" s="224">
        <v>4706.45</v>
      </c>
      <c r="P37" s="224">
        <v>4706.45</v>
      </c>
      <c r="Q37" s="232">
        <f t="shared" si="2"/>
        <v>0</v>
      </c>
    </row>
    <row r="38" spans="1:18" s="13" customFormat="1" x14ac:dyDescent="0.25">
      <c r="A38" s="229"/>
      <c r="B38" s="62" t="s">
        <v>34</v>
      </c>
      <c r="C38" s="181" t="s">
        <v>17</v>
      </c>
      <c r="D38" s="182"/>
      <c r="E38" s="194" t="s">
        <v>35</v>
      </c>
      <c r="F38" s="73" t="s">
        <v>335</v>
      </c>
      <c r="G38" s="74" t="s">
        <v>112</v>
      </c>
      <c r="H38" s="75">
        <v>20</v>
      </c>
      <c r="I38" s="76">
        <v>12</v>
      </c>
      <c r="J38" s="96">
        <f>4+2+2+7</f>
        <v>15</v>
      </c>
      <c r="K38" s="77">
        <f>8288.4+1267.86+845.24+13964.6+11418.26</f>
        <v>35784.36</v>
      </c>
      <c r="L38" s="77">
        <f>8288.4+1267.86+845.24+13964.6+11418.26</f>
        <v>35784.36</v>
      </c>
      <c r="M38" s="78">
        <f>K38-L38</f>
        <v>0</v>
      </c>
      <c r="N38" s="100">
        <f>4+4+6+1+3+1+3+1</f>
        <v>23</v>
      </c>
      <c r="O38" s="81">
        <f>23915.04+21171.88+6399.1+11460.81+1501.24</f>
        <v>64448.069999999992</v>
      </c>
      <c r="P38" s="81">
        <f>23915.04+21171.88+6399.1+11460.81</f>
        <v>62946.829999999994</v>
      </c>
      <c r="Q38" s="79">
        <f t="shared" si="2"/>
        <v>1501.239999999998</v>
      </c>
      <c r="R38" s="141"/>
    </row>
    <row r="39" spans="1:18" s="13" customFormat="1" x14ac:dyDescent="0.25">
      <c r="A39" s="229"/>
      <c r="B39" s="62" t="s">
        <v>34</v>
      </c>
      <c r="C39" s="181" t="s">
        <v>17</v>
      </c>
      <c r="D39" s="182"/>
      <c r="E39" s="194" t="s">
        <v>35</v>
      </c>
      <c r="F39" s="73" t="s">
        <v>424</v>
      </c>
      <c r="G39" s="235" t="s">
        <v>117</v>
      </c>
      <c r="H39" s="181">
        <v>2</v>
      </c>
      <c r="I39" s="231">
        <v>1</v>
      </c>
      <c r="J39" s="96">
        <v>2</v>
      </c>
      <c r="K39" s="77">
        <v>3842</v>
      </c>
      <c r="L39" s="77">
        <v>3842</v>
      </c>
      <c r="M39" s="187">
        <f t="shared" si="1"/>
        <v>0</v>
      </c>
      <c r="N39" s="100">
        <v>3</v>
      </c>
      <c r="O39" s="224">
        <v>9220.7999999999993</v>
      </c>
      <c r="P39" s="224">
        <v>9220.7999999999993</v>
      </c>
      <c r="Q39" s="232">
        <f t="shared" si="2"/>
        <v>0</v>
      </c>
    </row>
    <row r="40" spans="1:18" s="13" customFormat="1" x14ac:dyDescent="0.25">
      <c r="A40" s="229"/>
      <c r="B40" s="27" t="s">
        <v>36</v>
      </c>
      <c r="C40" s="181" t="s">
        <v>17</v>
      </c>
      <c r="D40" s="182"/>
      <c r="E40" s="194" t="s">
        <v>32</v>
      </c>
      <c r="F40" s="73" t="s">
        <v>336</v>
      </c>
      <c r="G40" s="74" t="s">
        <v>112</v>
      </c>
      <c r="H40" s="75">
        <v>19</v>
      </c>
      <c r="I40" s="76">
        <v>10</v>
      </c>
      <c r="J40" s="96">
        <f>1+3+4+2+2</f>
        <v>12</v>
      </c>
      <c r="K40" s="77">
        <f>2091.97+4201.22+3643.94+998.92</f>
        <v>10936.050000000001</v>
      </c>
      <c r="L40" s="77">
        <f>2091.97+4201.22+3643.94+998.92</f>
        <v>10936.050000000001</v>
      </c>
      <c r="M40" s="78">
        <f t="shared" si="1"/>
        <v>0</v>
      </c>
      <c r="N40" s="100">
        <f>4+2+5+1+1+4+1</f>
        <v>18</v>
      </c>
      <c r="O40" s="81">
        <f>26828.22+3116.2+14162+4691+13237.22</f>
        <v>62034.64</v>
      </c>
      <c r="P40" s="81">
        <f>26828.22+3116.2+14162+4691+13237.22</f>
        <v>62034.64</v>
      </c>
      <c r="Q40" s="79">
        <f t="shared" si="2"/>
        <v>0</v>
      </c>
      <c r="R40" s="141"/>
    </row>
    <row r="41" spans="1:18" s="13" customFormat="1" x14ac:dyDescent="0.25">
      <c r="A41" s="229"/>
      <c r="B41" s="27" t="s">
        <v>38</v>
      </c>
      <c r="C41" s="181" t="s">
        <v>17</v>
      </c>
      <c r="D41" s="182"/>
      <c r="E41" s="183" t="s">
        <v>20</v>
      </c>
      <c r="F41" s="73" t="s">
        <v>338</v>
      </c>
      <c r="G41" s="74" t="s">
        <v>112</v>
      </c>
      <c r="H41" s="75">
        <v>34</v>
      </c>
      <c r="I41" s="76">
        <v>24</v>
      </c>
      <c r="J41" s="96">
        <f>5+9+3+4+4+2+3+3</f>
        <v>33</v>
      </c>
      <c r="K41" s="77">
        <f>4427.07+14262.52+23391.74+11108.38+9141.17+3923.07</f>
        <v>66253.95</v>
      </c>
      <c r="L41" s="77">
        <f>4427.07+14262.52+23391.74+11108.38+9141.17+3923.07</f>
        <v>66253.95</v>
      </c>
      <c r="M41" s="78">
        <f t="shared" si="1"/>
        <v>0</v>
      </c>
      <c r="N41" s="100">
        <f>1+14+2+2+2+3</f>
        <v>24</v>
      </c>
      <c r="O41" s="81">
        <f>34449.99+27363.78+23604.86+16739.26+15240.34+16003.48</f>
        <v>133401.71</v>
      </c>
      <c r="P41" s="81">
        <f>34449.99+27363.78+23604.86+16739.26+15240.34+16003.48</f>
        <v>133401.71</v>
      </c>
      <c r="Q41" s="79">
        <f t="shared" si="2"/>
        <v>0</v>
      </c>
      <c r="R41" s="141"/>
    </row>
    <row r="42" spans="1:18" s="13" customFormat="1" x14ac:dyDescent="0.25">
      <c r="A42" s="229"/>
      <c r="B42" s="27" t="s">
        <v>38</v>
      </c>
      <c r="C42" s="181" t="s">
        <v>17</v>
      </c>
      <c r="D42" s="182"/>
      <c r="E42" s="183" t="s">
        <v>20</v>
      </c>
      <c r="F42" s="73" t="s">
        <v>268</v>
      </c>
      <c r="G42" s="230" t="s">
        <v>114</v>
      </c>
      <c r="H42" s="181"/>
      <c r="I42" s="231"/>
      <c r="J42" s="190"/>
      <c r="K42" s="77"/>
      <c r="L42" s="77"/>
      <c r="M42" s="187">
        <f t="shared" si="1"/>
        <v>0</v>
      </c>
      <c r="N42" s="100"/>
      <c r="O42" s="224"/>
      <c r="P42" s="224"/>
      <c r="Q42" s="232">
        <f t="shared" si="2"/>
        <v>0</v>
      </c>
    </row>
    <row r="43" spans="1:18" s="13" customFormat="1" x14ac:dyDescent="0.25">
      <c r="A43" s="229"/>
      <c r="B43" s="27" t="s">
        <v>38</v>
      </c>
      <c r="C43" s="181" t="s">
        <v>17</v>
      </c>
      <c r="D43" s="182"/>
      <c r="E43" s="183" t="s">
        <v>18</v>
      </c>
      <c r="F43" s="73" t="s">
        <v>324</v>
      </c>
      <c r="G43" s="230" t="s">
        <v>116</v>
      </c>
      <c r="H43" s="181">
        <v>3</v>
      </c>
      <c r="I43" s="231">
        <v>6</v>
      </c>
      <c r="J43" s="190">
        <v>6</v>
      </c>
      <c r="K43" s="77"/>
      <c r="L43" s="77"/>
      <c r="M43" s="187">
        <f t="shared" si="1"/>
        <v>0</v>
      </c>
      <c r="N43" s="100"/>
      <c r="O43" s="224"/>
      <c r="P43" s="224"/>
      <c r="Q43" s="232">
        <f t="shared" si="2"/>
        <v>0</v>
      </c>
    </row>
    <row r="44" spans="1:18" s="13" customFormat="1" x14ac:dyDescent="0.25">
      <c r="A44" s="229"/>
      <c r="B44" s="62" t="s">
        <v>39</v>
      </c>
      <c r="C44" s="181" t="s">
        <v>17</v>
      </c>
      <c r="D44" s="182"/>
      <c r="E44" s="183" t="s">
        <v>20</v>
      </c>
      <c r="F44" s="73" t="s">
        <v>269</v>
      </c>
      <c r="G44" s="230" t="s">
        <v>114</v>
      </c>
      <c r="H44" s="181"/>
      <c r="I44" s="231"/>
      <c r="J44" s="190"/>
      <c r="K44" s="77"/>
      <c r="L44" s="77"/>
      <c r="M44" s="187">
        <f t="shared" si="1"/>
        <v>0</v>
      </c>
      <c r="N44" s="100"/>
      <c r="O44" s="224"/>
      <c r="P44" s="224"/>
      <c r="Q44" s="232">
        <f t="shared" si="2"/>
        <v>0</v>
      </c>
    </row>
    <row r="45" spans="1:18" s="13" customFormat="1" x14ac:dyDescent="0.25">
      <c r="A45" s="229"/>
      <c r="B45" s="27" t="s">
        <v>40</v>
      </c>
      <c r="C45" s="181" t="s">
        <v>17</v>
      </c>
      <c r="D45" s="182"/>
      <c r="E45" s="194" t="s">
        <v>41</v>
      </c>
      <c r="F45" s="73" t="s">
        <v>339</v>
      </c>
      <c r="G45" s="74" t="s">
        <v>112</v>
      </c>
      <c r="H45" s="75">
        <v>17</v>
      </c>
      <c r="I45" s="76">
        <v>15</v>
      </c>
      <c r="J45" s="96">
        <f>1+1+3+9+4+4+3</f>
        <v>25</v>
      </c>
      <c r="K45" s="77">
        <f>1045.98+3271.86+15658.52+8166.35+6035.99+8024.36</f>
        <v>42203.06</v>
      </c>
      <c r="L45" s="77">
        <f>1045.98+3271.86+15658.52+8166.35+6035.99</f>
        <v>34178.699999999997</v>
      </c>
      <c r="M45" s="78">
        <f>K45-L45</f>
        <v>8024.3600000000006</v>
      </c>
      <c r="N45" s="100">
        <f>3+13+6+5+4+2+1</f>
        <v>34</v>
      </c>
      <c r="O45" s="81">
        <f>17269.31+39990.78+16582.12+23492.44+7068.31+4243.84</f>
        <v>108646.79999999999</v>
      </c>
      <c r="P45" s="81">
        <f>17269.31+39990.78+16582.12+23492.44+7068.31+4243.84</f>
        <v>108646.79999999999</v>
      </c>
      <c r="Q45" s="79">
        <f t="shared" si="2"/>
        <v>0</v>
      </c>
      <c r="R45" s="141"/>
    </row>
    <row r="46" spans="1:18" s="13" customFormat="1" x14ac:dyDescent="0.25">
      <c r="A46" s="229"/>
      <c r="B46" s="27" t="s">
        <v>40</v>
      </c>
      <c r="C46" s="181" t="s">
        <v>17</v>
      </c>
      <c r="D46" s="182"/>
      <c r="E46" s="194" t="s">
        <v>41</v>
      </c>
      <c r="F46" s="73" t="s">
        <v>482</v>
      </c>
      <c r="G46" s="230" t="s">
        <v>114</v>
      </c>
      <c r="H46" s="181"/>
      <c r="I46" s="231"/>
      <c r="J46" s="190"/>
      <c r="K46" s="77"/>
      <c r="L46" s="77"/>
      <c r="M46" s="187">
        <f t="shared" si="1"/>
        <v>0</v>
      </c>
      <c r="N46" s="100">
        <v>1</v>
      </c>
      <c r="O46" s="224">
        <v>3073.6</v>
      </c>
      <c r="P46" s="224">
        <f>3073.6</f>
        <v>3073.6</v>
      </c>
      <c r="Q46" s="232">
        <f t="shared" si="2"/>
        <v>0</v>
      </c>
    </row>
    <row r="47" spans="1:18" s="13" customFormat="1" x14ac:dyDescent="0.25">
      <c r="A47" s="229"/>
      <c r="B47" s="27" t="s">
        <v>148</v>
      </c>
      <c r="C47" s="181" t="s">
        <v>17</v>
      </c>
      <c r="D47" s="182"/>
      <c r="E47" s="183" t="s">
        <v>20</v>
      </c>
      <c r="F47" s="73" t="s">
        <v>340</v>
      </c>
      <c r="G47" s="74" t="s">
        <v>112</v>
      </c>
      <c r="H47" s="75">
        <v>16</v>
      </c>
      <c r="I47" s="82">
        <v>10</v>
      </c>
      <c r="J47" s="96">
        <f>1+2+1+4+4</f>
        <v>12</v>
      </c>
      <c r="K47" s="77">
        <f>537.88+2110.03+6723.98</f>
        <v>9371.89</v>
      </c>
      <c r="L47" s="77">
        <f>537.88+2110.03+6723.98</f>
        <v>9371.89</v>
      </c>
      <c r="M47" s="78">
        <f>K47-L47</f>
        <v>0</v>
      </c>
      <c r="N47" s="100">
        <f>6+5+3+1+1+1+1</f>
        <v>18</v>
      </c>
      <c r="O47" s="81">
        <f>9370.6+9456.38+8868.69+5367.27+11572.62</f>
        <v>44635.560000000005</v>
      </c>
      <c r="P47" s="81">
        <f>9370.6+9456.38+8868.69+5367.27+11572.62</f>
        <v>44635.560000000005</v>
      </c>
      <c r="Q47" s="79">
        <f t="shared" si="2"/>
        <v>0</v>
      </c>
      <c r="R47" s="141"/>
    </row>
    <row r="48" spans="1:18" s="13" customFormat="1" x14ac:dyDescent="0.25">
      <c r="A48" s="229"/>
      <c r="B48" s="27" t="s">
        <v>148</v>
      </c>
      <c r="C48" s="181" t="s">
        <v>17</v>
      </c>
      <c r="D48" s="182"/>
      <c r="E48" s="194" t="s">
        <v>32</v>
      </c>
      <c r="F48" s="73" t="s">
        <v>425</v>
      </c>
      <c r="G48" s="230" t="s">
        <v>117</v>
      </c>
      <c r="H48" s="181">
        <v>8</v>
      </c>
      <c r="I48" s="231">
        <v>1</v>
      </c>
      <c r="J48" s="96">
        <v>1</v>
      </c>
      <c r="K48" s="77">
        <v>1344.7</v>
      </c>
      <c r="L48" s="77">
        <v>1344.7</v>
      </c>
      <c r="M48" s="187">
        <f t="shared" si="1"/>
        <v>0</v>
      </c>
      <c r="N48" s="100">
        <v>4</v>
      </c>
      <c r="O48" s="224">
        <v>12851.49</v>
      </c>
      <c r="P48" s="224">
        <v>12851.49</v>
      </c>
      <c r="Q48" s="232">
        <f t="shared" si="2"/>
        <v>0</v>
      </c>
    </row>
    <row r="49" spans="1:18" s="13" customFormat="1" x14ac:dyDescent="0.25">
      <c r="A49" s="229"/>
      <c r="B49" s="30" t="s">
        <v>42</v>
      </c>
      <c r="C49" s="181" t="s">
        <v>17</v>
      </c>
      <c r="D49" s="182"/>
      <c r="E49" s="183" t="s">
        <v>23</v>
      </c>
      <c r="F49" s="73" t="s">
        <v>341</v>
      </c>
      <c r="G49" s="74" t="s">
        <v>112</v>
      </c>
      <c r="H49" s="75">
        <v>36</v>
      </c>
      <c r="I49" s="76">
        <v>20</v>
      </c>
      <c r="J49" s="96">
        <f>5+3+5+3+8+3</f>
        <v>27</v>
      </c>
      <c r="K49" s="77">
        <f>7156.22+3849.11+8154.25+4149.36+15912.38</f>
        <v>39221.32</v>
      </c>
      <c r="L49" s="77">
        <f>7156.22+3849.11+8154.25+4149.36+15912.38</f>
        <v>39221.32</v>
      </c>
      <c r="M49" s="78">
        <f>K49-L49</f>
        <v>0</v>
      </c>
      <c r="N49" s="100">
        <f>4+6+9+2+4+2+2+3+3</f>
        <v>35</v>
      </c>
      <c r="O49" s="81">
        <f>5364.2+26170.88+2849.25+18965.6+9565.56+9423.5</f>
        <v>72338.989999999991</v>
      </c>
      <c r="P49" s="81">
        <f>5364.2+26170.88+2849.25+18965.6+9565.56+9423.5</f>
        <v>72338.989999999991</v>
      </c>
      <c r="Q49" s="79">
        <f t="shared" si="2"/>
        <v>0</v>
      </c>
      <c r="R49" s="141"/>
    </row>
    <row r="50" spans="1:18" s="13" customFormat="1" x14ac:dyDescent="0.25">
      <c r="A50" s="229"/>
      <c r="B50" s="30" t="s">
        <v>42</v>
      </c>
      <c r="C50" s="181" t="s">
        <v>17</v>
      </c>
      <c r="D50" s="182"/>
      <c r="E50" s="183" t="s">
        <v>23</v>
      </c>
      <c r="F50" s="73" t="s">
        <v>437</v>
      </c>
      <c r="G50" s="230" t="s">
        <v>118</v>
      </c>
      <c r="H50" s="181">
        <v>2</v>
      </c>
      <c r="I50" s="231"/>
      <c r="J50" s="96"/>
      <c r="K50" s="77"/>
      <c r="L50" s="77"/>
      <c r="M50" s="187">
        <f t="shared" si="1"/>
        <v>0</v>
      </c>
      <c r="N50" s="100">
        <v>1</v>
      </c>
      <c r="O50" s="224">
        <v>7766.4</v>
      </c>
      <c r="P50" s="224">
        <v>7766.4</v>
      </c>
      <c r="Q50" s="232">
        <f t="shared" si="2"/>
        <v>0</v>
      </c>
    </row>
    <row r="51" spans="1:18" s="13" customFormat="1" x14ac:dyDescent="0.25">
      <c r="A51" s="229"/>
      <c r="B51" s="30" t="s">
        <v>173</v>
      </c>
      <c r="C51" s="181" t="s">
        <v>17</v>
      </c>
      <c r="D51" s="182"/>
      <c r="E51" s="230" t="s">
        <v>118</v>
      </c>
      <c r="F51" s="73" t="s">
        <v>342</v>
      </c>
      <c r="G51" s="74" t="s">
        <v>112</v>
      </c>
      <c r="H51" s="75">
        <v>4</v>
      </c>
      <c r="I51" s="76">
        <v>4</v>
      </c>
      <c r="J51" s="96">
        <f>1+2+1</f>
        <v>4</v>
      </c>
      <c r="K51" s="77">
        <f>6833.76+696.36</f>
        <v>7530.12</v>
      </c>
      <c r="L51" s="77">
        <f>6833.76+696.36</f>
        <v>7530.12</v>
      </c>
      <c r="M51" s="78">
        <f>K51-L51</f>
        <v>0</v>
      </c>
      <c r="N51" s="100">
        <f>4+2</f>
        <v>6</v>
      </c>
      <c r="O51" s="81">
        <f>5931.9+4183.92+3158.95</f>
        <v>13274.77</v>
      </c>
      <c r="P51" s="81">
        <f>5931.9+4183.92+3158.95</f>
        <v>13274.77</v>
      </c>
      <c r="Q51" s="79">
        <f t="shared" si="2"/>
        <v>0</v>
      </c>
      <c r="R51" s="141"/>
    </row>
    <row r="52" spans="1:18" s="13" customFormat="1" x14ac:dyDescent="0.25">
      <c r="A52" s="229"/>
      <c r="B52" s="62" t="s">
        <v>143</v>
      </c>
      <c r="C52" s="181" t="s">
        <v>64</v>
      </c>
      <c r="D52" s="182" t="s">
        <v>444</v>
      </c>
      <c r="E52" s="183" t="s">
        <v>20</v>
      </c>
      <c r="F52" s="73" t="s">
        <v>445</v>
      </c>
      <c r="G52" s="230" t="s">
        <v>114</v>
      </c>
      <c r="H52" s="181">
        <v>15</v>
      </c>
      <c r="I52" s="234">
        <v>3</v>
      </c>
      <c r="J52" s="190">
        <v>3</v>
      </c>
      <c r="K52" s="193">
        <v>4802.5</v>
      </c>
      <c r="L52" s="193">
        <v>4802.5</v>
      </c>
      <c r="M52" s="187">
        <f t="shared" si="1"/>
        <v>0</v>
      </c>
      <c r="N52" s="114">
        <v>18</v>
      </c>
      <c r="O52" s="224">
        <v>27390.400000000001</v>
      </c>
      <c r="P52" s="224">
        <v>27390.400000000001</v>
      </c>
      <c r="Q52" s="232">
        <f t="shared" si="2"/>
        <v>0</v>
      </c>
    </row>
    <row r="53" spans="1:18" s="13" customFormat="1" x14ac:dyDescent="0.25">
      <c r="A53" s="229"/>
      <c r="B53" s="30" t="s">
        <v>158</v>
      </c>
      <c r="C53" s="181" t="s">
        <v>17</v>
      </c>
      <c r="D53" s="182"/>
      <c r="E53" s="194" t="s">
        <v>32</v>
      </c>
      <c r="F53" s="73" t="s">
        <v>426</v>
      </c>
      <c r="G53" s="230" t="s">
        <v>117</v>
      </c>
      <c r="H53" s="181">
        <v>7</v>
      </c>
      <c r="I53" s="234">
        <v>4</v>
      </c>
      <c r="J53" s="190">
        <v>5</v>
      </c>
      <c r="K53" s="193">
        <v>9666.64</v>
      </c>
      <c r="L53" s="193">
        <v>9666.64</v>
      </c>
      <c r="M53" s="187">
        <f t="shared" si="1"/>
        <v>0</v>
      </c>
      <c r="N53" s="114">
        <v>4</v>
      </c>
      <c r="O53" s="224">
        <v>9789.2000000000007</v>
      </c>
      <c r="P53" s="224">
        <v>9789.2000000000007</v>
      </c>
      <c r="Q53" s="232">
        <f t="shared" si="2"/>
        <v>0</v>
      </c>
    </row>
    <row r="54" spans="1:18" s="15" customFormat="1" x14ac:dyDescent="0.25">
      <c r="A54" s="229"/>
      <c r="B54" s="62" t="s">
        <v>43</v>
      </c>
      <c r="C54" s="181" t="s">
        <v>17</v>
      </c>
      <c r="D54" s="182"/>
      <c r="E54" s="183" t="s">
        <v>18</v>
      </c>
      <c r="F54" s="73" t="s">
        <v>344</v>
      </c>
      <c r="G54" s="74" t="s">
        <v>112</v>
      </c>
      <c r="H54" s="75">
        <v>21</v>
      </c>
      <c r="I54" s="76">
        <v>15</v>
      </c>
      <c r="J54" s="96">
        <f>1+2+2+5+2+3+2</f>
        <v>17</v>
      </c>
      <c r="K54" s="77">
        <f>1776.93+926.88+3328.29+3172.19</f>
        <v>9204.2900000000009</v>
      </c>
      <c r="L54" s="77">
        <f>1776.93+926.88+3328.29+3172.19</f>
        <v>9204.2900000000009</v>
      </c>
      <c r="M54" s="78">
        <f>K54-L54</f>
        <v>0</v>
      </c>
      <c r="N54" s="100">
        <f>1+5+4+1+1+1+1</f>
        <v>14</v>
      </c>
      <c r="O54" s="81">
        <f>1223.8+3810.29+4959.02+10043.87+2769.48+2146.91+11926.24-1465.64</f>
        <v>35413.97</v>
      </c>
      <c r="P54" s="81">
        <f>1223.8+3810.29+4959.02+10043.87+2769.48+2146.91+11926.24-1465.64</f>
        <v>35413.97</v>
      </c>
      <c r="Q54" s="79">
        <f t="shared" si="2"/>
        <v>0</v>
      </c>
      <c r="R54" s="141"/>
    </row>
    <row r="55" spans="1:18" s="15" customFormat="1" ht="30" x14ac:dyDescent="0.25">
      <c r="A55" s="229"/>
      <c r="B55" s="62" t="s">
        <v>43</v>
      </c>
      <c r="C55" s="181" t="s">
        <v>304</v>
      </c>
      <c r="D55" s="182" t="s">
        <v>473</v>
      </c>
      <c r="E55" s="183" t="s">
        <v>18</v>
      </c>
      <c r="F55" s="73" t="s">
        <v>323</v>
      </c>
      <c r="G55" s="230" t="s">
        <v>113</v>
      </c>
      <c r="H55" s="181">
        <v>20</v>
      </c>
      <c r="I55" s="234">
        <v>12</v>
      </c>
      <c r="J55" s="98">
        <v>12</v>
      </c>
      <c r="K55" s="77">
        <v>16405</v>
      </c>
      <c r="L55" s="77">
        <v>16405</v>
      </c>
      <c r="M55" s="187">
        <f t="shared" si="1"/>
        <v>0</v>
      </c>
      <c r="N55" s="114">
        <v>13</v>
      </c>
      <c r="O55" s="224">
        <v>29954</v>
      </c>
      <c r="P55" s="224">
        <v>29954</v>
      </c>
      <c r="Q55" s="232">
        <f t="shared" si="2"/>
        <v>0</v>
      </c>
    </row>
    <row r="56" spans="1:18" s="13" customFormat="1" x14ac:dyDescent="0.25">
      <c r="A56" s="229"/>
      <c r="B56" s="30" t="s">
        <v>44</v>
      </c>
      <c r="C56" s="181" t="s">
        <v>17</v>
      </c>
      <c r="D56" s="182"/>
      <c r="E56" s="183" t="s">
        <v>20</v>
      </c>
      <c r="F56" s="73" t="s">
        <v>345</v>
      </c>
      <c r="G56" s="74" t="s">
        <v>112</v>
      </c>
      <c r="H56" s="75">
        <v>7</v>
      </c>
      <c r="I56" s="76">
        <v>6</v>
      </c>
      <c r="J56" s="96">
        <f>1+1+1+4</f>
        <v>7</v>
      </c>
      <c r="K56" s="77">
        <f>2422.38+1267.86+15410.58</f>
        <v>19100.82</v>
      </c>
      <c r="L56" s="77">
        <f>2422.38+1267.86+15410.58</f>
        <v>19100.82</v>
      </c>
      <c r="M56" s="78">
        <f>K56-L56</f>
        <v>0</v>
      </c>
      <c r="N56" s="100">
        <f>1+11</f>
        <v>12</v>
      </c>
      <c r="O56" s="81">
        <f>421.62+4603.39+10559.77+72902.04</f>
        <v>88486.819999999992</v>
      </c>
      <c r="P56" s="81">
        <f>421.62+4603.39+10559.77+72902.04</f>
        <v>88486.819999999992</v>
      </c>
      <c r="Q56" s="79">
        <f t="shared" si="2"/>
        <v>0</v>
      </c>
      <c r="R56" s="141"/>
    </row>
    <row r="57" spans="1:18" s="13" customFormat="1" x14ac:dyDescent="0.25">
      <c r="A57" s="229"/>
      <c r="B57" s="30" t="s">
        <v>44</v>
      </c>
      <c r="C57" s="181" t="s">
        <v>17</v>
      </c>
      <c r="D57" s="182"/>
      <c r="E57" s="183" t="s">
        <v>20</v>
      </c>
      <c r="F57" s="73" t="s">
        <v>483</v>
      </c>
      <c r="G57" s="230" t="s">
        <v>114</v>
      </c>
      <c r="H57" s="181"/>
      <c r="I57" s="231"/>
      <c r="J57" s="190"/>
      <c r="K57" s="77"/>
      <c r="L57" s="77"/>
      <c r="M57" s="187">
        <f t="shared" si="1"/>
        <v>0</v>
      </c>
      <c r="N57" s="100">
        <v>2</v>
      </c>
      <c r="O57" s="224">
        <v>6723.5</v>
      </c>
      <c r="P57" s="224">
        <v>6723.5</v>
      </c>
      <c r="Q57" s="232">
        <f t="shared" si="2"/>
        <v>0</v>
      </c>
    </row>
    <row r="58" spans="1:18" s="13" customFormat="1" x14ac:dyDescent="0.25">
      <c r="A58" s="229"/>
      <c r="B58" s="30" t="s">
        <v>492</v>
      </c>
      <c r="C58" s="181" t="s">
        <v>17</v>
      </c>
      <c r="D58" s="182"/>
      <c r="E58" s="183" t="s">
        <v>20</v>
      </c>
      <c r="F58" s="73" t="s">
        <v>499</v>
      </c>
      <c r="G58" s="230" t="s">
        <v>112</v>
      </c>
      <c r="H58" s="181">
        <v>9</v>
      </c>
      <c r="I58" s="231">
        <v>1</v>
      </c>
      <c r="J58" s="190">
        <f>1</f>
        <v>1</v>
      </c>
      <c r="K58" s="77">
        <f>1044.98</f>
        <v>1044.98</v>
      </c>
      <c r="L58" s="77">
        <f>1044.98</f>
        <v>1044.98</v>
      </c>
      <c r="M58" s="78">
        <f t="shared" si="1"/>
        <v>0</v>
      </c>
      <c r="N58" s="100"/>
      <c r="O58" s="224"/>
      <c r="P58" s="224"/>
      <c r="Q58" s="79">
        <f t="shared" si="2"/>
        <v>0</v>
      </c>
    </row>
    <row r="59" spans="1:18" s="13" customFormat="1" x14ac:dyDescent="0.25">
      <c r="A59" s="229"/>
      <c r="B59" s="27" t="s">
        <v>45</v>
      </c>
      <c r="C59" s="181" t="s">
        <v>17</v>
      </c>
      <c r="D59" s="182"/>
      <c r="E59" s="183" t="s">
        <v>20</v>
      </c>
      <c r="F59" s="73" t="s">
        <v>346</v>
      </c>
      <c r="G59" s="74" t="s">
        <v>112</v>
      </c>
      <c r="H59" s="75"/>
      <c r="I59" s="76"/>
      <c r="J59" s="96"/>
      <c r="K59" s="77"/>
      <c r="L59" s="77"/>
      <c r="M59" s="78">
        <f t="shared" si="1"/>
        <v>0</v>
      </c>
      <c r="N59" s="100">
        <f>1</f>
        <v>1</v>
      </c>
      <c r="O59" s="81">
        <f>17995.91+2729.8</f>
        <v>20725.71</v>
      </c>
      <c r="P59" s="81">
        <f>17995.91+2729.8</f>
        <v>20725.71</v>
      </c>
      <c r="Q59" s="79">
        <f t="shared" si="2"/>
        <v>0</v>
      </c>
      <c r="R59" s="141"/>
    </row>
    <row r="60" spans="1:18" s="13" customFormat="1" x14ac:dyDescent="0.25">
      <c r="A60" s="229"/>
      <c r="B60" s="27" t="s">
        <v>45</v>
      </c>
      <c r="C60" s="181" t="s">
        <v>17</v>
      </c>
      <c r="D60" s="182"/>
      <c r="E60" s="183" t="s">
        <v>20</v>
      </c>
      <c r="F60" s="73" t="s">
        <v>484</v>
      </c>
      <c r="G60" s="230" t="s">
        <v>114</v>
      </c>
      <c r="H60" s="181"/>
      <c r="I60" s="231"/>
      <c r="J60" s="190"/>
      <c r="K60" s="77"/>
      <c r="L60" s="77"/>
      <c r="M60" s="187">
        <f t="shared" si="1"/>
        <v>0</v>
      </c>
      <c r="N60" s="100"/>
      <c r="O60" s="224"/>
      <c r="P60" s="224"/>
      <c r="Q60" s="232">
        <f t="shared" si="2"/>
        <v>0</v>
      </c>
    </row>
    <row r="61" spans="1:18" s="15" customFormat="1" x14ac:dyDescent="0.25">
      <c r="A61" s="229"/>
      <c r="B61" s="27" t="s">
        <v>46</v>
      </c>
      <c r="C61" s="181" t="s">
        <v>17</v>
      </c>
      <c r="D61" s="182"/>
      <c r="E61" s="183" t="s">
        <v>20</v>
      </c>
      <c r="F61" s="73" t="s">
        <v>347</v>
      </c>
      <c r="G61" s="74" t="s">
        <v>112</v>
      </c>
      <c r="H61" s="75">
        <v>14</v>
      </c>
      <c r="I61" s="76">
        <v>12</v>
      </c>
      <c r="J61" s="96">
        <f>1+2+3+2+4+1+4+2</f>
        <v>19</v>
      </c>
      <c r="K61" s="77">
        <f>1045.98+1068.08+8157.32+1778.85+9152.67+11156.63</f>
        <v>32359.53</v>
      </c>
      <c r="L61" s="77">
        <f>1045.98+1068.08+8157.32+1778.85+9152.67</f>
        <v>21202.9</v>
      </c>
      <c r="M61" s="78">
        <f>K61-L61</f>
        <v>11156.629999999997</v>
      </c>
      <c r="N61" s="100">
        <f>4+4+1+1+1</f>
        <v>11</v>
      </c>
      <c r="O61" s="81">
        <f>10759.2+10685.34+7362.04</f>
        <v>28806.58</v>
      </c>
      <c r="P61" s="81">
        <f>10759.2+10685.34+7362.04</f>
        <v>28806.58</v>
      </c>
      <c r="Q61" s="79">
        <f t="shared" si="2"/>
        <v>0</v>
      </c>
      <c r="R61" s="141"/>
    </row>
    <row r="62" spans="1:18" s="15" customFormat="1" x14ac:dyDescent="0.25">
      <c r="A62" s="229"/>
      <c r="B62" s="27" t="s">
        <v>46</v>
      </c>
      <c r="C62" s="181" t="s">
        <v>17</v>
      </c>
      <c r="D62" s="182"/>
      <c r="E62" s="183" t="s">
        <v>20</v>
      </c>
      <c r="F62" s="73" t="s">
        <v>273</v>
      </c>
      <c r="G62" s="230" t="s">
        <v>114</v>
      </c>
      <c r="H62" s="181">
        <v>2</v>
      </c>
      <c r="I62" s="231">
        <v>1</v>
      </c>
      <c r="J62" s="190">
        <v>1</v>
      </c>
      <c r="K62" s="77">
        <v>576.29999999999995</v>
      </c>
      <c r="L62" s="77">
        <v>576.29999999999995</v>
      </c>
      <c r="M62" s="187">
        <f t="shared" si="1"/>
        <v>0</v>
      </c>
      <c r="N62" s="100">
        <v>3</v>
      </c>
      <c r="O62" s="224">
        <v>9356.9</v>
      </c>
      <c r="P62" s="224">
        <v>9356.9</v>
      </c>
      <c r="Q62" s="232">
        <f t="shared" si="2"/>
        <v>0</v>
      </c>
    </row>
    <row r="63" spans="1:18" s="13" customFormat="1" ht="45" x14ac:dyDescent="0.25">
      <c r="A63" s="229"/>
      <c r="B63" s="30" t="s">
        <v>47</v>
      </c>
      <c r="C63" s="181" t="s">
        <v>304</v>
      </c>
      <c r="D63" s="182" t="s">
        <v>474</v>
      </c>
      <c r="E63" s="183" t="s">
        <v>18</v>
      </c>
      <c r="F63" s="73" t="s">
        <v>348</v>
      </c>
      <c r="G63" s="74" t="s">
        <v>112</v>
      </c>
      <c r="H63" s="75">
        <v>39</v>
      </c>
      <c r="I63" s="76">
        <v>21</v>
      </c>
      <c r="J63" s="98">
        <f>1+1+3+21+7+2+5+2+7</f>
        <v>49</v>
      </c>
      <c r="K63" s="77">
        <f>30728.27+19236.99</f>
        <v>49965.26</v>
      </c>
      <c r="L63" s="77">
        <f>30728.27+19236.99</f>
        <v>49965.26</v>
      </c>
      <c r="M63" s="78">
        <f>K63-L63</f>
        <v>0</v>
      </c>
      <c r="N63" s="100">
        <f>7+3+4+10+6+1+2+1+3</f>
        <v>37</v>
      </c>
      <c r="O63" s="81">
        <f>8477.51+15159.83+14079.46+15414.2+17995.91+2065.56+1859.53+9543.86+1728.53+14526.84</f>
        <v>100851.23</v>
      </c>
      <c r="P63" s="81">
        <f>8477.51+15159.83+14079.46+15414.2+17995.91+2065.56+1859.53+9543.86+1728.53+14526.84</f>
        <v>100851.23</v>
      </c>
      <c r="Q63" s="79">
        <f t="shared" si="2"/>
        <v>0</v>
      </c>
      <c r="R63" s="141"/>
    </row>
    <row r="64" spans="1:18" s="13" customFormat="1" ht="45" x14ac:dyDescent="0.25">
      <c r="A64" s="229"/>
      <c r="B64" s="62" t="s">
        <v>120</v>
      </c>
      <c r="C64" s="181" t="s">
        <v>304</v>
      </c>
      <c r="D64" s="182" t="s">
        <v>474</v>
      </c>
      <c r="E64" s="183" t="s">
        <v>18</v>
      </c>
      <c r="F64" s="73" t="s">
        <v>334</v>
      </c>
      <c r="G64" s="230" t="s">
        <v>116</v>
      </c>
      <c r="H64" s="181">
        <v>25</v>
      </c>
      <c r="I64" s="234">
        <v>9</v>
      </c>
      <c r="J64" s="98">
        <v>11</v>
      </c>
      <c r="K64" s="77">
        <v>12583</v>
      </c>
      <c r="L64" s="77">
        <v>12583</v>
      </c>
      <c r="M64" s="78">
        <f t="shared" si="1"/>
        <v>0</v>
      </c>
      <c r="N64" s="100">
        <v>12</v>
      </c>
      <c r="O64" s="224">
        <v>47383</v>
      </c>
      <c r="P64" s="224">
        <v>45904</v>
      </c>
      <c r="Q64" s="232">
        <f t="shared" si="2"/>
        <v>1479</v>
      </c>
    </row>
    <row r="65" spans="1:18" s="13" customFormat="1" x14ac:dyDescent="0.25">
      <c r="A65" s="229"/>
      <c r="B65" s="30" t="s">
        <v>134</v>
      </c>
      <c r="C65" s="181" t="s">
        <v>17</v>
      </c>
      <c r="D65" s="182"/>
      <c r="E65" s="183" t="s">
        <v>20</v>
      </c>
      <c r="F65" s="73" t="s">
        <v>349</v>
      </c>
      <c r="G65" s="74" t="s">
        <v>112</v>
      </c>
      <c r="H65" s="75">
        <v>12</v>
      </c>
      <c r="I65" s="76">
        <v>10</v>
      </c>
      <c r="J65" s="96">
        <f>1+4+1+1+2</f>
        <v>9</v>
      </c>
      <c r="K65" s="77">
        <f>7301.48+1473.89+1911.09+1690.48+845.24+6268.51</f>
        <v>19490.689999999999</v>
      </c>
      <c r="L65" s="77">
        <f>7301.48+1473.89+1911.09+1690.48+845.24</f>
        <v>13222.179999999998</v>
      </c>
      <c r="M65" s="78">
        <f>K65-L65</f>
        <v>6268.51</v>
      </c>
      <c r="N65" s="100">
        <f>4+1+1+1</f>
        <v>7</v>
      </c>
      <c r="O65" s="81">
        <f>5020.05+3215.31+12312.39+4648.82+32425.98+7889.42</f>
        <v>65511.97</v>
      </c>
      <c r="P65" s="81">
        <f>5020.05+3215.31+12312.39+4648.82+32425.98+7889.42</f>
        <v>65511.97</v>
      </c>
      <c r="Q65" s="79">
        <f t="shared" si="2"/>
        <v>0</v>
      </c>
      <c r="R65" s="141"/>
    </row>
    <row r="66" spans="1:18" s="13" customFormat="1" x14ac:dyDescent="0.25">
      <c r="A66" s="229"/>
      <c r="B66" s="30" t="s">
        <v>134</v>
      </c>
      <c r="C66" s="181" t="s">
        <v>17</v>
      </c>
      <c r="D66" s="182"/>
      <c r="E66" s="183" t="s">
        <v>20</v>
      </c>
      <c r="F66" s="73" t="s">
        <v>456</v>
      </c>
      <c r="G66" s="230" t="s">
        <v>114</v>
      </c>
      <c r="H66" s="181">
        <v>17</v>
      </c>
      <c r="I66" s="231">
        <v>5</v>
      </c>
      <c r="J66" s="190">
        <v>5</v>
      </c>
      <c r="K66" s="77">
        <v>11641.8</v>
      </c>
      <c r="L66" s="77">
        <v>3688.32</v>
      </c>
      <c r="M66" s="187">
        <f t="shared" si="1"/>
        <v>7953.48</v>
      </c>
      <c r="N66" s="100">
        <v>27</v>
      </c>
      <c r="O66" s="224">
        <v>60189.9</v>
      </c>
      <c r="P66" s="224">
        <v>58148.9</v>
      </c>
      <c r="Q66" s="232">
        <f t="shared" si="2"/>
        <v>2041</v>
      </c>
    </row>
    <row r="67" spans="1:18" s="13" customFormat="1" x14ac:dyDescent="0.25">
      <c r="A67" s="229"/>
      <c r="B67" s="62" t="s">
        <v>48</v>
      </c>
      <c r="C67" s="181" t="s">
        <v>17</v>
      </c>
      <c r="D67" s="182"/>
      <c r="E67" s="183" t="s">
        <v>20</v>
      </c>
      <c r="F67" s="73" t="s">
        <v>350</v>
      </c>
      <c r="G67" s="74" t="s">
        <v>112</v>
      </c>
      <c r="H67" s="75">
        <v>12</v>
      </c>
      <c r="I67" s="76">
        <v>7</v>
      </c>
      <c r="J67" s="96">
        <f>1+1+2+1</f>
        <v>5</v>
      </c>
      <c r="K67" s="77">
        <f>4805.96+2585.78+3065.92+2588.55+14407.5</f>
        <v>27453.71</v>
      </c>
      <c r="L67" s="77">
        <f>4805.96+2585.78+3065.92+2588.55</f>
        <v>13046.21</v>
      </c>
      <c r="M67" s="78">
        <f t="shared" si="1"/>
        <v>14407.5</v>
      </c>
      <c r="N67" s="100">
        <f>2+1+2</f>
        <v>5</v>
      </c>
      <c r="O67" s="81">
        <f>23174.33+2535.72+11633.02+6993.42+20756.4</f>
        <v>65092.890000000007</v>
      </c>
      <c r="P67" s="81">
        <f>23174.33+2535.72+11633.02+6993.42+20756.4</f>
        <v>65092.890000000007</v>
      </c>
      <c r="Q67" s="79">
        <f t="shared" si="2"/>
        <v>0</v>
      </c>
      <c r="R67" s="141"/>
    </row>
    <row r="68" spans="1:18" s="13" customFormat="1" x14ac:dyDescent="0.25">
      <c r="A68" s="229"/>
      <c r="B68" s="62" t="s">
        <v>49</v>
      </c>
      <c r="C68" s="181" t="s">
        <v>17</v>
      </c>
      <c r="D68" s="182"/>
      <c r="E68" s="183" t="s">
        <v>50</v>
      </c>
      <c r="F68" s="73" t="s">
        <v>351</v>
      </c>
      <c r="G68" s="74" t="s">
        <v>112</v>
      </c>
      <c r="H68" s="75">
        <v>26</v>
      </c>
      <c r="I68" s="76">
        <v>15</v>
      </c>
      <c r="J68" s="96">
        <f>1+4+8+6</f>
        <v>19</v>
      </c>
      <c r="K68" s="77">
        <f>525.65+1267.86+6544.72+13939.57+1896.54</f>
        <v>24174.34</v>
      </c>
      <c r="L68" s="77">
        <f>525.65+1267.86+6544.72+13939.57</f>
        <v>22277.8</v>
      </c>
      <c r="M68" s="78">
        <f t="shared" si="1"/>
        <v>1896.5400000000009</v>
      </c>
      <c r="N68" s="100">
        <f>5+1+3+1</f>
        <v>10</v>
      </c>
      <c r="O68" s="81">
        <f>7374+1806.93+7275.53+4666.9+2684.03+6682.03</f>
        <v>30489.42</v>
      </c>
      <c r="P68" s="81">
        <f>7374+1806.93+7275.53+4666.9+2684.03</f>
        <v>23807.39</v>
      </c>
      <c r="Q68" s="232">
        <f t="shared" si="2"/>
        <v>6682.0299999999988</v>
      </c>
      <c r="R68" s="141"/>
    </row>
    <row r="69" spans="1:18" s="13" customFormat="1" x14ac:dyDescent="0.25">
      <c r="A69" s="229"/>
      <c r="B69" s="62" t="s">
        <v>49</v>
      </c>
      <c r="C69" s="181" t="s">
        <v>17</v>
      </c>
      <c r="D69" s="182"/>
      <c r="E69" s="183" t="s">
        <v>50</v>
      </c>
      <c r="F69" s="73" t="s">
        <v>427</v>
      </c>
      <c r="G69" s="230" t="s">
        <v>115</v>
      </c>
      <c r="H69" s="181">
        <v>10</v>
      </c>
      <c r="I69" s="231">
        <v>4</v>
      </c>
      <c r="J69" s="96">
        <v>4</v>
      </c>
      <c r="K69" s="77">
        <v>7514.63</v>
      </c>
      <c r="L69" s="77">
        <v>7514.63</v>
      </c>
      <c r="M69" s="187">
        <f t="shared" si="1"/>
        <v>0</v>
      </c>
      <c r="N69" s="100">
        <v>8</v>
      </c>
      <c r="O69" s="224">
        <v>11237.9</v>
      </c>
      <c r="P69" s="224">
        <v>11237.9</v>
      </c>
      <c r="Q69" s="79">
        <f t="shared" si="2"/>
        <v>0</v>
      </c>
    </row>
    <row r="70" spans="1:18" s="13" customFormat="1" x14ac:dyDescent="0.25">
      <c r="A70" s="229"/>
      <c r="B70" s="27" t="s">
        <v>51</v>
      </c>
      <c r="C70" s="181" t="s">
        <v>17</v>
      </c>
      <c r="D70" s="182"/>
      <c r="E70" s="183" t="s">
        <v>20</v>
      </c>
      <c r="F70" s="73" t="s">
        <v>186</v>
      </c>
      <c r="G70" s="74" t="s">
        <v>112</v>
      </c>
      <c r="H70" s="75"/>
      <c r="I70" s="76"/>
      <c r="J70" s="96"/>
      <c r="K70" s="77"/>
      <c r="L70" s="77"/>
      <c r="M70" s="78">
        <f>K70-L70</f>
        <v>0</v>
      </c>
      <c r="N70" s="100">
        <f>1</f>
        <v>1</v>
      </c>
      <c r="O70" s="81">
        <v>2451.87</v>
      </c>
      <c r="P70" s="81">
        <v>2451.87</v>
      </c>
      <c r="Q70" s="232">
        <f t="shared" si="2"/>
        <v>0</v>
      </c>
      <c r="R70" s="141"/>
    </row>
    <row r="71" spans="1:18" s="13" customFormat="1" x14ac:dyDescent="0.25">
      <c r="A71" s="229"/>
      <c r="B71" s="27" t="s">
        <v>51</v>
      </c>
      <c r="C71" s="181" t="s">
        <v>17</v>
      </c>
      <c r="D71" s="182"/>
      <c r="E71" s="183" t="s">
        <v>20</v>
      </c>
      <c r="F71" s="73" t="s">
        <v>276</v>
      </c>
      <c r="G71" s="230" t="s">
        <v>114</v>
      </c>
      <c r="H71" s="181"/>
      <c r="I71" s="231"/>
      <c r="J71" s="190"/>
      <c r="K71" s="77"/>
      <c r="L71" s="77"/>
      <c r="M71" s="187">
        <f t="shared" si="1"/>
        <v>0</v>
      </c>
      <c r="N71" s="100">
        <v>3</v>
      </c>
      <c r="O71" s="224">
        <v>6763.6</v>
      </c>
      <c r="P71" s="224">
        <v>6763.6</v>
      </c>
      <c r="Q71" s="232">
        <f t="shared" si="2"/>
        <v>0</v>
      </c>
    </row>
    <row r="72" spans="1:18" s="13" customFormat="1" x14ac:dyDescent="0.25">
      <c r="A72" s="229"/>
      <c r="B72" s="62" t="s">
        <v>52</v>
      </c>
      <c r="C72" s="181" t="s">
        <v>17</v>
      </c>
      <c r="D72" s="182"/>
      <c r="E72" s="183" t="s">
        <v>20</v>
      </c>
      <c r="F72" s="73" t="s">
        <v>352</v>
      </c>
      <c r="G72" s="74" t="s">
        <v>112</v>
      </c>
      <c r="H72" s="75">
        <v>10</v>
      </c>
      <c r="I72" s="76">
        <v>3</v>
      </c>
      <c r="J72" s="96">
        <f>1+1+1+1</f>
        <v>4</v>
      </c>
      <c r="K72" s="77">
        <f>10714.2+2747.14+2138.07</f>
        <v>15599.41</v>
      </c>
      <c r="L72" s="77">
        <f>10714.2+2747.14+2138.07</f>
        <v>15599.41</v>
      </c>
      <c r="M72" s="78">
        <f>K72-L72</f>
        <v>0</v>
      </c>
      <c r="N72" s="100">
        <f>4+3+1+1+2+3+1</f>
        <v>15</v>
      </c>
      <c r="O72" s="81">
        <f>5977.15+48296.91+7596.86+1061.83+8902.9+6856.31</f>
        <v>78691.960000000006</v>
      </c>
      <c r="P72" s="81">
        <f>5977.15+48296.91+7596.86+1061.83+8902.9+6856.31</f>
        <v>78691.960000000006</v>
      </c>
      <c r="Q72" s="232">
        <f t="shared" si="2"/>
        <v>0</v>
      </c>
      <c r="R72" s="141"/>
    </row>
    <row r="73" spans="1:18" s="13" customFormat="1" x14ac:dyDescent="0.25">
      <c r="A73" s="229"/>
      <c r="B73" s="62" t="s">
        <v>52</v>
      </c>
      <c r="C73" s="181" t="s">
        <v>17</v>
      </c>
      <c r="D73" s="182"/>
      <c r="E73" s="183" t="s">
        <v>20</v>
      </c>
      <c r="F73" s="73" t="s">
        <v>457</v>
      </c>
      <c r="G73" s="230" t="s">
        <v>114</v>
      </c>
      <c r="H73" s="181">
        <v>9</v>
      </c>
      <c r="I73" s="231">
        <v>2</v>
      </c>
      <c r="J73" s="190">
        <v>2</v>
      </c>
      <c r="K73" s="77">
        <v>1152.5999999999999</v>
      </c>
      <c r="L73" s="77">
        <v>1152.5999999999999</v>
      </c>
      <c r="M73" s="187">
        <f t="shared" si="1"/>
        <v>0</v>
      </c>
      <c r="N73" s="100">
        <v>20</v>
      </c>
      <c r="O73" s="224">
        <v>27349.86</v>
      </c>
      <c r="P73" s="224">
        <v>27349.86</v>
      </c>
      <c r="Q73" s="232">
        <f t="shared" si="2"/>
        <v>0</v>
      </c>
    </row>
    <row r="74" spans="1:18" s="13" customFormat="1" x14ac:dyDescent="0.25">
      <c r="A74" s="229"/>
      <c r="B74" s="27" t="s">
        <v>53</v>
      </c>
      <c r="C74" s="181" t="s">
        <v>17</v>
      </c>
      <c r="D74" s="182"/>
      <c r="E74" s="183" t="s">
        <v>20</v>
      </c>
      <c r="F74" s="73" t="s">
        <v>353</v>
      </c>
      <c r="G74" s="74" t="s">
        <v>112</v>
      </c>
      <c r="H74" s="75">
        <v>10</v>
      </c>
      <c r="I74" s="76">
        <v>6</v>
      </c>
      <c r="J74" s="96">
        <f>2+2+2</f>
        <v>6</v>
      </c>
      <c r="K74" s="77">
        <f>3655.66+6862.24+2535.72</f>
        <v>13053.619999999999</v>
      </c>
      <c r="L74" s="77">
        <f>3655.66+6862.24+2535.72</f>
        <v>13053.619999999999</v>
      </c>
      <c r="M74" s="78">
        <f t="shared" si="1"/>
        <v>0</v>
      </c>
      <c r="N74" s="100">
        <f>1+2+2+1+1</f>
        <v>7</v>
      </c>
      <c r="O74" s="81">
        <f>1743.3+3921.71+422.62+5626.45</f>
        <v>11714.08</v>
      </c>
      <c r="P74" s="81">
        <f>1743.3+3921.71+422.62+5626.45</f>
        <v>11714.08</v>
      </c>
      <c r="Q74" s="232">
        <f t="shared" si="2"/>
        <v>0</v>
      </c>
      <c r="R74" s="141"/>
    </row>
    <row r="75" spans="1:18" s="13" customFormat="1" x14ac:dyDescent="0.25">
      <c r="A75" s="229"/>
      <c r="B75" s="27" t="s">
        <v>149</v>
      </c>
      <c r="C75" s="181" t="s">
        <v>17</v>
      </c>
      <c r="D75" s="182"/>
      <c r="E75" s="183" t="s">
        <v>383</v>
      </c>
      <c r="F75" s="73" t="s">
        <v>354</v>
      </c>
      <c r="G75" s="74" t="s">
        <v>112</v>
      </c>
      <c r="H75" s="75">
        <v>32</v>
      </c>
      <c r="I75" s="76">
        <v>6</v>
      </c>
      <c r="J75" s="96">
        <f>7</f>
        <v>7</v>
      </c>
      <c r="K75" s="77">
        <f>7743.07</f>
        <v>7743.07</v>
      </c>
      <c r="L75" s="77"/>
      <c r="M75" s="78">
        <f t="shared" si="1"/>
        <v>7743.07</v>
      </c>
      <c r="N75" s="100">
        <f>2+2+2</f>
        <v>6</v>
      </c>
      <c r="O75" s="81">
        <f>3676.8+3431.65+6320.35</f>
        <v>13428.800000000001</v>
      </c>
      <c r="P75" s="81">
        <f>3676.8+3431.65</f>
        <v>7108.4500000000007</v>
      </c>
      <c r="Q75" s="79">
        <f t="shared" si="2"/>
        <v>6320.35</v>
      </c>
      <c r="R75" s="141"/>
    </row>
    <row r="76" spans="1:18" s="13" customFormat="1" x14ac:dyDescent="0.25">
      <c r="A76" s="229"/>
      <c r="B76" s="27" t="s">
        <v>149</v>
      </c>
      <c r="C76" s="181" t="s">
        <v>17</v>
      </c>
      <c r="D76" s="182"/>
      <c r="E76" s="183" t="s">
        <v>383</v>
      </c>
      <c r="F76" s="73" t="s">
        <v>438</v>
      </c>
      <c r="G76" s="230" t="s">
        <v>118</v>
      </c>
      <c r="H76" s="181">
        <v>8</v>
      </c>
      <c r="I76" s="234">
        <v>1</v>
      </c>
      <c r="J76" s="190">
        <v>1</v>
      </c>
      <c r="K76" s="193">
        <v>576.29999999999995</v>
      </c>
      <c r="L76" s="193">
        <v>576.29999999999995</v>
      </c>
      <c r="M76" s="78">
        <f t="shared" si="1"/>
        <v>0</v>
      </c>
      <c r="N76" s="114">
        <v>7</v>
      </c>
      <c r="O76" s="224">
        <v>9835.52</v>
      </c>
      <c r="P76" s="224">
        <v>9835.52</v>
      </c>
      <c r="Q76" s="232">
        <f t="shared" si="2"/>
        <v>0</v>
      </c>
    </row>
    <row r="77" spans="1:18" s="13" customFormat="1" x14ac:dyDescent="0.25">
      <c r="A77" s="229"/>
      <c r="B77" s="62" t="s">
        <v>107</v>
      </c>
      <c r="C77" s="181" t="s">
        <v>17</v>
      </c>
      <c r="D77" s="182"/>
      <c r="E77" s="194" t="s">
        <v>20</v>
      </c>
      <c r="F77" s="73" t="s">
        <v>355</v>
      </c>
      <c r="G77" s="74" t="s">
        <v>112</v>
      </c>
      <c r="H77" s="75">
        <v>10</v>
      </c>
      <c r="I77" s="76">
        <v>5</v>
      </c>
      <c r="J77" s="96">
        <f>1+3+3</f>
        <v>7</v>
      </c>
      <c r="K77" s="77">
        <f>666.63+7071.2+5333.38+13316.37+23091.24</f>
        <v>49478.820000000007</v>
      </c>
      <c r="L77" s="77">
        <f>666.63+7071.2+5333.38+13316.37</f>
        <v>26387.58</v>
      </c>
      <c r="M77" s="78">
        <f t="shared" si="1"/>
        <v>23091.240000000005</v>
      </c>
      <c r="N77" s="100">
        <f>2+6+1+1+2</f>
        <v>12</v>
      </c>
      <c r="O77" s="81">
        <f>7612.92+18804.48+9163.33+3260.98+6297.63</f>
        <v>45139.340000000004</v>
      </c>
      <c r="P77" s="81">
        <f>7612.92+18804.48+9163.33+3260.98+6297.63</f>
        <v>45139.340000000004</v>
      </c>
      <c r="Q77" s="79">
        <f t="shared" si="2"/>
        <v>0</v>
      </c>
      <c r="R77" s="141"/>
    </row>
    <row r="78" spans="1:18" s="13" customFormat="1" x14ac:dyDescent="0.25">
      <c r="A78" s="229"/>
      <c r="B78" s="30" t="s">
        <v>54</v>
      </c>
      <c r="C78" s="181" t="s">
        <v>17</v>
      </c>
      <c r="D78" s="182"/>
      <c r="E78" s="194" t="s">
        <v>20</v>
      </c>
      <c r="F78" s="73" t="s">
        <v>356</v>
      </c>
      <c r="G78" s="74" t="s">
        <v>112</v>
      </c>
      <c r="H78" s="75"/>
      <c r="I78" s="76"/>
      <c r="J78" s="96"/>
      <c r="K78" s="77"/>
      <c r="L78" s="77"/>
      <c r="M78" s="78">
        <f t="shared" si="1"/>
        <v>0</v>
      </c>
      <c r="N78" s="100">
        <f>4+1+1</f>
        <v>6</v>
      </c>
      <c r="O78" s="81">
        <f>17895.28+17443.73+5473.41</f>
        <v>40812.42</v>
      </c>
      <c r="P78" s="81">
        <f>17895.28+17443.73+5473.41</f>
        <v>40812.42</v>
      </c>
      <c r="Q78" s="79">
        <f t="shared" si="2"/>
        <v>0</v>
      </c>
      <c r="R78" s="141"/>
    </row>
    <row r="79" spans="1:18" s="13" customFormat="1" ht="30" x14ac:dyDescent="0.25">
      <c r="A79" s="229"/>
      <c r="B79" s="27" t="s">
        <v>55</v>
      </c>
      <c r="C79" s="181" t="s">
        <v>304</v>
      </c>
      <c r="D79" s="182" t="s">
        <v>387</v>
      </c>
      <c r="E79" s="183" t="s">
        <v>20</v>
      </c>
      <c r="F79" s="73" t="s">
        <v>357</v>
      </c>
      <c r="G79" s="74" t="s">
        <v>112</v>
      </c>
      <c r="H79" s="75">
        <v>16</v>
      </c>
      <c r="I79" s="76">
        <v>10</v>
      </c>
      <c r="J79" s="96">
        <f>3+1+1+2</f>
        <v>7</v>
      </c>
      <c r="K79" s="77">
        <f>1267.86+6667.8+5756.15+1180.38+4780.37</f>
        <v>19652.559999999998</v>
      </c>
      <c r="L79" s="77">
        <f>1267.86+6667.8+5756.15+1180.38</f>
        <v>14872.189999999999</v>
      </c>
      <c r="M79" s="78">
        <f t="shared" si="1"/>
        <v>4780.369999999999</v>
      </c>
      <c r="N79" s="100">
        <f>2+1+2+2+2+1+2+1</f>
        <v>13</v>
      </c>
      <c r="O79" s="81">
        <f>34854.19+2113.1+6430.67+5463.42+39145.22+2535.72+5132.44+12985.86</f>
        <v>108660.62000000001</v>
      </c>
      <c r="P79" s="81">
        <f>34854.19+2113.1+6430.67+5463.42+39145.22+2535.72+5132.44</f>
        <v>95674.760000000009</v>
      </c>
      <c r="Q79" s="232">
        <f t="shared" si="2"/>
        <v>12985.86</v>
      </c>
      <c r="R79" s="141"/>
    </row>
    <row r="80" spans="1:18" s="13" customFormat="1" ht="30" x14ac:dyDescent="0.25">
      <c r="A80" s="229"/>
      <c r="B80" s="62" t="s">
        <v>56</v>
      </c>
      <c r="C80" s="181" t="s">
        <v>17</v>
      </c>
      <c r="D80" s="182" t="s">
        <v>386</v>
      </c>
      <c r="E80" s="183" t="s">
        <v>18</v>
      </c>
      <c r="F80" s="73" t="s">
        <v>358</v>
      </c>
      <c r="G80" s="74" t="s">
        <v>112</v>
      </c>
      <c r="H80" s="75">
        <v>7</v>
      </c>
      <c r="I80" s="76">
        <v>4</v>
      </c>
      <c r="J80" s="96">
        <f>1+1+2</f>
        <v>4</v>
      </c>
      <c r="K80" s="77">
        <f>678.11+678.11+4865.7</f>
        <v>6221.92</v>
      </c>
      <c r="L80" s="77">
        <f>678.11+678.11+4865.7</f>
        <v>6221.92</v>
      </c>
      <c r="M80" s="78">
        <f t="shared" si="1"/>
        <v>0</v>
      </c>
      <c r="N80" s="100">
        <f>1</f>
        <v>1</v>
      </c>
      <c r="O80" s="81">
        <f>4395.5</f>
        <v>4395.5</v>
      </c>
      <c r="P80" s="81">
        <f>4395.5</f>
        <v>4395.5</v>
      </c>
      <c r="Q80" s="79">
        <f t="shared" si="2"/>
        <v>0</v>
      </c>
      <c r="R80" s="141"/>
    </row>
    <row r="81" spans="1:18" s="13" customFormat="1" ht="30" x14ac:dyDescent="0.25">
      <c r="A81" s="229"/>
      <c r="B81" s="62" t="s">
        <v>56</v>
      </c>
      <c r="C81" s="181" t="s">
        <v>304</v>
      </c>
      <c r="D81" s="182" t="s">
        <v>386</v>
      </c>
      <c r="E81" s="183" t="s">
        <v>18</v>
      </c>
      <c r="F81" s="73" t="s">
        <v>476</v>
      </c>
      <c r="G81" s="230" t="s">
        <v>113</v>
      </c>
      <c r="H81" s="181">
        <v>7</v>
      </c>
      <c r="I81" s="231">
        <v>3</v>
      </c>
      <c r="J81" s="96">
        <v>3</v>
      </c>
      <c r="K81" s="77">
        <v>4745</v>
      </c>
      <c r="L81" s="77">
        <v>4745</v>
      </c>
      <c r="M81" s="78">
        <f t="shared" si="1"/>
        <v>0</v>
      </c>
      <c r="N81" s="100"/>
      <c r="O81" s="224">
        <v>7612</v>
      </c>
      <c r="P81" s="224">
        <v>7612</v>
      </c>
      <c r="Q81" s="232">
        <f t="shared" ref="Q81:Q149" si="3">O81-P81</f>
        <v>0</v>
      </c>
    </row>
    <row r="82" spans="1:18" s="13" customFormat="1" x14ac:dyDescent="0.25">
      <c r="A82" s="229"/>
      <c r="B82" s="62" t="s">
        <v>156</v>
      </c>
      <c r="C82" s="181" t="s">
        <v>304</v>
      </c>
      <c r="D82" s="182"/>
      <c r="E82" s="183" t="s">
        <v>20</v>
      </c>
      <c r="F82" s="73" t="s">
        <v>359</v>
      </c>
      <c r="G82" s="74" t="s">
        <v>112</v>
      </c>
      <c r="H82" s="75">
        <v>4</v>
      </c>
      <c r="I82" s="76">
        <v>2</v>
      </c>
      <c r="J82" s="96">
        <f>2</f>
        <v>2</v>
      </c>
      <c r="K82" s="77">
        <f>1690.48+993.47</f>
        <v>2683.95</v>
      </c>
      <c r="L82" s="77">
        <f>1690.48+993.47</f>
        <v>2683.95</v>
      </c>
      <c r="M82" s="78">
        <f t="shared" si="1"/>
        <v>0</v>
      </c>
      <c r="N82" s="100">
        <f>3+1+1</f>
        <v>5</v>
      </c>
      <c r="O82" s="81">
        <f>5488.54+2398.37+422.62+1605.6</f>
        <v>9915.130000000001</v>
      </c>
      <c r="P82" s="81">
        <f>5488.54+2398.37+422.62</f>
        <v>8309.5300000000007</v>
      </c>
      <c r="Q82" s="79">
        <f t="shared" si="3"/>
        <v>1605.6000000000004</v>
      </c>
      <c r="R82" s="141"/>
    </row>
    <row r="83" spans="1:18" s="15" customFormat="1" x14ac:dyDescent="0.25">
      <c r="A83" s="229"/>
      <c r="B83" s="62" t="s">
        <v>57</v>
      </c>
      <c r="C83" s="181" t="s">
        <v>17</v>
      </c>
      <c r="D83" s="182"/>
      <c r="E83" s="183" t="s">
        <v>20</v>
      </c>
      <c r="F83" s="73" t="s">
        <v>360</v>
      </c>
      <c r="G83" s="74" t="s">
        <v>112</v>
      </c>
      <c r="H83" s="75">
        <v>6</v>
      </c>
      <c r="I83" s="76">
        <v>6</v>
      </c>
      <c r="J83" s="96">
        <f>2+1+1+2</f>
        <v>6</v>
      </c>
      <c r="K83" s="77">
        <f>806.82+1728.9+422.62+2958.34</f>
        <v>5916.68</v>
      </c>
      <c r="L83" s="77">
        <f>806.82+1728.9+422.62+2958.34</f>
        <v>5916.68</v>
      </c>
      <c r="M83" s="78">
        <f t="shared" si="1"/>
        <v>0</v>
      </c>
      <c r="N83" s="100">
        <f>2+1</f>
        <v>3</v>
      </c>
      <c r="O83" s="81">
        <f>2745.3</f>
        <v>2745.3</v>
      </c>
      <c r="P83" s="81">
        <f>2745.3</f>
        <v>2745.3</v>
      </c>
      <c r="Q83" s="232">
        <f t="shared" si="3"/>
        <v>0</v>
      </c>
      <c r="R83" s="141"/>
    </row>
    <row r="84" spans="1:18" s="15" customFormat="1" x14ac:dyDescent="0.25">
      <c r="A84" s="229"/>
      <c r="B84" s="62" t="s">
        <v>57</v>
      </c>
      <c r="C84" s="181" t="s">
        <v>17</v>
      </c>
      <c r="D84" s="182"/>
      <c r="E84" s="183" t="s">
        <v>20</v>
      </c>
      <c r="F84" s="73" t="s">
        <v>458</v>
      </c>
      <c r="G84" s="230" t="s">
        <v>114</v>
      </c>
      <c r="H84" s="181">
        <v>31</v>
      </c>
      <c r="I84" s="231">
        <v>5</v>
      </c>
      <c r="J84" s="190">
        <v>5</v>
      </c>
      <c r="K84" s="77">
        <v>8068.2</v>
      </c>
      <c r="L84" s="77">
        <v>5109.8599999999997</v>
      </c>
      <c r="M84" s="187">
        <f t="shared" si="1"/>
        <v>2958.34</v>
      </c>
      <c r="N84" s="100">
        <v>17</v>
      </c>
      <c r="O84" s="224">
        <v>38071.1</v>
      </c>
      <c r="P84" s="224">
        <v>38071.1</v>
      </c>
      <c r="Q84" s="232">
        <f t="shared" si="3"/>
        <v>0</v>
      </c>
    </row>
    <row r="85" spans="1:18" s="13" customFormat="1" x14ac:dyDescent="0.25">
      <c r="A85" s="229"/>
      <c r="B85" s="62" t="s">
        <v>58</v>
      </c>
      <c r="C85" s="181" t="s">
        <v>17</v>
      </c>
      <c r="D85" s="182"/>
      <c r="E85" s="183" t="s">
        <v>20</v>
      </c>
      <c r="F85" s="73" t="s">
        <v>361</v>
      </c>
      <c r="G85" s="74" t="s">
        <v>112</v>
      </c>
      <c r="H85" s="75">
        <v>7</v>
      </c>
      <c r="I85" s="76">
        <v>4</v>
      </c>
      <c r="J85" s="96">
        <f>1+2+1</f>
        <v>4</v>
      </c>
      <c r="K85" s="77">
        <f>1892.47+3118.94+422.62</f>
        <v>5434.03</v>
      </c>
      <c r="L85" s="77">
        <f>1892.47+3118.94+422.62</f>
        <v>5434.03</v>
      </c>
      <c r="M85" s="78">
        <f>K85-L85</f>
        <v>0</v>
      </c>
      <c r="N85" s="100">
        <f>1+1+3</f>
        <v>5</v>
      </c>
      <c r="O85" s="81">
        <f>9196.24+2480.78+2954.11+15214.32</f>
        <v>29845.45</v>
      </c>
      <c r="P85" s="81">
        <f>9196.24+2480.78+2954.11+15214.32</f>
        <v>29845.45</v>
      </c>
      <c r="Q85" s="232">
        <f t="shared" si="3"/>
        <v>0</v>
      </c>
      <c r="R85" s="141"/>
    </row>
    <row r="86" spans="1:18" s="13" customFormat="1" x14ac:dyDescent="0.25">
      <c r="A86" s="229"/>
      <c r="B86" s="62" t="s">
        <v>58</v>
      </c>
      <c r="C86" s="181" t="s">
        <v>17</v>
      </c>
      <c r="D86" s="182"/>
      <c r="E86" s="183" t="s">
        <v>20</v>
      </c>
      <c r="F86" s="73" t="s">
        <v>478</v>
      </c>
      <c r="G86" s="230" t="s">
        <v>114</v>
      </c>
      <c r="H86" s="181">
        <v>15</v>
      </c>
      <c r="I86" s="231">
        <v>2</v>
      </c>
      <c r="J86" s="190">
        <v>2</v>
      </c>
      <c r="K86" s="77">
        <v>3765.16</v>
      </c>
      <c r="L86" s="77">
        <v>3765.16</v>
      </c>
      <c r="M86" s="187">
        <f t="shared" si="1"/>
        <v>0</v>
      </c>
      <c r="N86" s="100">
        <v>21</v>
      </c>
      <c r="O86" s="224">
        <v>54215.77</v>
      </c>
      <c r="P86" s="224">
        <v>54215.77</v>
      </c>
      <c r="Q86" s="232">
        <f t="shared" si="3"/>
        <v>0</v>
      </c>
    </row>
    <row r="87" spans="1:18" s="13" customFormat="1" x14ac:dyDescent="0.25">
      <c r="A87" s="229"/>
      <c r="B87" s="62" t="s">
        <v>59</v>
      </c>
      <c r="C87" s="181" t="s">
        <v>17</v>
      </c>
      <c r="D87" s="182"/>
      <c r="E87" s="183" t="s">
        <v>20</v>
      </c>
      <c r="F87" s="73" t="s">
        <v>362</v>
      </c>
      <c r="G87" s="74" t="s">
        <v>112</v>
      </c>
      <c r="H87" s="75">
        <v>11</v>
      </c>
      <c r="I87" s="76">
        <v>8</v>
      </c>
      <c r="J87" s="96">
        <f>1+1+1+3+1+1</f>
        <v>8</v>
      </c>
      <c r="K87" s="77">
        <f>403.41+1431.16+845.24+998.92</f>
        <v>3678.7300000000005</v>
      </c>
      <c r="L87" s="77">
        <f>403.41+1431.16+845.24+998.92</f>
        <v>3678.7300000000005</v>
      </c>
      <c r="M87" s="78">
        <f>K87-L87</f>
        <v>0</v>
      </c>
      <c r="N87" s="100">
        <f>1+2+2+1+1+1</f>
        <v>8</v>
      </c>
      <c r="O87" s="81">
        <f>6646.05+1267.86+979.71</f>
        <v>8893.619999999999</v>
      </c>
      <c r="P87" s="81">
        <f>2353.23+5561.68+978.71</f>
        <v>8893.619999999999</v>
      </c>
      <c r="Q87" s="232">
        <f t="shared" si="3"/>
        <v>0</v>
      </c>
      <c r="R87" s="141"/>
    </row>
    <row r="88" spans="1:18" s="13" customFormat="1" x14ac:dyDescent="0.25">
      <c r="A88" s="229"/>
      <c r="B88" s="62" t="s">
        <v>59</v>
      </c>
      <c r="C88" s="181" t="s">
        <v>17</v>
      </c>
      <c r="D88" s="182"/>
      <c r="E88" s="183" t="s">
        <v>20</v>
      </c>
      <c r="F88" s="73" t="s">
        <v>128</v>
      </c>
      <c r="G88" s="230" t="s">
        <v>114</v>
      </c>
      <c r="H88" s="181"/>
      <c r="I88" s="231"/>
      <c r="J88" s="190"/>
      <c r="K88" s="77"/>
      <c r="L88" s="77"/>
      <c r="M88" s="187">
        <f t="shared" si="1"/>
        <v>0</v>
      </c>
      <c r="N88" s="100"/>
      <c r="O88" s="224"/>
      <c r="P88" s="224"/>
      <c r="Q88" s="232">
        <f t="shared" si="3"/>
        <v>0</v>
      </c>
    </row>
    <row r="89" spans="1:18" s="13" customFormat="1" x14ac:dyDescent="0.25">
      <c r="A89" s="229"/>
      <c r="B89" s="27" t="s">
        <v>60</v>
      </c>
      <c r="C89" s="181" t="s">
        <v>17</v>
      </c>
      <c r="D89" s="182"/>
      <c r="E89" s="183" t="s">
        <v>20</v>
      </c>
      <c r="F89" s="73" t="s">
        <v>364</v>
      </c>
      <c r="G89" s="74" t="s">
        <v>112</v>
      </c>
      <c r="H89" s="75">
        <v>16</v>
      </c>
      <c r="I89" s="76">
        <v>7</v>
      </c>
      <c r="J89" s="96">
        <f>1+1+1+4</f>
        <v>7</v>
      </c>
      <c r="K89" s="77">
        <f>634.93+893.27+2930.22</f>
        <v>4458.42</v>
      </c>
      <c r="L89" s="77">
        <f>634.93+893.27</f>
        <v>1528.1999999999998</v>
      </c>
      <c r="M89" s="78">
        <f>K89-L89</f>
        <v>2930.2200000000003</v>
      </c>
      <c r="N89" s="100">
        <f>4+1+3+1</f>
        <v>9</v>
      </c>
      <c r="O89" s="81">
        <f>15124.53+2065.75+8492.52</f>
        <v>25682.799999999999</v>
      </c>
      <c r="P89" s="81">
        <f>15124.53+2065.75+8492.52</f>
        <v>25682.799999999999</v>
      </c>
      <c r="Q89" s="232">
        <f t="shared" si="3"/>
        <v>0</v>
      </c>
      <c r="R89" s="141"/>
    </row>
    <row r="90" spans="1:18" s="13" customFormat="1" x14ac:dyDescent="0.25">
      <c r="A90" s="229"/>
      <c r="B90" s="27" t="s">
        <v>60</v>
      </c>
      <c r="C90" s="181" t="s">
        <v>17</v>
      </c>
      <c r="D90" s="182"/>
      <c r="E90" s="183" t="s">
        <v>20</v>
      </c>
      <c r="F90" s="73" t="s">
        <v>479</v>
      </c>
      <c r="G90" s="230" t="s">
        <v>114</v>
      </c>
      <c r="H90" s="181">
        <v>10</v>
      </c>
      <c r="I90" s="231">
        <v>2</v>
      </c>
      <c r="J90" s="190">
        <v>2</v>
      </c>
      <c r="K90" s="77">
        <v>5186.7</v>
      </c>
      <c r="L90" s="77">
        <v>2881.5</v>
      </c>
      <c r="M90" s="187">
        <f t="shared" si="1"/>
        <v>2305.1999999999998</v>
      </c>
      <c r="N90" s="100">
        <v>12</v>
      </c>
      <c r="O90" s="224">
        <v>41121.599999999999</v>
      </c>
      <c r="P90" s="224">
        <v>15864.4</v>
      </c>
      <c r="Q90" s="232">
        <f t="shared" si="3"/>
        <v>25257.199999999997</v>
      </c>
    </row>
    <row r="91" spans="1:18" s="13" customFormat="1" x14ac:dyDescent="0.25">
      <c r="A91" s="229"/>
      <c r="B91" s="27" t="s">
        <v>493</v>
      </c>
      <c r="C91" s="181" t="s">
        <v>17</v>
      </c>
      <c r="D91" s="182"/>
      <c r="E91" s="183" t="s">
        <v>20</v>
      </c>
      <c r="F91" s="73" t="s">
        <v>496</v>
      </c>
      <c r="G91" s="230" t="s">
        <v>112</v>
      </c>
      <c r="H91" s="181">
        <v>9</v>
      </c>
      <c r="I91" s="231">
        <v>5</v>
      </c>
      <c r="J91" s="190">
        <f>3+2+1</f>
        <v>6</v>
      </c>
      <c r="K91" s="77">
        <f>3387.04+3467.41+1267.86</f>
        <v>8122.3099999999995</v>
      </c>
      <c r="L91" s="77">
        <f>3387.04+3467.41+1267.86</f>
        <v>8122.3099999999995</v>
      </c>
      <c r="M91" s="78">
        <f t="shared" ref="M91:M160" si="4">K91-L91</f>
        <v>0</v>
      </c>
      <c r="N91" s="100"/>
      <c r="O91" s="224"/>
      <c r="P91" s="224"/>
      <c r="Q91" s="79"/>
    </row>
    <row r="92" spans="1:18" s="15" customFormat="1" x14ac:dyDescent="0.25">
      <c r="A92" s="229"/>
      <c r="B92" s="27" t="s">
        <v>61</v>
      </c>
      <c r="C92" s="181" t="s">
        <v>17</v>
      </c>
      <c r="D92" s="182"/>
      <c r="E92" s="183" t="s">
        <v>20</v>
      </c>
      <c r="F92" s="73" t="s">
        <v>363</v>
      </c>
      <c r="G92" s="74" t="s">
        <v>112</v>
      </c>
      <c r="H92" s="75"/>
      <c r="I92" s="76"/>
      <c r="J92" s="96"/>
      <c r="K92" s="77"/>
      <c r="L92" s="77"/>
      <c r="M92" s="78">
        <f t="shared" si="4"/>
        <v>0</v>
      </c>
      <c r="N92" s="100"/>
      <c r="O92" s="81"/>
      <c r="P92" s="81"/>
      <c r="Q92" s="232">
        <f t="shared" si="3"/>
        <v>0</v>
      </c>
      <c r="R92" s="141"/>
    </row>
    <row r="93" spans="1:18" s="15" customFormat="1" x14ac:dyDescent="0.25">
      <c r="A93" s="229"/>
      <c r="B93" s="27" t="s">
        <v>61</v>
      </c>
      <c r="C93" s="181" t="s">
        <v>17</v>
      </c>
      <c r="D93" s="182"/>
      <c r="E93" s="183" t="s">
        <v>20</v>
      </c>
      <c r="F93" s="73" t="s">
        <v>121</v>
      </c>
      <c r="G93" s="230" t="s">
        <v>114</v>
      </c>
      <c r="H93" s="181"/>
      <c r="I93" s="231"/>
      <c r="J93" s="190"/>
      <c r="K93" s="77"/>
      <c r="L93" s="77"/>
      <c r="M93" s="187">
        <f t="shared" si="4"/>
        <v>0</v>
      </c>
      <c r="N93" s="100"/>
      <c r="O93" s="224"/>
      <c r="P93" s="224"/>
      <c r="Q93" s="232">
        <f t="shared" si="3"/>
        <v>0</v>
      </c>
    </row>
    <row r="94" spans="1:18" s="15" customFormat="1" x14ac:dyDescent="0.25">
      <c r="A94" s="229"/>
      <c r="B94" s="236" t="s">
        <v>306</v>
      </c>
      <c r="C94" s="181" t="s">
        <v>17</v>
      </c>
      <c r="D94" s="182"/>
      <c r="E94" s="183" t="s">
        <v>35</v>
      </c>
      <c r="F94" s="73" t="s">
        <v>365</v>
      </c>
      <c r="G94" s="230" t="s">
        <v>112</v>
      </c>
      <c r="H94" s="181">
        <v>27</v>
      </c>
      <c r="I94" s="231">
        <v>16</v>
      </c>
      <c r="J94" s="190">
        <f>1+2+1+3+3+2+3+1</f>
        <v>16</v>
      </c>
      <c r="K94" s="77">
        <f>1045.98+2658.7+35696.14+4892.46+1024.04+2384.53+10793.24+5320.79+2075.24</f>
        <v>65891.12</v>
      </c>
      <c r="L94" s="77">
        <f>1045.98+2658.7+35696.14+4892.46+1024.04+2384.53+10793.24+5320.79</f>
        <v>63815.88</v>
      </c>
      <c r="M94" s="78">
        <f>K94-L94</f>
        <v>2075.239999999998</v>
      </c>
      <c r="N94" s="114">
        <f>7+2+2+2+1+1</f>
        <v>15</v>
      </c>
      <c r="O94" s="224">
        <f>2313.84+6162.57+2330.32+1690.48+3706.14+3107.65</f>
        <v>19311</v>
      </c>
      <c r="P94" s="224">
        <f>2313.84+6162.57+2330.32+1690.48+3706.14+3107.65</f>
        <v>19311</v>
      </c>
      <c r="Q94" s="232">
        <f t="shared" si="3"/>
        <v>0</v>
      </c>
      <c r="R94" s="141"/>
    </row>
    <row r="95" spans="1:18" s="13" customFormat="1" x14ac:dyDescent="0.25">
      <c r="A95" s="229"/>
      <c r="B95" s="62" t="s">
        <v>306</v>
      </c>
      <c r="C95" s="181" t="s">
        <v>17</v>
      </c>
      <c r="D95" s="182"/>
      <c r="E95" s="183" t="s">
        <v>27</v>
      </c>
      <c r="F95" s="73" t="s">
        <v>421</v>
      </c>
      <c r="G95" s="230" t="s">
        <v>117</v>
      </c>
      <c r="H95" s="181">
        <v>2</v>
      </c>
      <c r="I95" s="231"/>
      <c r="J95" s="96"/>
      <c r="K95" s="77"/>
      <c r="L95" s="77"/>
      <c r="M95" s="78">
        <f>K95-L95</f>
        <v>0</v>
      </c>
      <c r="N95" s="100"/>
      <c r="O95" s="77"/>
      <c r="P95" s="77"/>
      <c r="Q95" s="79">
        <f>O95-P95</f>
        <v>0</v>
      </c>
    </row>
    <row r="96" spans="1:18" s="13" customFormat="1" x14ac:dyDescent="0.25">
      <c r="A96" s="229"/>
      <c r="B96" s="27" t="s">
        <v>62</v>
      </c>
      <c r="C96" s="181" t="s">
        <v>17</v>
      </c>
      <c r="D96" s="182"/>
      <c r="E96" s="183" t="s">
        <v>35</v>
      </c>
      <c r="F96" s="73" t="s">
        <v>366</v>
      </c>
      <c r="G96" s="74" t="s">
        <v>112</v>
      </c>
      <c r="H96" s="75">
        <v>20</v>
      </c>
      <c r="I96" s="76">
        <v>9</v>
      </c>
      <c r="J96" s="96">
        <f>1+3+1+1+2</f>
        <v>8</v>
      </c>
      <c r="K96" s="77">
        <f>3613.4+1872.01+1394.65+3518.32</f>
        <v>10398.379999999999</v>
      </c>
      <c r="L96" s="77">
        <f>3613.4+1872.01+1394.65+3518.32</f>
        <v>10398.379999999999</v>
      </c>
      <c r="M96" s="78">
        <f>K96-L96</f>
        <v>0</v>
      </c>
      <c r="N96" s="100">
        <f>6+2+1+2+1+3</f>
        <v>15</v>
      </c>
      <c r="O96" s="81">
        <f>19511.33+1270.93+3979.74+2500.85+8530.18+845.24+12787.47</f>
        <v>49425.74</v>
      </c>
      <c r="P96" s="81">
        <f>19511.33+1270.93+3979.74+2500.85+8530.18+845.24+12787.47</f>
        <v>49425.74</v>
      </c>
      <c r="Q96" s="79">
        <f t="shared" si="3"/>
        <v>0</v>
      </c>
      <c r="R96" s="141"/>
    </row>
    <row r="97" spans="1:18" s="13" customFormat="1" x14ac:dyDescent="0.25">
      <c r="A97" s="229"/>
      <c r="B97" s="27" t="s">
        <v>62</v>
      </c>
      <c r="C97" s="181" t="s">
        <v>17</v>
      </c>
      <c r="D97" s="182"/>
      <c r="E97" s="183" t="s">
        <v>35</v>
      </c>
      <c r="F97" s="73" t="s">
        <v>428</v>
      </c>
      <c r="G97" s="230" t="s">
        <v>117</v>
      </c>
      <c r="H97" s="181">
        <v>2</v>
      </c>
      <c r="I97" s="231"/>
      <c r="J97" s="96"/>
      <c r="K97" s="77"/>
      <c r="L97" s="77"/>
      <c r="M97" s="78">
        <f t="shared" si="4"/>
        <v>0</v>
      </c>
      <c r="N97" s="100">
        <v>9</v>
      </c>
      <c r="O97" s="224">
        <v>22788.1</v>
      </c>
      <c r="P97" s="224">
        <v>22788.1</v>
      </c>
      <c r="Q97" s="232">
        <f t="shared" si="3"/>
        <v>0</v>
      </c>
    </row>
    <row r="98" spans="1:18" s="13" customFormat="1" x14ac:dyDescent="0.25">
      <c r="A98" s="229"/>
      <c r="B98" s="27" t="s">
        <v>63</v>
      </c>
      <c r="C98" s="181" t="s">
        <v>64</v>
      </c>
      <c r="D98" s="182" t="s">
        <v>65</v>
      </c>
      <c r="E98" s="183" t="s">
        <v>20</v>
      </c>
      <c r="F98" s="73" t="s">
        <v>480</v>
      </c>
      <c r="G98" s="230" t="s">
        <v>114</v>
      </c>
      <c r="H98" s="181"/>
      <c r="I98" s="231"/>
      <c r="J98" s="190"/>
      <c r="K98" s="77"/>
      <c r="L98" s="77"/>
      <c r="M98" s="187">
        <f t="shared" si="4"/>
        <v>0</v>
      </c>
      <c r="N98" s="100"/>
      <c r="O98" s="224"/>
      <c r="P98" s="224"/>
      <c r="Q98" s="232">
        <f t="shared" si="3"/>
        <v>0</v>
      </c>
    </row>
    <row r="99" spans="1:18" s="13" customFormat="1" x14ac:dyDescent="0.25">
      <c r="A99" s="229"/>
      <c r="B99" s="27" t="s">
        <v>155</v>
      </c>
      <c r="C99" s="181" t="s">
        <v>17</v>
      </c>
      <c r="D99" s="182"/>
      <c r="E99" s="183" t="s">
        <v>20</v>
      </c>
      <c r="F99" s="73" t="s">
        <v>367</v>
      </c>
      <c r="G99" s="74" t="s">
        <v>112</v>
      </c>
      <c r="H99" s="75">
        <v>9</v>
      </c>
      <c r="I99" s="82">
        <v>5</v>
      </c>
      <c r="J99" s="96">
        <f>1+2+3</f>
        <v>6</v>
      </c>
      <c r="K99" s="77">
        <f>3117.56+2266.78+5307.72</f>
        <v>10692.060000000001</v>
      </c>
      <c r="L99" s="77">
        <f>3117.56+2266.78+5307.72</f>
        <v>10692.060000000001</v>
      </c>
      <c r="M99" s="78">
        <f>K99-L99</f>
        <v>0</v>
      </c>
      <c r="N99" s="100">
        <f>1+1+1</f>
        <v>3</v>
      </c>
      <c r="O99" s="81">
        <f>1798.06+2123.67</f>
        <v>3921.73</v>
      </c>
      <c r="P99" s="81">
        <f>1798.06+2123.67</f>
        <v>3921.73</v>
      </c>
      <c r="Q99" s="232">
        <f t="shared" si="3"/>
        <v>0</v>
      </c>
      <c r="R99" s="141"/>
    </row>
    <row r="100" spans="1:18" s="13" customFormat="1" x14ac:dyDescent="0.25">
      <c r="A100" s="229"/>
      <c r="B100" s="27" t="s">
        <v>155</v>
      </c>
      <c r="C100" s="181" t="s">
        <v>17</v>
      </c>
      <c r="D100" s="182"/>
      <c r="E100" s="183" t="s">
        <v>20</v>
      </c>
      <c r="F100" s="73" t="s">
        <v>459</v>
      </c>
      <c r="G100" s="230" t="s">
        <v>114</v>
      </c>
      <c r="H100" s="181">
        <v>8</v>
      </c>
      <c r="I100" s="231">
        <v>4</v>
      </c>
      <c r="J100" s="190">
        <v>4</v>
      </c>
      <c r="K100" s="77">
        <v>6147.2</v>
      </c>
      <c r="L100" s="77">
        <v>4994.6000000000004</v>
      </c>
      <c r="M100" s="187">
        <f t="shared" ref="M100" si="5">K100-L100</f>
        <v>1152.5999999999995</v>
      </c>
      <c r="N100" s="100">
        <v>15</v>
      </c>
      <c r="O100" s="224">
        <v>33202.26</v>
      </c>
      <c r="P100" s="224">
        <v>27266.37</v>
      </c>
      <c r="Q100" s="232">
        <f t="shared" si="3"/>
        <v>5935.8900000000031</v>
      </c>
    </row>
    <row r="101" spans="1:18" s="13" customFormat="1" x14ac:dyDescent="0.25">
      <c r="A101" s="229"/>
      <c r="B101" s="30" t="s">
        <v>66</v>
      </c>
      <c r="C101" s="181" t="s">
        <v>17</v>
      </c>
      <c r="D101" s="182"/>
      <c r="E101" s="183" t="s">
        <v>21</v>
      </c>
      <c r="F101" s="73" t="s">
        <v>368</v>
      </c>
      <c r="G101" s="74" t="s">
        <v>112</v>
      </c>
      <c r="H101" s="75">
        <v>23</v>
      </c>
      <c r="I101" s="76">
        <v>14</v>
      </c>
      <c r="J101" s="96">
        <f>1+3+2+3+2+1+2+1+3</f>
        <v>18</v>
      </c>
      <c r="K101" s="77">
        <f>1045.98+4309.04+3820.12+1872.01+4253.49+3044.79+1191.19+4942.84+9299.2</f>
        <v>33778.660000000003</v>
      </c>
      <c r="L101" s="77">
        <f>1045.98+4309.04+3820.12+1872.01+4253.49+3044.79+1191.19+4942.84</f>
        <v>24479.46</v>
      </c>
      <c r="M101" s="78">
        <f>K101-L101</f>
        <v>9299.2000000000044</v>
      </c>
      <c r="N101" s="100">
        <f>6+3+8+7+1+1+1+2+1+1+1+1</f>
        <v>33</v>
      </c>
      <c r="O101" s="81">
        <f>11911.17+23136+18060.17+1977.84+2091.97+19535.65+19124.11+3199.71+4430.07</f>
        <v>103466.69</v>
      </c>
      <c r="P101" s="81">
        <f>11911.17+23136+18060.17+1977.84+2091.97+19535.65+19124.11+3199.71+4430.07</f>
        <v>103466.69</v>
      </c>
      <c r="Q101" s="232">
        <f t="shared" si="3"/>
        <v>0</v>
      </c>
      <c r="R101" s="141"/>
    </row>
    <row r="102" spans="1:18" s="13" customFormat="1" x14ac:dyDescent="0.25">
      <c r="A102" s="229"/>
      <c r="B102" s="30" t="s">
        <v>66</v>
      </c>
      <c r="C102" s="181" t="s">
        <v>17</v>
      </c>
      <c r="D102" s="182"/>
      <c r="E102" s="183" t="s">
        <v>21</v>
      </c>
      <c r="F102" s="73" t="s">
        <v>439</v>
      </c>
      <c r="G102" s="230" t="s">
        <v>118</v>
      </c>
      <c r="H102" s="181">
        <v>6</v>
      </c>
      <c r="I102" s="231">
        <v>1</v>
      </c>
      <c r="J102" s="96">
        <v>1</v>
      </c>
      <c r="K102" s="77">
        <v>1152.5999999999999</v>
      </c>
      <c r="L102" s="77">
        <v>1152.5999999999999</v>
      </c>
      <c r="M102" s="187">
        <f t="shared" si="4"/>
        <v>0</v>
      </c>
      <c r="N102" s="100">
        <v>16</v>
      </c>
      <c r="O102" s="224">
        <v>66871.69</v>
      </c>
      <c r="P102" s="224">
        <v>66871.69</v>
      </c>
      <c r="Q102" s="79">
        <f t="shared" si="3"/>
        <v>0</v>
      </c>
    </row>
    <row r="103" spans="1:18" s="13" customFormat="1" x14ac:dyDescent="0.25">
      <c r="A103" s="229"/>
      <c r="B103" s="62" t="s">
        <v>137</v>
      </c>
      <c r="C103" s="181" t="s">
        <v>17</v>
      </c>
      <c r="D103" s="182"/>
      <c r="E103" s="194" t="s">
        <v>35</v>
      </c>
      <c r="F103" s="73" t="s">
        <v>369</v>
      </c>
      <c r="G103" s="74" t="s">
        <v>112</v>
      </c>
      <c r="H103" s="75">
        <v>27</v>
      </c>
      <c r="I103" s="76">
        <v>15</v>
      </c>
      <c r="J103" s="96">
        <f>3+3+1+4+1+3</f>
        <v>15</v>
      </c>
      <c r="K103" s="77">
        <f>504.26+845.24+3380.96+422.62+2535.72</f>
        <v>7688.7999999999993</v>
      </c>
      <c r="L103" s="77">
        <f>504.26+845.24+3380.96+422.62+2535.72</f>
        <v>7688.7999999999993</v>
      </c>
      <c r="M103" s="78">
        <f>K103-L103</f>
        <v>0</v>
      </c>
      <c r="N103" s="100">
        <f>5+1+1+2+1</f>
        <v>10</v>
      </c>
      <c r="O103" s="81">
        <f>2617.36+422.62+3852.18+3380.96+422.62</f>
        <v>10695.74</v>
      </c>
      <c r="P103" s="81">
        <f>2617.36+422.62+3852.18+3380.96+422.62</f>
        <v>10695.74</v>
      </c>
      <c r="Q103" s="232">
        <f t="shared" si="3"/>
        <v>0</v>
      </c>
      <c r="R103" s="141"/>
    </row>
    <row r="104" spans="1:18" s="13" customFormat="1" x14ac:dyDescent="0.25">
      <c r="A104" s="229"/>
      <c r="B104" s="62" t="s">
        <v>137</v>
      </c>
      <c r="C104" s="181" t="s">
        <v>17</v>
      </c>
      <c r="D104" s="182"/>
      <c r="E104" s="194" t="s">
        <v>35</v>
      </c>
      <c r="F104" s="73" t="s">
        <v>429</v>
      </c>
      <c r="G104" s="230" t="s">
        <v>117</v>
      </c>
      <c r="H104" s="181">
        <v>2</v>
      </c>
      <c r="I104" s="231">
        <v>1</v>
      </c>
      <c r="J104" s="190">
        <v>1</v>
      </c>
      <c r="K104" s="193">
        <v>1921</v>
      </c>
      <c r="L104" s="193">
        <v>1921</v>
      </c>
      <c r="M104" s="78">
        <f t="shared" si="4"/>
        <v>0</v>
      </c>
      <c r="N104" s="114">
        <v>2</v>
      </c>
      <c r="O104" s="224">
        <v>10565.5</v>
      </c>
      <c r="P104" s="224">
        <v>10565.5</v>
      </c>
      <c r="Q104" s="79">
        <f t="shared" si="3"/>
        <v>0</v>
      </c>
    </row>
    <row r="105" spans="1:18" s="13" customFormat="1" x14ac:dyDescent="0.25">
      <c r="A105" s="229"/>
      <c r="B105" s="30" t="s">
        <v>67</v>
      </c>
      <c r="C105" s="181" t="s">
        <v>17</v>
      </c>
      <c r="D105" s="182"/>
      <c r="E105" s="194" t="s">
        <v>21</v>
      </c>
      <c r="F105" s="73" t="s">
        <v>370</v>
      </c>
      <c r="G105" s="74" t="s">
        <v>112</v>
      </c>
      <c r="H105" s="75">
        <v>24</v>
      </c>
      <c r="I105" s="76">
        <v>16</v>
      </c>
      <c r="J105" s="96">
        <f>2+1+1+2+1+1+2+2+1+2+5</f>
        <v>20</v>
      </c>
      <c r="K105" s="77">
        <f>3319.85+1198.9+864.45+7235.32+1947.89+5377.75+8701.73+3581.7+8737.54</f>
        <v>40965.130000000005</v>
      </c>
      <c r="L105" s="77">
        <f>3319.85+1198.9+864.45+7235.32+1947.89+5377.75+8701.73</f>
        <v>28645.89</v>
      </c>
      <c r="M105" s="78">
        <f>K105-L105</f>
        <v>12319.240000000005</v>
      </c>
      <c r="N105" s="100">
        <f>4+9+4+4+1+3+1+3+1+1+1</f>
        <v>32</v>
      </c>
      <c r="O105" s="81">
        <f>29696.65+38129.03+13567.9+20687.05+2022.79+8145.77+17250.05+1233.28+5568.04</f>
        <v>136300.56</v>
      </c>
      <c r="P105" s="81">
        <f>29696.65+38129.03+13567.9+20687.05+2022.79+8145.77+17250.05+1233.28</f>
        <v>130732.51999999999</v>
      </c>
      <c r="Q105" s="232">
        <f t="shared" si="3"/>
        <v>5568.0400000000081</v>
      </c>
      <c r="R105" s="141"/>
    </row>
    <row r="106" spans="1:18" s="13" customFormat="1" x14ac:dyDescent="0.25">
      <c r="A106" s="229"/>
      <c r="B106" s="30" t="s">
        <v>67</v>
      </c>
      <c r="C106" s="181" t="s">
        <v>17</v>
      </c>
      <c r="D106" s="182"/>
      <c r="E106" s="194" t="s">
        <v>21</v>
      </c>
      <c r="F106" s="73" t="s">
        <v>440</v>
      </c>
      <c r="G106" s="230" t="s">
        <v>118</v>
      </c>
      <c r="H106" s="181">
        <v>10</v>
      </c>
      <c r="I106" s="231">
        <v>1</v>
      </c>
      <c r="J106" s="96">
        <v>1</v>
      </c>
      <c r="K106" s="77">
        <v>3476.24</v>
      </c>
      <c r="L106" s="77">
        <v>3476.24</v>
      </c>
      <c r="M106" s="78">
        <f t="shared" si="4"/>
        <v>0</v>
      </c>
      <c r="N106" s="100">
        <v>12</v>
      </c>
      <c r="O106" s="224">
        <v>49443.59</v>
      </c>
      <c r="P106" s="224">
        <v>49443.59</v>
      </c>
      <c r="Q106" s="79">
        <f t="shared" si="3"/>
        <v>0</v>
      </c>
    </row>
    <row r="107" spans="1:18" s="13" customFormat="1" x14ac:dyDescent="0.25">
      <c r="A107" s="229"/>
      <c r="B107" s="30" t="s">
        <v>68</v>
      </c>
      <c r="C107" s="181" t="s">
        <v>17</v>
      </c>
      <c r="D107" s="182"/>
      <c r="E107" s="194" t="s">
        <v>32</v>
      </c>
      <c r="F107" s="73" t="s">
        <v>371</v>
      </c>
      <c r="G107" s="74" t="s">
        <v>112</v>
      </c>
      <c r="H107" s="75">
        <v>16</v>
      </c>
      <c r="I107" s="76">
        <v>14</v>
      </c>
      <c r="J107" s="96">
        <f>2+1+2+5+5</f>
        <v>15</v>
      </c>
      <c r="K107" s="77">
        <f>1128.59+422.62+1152.6+4557.81+10981.59</f>
        <v>18243.21</v>
      </c>
      <c r="L107" s="77">
        <f>1128.59+422.62+1152.6+4557.81+10981.59</f>
        <v>18243.21</v>
      </c>
      <c r="M107" s="78">
        <f>K107-L107</f>
        <v>0</v>
      </c>
      <c r="N107" s="100">
        <f>6+5+1+4+2+2</f>
        <v>20</v>
      </c>
      <c r="O107" s="81">
        <f>7813.73+8523.5+1452.28+12582.19+18077.76</f>
        <v>48449.459999999992</v>
      </c>
      <c r="P107" s="81">
        <f>7813.73+8523.5+1452.28+12582.19+18077.76</f>
        <v>48449.459999999992</v>
      </c>
      <c r="Q107" s="232">
        <f t="shared" si="3"/>
        <v>0</v>
      </c>
      <c r="R107" s="141"/>
    </row>
    <row r="108" spans="1:18" s="13" customFormat="1" x14ac:dyDescent="0.25">
      <c r="A108" s="229"/>
      <c r="B108" s="30" t="s">
        <v>68</v>
      </c>
      <c r="C108" s="181" t="s">
        <v>17</v>
      </c>
      <c r="D108" s="182"/>
      <c r="E108" s="194" t="s">
        <v>32</v>
      </c>
      <c r="F108" s="73" t="s">
        <v>430</v>
      </c>
      <c r="G108" s="235" t="s">
        <v>117</v>
      </c>
      <c r="H108" s="181">
        <v>2</v>
      </c>
      <c r="I108" s="231"/>
      <c r="J108" s="96"/>
      <c r="K108" s="77"/>
      <c r="L108" s="77"/>
      <c r="M108" s="78">
        <f t="shared" si="4"/>
        <v>0</v>
      </c>
      <c r="N108" s="100"/>
      <c r="O108" s="77"/>
      <c r="P108" s="77"/>
      <c r="Q108" s="79">
        <f t="shared" si="3"/>
        <v>0</v>
      </c>
    </row>
    <row r="109" spans="1:18" s="15" customFormat="1" x14ac:dyDescent="0.25">
      <c r="A109" s="229"/>
      <c r="B109" s="27" t="s">
        <v>69</v>
      </c>
      <c r="C109" s="181" t="s">
        <v>17</v>
      </c>
      <c r="D109" s="182"/>
      <c r="E109" s="183" t="s">
        <v>20</v>
      </c>
      <c r="F109" s="73" t="s">
        <v>372</v>
      </c>
      <c r="G109" s="74" t="s">
        <v>112</v>
      </c>
      <c r="H109" s="75">
        <v>5</v>
      </c>
      <c r="I109" s="76">
        <v>3</v>
      </c>
      <c r="J109" s="96">
        <f>1+1+1+1</f>
        <v>4</v>
      </c>
      <c r="K109" s="77">
        <f>422.62+17390.69+3114.71+475.45</f>
        <v>21403.469999999998</v>
      </c>
      <c r="L109" s="77">
        <f>422.62+17390.69+3114.71+475.45</f>
        <v>21403.469999999998</v>
      </c>
      <c r="M109" s="78">
        <f t="shared" si="4"/>
        <v>0</v>
      </c>
      <c r="N109" s="100">
        <f>3+2+1+1+1</f>
        <v>8</v>
      </c>
      <c r="O109" s="77">
        <f>7210.31+3647.96+1306.28+1267.86+2697.06</f>
        <v>16129.470000000001</v>
      </c>
      <c r="P109" s="77">
        <f>7210.31+3647.96+1306.28+1267.86+2697.06</f>
        <v>16129.470000000001</v>
      </c>
      <c r="Q109" s="232">
        <f t="shared" si="3"/>
        <v>0</v>
      </c>
      <c r="R109" s="141"/>
    </row>
    <row r="110" spans="1:18" s="15" customFormat="1" x14ac:dyDescent="0.25">
      <c r="A110" s="229"/>
      <c r="B110" s="236" t="s">
        <v>502</v>
      </c>
      <c r="C110" s="181"/>
      <c r="D110" s="182"/>
      <c r="E110" s="183"/>
      <c r="F110" s="73"/>
      <c r="G110" s="74" t="s">
        <v>112</v>
      </c>
      <c r="H110" s="75">
        <v>8</v>
      </c>
      <c r="I110" s="76">
        <v>4</v>
      </c>
      <c r="J110" s="96">
        <f>4</f>
        <v>4</v>
      </c>
      <c r="K110" s="77"/>
      <c r="L110" s="77"/>
      <c r="M110" s="78">
        <f t="shared" si="4"/>
        <v>0</v>
      </c>
      <c r="N110" s="100"/>
      <c r="O110" s="77"/>
      <c r="P110" s="77"/>
      <c r="Q110" s="232"/>
      <c r="R110" s="141"/>
    </row>
    <row r="111" spans="1:18" s="15" customFormat="1" x14ac:dyDescent="0.25">
      <c r="A111" s="229"/>
      <c r="B111" s="236" t="s">
        <v>502</v>
      </c>
      <c r="C111" s="181"/>
      <c r="D111" s="182"/>
      <c r="E111" s="183"/>
      <c r="F111" s="73"/>
      <c r="G111" s="235" t="s">
        <v>117</v>
      </c>
      <c r="H111" s="75">
        <v>3</v>
      </c>
      <c r="I111" s="76"/>
      <c r="J111" s="96"/>
      <c r="K111" s="77"/>
      <c r="L111" s="77"/>
      <c r="M111" s="187"/>
      <c r="N111" s="100"/>
      <c r="O111" s="77"/>
      <c r="P111" s="77"/>
      <c r="Q111" s="232"/>
      <c r="R111" s="141"/>
    </row>
    <row r="112" spans="1:18" s="13" customFormat="1" x14ac:dyDescent="0.25">
      <c r="A112" s="229"/>
      <c r="B112" s="62" t="s">
        <v>70</v>
      </c>
      <c r="C112" s="181" t="s">
        <v>17</v>
      </c>
      <c r="D112" s="182"/>
      <c r="E112" s="183" t="s">
        <v>20</v>
      </c>
      <c r="F112" s="73" t="s">
        <v>373</v>
      </c>
      <c r="G112" s="74" t="s">
        <v>112</v>
      </c>
      <c r="H112" s="75">
        <v>10</v>
      </c>
      <c r="I112" s="76">
        <v>8</v>
      </c>
      <c r="J112" s="96">
        <f>2+2+2+3</f>
        <v>9</v>
      </c>
      <c r="K112" s="77">
        <f>19498+3011.17+8156.45</f>
        <v>30665.62</v>
      </c>
      <c r="L112" s="77">
        <f>19498+3011.17</f>
        <v>22509.17</v>
      </c>
      <c r="M112" s="78">
        <f>K112-L112</f>
        <v>8156.4500000000007</v>
      </c>
      <c r="N112" s="100">
        <f>2+3+4+2</f>
        <v>11</v>
      </c>
      <c r="O112" s="81">
        <f>7606.2+16795.84</f>
        <v>24402.04</v>
      </c>
      <c r="P112" s="81">
        <f>7606.2+16795.84</f>
        <v>24402.04</v>
      </c>
      <c r="Q112" s="79">
        <f t="shared" si="3"/>
        <v>0</v>
      </c>
      <c r="R112" s="141"/>
    </row>
    <row r="113" spans="1:19" s="13" customFormat="1" x14ac:dyDescent="0.25">
      <c r="A113" s="229"/>
      <c r="B113" s="62" t="s">
        <v>70</v>
      </c>
      <c r="C113" s="181" t="s">
        <v>17</v>
      </c>
      <c r="D113" s="182"/>
      <c r="E113" s="183" t="s">
        <v>20</v>
      </c>
      <c r="F113" s="73" t="s">
        <v>460</v>
      </c>
      <c r="G113" s="230" t="s">
        <v>114</v>
      </c>
      <c r="H113" s="181">
        <v>30</v>
      </c>
      <c r="I113" s="231">
        <v>7</v>
      </c>
      <c r="J113" s="190">
        <v>7</v>
      </c>
      <c r="K113" s="77">
        <v>14541.97</v>
      </c>
      <c r="L113" s="77">
        <v>8971.07</v>
      </c>
      <c r="M113" s="187">
        <f t="shared" ref="M113" si="6">K113-L113</f>
        <v>5570.9</v>
      </c>
      <c r="N113" s="100">
        <v>31</v>
      </c>
      <c r="O113" s="224">
        <v>67328.240000000005</v>
      </c>
      <c r="P113" s="224">
        <v>60028.44</v>
      </c>
      <c r="Q113" s="232">
        <f t="shared" si="3"/>
        <v>7299.8000000000029</v>
      </c>
    </row>
    <row r="114" spans="1:19" s="15" customFormat="1" x14ac:dyDescent="0.25">
      <c r="A114" s="229"/>
      <c r="B114" s="62" t="s">
        <v>71</v>
      </c>
      <c r="C114" s="181" t="s">
        <v>17</v>
      </c>
      <c r="D114" s="182"/>
      <c r="E114" s="183" t="s">
        <v>32</v>
      </c>
      <c r="F114" s="73" t="s">
        <v>374</v>
      </c>
      <c r="G114" s="74" t="s">
        <v>112</v>
      </c>
      <c r="H114" s="75">
        <v>16</v>
      </c>
      <c r="I114" s="76">
        <v>10</v>
      </c>
      <c r="J114" s="96">
        <f>3+1+2+1+1+3</f>
        <v>11</v>
      </c>
      <c r="K114" s="77">
        <f>1536.8+461.04+1748.88+633.93+3169.65+2435.83</f>
        <v>9986.130000000001</v>
      </c>
      <c r="L114" s="77">
        <f>1536.8+461.04+1748.88+633.93+3169.65</f>
        <v>7550.3000000000011</v>
      </c>
      <c r="M114" s="78">
        <f>K114-L114</f>
        <v>2435.83</v>
      </c>
      <c r="N114" s="100">
        <f>3+2+1+1+2+1</f>
        <v>10</v>
      </c>
      <c r="O114" s="81">
        <f>9567.93+3616.67+403.41+14275.52+10922.18+12907.41</f>
        <v>51693.119999999995</v>
      </c>
      <c r="P114" s="81">
        <f>9567.93+3616.67+403.41+14275.52+10922.18</f>
        <v>38785.71</v>
      </c>
      <c r="Q114" s="79">
        <f t="shared" si="3"/>
        <v>12907.409999999996</v>
      </c>
      <c r="R114" s="141"/>
      <c r="S114" s="36"/>
    </row>
    <row r="115" spans="1:19" s="15" customFormat="1" x14ac:dyDescent="0.25">
      <c r="A115" s="229"/>
      <c r="B115" s="62" t="s">
        <v>71</v>
      </c>
      <c r="C115" s="181" t="s">
        <v>17</v>
      </c>
      <c r="D115" s="182"/>
      <c r="E115" s="183" t="s">
        <v>32</v>
      </c>
      <c r="F115" s="73" t="s">
        <v>431</v>
      </c>
      <c r="G115" s="230" t="s">
        <v>115</v>
      </c>
      <c r="H115" s="181">
        <v>6</v>
      </c>
      <c r="I115" s="231">
        <v>4</v>
      </c>
      <c r="J115" s="96">
        <v>4</v>
      </c>
      <c r="K115" s="237">
        <v>6627.45</v>
      </c>
      <c r="L115" s="237">
        <v>6627.45</v>
      </c>
      <c r="M115" s="187">
        <f t="shared" si="4"/>
        <v>0</v>
      </c>
      <c r="N115" s="114">
        <f>5</f>
        <v>5</v>
      </c>
      <c r="O115" s="77">
        <v>6595.5</v>
      </c>
      <c r="P115" s="77">
        <v>6595.5</v>
      </c>
      <c r="Q115" s="232">
        <f t="shared" si="3"/>
        <v>0</v>
      </c>
    </row>
    <row r="116" spans="1:19" s="13" customFormat="1" x14ac:dyDescent="0.25">
      <c r="A116" s="229"/>
      <c r="B116" s="62" t="s">
        <v>319</v>
      </c>
      <c r="C116" s="181" t="s">
        <v>17</v>
      </c>
      <c r="D116" s="182"/>
      <c r="E116" s="183" t="s">
        <v>20</v>
      </c>
      <c r="F116" s="73" t="s">
        <v>375</v>
      </c>
      <c r="G116" s="74" t="s">
        <v>112</v>
      </c>
      <c r="H116" s="75">
        <v>26</v>
      </c>
      <c r="I116" s="76">
        <v>15</v>
      </c>
      <c r="J116" s="96">
        <f>2+1+4+3+6+2</f>
        <v>18</v>
      </c>
      <c r="K116" s="77">
        <f>710.77+1523.35+6753.23+7215.52+1437.48+28056.52</f>
        <v>45696.869999999995</v>
      </c>
      <c r="L116" s="77">
        <f>710.77+1523.35+6753.23+7215.52+1437.48</f>
        <v>17640.349999999999</v>
      </c>
      <c r="M116" s="78">
        <f t="shared" si="4"/>
        <v>28056.519999999997</v>
      </c>
      <c r="N116" s="100">
        <f>3+1+2+1+2</f>
        <v>9</v>
      </c>
      <c r="O116" s="77">
        <f>13419.94+726.71+2846.77+3770.56+4653.31</f>
        <v>25417.290000000005</v>
      </c>
      <c r="P116" s="77">
        <f>13419.94+726.71+2846.77+3770.56</f>
        <v>20763.980000000003</v>
      </c>
      <c r="Q116" s="79">
        <f>O116-P116</f>
        <v>4653.3100000000013</v>
      </c>
      <c r="R116" s="141"/>
    </row>
    <row r="117" spans="1:19" s="15" customFormat="1" x14ac:dyDescent="0.25">
      <c r="A117" s="229"/>
      <c r="B117" s="62" t="s">
        <v>150</v>
      </c>
      <c r="C117" s="181" t="s">
        <v>17</v>
      </c>
      <c r="D117" s="182"/>
      <c r="E117" s="183" t="s">
        <v>35</v>
      </c>
      <c r="F117" s="73" t="s">
        <v>376</v>
      </c>
      <c r="G117" s="74" t="s">
        <v>112</v>
      </c>
      <c r="H117" s="75">
        <v>19</v>
      </c>
      <c r="I117" s="76">
        <v>7</v>
      </c>
      <c r="J117" s="96">
        <f>1+1+2+2+1</f>
        <v>7</v>
      </c>
      <c r="K117" s="77">
        <f>1343.65+384.2+1690.4+4889.84</f>
        <v>8308.09</v>
      </c>
      <c r="L117" s="77">
        <f>1343.65+384.2+1690.4+4889.84</f>
        <v>8308.09</v>
      </c>
      <c r="M117" s="78">
        <f t="shared" si="4"/>
        <v>0</v>
      </c>
      <c r="N117" s="114">
        <f>8+1+1+2+3+1+1+1</f>
        <v>18</v>
      </c>
      <c r="O117" s="77">
        <f>5997.32+3719.39+3054.34+13138.17+6578.46+6198.68</f>
        <v>38686.36</v>
      </c>
      <c r="P117" s="77">
        <f>5997.32+3719.39+3054.34+13138.17+6578.46+6198.68</f>
        <v>38686.36</v>
      </c>
      <c r="Q117" s="79">
        <f t="shared" si="3"/>
        <v>0</v>
      </c>
      <c r="R117" s="141"/>
    </row>
    <row r="118" spans="1:19" s="15" customFormat="1" x14ac:dyDescent="0.25">
      <c r="A118" s="229"/>
      <c r="B118" s="233" t="s">
        <v>150</v>
      </c>
      <c r="C118" s="181" t="s">
        <v>17</v>
      </c>
      <c r="D118" s="182"/>
      <c r="E118" s="183" t="s">
        <v>32</v>
      </c>
      <c r="F118" s="73" t="s">
        <v>487</v>
      </c>
      <c r="G118" s="230" t="s">
        <v>117</v>
      </c>
      <c r="H118" s="181">
        <v>2</v>
      </c>
      <c r="I118" s="231"/>
      <c r="J118" s="96"/>
      <c r="K118" s="77"/>
      <c r="L118" s="193"/>
      <c r="M118" s="187">
        <f t="shared" si="4"/>
        <v>0</v>
      </c>
      <c r="N118" s="100">
        <v>2</v>
      </c>
      <c r="O118" s="77">
        <v>8240.2000000000007</v>
      </c>
      <c r="P118" s="77">
        <v>8240.2000000000007</v>
      </c>
      <c r="Q118" s="232">
        <f t="shared" si="3"/>
        <v>0</v>
      </c>
    </row>
    <row r="119" spans="1:19" s="13" customFormat="1" x14ac:dyDescent="0.25">
      <c r="A119" s="229"/>
      <c r="B119" s="30" t="s">
        <v>72</v>
      </c>
      <c r="C119" s="181" t="s">
        <v>17</v>
      </c>
      <c r="D119" s="182"/>
      <c r="E119" s="183" t="s">
        <v>21</v>
      </c>
      <c r="F119" s="73" t="s">
        <v>377</v>
      </c>
      <c r="G119" s="74" t="s">
        <v>112</v>
      </c>
      <c r="H119" s="75">
        <v>17</v>
      </c>
      <c r="I119" s="76">
        <v>9</v>
      </c>
      <c r="J119" s="96">
        <f>1+1+1+1+6+2</f>
        <v>12</v>
      </c>
      <c r="K119" s="77">
        <f>633.93+1415.78+1610.18+1394.65+18140.86+2440.63</f>
        <v>25636.030000000002</v>
      </c>
      <c r="L119" s="77">
        <f>633.93+1415.78+1610.18+1394.65+18140.86</f>
        <v>23195.4</v>
      </c>
      <c r="M119" s="78">
        <f>K119-L119</f>
        <v>2440.630000000001</v>
      </c>
      <c r="N119" s="100">
        <f>1+3+1+1+1+3+1+3</f>
        <v>14</v>
      </c>
      <c r="O119" s="81">
        <f>1950.74+10237.13+6595.95+3861.21+1348.53+10328.94+50451.86-19567+15859.78</f>
        <v>81067.14</v>
      </c>
      <c r="P119" s="81">
        <f>1950.74+10237.13+6595.95+3861.21+1348.53+10328.94+50451.86-19567+15859.78</f>
        <v>81067.14</v>
      </c>
      <c r="Q119" s="79">
        <f t="shared" si="3"/>
        <v>0</v>
      </c>
      <c r="R119" s="141"/>
    </row>
    <row r="120" spans="1:19" s="13" customFormat="1" x14ac:dyDescent="0.25">
      <c r="A120" s="229"/>
      <c r="B120" s="30" t="s">
        <v>72</v>
      </c>
      <c r="C120" s="181" t="s">
        <v>17</v>
      </c>
      <c r="D120" s="182"/>
      <c r="E120" s="183" t="s">
        <v>21</v>
      </c>
      <c r="F120" s="73" t="s">
        <v>441</v>
      </c>
      <c r="G120" s="230" t="s">
        <v>118</v>
      </c>
      <c r="H120" s="181">
        <v>6</v>
      </c>
      <c r="I120" s="231">
        <v>1</v>
      </c>
      <c r="J120" s="96">
        <v>1</v>
      </c>
      <c r="K120" s="77">
        <v>1728.9</v>
      </c>
      <c r="L120" s="77">
        <v>1728.9</v>
      </c>
      <c r="M120" s="187">
        <f t="shared" si="4"/>
        <v>0</v>
      </c>
      <c r="N120" s="100">
        <v>13</v>
      </c>
      <c r="O120" s="224">
        <v>45577.03</v>
      </c>
      <c r="P120" s="224">
        <v>45577.03</v>
      </c>
      <c r="Q120" s="232">
        <f t="shared" si="3"/>
        <v>0</v>
      </c>
    </row>
    <row r="121" spans="1:19" s="15" customFormat="1" x14ac:dyDescent="0.25">
      <c r="A121" s="229"/>
      <c r="B121" s="30" t="s">
        <v>73</v>
      </c>
      <c r="C121" s="181" t="s">
        <v>17</v>
      </c>
      <c r="D121" s="182"/>
      <c r="E121" s="183" t="s">
        <v>74</v>
      </c>
      <c r="F121" s="73" t="s">
        <v>378</v>
      </c>
      <c r="G121" s="74" t="s">
        <v>112</v>
      </c>
      <c r="H121" s="75">
        <v>27</v>
      </c>
      <c r="I121" s="76">
        <v>23</v>
      </c>
      <c r="J121" s="96">
        <f>9+8+2+2+10+1</f>
        <v>32</v>
      </c>
      <c r="K121" s="77">
        <f>6305.33+12574.83+14899.84+13657.06</f>
        <v>47437.06</v>
      </c>
      <c r="L121" s="77">
        <f>6305.33+12574.83+14899.84</f>
        <v>33780</v>
      </c>
      <c r="M121" s="78">
        <f>K121-L121</f>
        <v>13657.059999999998</v>
      </c>
      <c r="N121" s="100">
        <f>5+3+3+1+1</f>
        <v>13</v>
      </c>
      <c r="O121" s="81">
        <f>5416.39+9506.99+12269.39+7610.68+1928.68</f>
        <v>36732.129999999997</v>
      </c>
      <c r="P121" s="81">
        <f>5416.39+9506.99+12269.39+7610.68+1928.68</f>
        <v>36732.129999999997</v>
      </c>
      <c r="Q121" s="79">
        <f t="shared" si="3"/>
        <v>0</v>
      </c>
      <c r="R121" s="141"/>
    </row>
    <row r="122" spans="1:19" s="15" customFormat="1" x14ac:dyDescent="0.25">
      <c r="A122" s="229"/>
      <c r="B122" s="30" t="s">
        <v>73</v>
      </c>
      <c r="C122" s="181" t="s">
        <v>17</v>
      </c>
      <c r="D122" s="182"/>
      <c r="E122" s="183" t="s">
        <v>74</v>
      </c>
      <c r="F122" s="73" t="s">
        <v>282</v>
      </c>
      <c r="G122" s="230" t="s">
        <v>114</v>
      </c>
      <c r="H122" s="181"/>
      <c r="I122" s="231"/>
      <c r="J122" s="190"/>
      <c r="K122" s="77"/>
      <c r="L122" s="77"/>
      <c r="M122" s="187">
        <f t="shared" ref="M122" si="7">K122-L122</f>
        <v>0</v>
      </c>
      <c r="N122" s="100">
        <v>1</v>
      </c>
      <c r="O122" s="224">
        <v>1728.9</v>
      </c>
      <c r="P122" s="224">
        <v>0</v>
      </c>
      <c r="Q122" s="232">
        <f t="shared" si="3"/>
        <v>1728.9</v>
      </c>
    </row>
    <row r="123" spans="1:19" s="13" customFormat="1" x14ac:dyDescent="0.25">
      <c r="A123" s="229"/>
      <c r="B123" s="30" t="s">
        <v>135</v>
      </c>
      <c r="C123" s="181" t="s">
        <v>17</v>
      </c>
      <c r="D123" s="182"/>
      <c r="E123" s="194" t="s">
        <v>35</v>
      </c>
      <c r="F123" s="73" t="s">
        <v>379</v>
      </c>
      <c r="G123" s="74" t="s">
        <v>112</v>
      </c>
      <c r="H123" s="75">
        <v>25</v>
      </c>
      <c r="I123" s="76">
        <v>17</v>
      </c>
      <c r="J123" s="96">
        <f>1+6+5+3+3</f>
        <v>18</v>
      </c>
      <c r="K123" s="77">
        <f>697.32+4374.12+5747.44+4426.94+15712.05</f>
        <v>30957.87</v>
      </c>
      <c r="L123" s="77">
        <f>697.32+4374.12+5747.44+1891.22</f>
        <v>12710.099999999999</v>
      </c>
      <c r="M123" s="78">
        <f>K123-L123</f>
        <v>18247.77</v>
      </c>
      <c r="N123" s="100">
        <f>2+5+1+2+2+2</f>
        <v>14</v>
      </c>
      <c r="O123" s="81">
        <f>6432.89+2283.68+4932.13</f>
        <v>13648.7</v>
      </c>
      <c r="P123" s="81">
        <f>6432.89+2283.68+4932.13</f>
        <v>13648.7</v>
      </c>
      <c r="Q123" s="232">
        <f t="shared" si="3"/>
        <v>0</v>
      </c>
      <c r="R123" s="141"/>
    </row>
    <row r="124" spans="1:19" s="13" customFormat="1" x14ac:dyDescent="0.25">
      <c r="A124" s="229"/>
      <c r="B124" s="30" t="s">
        <v>135</v>
      </c>
      <c r="C124" s="181" t="s">
        <v>17</v>
      </c>
      <c r="D124" s="182"/>
      <c r="E124" s="194" t="s">
        <v>35</v>
      </c>
      <c r="F124" s="73" t="s">
        <v>432</v>
      </c>
      <c r="G124" s="230" t="s">
        <v>115</v>
      </c>
      <c r="H124" s="181"/>
      <c r="I124" s="231"/>
      <c r="J124" s="96"/>
      <c r="K124" s="77"/>
      <c r="L124" s="77"/>
      <c r="M124" s="78">
        <f t="shared" si="4"/>
        <v>0</v>
      </c>
      <c r="N124" s="100">
        <v>1</v>
      </c>
      <c r="O124" s="224">
        <v>2689.4</v>
      </c>
      <c r="P124" s="224">
        <v>2689.4</v>
      </c>
      <c r="Q124" s="79">
        <f t="shared" si="3"/>
        <v>0</v>
      </c>
    </row>
    <row r="125" spans="1:19" s="13" customFormat="1" x14ac:dyDescent="0.25">
      <c r="A125" s="229"/>
      <c r="B125" s="30" t="s">
        <v>145</v>
      </c>
      <c r="C125" s="181" t="s">
        <v>17</v>
      </c>
      <c r="D125" s="182"/>
      <c r="E125" s="194" t="s">
        <v>20</v>
      </c>
      <c r="F125" s="73" t="s">
        <v>380</v>
      </c>
      <c r="G125" s="74" t="s">
        <v>112</v>
      </c>
      <c r="H125" s="75">
        <v>13</v>
      </c>
      <c r="I125" s="82">
        <v>6</v>
      </c>
      <c r="J125" s="96">
        <f>2+1+1+2+2</f>
        <v>8</v>
      </c>
      <c r="K125" s="77">
        <f>5169.72+1100+538.84+4293.82+3949.22+3361.76</f>
        <v>18413.36</v>
      </c>
      <c r="L125" s="77">
        <f>5169.72+1100+538.84+4293.82+3949.22+3361.76</f>
        <v>18413.36</v>
      </c>
      <c r="M125" s="78">
        <f>K125-L125</f>
        <v>0</v>
      </c>
      <c r="N125" s="100">
        <f>1+1+2+1</f>
        <v>5</v>
      </c>
      <c r="O125" s="81">
        <f>5120.23+3915.15+1114.12</f>
        <v>10149.5</v>
      </c>
      <c r="P125" s="81">
        <f>5120.23+3915.15+1114.12</f>
        <v>10149.5</v>
      </c>
      <c r="Q125" s="232">
        <f t="shared" si="3"/>
        <v>0</v>
      </c>
      <c r="R125" s="141"/>
    </row>
    <row r="126" spans="1:19" s="13" customFormat="1" x14ac:dyDescent="0.25">
      <c r="A126" s="229"/>
      <c r="B126" s="30" t="s">
        <v>145</v>
      </c>
      <c r="C126" s="181" t="s">
        <v>17</v>
      </c>
      <c r="D126" s="182"/>
      <c r="E126" s="194" t="s">
        <v>20</v>
      </c>
      <c r="F126" s="73" t="s">
        <v>461</v>
      </c>
      <c r="G126" s="230" t="s">
        <v>114</v>
      </c>
      <c r="H126" s="181">
        <v>4</v>
      </c>
      <c r="I126" s="231">
        <v>1</v>
      </c>
      <c r="J126" s="190">
        <v>1</v>
      </c>
      <c r="K126" s="77"/>
      <c r="L126" s="77"/>
      <c r="M126" s="187">
        <f t="shared" ref="M126" si="8">K126-L126</f>
        <v>0</v>
      </c>
      <c r="N126" s="100">
        <v>10</v>
      </c>
      <c r="O126" s="224">
        <v>19379.400000000001</v>
      </c>
      <c r="P126" s="224">
        <v>19379.400000000001</v>
      </c>
      <c r="Q126" s="232">
        <f t="shared" si="3"/>
        <v>0</v>
      </c>
    </row>
    <row r="127" spans="1:19" s="13" customFormat="1" x14ac:dyDescent="0.25">
      <c r="A127" s="229"/>
      <c r="B127" s="62" t="s">
        <v>76</v>
      </c>
      <c r="C127" s="181" t="s">
        <v>17</v>
      </c>
      <c r="D127" s="182"/>
      <c r="E127" s="183" t="s">
        <v>20</v>
      </c>
      <c r="F127" s="73" t="s">
        <v>381</v>
      </c>
      <c r="G127" s="74" t="s">
        <v>112</v>
      </c>
      <c r="H127" s="75">
        <v>21</v>
      </c>
      <c r="I127" s="76">
        <v>13</v>
      </c>
      <c r="J127" s="96">
        <f>1+6+3+1+3+1+2</f>
        <v>17</v>
      </c>
      <c r="K127" s="77">
        <f>6556.06+2806.39+2697.06+1267.86+11775.51+1557.35+2113.1</f>
        <v>28773.329999999998</v>
      </c>
      <c r="L127" s="77">
        <f>6556.06+2806.39+2697.06+1267.86+11775.51+1557.35+2113.1</f>
        <v>28773.329999999998</v>
      </c>
      <c r="M127" s="78">
        <f>K127-L127</f>
        <v>0</v>
      </c>
      <c r="N127" s="100">
        <f>5+6+2+1+1</f>
        <v>15</v>
      </c>
      <c r="O127" s="81">
        <f>11527.9+19846.52+1011.91+9641+2451.87+10072.83+11307.66+2243.83</f>
        <v>68103.520000000004</v>
      </c>
      <c r="P127" s="81">
        <f>11527.9+19846.52+1011.91+9641+2451.87+10072.83+11307.66+2243.83</f>
        <v>68103.520000000004</v>
      </c>
      <c r="Q127" s="232">
        <f t="shared" si="3"/>
        <v>0</v>
      </c>
      <c r="R127" s="141"/>
    </row>
    <row r="128" spans="1:19" s="13" customFormat="1" x14ac:dyDescent="0.25">
      <c r="A128" s="229"/>
      <c r="B128" s="62" t="s">
        <v>76</v>
      </c>
      <c r="C128" s="181" t="s">
        <v>17</v>
      </c>
      <c r="D128" s="182"/>
      <c r="E128" s="183" t="s">
        <v>20</v>
      </c>
      <c r="F128" s="73" t="s">
        <v>462</v>
      </c>
      <c r="G128" s="230" t="s">
        <v>114</v>
      </c>
      <c r="H128" s="181">
        <v>9</v>
      </c>
      <c r="I128" s="231">
        <v>1</v>
      </c>
      <c r="J128" s="190">
        <v>1</v>
      </c>
      <c r="K128" s="77">
        <v>2113.1</v>
      </c>
      <c r="L128" s="77">
        <v>2113.1</v>
      </c>
      <c r="M128" s="187">
        <f t="shared" ref="M128" si="9">K128-L128</f>
        <v>0</v>
      </c>
      <c r="N128" s="100">
        <v>8</v>
      </c>
      <c r="O128" s="224">
        <v>27398.29</v>
      </c>
      <c r="P128" s="224">
        <v>27398.29</v>
      </c>
      <c r="Q128" s="232">
        <f t="shared" si="3"/>
        <v>0</v>
      </c>
    </row>
    <row r="129" spans="1:18" s="13" customFormat="1" x14ac:dyDescent="0.25">
      <c r="A129" s="229"/>
      <c r="B129" s="30" t="s">
        <v>77</v>
      </c>
      <c r="C129" s="181" t="s">
        <v>17</v>
      </c>
      <c r="D129" s="182"/>
      <c r="E129" s="183" t="s">
        <v>32</v>
      </c>
      <c r="F129" s="73" t="s">
        <v>388</v>
      </c>
      <c r="G129" s="74" t="s">
        <v>112</v>
      </c>
      <c r="H129" s="75">
        <v>13</v>
      </c>
      <c r="I129" s="76">
        <v>8</v>
      </c>
      <c r="J129" s="96">
        <f>2+2+2+6+1</f>
        <v>13</v>
      </c>
      <c r="K129" s="77">
        <f>2440.63+1507.02+2101.48+13625.7</f>
        <v>19674.830000000002</v>
      </c>
      <c r="L129" s="77">
        <f>2440.63+1507.02+2101.48+13625.7</f>
        <v>19674.830000000002</v>
      </c>
      <c r="M129" s="78">
        <f>K129-L129</f>
        <v>0</v>
      </c>
      <c r="N129" s="100">
        <f>5+2+3+3+1+1</f>
        <v>15</v>
      </c>
      <c r="O129" s="81">
        <f>11716.73+6848.82+4046.18+11166.34+8845.95</f>
        <v>42624.020000000004</v>
      </c>
      <c r="P129" s="81">
        <f>11716.73+6848.82+4046.18+11166.34+8845.95</f>
        <v>42624.020000000004</v>
      </c>
      <c r="Q129" s="232">
        <f t="shared" si="3"/>
        <v>0</v>
      </c>
      <c r="R129" s="141"/>
    </row>
    <row r="130" spans="1:18" s="13" customFormat="1" x14ac:dyDescent="0.25">
      <c r="A130" s="229"/>
      <c r="B130" s="30" t="s">
        <v>77</v>
      </c>
      <c r="C130" s="181" t="s">
        <v>17</v>
      </c>
      <c r="D130" s="182"/>
      <c r="E130" s="183" t="s">
        <v>32</v>
      </c>
      <c r="F130" s="73" t="s">
        <v>433</v>
      </c>
      <c r="G130" s="230" t="s">
        <v>117</v>
      </c>
      <c r="H130" s="181">
        <v>1</v>
      </c>
      <c r="I130" s="231">
        <v>1</v>
      </c>
      <c r="J130" s="96">
        <v>1</v>
      </c>
      <c r="K130" s="77">
        <v>1921</v>
      </c>
      <c r="L130" s="77">
        <v>1921</v>
      </c>
      <c r="M130" s="78">
        <f t="shared" si="4"/>
        <v>0</v>
      </c>
      <c r="N130" s="100">
        <v>6</v>
      </c>
      <c r="O130" s="224">
        <v>18164.11</v>
      </c>
      <c r="P130" s="224">
        <v>18164.11</v>
      </c>
      <c r="Q130" s="79">
        <f t="shared" si="3"/>
        <v>0</v>
      </c>
    </row>
    <row r="131" spans="1:18" s="13" customFormat="1" x14ac:dyDescent="0.25">
      <c r="A131" s="229"/>
      <c r="B131" s="30" t="s">
        <v>321</v>
      </c>
      <c r="C131" s="181" t="s">
        <v>17</v>
      </c>
      <c r="D131" s="182"/>
      <c r="E131" s="183" t="s">
        <v>21</v>
      </c>
      <c r="F131" s="73" t="s">
        <v>489</v>
      </c>
      <c r="G131" s="230" t="s">
        <v>112</v>
      </c>
      <c r="H131" s="181">
        <v>4</v>
      </c>
      <c r="I131" s="231">
        <v>1</v>
      </c>
      <c r="J131" s="96">
        <f>1</f>
        <v>1</v>
      </c>
      <c r="K131" s="77"/>
      <c r="L131" s="77"/>
      <c r="M131" s="78">
        <f t="shared" si="4"/>
        <v>0</v>
      </c>
      <c r="N131" s="100"/>
      <c r="O131" s="224"/>
      <c r="P131" s="224"/>
      <c r="Q131" s="79"/>
      <c r="R131" s="141"/>
    </row>
    <row r="132" spans="1:18" s="13" customFormat="1" ht="30" x14ac:dyDescent="0.25">
      <c r="A132" s="229"/>
      <c r="B132" s="62" t="s">
        <v>79</v>
      </c>
      <c r="C132" s="181" t="s">
        <v>304</v>
      </c>
      <c r="D132" s="182" t="s">
        <v>385</v>
      </c>
      <c r="E132" s="183" t="s">
        <v>18</v>
      </c>
      <c r="F132" s="73" t="s">
        <v>389</v>
      </c>
      <c r="G132" s="74" t="s">
        <v>112</v>
      </c>
      <c r="H132" s="75">
        <v>14</v>
      </c>
      <c r="I132" s="76">
        <v>10</v>
      </c>
      <c r="J132" s="96">
        <f>2+5+2+3</f>
        <v>12</v>
      </c>
      <c r="K132" s="77">
        <f>2091.97+3190.2+5703.08+6368.88+4029.68</f>
        <v>21383.81</v>
      </c>
      <c r="L132" s="77">
        <f>2091.97+3190.2+5703.08+6368.88+4029.68</f>
        <v>21383.81</v>
      </c>
      <c r="M132" s="78">
        <f t="shared" si="4"/>
        <v>0</v>
      </c>
      <c r="N132" s="100">
        <f>2+2+1+2+1+1</f>
        <v>9</v>
      </c>
      <c r="O132" s="81">
        <f>1547.4+4166.12+7835.61+1675.01+4717.63+6039.62+18829.39</f>
        <v>44810.78</v>
      </c>
      <c r="P132" s="81">
        <f>1547.4+4166.12+7835.61+1675.01+4717.63+6039.62+18829.39</f>
        <v>44810.78</v>
      </c>
      <c r="Q132" s="232">
        <f t="shared" si="3"/>
        <v>0</v>
      </c>
      <c r="R132" s="141"/>
    </row>
    <row r="133" spans="1:18" s="13" customFormat="1" ht="30" x14ac:dyDescent="0.25">
      <c r="A133" s="229"/>
      <c r="B133" s="62" t="s">
        <v>79</v>
      </c>
      <c r="C133" s="181" t="s">
        <v>304</v>
      </c>
      <c r="D133" s="182" t="s">
        <v>475</v>
      </c>
      <c r="E133" s="183" t="s">
        <v>18</v>
      </c>
      <c r="F133" s="73" t="s">
        <v>329</v>
      </c>
      <c r="G133" s="230" t="s">
        <v>113</v>
      </c>
      <c r="H133" s="181">
        <v>39</v>
      </c>
      <c r="I133" s="234">
        <v>12</v>
      </c>
      <c r="J133" s="98">
        <v>13</v>
      </c>
      <c r="K133" s="224">
        <v>21353</v>
      </c>
      <c r="L133" s="224">
        <v>21353</v>
      </c>
      <c r="M133" s="78">
        <f t="shared" si="4"/>
        <v>0</v>
      </c>
      <c r="N133" s="100">
        <v>14</v>
      </c>
      <c r="O133" s="224">
        <v>51293</v>
      </c>
      <c r="P133" s="224">
        <v>46683</v>
      </c>
      <c r="Q133" s="79">
        <f t="shared" si="3"/>
        <v>4610</v>
      </c>
    </row>
    <row r="134" spans="1:18" s="13" customFormat="1" x14ac:dyDescent="0.25">
      <c r="A134" s="229"/>
      <c r="B134" s="62" t="s">
        <v>151</v>
      </c>
      <c r="C134" s="181" t="s">
        <v>17</v>
      </c>
      <c r="D134" s="182"/>
      <c r="E134" s="183" t="s">
        <v>32</v>
      </c>
      <c r="F134" s="73" t="s">
        <v>390</v>
      </c>
      <c r="G134" s="74" t="s">
        <v>112</v>
      </c>
      <c r="H134" s="75">
        <v>42</v>
      </c>
      <c r="I134" s="82">
        <v>27</v>
      </c>
      <c r="J134" s="96">
        <f>1+3+3+5+3+9+4+6</f>
        <v>34</v>
      </c>
      <c r="K134" s="81">
        <f>2317+4640.19+5864.19+10765+12519.53+4514.35</f>
        <v>40620.259999999995</v>
      </c>
      <c r="L134" s="81">
        <f>2317+4640.19+5864.19+10765+12519.53</f>
        <v>36105.909999999996</v>
      </c>
      <c r="M134" s="78">
        <f>K134-L134</f>
        <v>4514.3499999999985</v>
      </c>
      <c r="N134" s="100">
        <f>9+3+5+1+4+4</f>
        <v>26</v>
      </c>
      <c r="O134" s="81">
        <f>10726.94+18822.65+5703.53+12846.53+1320.36+4050.1+22728.38</f>
        <v>76198.490000000005</v>
      </c>
      <c r="P134" s="81">
        <f>10726.94+18822.65+5703.53+12846.53+1320.36+4050.1+22728.38</f>
        <v>76198.490000000005</v>
      </c>
      <c r="Q134" s="232">
        <f t="shared" si="3"/>
        <v>0</v>
      </c>
      <c r="R134" s="141"/>
    </row>
    <row r="135" spans="1:18" s="13" customFormat="1" x14ac:dyDescent="0.25">
      <c r="A135" s="229"/>
      <c r="B135" s="62" t="s">
        <v>151</v>
      </c>
      <c r="C135" s="181" t="s">
        <v>17</v>
      </c>
      <c r="D135" s="182"/>
      <c r="E135" s="183" t="s">
        <v>32</v>
      </c>
      <c r="F135" s="73" t="s">
        <v>434</v>
      </c>
      <c r="G135" s="230" t="s">
        <v>117</v>
      </c>
      <c r="H135" s="181">
        <v>11</v>
      </c>
      <c r="I135" s="231"/>
      <c r="J135" s="96"/>
      <c r="K135" s="77"/>
      <c r="L135" s="77"/>
      <c r="M135" s="78">
        <f t="shared" si="4"/>
        <v>0</v>
      </c>
      <c r="N135" s="100">
        <v>13</v>
      </c>
      <c r="O135" s="224">
        <v>24537.7</v>
      </c>
      <c r="P135" s="224">
        <v>24537.7</v>
      </c>
      <c r="Q135" s="79">
        <f t="shared" si="3"/>
        <v>0</v>
      </c>
    </row>
    <row r="136" spans="1:18" s="13" customFormat="1" x14ac:dyDescent="0.25">
      <c r="A136" s="229"/>
      <c r="B136" s="62" t="s">
        <v>80</v>
      </c>
      <c r="C136" s="181" t="s">
        <v>17</v>
      </c>
      <c r="D136" s="182"/>
      <c r="E136" s="183" t="s">
        <v>81</v>
      </c>
      <c r="F136" s="73" t="s">
        <v>417</v>
      </c>
      <c r="G136" s="74" t="s">
        <v>112</v>
      </c>
      <c r="H136" s="75"/>
      <c r="I136" s="76"/>
      <c r="J136" s="96"/>
      <c r="K136" s="77">
        <f>749.19+8649.27</f>
        <v>9398.4600000000009</v>
      </c>
      <c r="L136" s="77">
        <f>749.19+8649.27</f>
        <v>9398.4600000000009</v>
      </c>
      <c r="M136" s="78">
        <f>K136-L136</f>
        <v>0</v>
      </c>
      <c r="N136" s="100">
        <f>2+2</f>
        <v>4</v>
      </c>
      <c r="O136" s="81">
        <f>3040.94</f>
        <v>3040.94</v>
      </c>
      <c r="P136" s="81">
        <f>3040.94</f>
        <v>3040.94</v>
      </c>
      <c r="Q136" s="232">
        <f t="shared" si="3"/>
        <v>0</v>
      </c>
      <c r="R136" s="141"/>
    </row>
    <row r="137" spans="1:18" s="13" customFormat="1" x14ac:dyDescent="0.25">
      <c r="A137" s="229"/>
      <c r="B137" s="62" t="s">
        <v>80</v>
      </c>
      <c r="C137" s="181" t="s">
        <v>17</v>
      </c>
      <c r="D137" s="182"/>
      <c r="E137" s="183" t="s">
        <v>81</v>
      </c>
      <c r="F137" s="73" t="s">
        <v>285</v>
      </c>
      <c r="G137" s="230" t="s">
        <v>114</v>
      </c>
      <c r="H137" s="181"/>
      <c r="I137" s="231"/>
      <c r="J137" s="190"/>
      <c r="K137" s="77"/>
      <c r="L137" s="77"/>
      <c r="M137" s="187">
        <f t="shared" ref="M137" si="10">K137-L137</f>
        <v>0</v>
      </c>
      <c r="N137" s="100">
        <v>23</v>
      </c>
      <c r="O137" s="224">
        <v>47615.74</v>
      </c>
      <c r="P137" s="224">
        <v>47615.74</v>
      </c>
      <c r="Q137" s="232">
        <f t="shared" si="3"/>
        <v>0</v>
      </c>
    </row>
    <row r="138" spans="1:18" s="13" customFormat="1" x14ac:dyDescent="0.25">
      <c r="A138" s="229"/>
      <c r="B138" s="30" t="s">
        <v>82</v>
      </c>
      <c r="C138" s="181" t="s">
        <v>17</v>
      </c>
      <c r="D138" s="182"/>
      <c r="E138" s="183" t="s">
        <v>20</v>
      </c>
      <c r="F138" s="73" t="s">
        <v>394</v>
      </c>
      <c r="G138" s="74" t="s">
        <v>112</v>
      </c>
      <c r="H138" s="75">
        <v>12</v>
      </c>
      <c r="I138" s="76">
        <v>9</v>
      </c>
      <c r="J138" s="96">
        <f>4+3+2+2</f>
        <v>11</v>
      </c>
      <c r="K138" s="77">
        <f>7750.47+2207.69</f>
        <v>9958.16</v>
      </c>
      <c r="L138" s="77">
        <f>7750.47</f>
        <v>7750.47</v>
      </c>
      <c r="M138" s="78">
        <f>K138-L138</f>
        <v>2207.6899999999996</v>
      </c>
      <c r="N138" s="100">
        <f>3+5+1+1</f>
        <v>10</v>
      </c>
      <c r="O138" s="81">
        <f>5975.84+23579.15+1426.34</f>
        <v>30981.33</v>
      </c>
      <c r="P138" s="81">
        <f>5975.84+23579.15+1426.34</f>
        <v>30981.33</v>
      </c>
      <c r="Q138" s="232">
        <f t="shared" si="3"/>
        <v>0</v>
      </c>
      <c r="R138" s="141"/>
    </row>
    <row r="139" spans="1:18" s="13" customFormat="1" x14ac:dyDescent="0.25">
      <c r="A139" s="229"/>
      <c r="B139" s="30" t="s">
        <v>82</v>
      </c>
      <c r="C139" s="181" t="s">
        <v>17</v>
      </c>
      <c r="D139" s="182"/>
      <c r="E139" s="183" t="s">
        <v>20</v>
      </c>
      <c r="F139" s="73" t="s">
        <v>463</v>
      </c>
      <c r="G139" s="230" t="s">
        <v>114</v>
      </c>
      <c r="H139" s="181">
        <v>17</v>
      </c>
      <c r="I139" s="231">
        <v>5</v>
      </c>
      <c r="J139" s="190">
        <v>5</v>
      </c>
      <c r="K139" s="77">
        <v>10181.299999999999</v>
      </c>
      <c r="L139" s="77">
        <v>5378.8</v>
      </c>
      <c r="M139" s="187">
        <f t="shared" ref="M139" si="11">K139-L139</f>
        <v>4802.4999999999991</v>
      </c>
      <c r="N139" s="100">
        <v>14</v>
      </c>
      <c r="O139" s="224">
        <v>48620.71</v>
      </c>
      <c r="P139" s="224">
        <v>40552.51</v>
      </c>
      <c r="Q139" s="232">
        <f t="shared" si="3"/>
        <v>8068.1999999999971</v>
      </c>
    </row>
    <row r="140" spans="1:18" s="13" customFormat="1" x14ac:dyDescent="0.25">
      <c r="A140" s="229"/>
      <c r="B140" s="30" t="s">
        <v>309</v>
      </c>
      <c r="C140" s="181"/>
      <c r="D140" s="182"/>
      <c r="E140" s="183" t="s">
        <v>20</v>
      </c>
      <c r="F140" s="73" t="s">
        <v>391</v>
      </c>
      <c r="G140" s="230" t="s">
        <v>112</v>
      </c>
      <c r="H140" s="181">
        <v>13</v>
      </c>
      <c r="I140" s="231">
        <v>5</v>
      </c>
      <c r="J140" s="190">
        <f>1+5</f>
        <v>6</v>
      </c>
      <c r="K140" s="77">
        <f>3606.1+3402.77</f>
        <v>7008.87</v>
      </c>
      <c r="L140" s="77">
        <f>3606.1+3402.77</f>
        <v>7008.87</v>
      </c>
      <c r="M140" s="78">
        <f t="shared" si="4"/>
        <v>0</v>
      </c>
      <c r="N140" s="100">
        <f>1+5+1+3</f>
        <v>10</v>
      </c>
      <c r="O140" s="224">
        <f>3088.97+13147.65+1267.86+5955.71</f>
        <v>23460.19</v>
      </c>
      <c r="P140" s="224">
        <f>3088.97+13147.65+1267.86+5955.71</f>
        <v>23460.19</v>
      </c>
      <c r="Q140" s="232">
        <f t="shared" si="3"/>
        <v>0</v>
      </c>
      <c r="R140" s="141"/>
    </row>
    <row r="141" spans="1:18" s="13" customFormat="1" x14ac:dyDescent="0.25">
      <c r="A141" s="229"/>
      <c r="B141" s="30" t="s">
        <v>152</v>
      </c>
      <c r="C141" s="181" t="s">
        <v>17</v>
      </c>
      <c r="D141" s="182"/>
      <c r="E141" s="183" t="s">
        <v>35</v>
      </c>
      <c r="F141" s="73" t="s">
        <v>392</v>
      </c>
      <c r="G141" s="74" t="s">
        <v>112</v>
      </c>
      <c r="H141" s="75">
        <v>7</v>
      </c>
      <c r="I141" s="76">
        <v>6</v>
      </c>
      <c r="J141" s="96">
        <f>1+1+2+1+1</f>
        <v>6</v>
      </c>
      <c r="K141" s="77">
        <f>403.41+845.24+2113.1</f>
        <v>3361.75</v>
      </c>
      <c r="L141" s="77">
        <f>403.41+845.24+2113.1</f>
        <v>3361.75</v>
      </c>
      <c r="M141" s="78">
        <f t="shared" si="4"/>
        <v>0</v>
      </c>
      <c r="N141" s="100">
        <f>2+2+2+1+1+1</f>
        <v>9</v>
      </c>
      <c r="O141" s="81">
        <f>1690.48+3050.26+3661.61+4648.82+1267.86+1690.48+9282.42+4052.53</f>
        <v>29344.46</v>
      </c>
      <c r="P141" s="81">
        <f>1690.48+3050.26+3661.61+4648.82+1267.86+1690.48+9282.42+4052.53</f>
        <v>29344.46</v>
      </c>
      <c r="Q141" s="232">
        <f t="shared" si="3"/>
        <v>0</v>
      </c>
      <c r="R141" s="141"/>
    </row>
    <row r="142" spans="1:18" s="13" customFormat="1" x14ac:dyDescent="0.25">
      <c r="A142" s="229"/>
      <c r="B142" s="30" t="s">
        <v>152</v>
      </c>
      <c r="C142" s="181" t="s">
        <v>17</v>
      </c>
      <c r="D142" s="182"/>
      <c r="E142" s="183" t="s">
        <v>32</v>
      </c>
      <c r="F142" s="73"/>
      <c r="G142" s="230" t="s">
        <v>117</v>
      </c>
      <c r="H142" s="181"/>
      <c r="I142" s="231"/>
      <c r="J142" s="96"/>
      <c r="K142" s="77"/>
      <c r="L142" s="77"/>
      <c r="M142" s="78">
        <f t="shared" si="4"/>
        <v>0</v>
      </c>
      <c r="N142" s="100"/>
      <c r="O142" s="224"/>
      <c r="P142" s="224"/>
      <c r="Q142" s="79">
        <f t="shared" si="3"/>
        <v>0</v>
      </c>
    </row>
    <row r="143" spans="1:18" s="13" customFormat="1" x14ac:dyDescent="0.25">
      <c r="A143" s="229"/>
      <c r="B143" s="30" t="s">
        <v>83</v>
      </c>
      <c r="C143" s="181" t="s">
        <v>17</v>
      </c>
      <c r="D143" s="182"/>
      <c r="E143" s="183" t="s">
        <v>20</v>
      </c>
      <c r="F143" s="73" t="s">
        <v>393</v>
      </c>
      <c r="G143" s="74" t="s">
        <v>112</v>
      </c>
      <c r="H143" s="75">
        <v>12</v>
      </c>
      <c r="I143" s="76">
        <v>7</v>
      </c>
      <c r="J143" s="96">
        <f>1+1+2+1+1+1+1</f>
        <v>8</v>
      </c>
      <c r="K143" s="77">
        <f>768.4+2535.72+845.24+14407.5</f>
        <v>18556.86</v>
      </c>
      <c r="L143" s="77">
        <f>768.4+2535.72+845.24+14407.5</f>
        <v>18556.86</v>
      </c>
      <c r="M143" s="78">
        <f>K143-L143</f>
        <v>0</v>
      </c>
      <c r="N143" s="100">
        <f>1+2+1+1+1+2</f>
        <v>8</v>
      </c>
      <c r="O143" s="81">
        <f>5837.09+1922.92+4288.54+1686.25</f>
        <v>13734.8</v>
      </c>
      <c r="P143" s="81">
        <f>5837.09+1922.92+4288.54+1686.25</f>
        <v>13734.8</v>
      </c>
      <c r="Q143" s="232">
        <f t="shared" si="3"/>
        <v>0</v>
      </c>
      <c r="R143" s="141"/>
    </row>
    <row r="144" spans="1:18" s="13" customFormat="1" x14ac:dyDescent="0.25">
      <c r="A144" s="229"/>
      <c r="B144" s="30" t="s">
        <v>83</v>
      </c>
      <c r="C144" s="181" t="s">
        <v>17</v>
      </c>
      <c r="D144" s="182"/>
      <c r="E144" s="183" t="s">
        <v>20</v>
      </c>
      <c r="F144" s="73" t="s">
        <v>464</v>
      </c>
      <c r="G144" s="230" t="s">
        <v>114</v>
      </c>
      <c r="H144" s="181">
        <v>27</v>
      </c>
      <c r="I144" s="231">
        <v>4</v>
      </c>
      <c r="J144" s="190">
        <v>4</v>
      </c>
      <c r="K144" s="77">
        <v>7818.27</v>
      </c>
      <c r="L144" s="77">
        <v>5494.06</v>
      </c>
      <c r="M144" s="187">
        <f t="shared" ref="M144:M146" si="12">K144-L144</f>
        <v>2324.21</v>
      </c>
      <c r="N144" s="100">
        <v>27</v>
      </c>
      <c r="O144" s="224">
        <v>83770.47</v>
      </c>
      <c r="P144" s="224">
        <v>77239.070000000007</v>
      </c>
      <c r="Q144" s="232">
        <f t="shared" si="3"/>
        <v>6531.3999999999942</v>
      </c>
    </row>
    <row r="145" spans="1:18" s="13" customFormat="1" x14ac:dyDescent="0.25">
      <c r="A145" s="229"/>
      <c r="B145" s="30" t="s">
        <v>310</v>
      </c>
      <c r="C145" s="181" t="s">
        <v>17</v>
      </c>
      <c r="D145" s="182"/>
      <c r="E145" s="183" t="s">
        <v>20</v>
      </c>
      <c r="F145" s="73"/>
      <c r="G145" s="230" t="s">
        <v>114</v>
      </c>
      <c r="H145" s="181"/>
      <c r="I145" s="231"/>
      <c r="J145" s="190"/>
      <c r="K145" s="77"/>
      <c r="L145" s="77"/>
      <c r="M145" s="187">
        <f t="shared" si="12"/>
        <v>0</v>
      </c>
      <c r="N145" s="100"/>
      <c r="O145" s="224"/>
      <c r="P145" s="224"/>
      <c r="Q145" s="232">
        <f t="shared" si="3"/>
        <v>0</v>
      </c>
    </row>
    <row r="146" spans="1:18" s="13" customFormat="1" x14ac:dyDescent="0.25">
      <c r="A146" s="229"/>
      <c r="B146" s="30" t="s">
        <v>84</v>
      </c>
      <c r="C146" s="181" t="s">
        <v>17</v>
      </c>
      <c r="D146" s="182"/>
      <c r="E146" s="183" t="s">
        <v>20</v>
      </c>
      <c r="F146" s="73" t="s">
        <v>287</v>
      </c>
      <c r="G146" s="230" t="s">
        <v>114</v>
      </c>
      <c r="H146" s="181"/>
      <c r="I146" s="231"/>
      <c r="J146" s="190"/>
      <c r="K146" s="77"/>
      <c r="L146" s="77"/>
      <c r="M146" s="187">
        <f t="shared" si="12"/>
        <v>0</v>
      </c>
      <c r="N146" s="100"/>
      <c r="O146" s="224"/>
      <c r="P146" s="224"/>
      <c r="Q146" s="232">
        <f t="shared" si="3"/>
        <v>0</v>
      </c>
    </row>
    <row r="147" spans="1:18" s="13" customFormat="1" ht="45" x14ac:dyDescent="0.25">
      <c r="A147" s="229"/>
      <c r="B147" s="30" t="s">
        <v>85</v>
      </c>
      <c r="C147" s="181" t="s">
        <v>304</v>
      </c>
      <c r="D147" s="182" t="s">
        <v>415</v>
      </c>
      <c r="E147" s="183" t="s">
        <v>20</v>
      </c>
      <c r="F147" s="73" t="s">
        <v>395</v>
      </c>
      <c r="G147" s="74" t="s">
        <v>112</v>
      </c>
      <c r="H147" s="75">
        <v>15</v>
      </c>
      <c r="I147" s="76">
        <v>6</v>
      </c>
      <c r="J147" s="96">
        <f>2</f>
        <v>2</v>
      </c>
      <c r="K147" s="77">
        <f>4800.58+2591.84</f>
        <v>7392.42</v>
      </c>
      <c r="L147" s="77">
        <f>4800.58</f>
        <v>4800.58</v>
      </c>
      <c r="M147" s="78">
        <f t="shared" si="4"/>
        <v>2591.84</v>
      </c>
      <c r="N147" s="100">
        <f>2+1</f>
        <v>3</v>
      </c>
      <c r="O147" s="81">
        <f>3917.73+8936.21+5669.37+31185.72</f>
        <v>49709.03</v>
      </c>
      <c r="P147" s="81">
        <f>3917.73+8936.21</f>
        <v>12853.939999999999</v>
      </c>
      <c r="Q147" s="79">
        <f t="shared" si="3"/>
        <v>36855.089999999997</v>
      </c>
      <c r="R147" s="141"/>
    </row>
    <row r="148" spans="1:18" s="13" customFormat="1" x14ac:dyDescent="0.25">
      <c r="A148" s="229"/>
      <c r="B148" s="27" t="s">
        <v>86</v>
      </c>
      <c r="C148" s="181" t="s">
        <v>17</v>
      </c>
      <c r="D148" s="182"/>
      <c r="E148" s="194" t="s">
        <v>20</v>
      </c>
      <c r="F148" s="73" t="s">
        <v>396</v>
      </c>
      <c r="G148" s="74" t="s">
        <v>112</v>
      </c>
      <c r="H148" s="75">
        <v>11</v>
      </c>
      <c r="I148" s="76">
        <v>8</v>
      </c>
      <c r="J148" s="96">
        <f>1+3+1+7+2</f>
        <v>14</v>
      </c>
      <c r="K148" s="77">
        <f>950.9+5134.06+2091.97+528.03+8954.46+5719.74</f>
        <v>23379.159999999996</v>
      </c>
      <c r="L148" s="77">
        <f>950.9+5134.06+2091.97+528.03+8954.46+5719.74</f>
        <v>23379.159999999996</v>
      </c>
      <c r="M148" s="78">
        <f t="shared" si="4"/>
        <v>0</v>
      </c>
      <c r="N148" s="100">
        <f>15+4+2+1+2</f>
        <v>24</v>
      </c>
      <c r="O148" s="81">
        <f>30236.61+18366.75+8887.09+1077.68+8961.95</f>
        <v>67530.080000000002</v>
      </c>
      <c r="P148" s="81">
        <f>30236.61+18366.75+8887.09+1077.68+8961.95</f>
        <v>67530.080000000002</v>
      </c>
      <c r="Q148" s="232">
        <f t="shared" si="3"/>
        <v>0</v>
      </c>
      <c r="R148" s="141"/>
    </row>
    <row r="149" spans="1:18" s="13" customFormat="1" x14ac:dyDescent="0.25">
      <c r="A149" s="229"/>
      <c r="B149" s="27" t="s">
        <v>86</v>
      </c>
      <c r="C149" s="181" t="s">
        <v>17</v>
      </c>
      <c r="D149" s="182"/>
      <c r="E149" s="194" t="s">
        <v>20</v>
      </c>
      <c r="F149" s="73" t="s">
        <v>465</v>
      </c>
      <c r="G149" s="230" t="s">
        <v>114</v>
      </c>
      <c r="H149" s="181">
        <v>4</v>
      </c>
      <c r="I149" s="231">
        <v>1</v>
      </c>
      <c r="J149" s="190">
        <v>1</v>
      </c>
      <c r="K149" s="77"/>
      <c r="L149" s="77"/>
      <c r="M149" s="187">
        <f t="shared" si="4"/>
        <v>0</v>
      </c>
      <c r="N149" s="100">
        <v>9</v>
      </c>
      <c r="O149" s="224">
        <v>15209.53</v>
      </c>
      <c r="P149" s="224">
        <v>15209.53</v>
      </c>
      <c r="Q149" s="232">
        <f t="shared" si="3"/>
        <v>0</v>
      </c>
    </row>
    <row r="150" spans="1:18" s="13" customFormat="1" x14ac:dyDescent="0.25">
      <c r="A150" s="229"/>
      <c r="B150" s="62" t="s">
        <v>312</v>
      </c>
      <c r="C150" s="181" t="s">
        <v>17</v>
      </c>
      <c r="D150" s="182"/>
      <c r="E150" s="194" t="s">
        <v>20</v>
      </c>
      <c r="F150" s="73" t="s">
        <v>320</v>
      </c>
      <c r="G150" s="74" t="s">
        <v>112</v>
      </c>
      <c r="H150" s="75">
        <v>13</v>
      </c>
      <c r="I150" s="76">
        <v>5</v>
      </c>
      <c r="J150" s="96">
        <f>1+1+1+2</f>
        <v>5</v>
      </c>
      <c r="K150" s="77">
        <f>3319.49+845.24+4965.79</f>
        <v>9130.52</v>
      </c>
      <c r="L150" s="77">
        <f>3319.49+845.24+4965.79</f>
        <v>9130.52</v>
      </c>
      <c r="M150" s="78">
        <f t="shared" si="4"/>
        <v>0</v>
      </c>
      <c r="N150" s="100">
        <f>5+6+1+1</f>
        <v>13</v>
      </c>
      <c r="O150" s="81">
        <f>4226.2+6627.45+4360.59</f>
        <v>15214.24</v>
      </c>
      <c r="P150" s="81">
        <f>4226.2+6627.45</f>
        <v>10853.65</v>
      </c>
      <c r="Q150" s="232"/>
      <c r="R150" s="141"/>
    </row>
    <row r="151" spans="1:18" s="13" customFormat="1" x14ac:dyDescent="0.25">
      <c r="A151" s="229"/>
      <c r="B151" s="62" t="s">
        <v>494</v>
      </c>
      <c r="C151" s="181" t="s">
        <v>17</v>
      </c>
      <c r="D151" s="182"/>
      <c r="E151" s="194" t="s">
        <v>20</v>
      </c>
      <c r="F151" s="73" t="s">
        <v>497</v>
      </c>
      <c r="G151" s="74" t="s">
        <v>112</v>
      </c>
      <c r="H151" s="75">
        <v>9</v>
      </c>
      <c r="I151" s="76">
        <v>6</v>
      </c>
      <c r="J151" s="96">
        <f>1+1+1+1+2</f>
        <v>6</v>
      </c>
      <c r="K151" s="77">
        <f>3379+5494.06+576.3+2417.43</f>
        <v>11866.79</v>
      </c>
      <c r="L151" s="77">
        <f>3379+5494.06+576.3</f>
        <v>9449.36</v>
      </c>
      <c r="M151" s="78">
        <f t="shared" si="4"/>
        <v>2417.4300000000003</v>
      </c>
      <c r="N151" s="100"/>
      <c r="O151" s="81"/>
      <c r="P151" s="81"/>
      <c r="Q151" s="232"/>
      <c r="R151" s="141"/>
    </row>
    <row r="152" spans="1:18" s="13" customFormat="1" x14ac:dyDescent="0.25">
      <c r="A152" s="229"/>
      <c r="B152" s="62" t="s">
        <v>494</v>
      </c>
      <c r="C152" s="181" t="s">
        <v>17</v>
      </c>
      <c r="D152" s="182"/>
      <c r="E152" s="194" t="s">
        <v>20</v>
      </c>
      <c r="F152" s="73" t="s">
        <v>507</v>
      </c>
      <c r="G152" s="74" t="s">
        <v>114</v>
      </c>
      <c r="H152" s="75">
        <v>26</v>
      </c>
      <c r="I152" s="76">
        <v>4</v>
      </c>
      <c r="J152" s="96">
        <v>4</v>
      </c>
      <c r="K152" s="77"/>
      <c r="L152" s="77"/>
      <c r="M152" s="187">
        <f t="shared" si="4"/>
        <v>0</v>
      </c>
      <c r="N152" s="100"/>
      <c r="O152" s="81"/>
      <c r="P152" s="81"/>
      <c r="Q152" s="232">
        <f t="shared" ref="Q152:Q195" si="13">O152-P152</f>
        <v>0</v>
      </c>
      <c r="R152" s="141"/>
    </row>
    <row r="153" spans="1:18" s="13" customFormat="1" x14ac:dyDescent="0.25">
      <c r="A153" s="229"/>
      <c r="B153" s="30" t="s">
        <v>88</v>
      </c>
      <c r="C153" s="181" t="s">
        <v>17</v>
      </c>
      <c r="D153" s="182"/>
      <c r="E153" s="183" t="s">
        <v>89</v>
      </c>
      <c r="F153" s="73" t="s">
        <v>397</v>
      </c>
      <c r="G153" s="74" t="s">
        <v>112</v>
      </c>
      <c r="H153" s="75">
        <v>12</v>
      </c>
      <c r="I153" s="76">
        <v>7</v>
      </c>
      <c r="J153" s="96">
        <f>1+3+1+2</f>
        <v>7</v>
      </c>
      <c r="K153" s="77">
        <f>4226.2+2394.91+6485.1+556.71+4126.31</f>
        <v>17789.23</v>
      </c>
      <c r="L153" s="77">
        <f>4226.2+2394.91+6485.1+556.71</f>
        <v>13662.919999999998</v>
      </c>
      <c r="M153" s="78">
        <f>K153-L153</f>
        <v>4126.3100000000013</v>
      </c>
      <c r="N153" s="100">
        <f>4+1+3+1+2+2+1+1+2</f>
        <v>17</v>
      </c>
      <c r="O153" s="81">
        <f>11967.83+2831.55+10544.37+9418.99+3799.13+1798.04+2548.4-12193.52+4083.77</f>
        <v>34798.559999999998</v>
      </c>
      <c r="P153" s="81">
        <f>11967.83+2831.55+10544.37+9418.99+3799.13+1798.04+2548.4-12193.52+4083.77</f>
        <v>34798.559999999998</v>
      </c>
      <c r="Q153" s="79">
        <f t="shared" si="13"/>
        <v>0</v>
      </c>
      <c r="R153" s="141"/>
    </row>
    <row r="154" spans="1:18" s="13" customFormat="1" x14ac:dyDescent="0.25">
      <c r="A154" s="229"/>
      <c r="B154" s="30" t="s">
        <v>88</v>
      </c>
      <c r="C154" s="181" t="s">
        <v>17</v>
      </c>
      <c r="D154" s="182"/>
      <c r="E154" s="183" t="s">
        <v>89</v>
      </c>
      <c r="F154" s="73" t="s">
        <v>442</v>
      </c>
      <c r="G154" s="230" t="s">
        <v>118</v>
      </c>
      <c r="H154" s="181">
        <v>1</v>
      </c>
      <c r="I154" s="231"/>
      <c r="J154" s="96"/>
      <c r="K154" s="77"/>
      <c r="L154" s="77"/>
      <c r="M154" s="187">
        <f t="shared" si="4"/>
        <v>0</v>
      </c>
      <c r="N154" s="100">
        <v>3</v>
      </c>
      <c r="O154" s="224">
        <v>11020.82</v>
      </c>
      <c r="P154" s="224">
        <v>11020.82</v>
      </c>
      <c r="Q154" s="232">
        <f t="shared" si="13"/>
        <v>0</v>
      </c>
    </row>
    <row r="155" spans="1:18" s="13" customFormat="1" x14ac:dyDescent="0.25">
      <c r="A155" s="229"/>
      <c r="B155" s="30" t="s">
        <v>88</v>
      </c>
      <c r="C155" s="181" t="s">
        <v>17</v>
      </c>
      <c r="D155" s="182"/>
      <c r="E155" s="194" t="s">
        <v>505</v>
      </c>
      <c r="F155" s="73" t="s">
        <v>506</v>
      </c>
      <c r="G155" s="230" t="s">
        <v>114</v>
      </c>
      <c r="H155" s="181">
        <v>5</v>
      </c>
      <c r="I155" s="231">
        <v>1</v>
      </c>
      <c r="J155" s="96">
        <v>1</v>
      </c>
      <c r="K155" s="77">
        <v>3763.9</v>
      </c>
      <c r="L155" s="77">
        <v>3763.9</v>
      </c>
      <c r="M155" s="187">
        <f t="shared" si="4"/>
        <v>0</v>
      </c>
      <c r="N155" s="100"/>
      <c r="O155" s="224"/>
      <c r="P155" s="224"/>
      <c r="Q155" s="232">
        <f t="shared" si="13"/>
        <v>0</v>
      </c>
    </row>
    <row r="156" spans="1:18" s="13" customFormat="1" x14ac:dyDescent="0.25">
      <c r="A156" s="229"/>
      <c r="B156" s="30" t="s">
        <v>90</v>
      </c>
      <c r="C156" s="181" t="s">
        <v>17</v>
      </c>
      <c r="D156" s="182"/>
      <c r="E156" s="194" t="s">
        <v>20</v>
      </c>
      <c r="F156" s="73" t="s">
        <v>398</v>
      </c>
      <c r="G156" s="74" t="s">
        <v>112</v>
      </c>
      <c r="H156" s="75">
        <v>8</v>
      </c>
      <c r="I156" s="76">
        <v>5</v>
      </c>
      <c r="J156" s="96">
        <f>1+1+1+4</f>
        <v>7</v>
      </c>
      <c r="K156" s="77">
        <f>422.62+4662.44+7580.13</f>
        <v>12665.189999999999</v>
      </c>
      <c r="L156" s="77">
        <f>422.62+4662.44</f>
        <v>5085.0599999999995</v>
      </c>
      <c r="M156" s="78">
        <f>K156-L156</f>
        <v>7580.1299999999992</v>
      </c>
      <c r="N156" s="100">
        <f>1+1+1+1+2</f>
        <v>6</v>
      </c>
      <c r="O156" s="81">
        <f>2122.67+787.61+15453.48+6194.26</f>
        <v>24558.019999999997</v>
      </c>
      <c r="P156" s="81">
        <f>2122.67+787.61+15453.48</f>
        <v>18363.759999999998</v>
      </c>
      <c r="Q156" s="79">
        <f t="shared" si="13"/>
        <v>6194.2599999999984</v>
      </c>
      <c r="R156" s="141"/>
    </row>
    <row r="157" spans="1:18" s="13" customFormat="1" x14ac:dyDescent="0.25">
      <c r="A157" s="229"/>
      <c r="B157" s="30" t="s">
        <v>90</v>
      </c>
      <c r="C157" s="181" t="s">
        <v>17</v>
      </c>
      <c r="D157" s="182"/>
      <c r="E157" s="194" t="s">
        <v>20</v>
      </c>
      <c r="F157" s="73" t="s">
        <v>466</v>
      </c>
      <c r="G157" s="230" t="s">
        <v>114</v>
      </c>
      <c r="H157" s="181">
        <v>14</v>
      </c>
      <c r="I157" s="231">
        <v>4</v>
      </c>
      <c r="J157" s="190">
        <v>4</v>
      </c>
      <c r="K157" s="77">
        <v>10469.16</v>
      </c>
      <c r="L157" s="77">
        <v>6454.56</v>
      </c>
      <c r="M157" s="187">
        <f t="shared" ref="M157" si="14">K157-L157</f>
        <v>4014.5999999999995</v>
      </c>
      <c r="N157" s="100">
        <v>25</v>
      </c>
      <c r="O157" s="224">
        <v>81936.800000000003</v>
      </c>
      <c r="P157" s="224">
        <v>77320.7</v>
      </c>
      <c r="Q157" s="232">
        <f t="shared" si="13"/>
        <v>4616.1000000000058</v>
      </c>
    </row>
    <row r="158" spans="1:18" s="13" customFormat="1" x14ac:dyDescent="0.25">
      <c r="A158" s="229"/>
      <c r="B158" s="30" t="s">
        <v>91</v>
      </c>
      <c r="C158" s="181" t="s">
        <v>17</v>
      </c>
      <c r="D158" s="182"/>
      <c r="E158" s="194" t="s">
        <v>20</v>
      </c>
      <c r="F158" s="73" t="s">
        <v>399</v>
      </c>
      <c r="G158" s="74" t="s">
        <v>112</v>
      </c>
      <c r="H158" s="75"/>
      <c r="I158" s="76"/>
      <c r="J158" s="96"/>
      <c r="K158" s="77"/>
      <c r="L158" s="77"/>
      <c r="M158" s="78">
        <f>K158-L158</f>
        <v>0</v>
      </c>
      <c r="N158" s="100"/>
      <c r="O158" s="81"/>
      <c r="P158" s="81"/>
      <c r="Q158" s="79">
        <f t="shared" si="13"/>
        <v>0</v>
      </c>
      <c r="R158" s="141"/>
    </row>
    <row r="159" spans="1:18" s="13" customFormat="1" x14ac:dyDescent="0.25">
      <c r="A159" s="229"/>
      <c r="B159" s="62" t="s">
        <v>138</v>
      </c>
      <c r="C159" s="181" t="s">
        <v>17</v>
      </c>
      <c r="D159" s="182"/>
      <c r="E159" s="194" t="s">
        <v>20</v>
      </c>
      <c r="F159" s="73" t="s">
        <v>467</v>
      </c>
      <c r="G159" s="230" t="s">
        <v>114</v>
      </c>
      <c r="H159" s="181">
        <v>6</v>
      </c>
      <c r="I159" s="231">
        <v>1</v>
      </c>
      <c r="J159" s="190">
        <v>1</v>
      </c>
      <c r="K159" s="193">
        <v>1728.9</v>
      </c>
      <c r="L159" s="193">
        <v>1728.9</v>
      </c>
      <c r="M159" s="187">
        <f t="shared" ref="M159" si="15">K159-L159</f>
        <v>0</v>
      </c>
      <c r="N159" s="114">
        <v>6</v>
      </c>
      <c r="O159" s="224">
        <v>12214.4</v>
      </c>
      <c r="P159" s="224">
        <v>12214.4</v>
      </c>
      <c r="Q159" s="232">
        <f t="shared" si="13"/>
        <v>0</v>
      </c>
    </row>
    <row r="160" spans="1:18" s="13" customFormat="1" x14ac:dyDescent="0.25">
      <c r="A160" s="229"/>
      <c r="B160" s="62" t="s">
        <v>138</v>
      </c>
      <c r="C160" s="181" t="s">
        <v>17</v>
      </c>
      <c r="D160" s="182"/>
      <c r="E160" s="194" t="s">
        <v>20</v>
      </c>
      <c r="F160" s="73" t="s">
        <v>400</v>
      </c>
      <c r="G160" s="74" t="s">
        <v>112</v>
      </c>
      <c r="H160" s="75">
        <v>9</v>
      </c>
      <c r="I160" s="82">
        <v>4</v>
      </c>
      <c r="J160" s="96">
        <f>3+1+1</f>
        <v>5</v>
      </c>
      <c r="K160" s="77">
        <f>2224.52+9639.33+3232.07</f>
        <v>15095.92</v>
      </c>
      <c r="L160" s="77">
        <f>2224.52+9639.33</f>
        <v>11863.85</v>
      </c>
      <c r="M160" s="78">
        <f t="shared" si="4"/>
        <v>3232.0699999999997</v>
      </c>
      <c r="N160" s="100">
        <f>5+4</f>
        <v>9</v>
      </c>
      <c r="O160" s="81">
        <f>8995.87+8641.99</f>
        <v>17637.86</v>
      </c>
      <c r="P160" s="81">
        <f>8995.87+8641.99</f>
        <v>17637.86</v>
      </c>
      <c r="Q160" s="79">
        <f t="shared" si="13"/>
        <v>0</v>
      </c>
      <c r="R160" s="141"/>
    </row>
    <row r="161" spans="1:18" s="13" customFormat="1" x14ac:dyDescent="0.25">
      <c r="A161" s="229"/>
      <c r="B161" s="62" t="s">
        <v>157</v>
      </c>
      <c r="C161" s="181" t="s">
        <v>17</v>
      </c>
      <c r="D161" s="182"/>
      <c r="E161" s="194" t="s">
        <v>20</v>
      </c>
      <c r="F161" s="73" t="s">
        <v>401</v>
      </c>
      <c r="G161" s="74" t="s">
        <v>112</v>
      </c>
      <c r="H161" s="75">
        <v>11</v>
      </c>
      <c r="I161" s="82"/>
      <c r="J161" s="96"/>
      <c r="K161" s="77"/>
      <c r="L161" s="77"/>
      <c r="M161" s="78">
        <f t="shared" ref="M161:M193" si="16">K161-L161</f>
        <v>0</v>
      </c>
      <c r="N161" s="100"/>
      <c r="O161" s="81"/>
      <c r="P161" s="81"/>
      <c r="Q161" s="232">
        <f t="shared" si="13"/>
        <v>0</v>
      </c>
      <c r="R161" s="141"/>
    </row>
    <row r="162" spans="1:18" s="13" customFormat="1" x14ac:dyDescent="0.25">
      <c r="A162" s="229"/>
      <c r="B162" s="62" t="s">
        <v>157</v>
      </c>
      <c r="C162" s="181" t="s">
        <v>17</v>
      </c>
      <c r="D162" s="182"/>
      <c r="E162" s="194" t="s">
        <v>20</v>
      </c>
      <c r="F162" s="73"/>
      <c r="G162" s="230" t="s">
        <v>114</v>
      </c>
      <c r="H162" s="181"/>
      <c r="I162" s="231"/>
      <c r="J162" s="190"/>
      <c r="K162" s="193"/>
      <c r="L162" s="193"/>
      <c r="M162" s="187">
        <f t="shared" si="16"/>
        <v>0</v>
      </c>
      <c r="N162" s="114"/>
      <c r="O162" s="224"/>
      <c r="P162" s="224"/>
      <c r="Q162" s="232">
        <f t="shared" si="13"/>
        <v>0</v>
      </c>
    </row>
    <row r="163" spans="1:18" s="15" customFormat="1" x14ac:dyDescent="0.25">
      <c r="A163" s="229"/>
      <c r="B163" s="62" t="s">
        <v>92</v>
      </c>
      <c r="C163" s="181" t="s">
        <v>17</v>
      </c>
      <c r="D163" s="182"/>
      <c r="E163" s="194" t="s">
        <v>20</v>
      </c>
      <c r="F163" s="73" t="s">
        <v>402</v>
      </c>
      <c r="G163" s="74" t="s">
        <v>112</v>
      </c>
      <c r="H163" s="75">
        <v>10</v>
      </c>
      <c r="I163" s="76">
        <v>8</v>
      </c>
      <c r="J163" s="96">
        <f>1+2+5</f>
        <v>8</v>
      </c>
      <c r="K163" s="77">
        <f>1951.74+1335.1+2996.76</f>
        <v>6283.6</v>
      </c>
      <c r="L163" s="77">
        <f>1951.74+1335.1</f>
        <v>3286.84</v>
      </c>
      <c r="M163" s="78">
        <f>K163-L163</f>
        <v>2996.76</v>
      </c>
      <c r="N163" s="100">
        <f>4+1+1</f>
        <v>6</v>
      </c>
      <c r="O163" s="81">
        <f>12624.74+2697.06+1225.93</f>
        <v>16547.73</v>
      </c>
      <c r="P163" s="81">
        <f>12624.74+2697.06+1225.93</f>
        <v>16547.73</v>
      </c>
      <c r="Q163" s="232">
        <f t="shared" si="13"/>
        <v>0</v>
      </c>
      <c r="R163" s="141"/>
    </row>
    <row r="164" spans="1:18" s="15" customFormat="1" x14ac:dyDescent="0.25">
      <c r="A164" s="229"/>
      <c r="B164" s="62" t="s">
        <v>92</v>
      </c>
      <c r="C164" s="181" t="s">
        <v>17</v>
      </c>
      <c r="D164" s="182"/>
      <c r="E164" s="194" t="s">
        <v>20</v>
      </c>
      <c r="F164" s="73" t="s">
        <v>129</v>
      </c>
      <c r="G164" s="230" t="s">
        <v>114</v>
      </c>
      <c r="H164" s="181"/>
      <c r="I164" s="231"/>
      <c r="J164" s="190"/>
      <c r="K164" s="77"/>
      <c r="L164" s="77"/>
      <c r="M164" s="187">
        <f t="shared" ref="M164" si="17">K164-L164</f>
        <v>0</v>
      </c>
      <c r="N164" s="114"/>
      <c r="O164" s="224"/>
      <c r="P164" s="224"/>
      <c r="Q164" s="232">
        <f t="shared" si="13"/>
        <v>0</v>
      </c>
    </row>
    <row r="165" spans="1:18" s="13" customFormat="1" x14ac:dyDescent="0.25">
      <c r="A165" s="229"/>
      <c r="B165" s="30" t="s">
        <v>93</v>
      </c>
      <c r="C165" s="181" t="s">
        <v>17</v>
      </c>
      <c r="D165" s="182"/>
      <c r="E165" s="183" t="s">
        <v>94</v>
      </c>
      <c r="F165" s="73" t="s">
        <v>403</v>
      </c>
      <c r="G165" s="74" t="s">
        <v>112</v>
      </c>
      <c r="H165" s="75">
        <v>7</v>
      </c>
      <c r="I165" s="76">
        <v>2</v>
      </c>
      <c r="J165" s="96">
        <f>2</f>
        <v>2</v>
      </c>
      <c r="K165" s="77">
        <f>2336.84</f>
        <v>2336.84</v>
      </c>
      <c r="L165" s="77">
        <f>2336.84</f>
        <v>2336.84</v>
      </c>
      <c r="M165" s="78">
        <f>K165-L165</f>
        <v>0</v>
      </c>
      <c r="N165" s="100">
        <f>3+8</f>
        <v>11</v>
      </c>
      <c r="O165" s="81">
        <f>20117.75</f>
        <v>20117.75</v>
      </c>
      <c r="P165" s="81">
        <f>20117.75</f>
        <v>20117.75</v>
      </c>
      <c r="Q165" s="232">
        <f t="shared" si="13"/>
        <v>0</v>
      </c>
      <c r="R165" s="141"/>
    </row>
    <row r="166" spans="1:18" s="13" customFormat="1" x14ac:dyDescent="0.25">
      <c r="A166" s="229"/>
      <c r="B166" s="30" t="s">
        <v>93</v>
      </c>
      <c r="C166" s="181" t="s">
        <v>17</v>
      </c>
      <c r="D166" s="182"/>
      <c r="E166" s="183" t="s">
        <v>94</v>
      </c>
      <c r="F166" s="73" t="s">
        <v>130</v>
      </c>
      <c r="G166" s="230" t="s">
        <v>114</v>
      </c>
      <c r="H166" s="181"/>
      <c r="I166" s="231"/>
      <c r="J166" s="190"/>
      <c r="K166" s="77"/>
      <c r="L166" s="77"/>
      <c r="M166" s="187">
        <f t="shared" ref="M166" si="18">K166-L166</f>
        <v>0</v>
      </c>
      <c r="N166" s="100"/>
      <c r="O166" s="224"/>
      <c r="P166" s="224"/>
      <c r="Q166" s="232">
        <f t="shared" si="13"/>
        <v>0</v>
      </c>
    </row>
    <row r="167" spans="1:18" s="13" customFormat="1" x14ac:dyDescent="0.25">
      <c r="A167" s="229"/>
      <c r="B167" s="30" t="s">
        <v>93</v>
      </c>
      <c r="C167" s="181" t="s">
        <v>17</v>
      </c>
      <c r="D167" s="182"/>
      <c r="E167" s="183" t="s">
        <v>94</v>
      </c>
      <c r="F167" s="73" t="s">
        <v>240</v>
      </c>
      <c r="G167" s="230" t="s">
        <v>118</v>
      </c>
      <c r="H167" s="181"/>
      <c r="I167" s="231"/>
      <c r="J167" s="96"/>
      <c r="K167" s="77"/>
      <c r="L167" s="77"/>
      <c r="M167" s="78">
        <f t="shared" si="16"/>
        <v>0</v>
      </c>
      <c r="N167" s="100"/>
      <c r="O167" s="224"/>
      <c r="P167" s="224"/>
      <c r="Q167" s="232">
        <f t="shared" si="13"/>
        <v>0</v>
      </c>
    </row>
    <row r="168" spans="1:18" s="13" customFormat="1" x14ac:dyDescent="0.25">
      <c r="A168" s="229"/>
      <c r="B168" s="30" t="s">
        <v>95</v>
      </c>
      <c r="C168" s="181" t="s">
        <v>17</v>
      </c>
      <c r="D168" s="182"/>
      <c r="E168" s="194" t="s">
        <v>20</v>
      </c>
      <c r="F168" s="73" t="s">
        <v>404</v>
      </c>
      <c r="G168" s="74" t="s">
        <v>112</v>
      </c>
      <c r="H168" s="75">
        <v>16</v>
      </c>
      <c r="I168" s="76">
        <v>6</v>
      </c>
      <c r="J168" s="96">
        <f>1+4+4</f>
        <v>9</v>
      </c>
      <c r="K168" s="77">
        <f>1061.35+5770.05+5238.9</f>
        <v>12070.3</v>
      </c>
      <c r="L168" s="77">
        <f>1061.35+5770.05+5238.9</f>
        <v>12070.3</v>
      </c>
      <c r="M168" s="78">
        <f>K168-L168</f>
        <v>0</v>
      </c>
      <c r="N168" s="100">
        <f>1+6+1+4</f>
        <v>12</v>
      </c>
      <c r="O168" s="81">
        <f>11603.82+7559.28+6777.29+24757.02</f>
        <v>50697.41</v>
      </c>
      <c r="P168" s="81">
        <f>11603.82+7559.28+6777.29+24757.02</f>
        <v>50697.41</v>
      </c>
      <c r="Q168" s="79">
        <f t="shared" si="13"/>
        <v>0</v>
      </c>
      <c r="R168" s="141"/>
    </row>
    <row r="169" spans="1:18" s="13" customFormat="1" x14ac:dyDescent="0.25">
      <c r="A169" s="229"/>
      <c r="B169" s="30" t="s">
        <v>95</v>
      </c>
      <c r="C169" s="181" t="s">
        <v>17</v>
      </c>
      <c r="D169" s="182"/>
      <c r="E169" s="194" t="s">
        <v>20</v>
      </c>
      <c r="F169" s="73" t="s">
        <v>291</v>
      </c>
      <c r="G169" s="230" t="s">
        <v>114</v>
      </c>
      <c r="H169" s="181">
        <v>8</v>
      </c>
      <c r="I169" s="231">
        <v>1</v>
      </c>
      <c r="J169" s="190">
        <v>1</v>
      </c>
      <c r="K169" s="77">
        <v>1152.5999999999999</v>
      </c>
      <c r="L169" s="77">
        <v>1152.5999999999999</v>
      </c>
      <c r="M169" s="187">
        <f t="shared" ref="M169" si="19">K169-L169</f>
        <v>0</v>
      </c>
      <c r="N169" s="100">
        <v>11</v>
      </c>
      <c r="O169" s="224">
        <f>27182.15</f>
        <v>27182.15</v>
      </c>
      <c r="P169" s="224">
        <f>27182.15</f>
        <v>27182.15</v>
      </c>
      <c r="Q169" s="232">
        <f t="shared" si="13"/>
        <v>0</v>
      </c>
    </row>
    <row r="170" spans="1:18" s="13" customFormat="1" x14ac:dyDescent="0.25">
      <c r="A170" s="229"/>
      <c r="B170" s="30" t="s">
        <v>96</v>
      </c>
      <c r="C170" s="181" t="s">
        <v>17</v>
      </c>
      <c r="D170" s="182"/>
      <c r="E170" s="194" t="s">
        <v>97</v>
      </c>
      <c r="F170" s="73" t="s">
        <v>405</v>
      </c>
      <c r="G170" s="74" t="s">
        <v>112</v>
      </c>
      <c r="H170" s="75">
        <v>1</v>
      </c>
      <c r="I170" s="76">
        <v>1</v>
      </c>
      <c r="J170" s="96">
        <f>2</f>
        <v>2</v>
      </c>
      <c r="K170" s="77"/>
      <c r="L170" s="77"/>
      <c r="M170" s="78">
        <f>K170-L170</f>
        <v>0</v>
      </c>
      <c r="N170" s="103">
        <f>1+2+1</f>
        <v>4</v>
      </c>
      <c r="O170" s="77">
        <f>1742.31+9358.48</f>
        <v>11100.789999999999</v>
      </c>
      <c r="P170" s="77">
        <f>1742.31+9358.48</f>
        <v>11100.789999999999</v>
      </c>
      <c r="Q170" s="79">
        <f t="shared" si="13"/>
        <v>0</v>
      </c>
      <c r="R170" s="141"/>
    </row>
    <row r="171" spans="1:18" s="13" customFormat="1" x14ac:dyDescent="0.25">
      <c r="A171" s="229"/>
      <c r="B171" s="30" t="s">
        <v>96</v>
      </c>
      <c r="C171" s="181" t="s">
        <v>17</v>
      </c>
      <c r="D171" s="182"/>
      <c r="E171" s="194" t="s">
        <v>97</v>
      </c>
      <c r="F171" s="73" t="s">
        <v>468</v>
      </c>
      <c r="G171" s="230" t="s">
        <v>114</v>
      </c>
      <c r="H171" s="181">
        <v>1</v>
      </c>
      <c r="I171" s="231"/>
      <c r="J171" s="190"/>
      <c r="K171" s="77"/>
      <c r="L171" s="77"/>
      <c r="M171" s="187">
        <f t="shared" ref="M171" si="20">K171-L171</f>
        <v>0</v>
      </c>
      <c r="N171" s="100">
        <v>4</v>
      </c>
      <c r="O171" s="224">
        <v>3682</v>
      </c>
      <c r="P171" s="224"/>
      <c r="Q171" s="232">
        <f t="shared" si="13"/>
        <v>3682</v>
      </c>
    </row>
    <row r="172" spans="1:18" s="13" customFormat="1" x14ac:dyDescent="0.25">
      <c r="A172" s="229"/>
      <c r="B172" s="30" t="s">
        <v>98</v>
      </c>
      <c r="C172" s="181" t="s">
        <v>17</v>
      </c>
      <c r="D172" s="182"/>
      <c r="E172" s="194" t="s">
        <v>35</v>
      </c>
      <c r="F172" s="73" t="s">
        <v>406</v>
      </c>
      <c r="G172" s="74" t="s">
        <v>112</v>
      </c>
      <c r="H172" s="75">
        <v>26</v>
      </c>
      <c r="I172" s="76">
        <v>19</v>
      </c>
      <c r="J172" s="96">
        <f>1+2+1+1+4+4</f>
        <v>13</v>
      </c>
      <c r="K172" s="77">
        <f>845.24+1764.25+8353.03+1298.98+7610.68+13826.64+2752.31</f>
        <v>36451.129999999997</v>
      </c>
      <c r="L172" s="77">
        <f>845.24+1764.25+8353.03+1298.98+7610.68+13826.64</f>
        <v>33698.82</v>
      </c>
      <c r="M172" s="78">
        <f>K172-L172</f>
        <v>2752.3099999999977</v>
      </c>
      <c r="N172" s="100">
        <f>9+1+1+4+2+1+2+4+2</f>
        <v>26</v>
      </c>
      <c r="O172" s="81">
        <f>73585.55+12034.56+5680.01-5067.39</f>
        <v>86232.73</v>
      </c>
      <c r="P172" s="81">
        <f>73585.55+12034.56</f>
        <v>85620.11</v>
      </c>
      <c r="Q172" s="79">
        <f t="shared" si="13"/>
        <v>612.61999999999534</v>
      </c>
      <c r="R172" s="141"/>
    </row>
    <row r="173" spans="1:18" s="13" customFormat="1" x14ac:dyDescent="0.25">
      <c r="A173" s="229"/>
      <c r="B173" s="30" t="s">
        <v>98</v>
      </c>
      <c r="C173" s="181" t="s">
        <v>17</v>
      </c>
      <c r="D173" s="182"/>
      <c r="E173" s="194" t="s">
        <v>35</v>
      </c>
      <c r="F173" s="73" t="s">
        <v>435</v>
      </c>
      <c r="G173" s="235" t="s">
        <v>117</v>
      </c>
      <c r="H173" s="181">
        <v>3</v>
      </c>
      <c r="I173" s="231">
        <v>2</v>
      </c>
      <c r="J173" s="96">
        <v>2</v>
      </c>
      <c r="K173" s="77">
        <v>2486.83</v>
      </c>
      <c r="L173" s="77">
        <v>2486.83</v>
      </c>
      <c r="M173" s="78">
        <f t="shared" si="16"/>
        <v>0</v>
      </c>
      <c r="N173" s="100">
        <v>5</v>
      </c>
      <c r="O173" s="77">
        <v>18950.45</v>
      </c>
      <c r="P173" s="77">
        <v>18950.45</v>
      </c>
      <c r="Q173" s="232">
        <f t="shared" si="13"/>
        <v>0</v>
      </c>
    </row>
    <row r="174" spans="1:18" s="13" customFormat="1" x14ac:dyDescent="0.25">
      <c r="A174" s="229"/>
      <c r="B174" s="30" t="s">
        <v>488</v>
      </c>
      <c r="C174" s="181" t="s">
        <v>17</v>
      </c>
      <c r="D174" s="182"/>
      <c r="E174" s="194" t="s">
        <v>97</v>
      </c>
      <c r="F174" s="73" t="s">
        <v>498</v>
      </c>
      <c r="G174" s="235" t="s">
        <v>112</v>
      </c>
      <c r="H174" s="181">
        <v>8</v>
      </c>
      <c r="I174" s="231">
        <v>5</v>
      </c>
      <c r="J174" s="96">
        <f>4+1</f>
        <v>5</v>
      </c>
      <c r="K174" s="77">
        <f>1535.8+576.3</f>
        <v>2112.1</v>
      </c>
      <c r="L174" s="77">
        <v>1535.8</v>
      </c>
      <c r="M174" s="78">
        <f t="shared" si="16"/>
        <v>576.29999999999995</v>
      </c>
      <c r="N174" s="100"/>
      <c r="O174" s="77"/>
      <c r="P174" s="77"/>
      <c r="Q174" s="232"/>
    </row>
    <row r="175" spans="1:18" s="15" customFormat="1" x14ac:dyDescent="0.25">
      <c r="A175" s="229"/>
      <c r="B175" s="30" t="s">
        <v>99</v>
      </c>
      <c r="C175" s="181" t="s">
        <v>17</v>
      </c>
      <c r="D175" s="182"/>
      <c r="E175" s="183" t="s">
        <v>32</v>
      </c>
      <c r="F175" s="73" t="s">
        <v>418</v>
      </c>
      <c r="G175" s="74" t="s">
        <v>112</v>
      </c>
      <c r="H175" s="75"/>
      <c r="I175" s="76"/>
      <c r="J175" s="96"/>
      <c r="K175" s="77"/>
      <c r="L175" s="77"/>
      <c r="M175" s="78">
        <f t="shared" si="16"/>
        <v>0</v>
      </c>
      <c r="N175" s="100"/>
      <c r="O175" s="81"/>
      <c r="P175" s="81"/>
      <c r="Q175" s="79">
        <f t="shared" si="13"/>
        <v>0</v>
      </c>
      <c r="R175" s="141"/>
    </row>
    <row r="176" spans="1:18" s="15" customFormat="1" x14ac:dyDescent="0.25">
      <c r="A176" s="229"/>
      <c r="B176" s="30" t="s">
        <v>99</v>
      </c>
      <c r="C176" s="181" t="s">
        <v>17</v>
      </c>
      <c r="D176" s="182"/>
      <c r="E176" s="183" t="s">
        <v>32</v>
      </c>
      <c r="F176" s="73" t="s">
        <v>423</v>
      </c>
      <c r="G176" s="235" t="s">
        <v>117</v>
      </c>
      <c r="H176" s="181"/>
      <c r="I176" s="231"/>
      <c r="J176" s="190"/>
      <c r="K176" s="77"/>
      <c r="L176" s="77"/>
      <c r="M176" s="78">
        <f t="shared" si="16"/>
        <v>0</v>
      </c>
      <c r="N176" s="114"/>
      <c r="O176" s="77"/>
      <c r="P176" s="77"/>
      <c r="Q176" s="232">
        <f t="shared" si="13"/>
        <v>0</v>
      </c>
    </row>
    <row r="177" spans="1:18" s="15" customFormat="1" ht="30" x14ac:dyDescent="0.25">
      <c r="A177" s="229"/>
      <c r="B177" s="30" t="s">
        <v>144</v>
      </c>
      <c r="C177" s="181" t="s">
        <v>304</v>
      </c>
      <c r="D177" s="182" t="s">
        <v>313</v>
      </c>
      <c r="E177" s="194" t="s">
        <v>97</v>
      </c>
      <c r="F177" s="73" t="s">
        <v>407</v>
      </c>
      <c r="G177" s="66" t="s">
        <v>112</v>
      </c>
      <c r="H177" s="75">
        <v>15</v>
      </c>
      <c r="I177" s="76">
        <v>14</v>
      </c>
      <c r="J177" s="98">
        <f>2+2+1+3+1+1+5+2</f>
        <v>17</v>
      </c>
      <c r="K177" s="77">
        <f>950.9+1449.39+2272.32+2785.92+5112.01+6655.23</f>
        <v>19225.77</v>
      </c>
      <c r="L177" s="77">
        <f>950.9+1449.39+2272.32+2785.92+5112.01</f>
        <v>12570.54</v>
      </c>
      <c r="M177" s="78">
        <f>K177-L177</f>
        <v>6655.23</v>
      </c>
      <c r="N177" s="100">
        <f>3+2+1+1+1+1</f>
        <v>9</v>
      </c>
      <c r="O177" s="77">
        <f>5020.57+5566.06+2694.94+845.24</f>
        <v>14126.810000000001</v>
      </c>
      <c r="P177" s="77">
        <f>5020.57+5566.06+2694.94+845.24</f>
        <v>14126.810000000001</v>
      </c>
      <c r="Q177" s="79">
        <f t="shared" si="13"/>
        <v>0</v>
      </c>
      <c r="R177" s="141"/>
    </row>
    <row r="178" spans="1:18" s="15" customFormat="1" x14ac:dyDescent="0.25">
      <c r="A178" s="229"/>
      <c r="B178" s="30" t="s">
        <v>488</v>
      </c>
      <c r="C178" s="181"/>
      <c r="D178" s="182"/>
      <c r="E178" s="194"/>
      <c r="F178" s="73"/>
      <c r="G178" s="66" t="s">
        <v>114</v>
      </c>
      <c r="H178" s="75">
        <v>19</v>
      </c>
      <c r="I178" s="76">
        <v>8</v>
      </c>
      <c r="J178" s="98">
        <v>8</v>
      </c>
      <c r="K178" s="77">
        <v>13216.48</v>
      </c>
      <c r="L178" s="77">
        <v>9835.52</v>
      </c>
      <c r="M178" s="187">
        <f t="shared" ref="M178:M180" si="21">K178-L178</f>
        <v>3380.9599999999991</v>
      </c>
      <c r="N178" s="100"/>
      <c r="O178" s="77"/>
      <c r="P178" s="77"/>
      <c r="Q178" s="232">
        <f t="shared" si="13"/>
        <v>0</v>
      </c>
    </row>
    <row r="179" spans="1:18" s="15" customFormat="1" x14ac:dyDescent="0.25">
      <c r="A179" s="229"/>
      <c r="B179" s="30" t="s">
        <v>488</v>
      </c>
      <c r="C179" s="181"/>
      <c r="D179" s="182"/>
      <c r="E179" s="194"/>
      <c r="F179" s="73"/>
      <c r="G179" s="66" t="s">
        <v>113</v>
      </c>
      <c r="H179" s="75">
        <v>11</v>
      </c>
      <c r="I179" s="76">
        <v>5</v>
      </c>
      <c r="J179" s="98">
        <v>5</v>
      </c>
      <c r="K179" s="77">
        <v>7271</v>
      </c>
      <c r="L179" s="77">
        <v>6109</v>
      </c>
      <c r="M179" s="78">
        <f t="shared" si="21"/>
        <v>1162</v>
      </c>
      <c r="N179" s="100"/>
      <c r="O179" s="77"/>
      <c r="P179" s="77"/>
      <c r="Q179" s="79"/>
    </row>
    <row r="180" spans="1:18" s="15" customFormat="1" ht="30" x14ac:dyDescent="0.25">
      <c r="A180" s="229"/>
      <c r="B180" s="238" t="s">
        <v>144</v>
      </c>
      <c r="C180" s="181" t="s">
        <v>446</v>
      </c>
      <c r="D180" s="182" t="s">
        <v>313</v>
      </c>
      <c r="E180" s="183" t="s">
        <v>20</v>
      </c>
      <c r="F180" s="73" t="s">
        <v>485</v>
      </c>
      <c r="G180" s="235" t="s">
        <v>114</v>
      </c>
      <c r="H180" s="181">
        <v>25</v>
      </c>
      <c r="I180" s="234">
        <v>7</v>
      </c>
      <c r="J180" s="202">
        <v>7</v>
      </c>
      <c r="K180" s="77">
        <v>9412.9</v>
      </c>
      <c r="L180" s="77">
        <v>9412.9</v>
      </c>
      <c r="M180" s="187">
        <f t="shared" si="21"/>
        <v>0</v>
      </c>
      <c r="N180" s="100">
        <v>21</v>
      </c>
      <c r="O180" s="224">
        <v>44847.4</v>
      </c>
      <c r="P180" s="224">
        <v>36779.199999999997</v>
      </c>
      <c r="Q180" s="232">
        <f t="shared" ref="Q180" si="22">O180-P180</f>
        <v>8068.2000000000044</v>
      </c>
    </row>
    <row r="181" spans="1:18" s="21" customFormat="1" ht="45" x14ac:dyDescent="0.25">
      <c r="A181" s="181"/>
      <c r="B181" s="30" t="s">
        <v>100</v>
      </c>
      <c r="C181" s="181" t="s">
        <v>304</v>
      </c>
      <c r="D181" s="182" t="s">
        <v>416</v>
      </c>
      <c r="E181" s="194" t="s">
        <v>20</v>
      </c>
      <c r="F181" s="73" t="s">
        <v>408</v>
      </c>
      <c r="G181" s="27" t="s">
        <v>112</v>
      </c>
      <c r="H181" s="75">
        <v>12</v>
      </c>
      <c r="I181" s="76">
        <v>6</v>
      </c>
      <c r="J181" s="98">
        <f>5+1</f>
        <v>6</v>
      </c>
      <c r="K181" s="86">
        <f>6524.55+600.31</f>
        <v>7124.8600000000006</v>
      </c>
      <c r="L181" s="86">
        <f>6524.55+600.31</f>
        <v>7124.8600000000006</v>
      </c>
      <c r="M181" s="78">
        <f>K181-L181</f>
        <v>0</v>
      </c>
      <c r="N181" s="100">
        <f>1+3</f>
        <v>4</v>
      </c>
      <c r="O181" s="87">
        <f>10770.58+2113.01</f>
        <v>12883.59</v>
      </c>
      <c r="P181" s="87">
        <f>10770.58+2113.01</f>
        <v>12883.59</v>
      </c>
      <c r="Q181" s="79">
        <f t="shared" si="13"/>
        <v>0</v>
      </c>
      <c r="R181" s="141"/>
    </row>
    <row r="182" spans="1:18" s="21" customFormat="1" ht="60" x14ac:dyDescent="0.25">
      <c r="A182" s="181"/>
      <c r="B182" s="30" t="s">
        <v>100</v>
      </c>
      <c r="C182" s="203" t="s">
        <v>125</v>
      </c>
      <c r="D182" s="182" t="s">
        <v>126</v>
      </c>
      <c r="E182" s="194" t="s">
        <v>20</v>
      </c>
      <c r="F182" s="73" t="s">
        <v>486</v>
      </c>
      <c r="G182" s="236" t="s">
        <v>114</v>
      </c>
      <c r="H182" s="181">
        <v>9</v>
      </c>
      <c r="I182" s="234"/>
      <c r="J182" s="202"/>
      <c r="K182" s="86"/>
      <c r="L182" s="86"/>
      <c r="M182" s="187">
        <f t="shared" ref="M182" si="23">K182-L182</f>
        <v>0</v>
      </c>
      <c r="N182" s="100"/>
      <c r="O182" s="239"/>
      <c r="P182" s="239"/>
      <c r="Q182" s="232">
        <f t="shared" si="13"/>
        <v>0</v>
      </c>
    </row>
    <row r="183" spans="1:18" s="13" customFormat="1" x14ac:dyDescent="0.25">
      <c r="A183" s="229"/>
      <c r="B183" s="62" t="s">
        <v>101</v>
      </c>
      <c r="C183" s="181" t="s">
        <v>17</v>
      </c>
      <c r="D183" s="182"/>
      <c r="E183" s="194" t="s">
        <v>20</v>
      </c>
      <c r="F183" s="73" t="s">
        <v>409</v>
      </c>
      <c r="G183" s="74" t="s">
        <v>112</v>
      </c>
      <c r="H183" s="75">
        <v>11</v>
      </c>
      <c r="I183" s="76">
        <v>7</v>
      </c>
      <c r="J183" s="96">
        <f>1+5+1+1+2</f>
        <v>10</v>
      </c>
      <c r="K183" s="77">
        <f>1045.98+3354.45+1225.93+742.59</f>
        <v>6368.9500000000007</v>
      </c>
      <c r="L183" s="77">
        <f>1045.98+3354.45+1225.93</f>
        <v>5626.3600000000006</v>
      </c>
      <c r="M183" s="78">
        <f t="shared" si="16"/>
        <v>742.59000000000015</v>
      </c>
      <c r="N183" s="100">
        <f>5+2+1+1</f>
        <v>9</v>
      </c>
      <c r="O183" s="81">
        <f>6288.07+3061.62+3426.18+12951.18</f>
        <v>25727.05</v>
      </c>
      <c r="P183" s="81">
        <f>6288.07+3061.62+3426.18+12951.18</f>
        <v>25727.05</v>
      </c>
      <c r="Q183" s="79">
        <f t="shared" si="13"/>
        <v>0</v>
      </c>
      <c r="R183" s="141"/>
    </row>
    <row r="184" spans="1:18" s="13" customFormat="1" x14ac:dyDescent="0.25">
      <c r="A184" s="229"/>
      <c r="B184" s="62" t="s">
        <v>146</v>
      </c>
      <c r="C184" s="181" t="s">
        <v>17</v>
      </c>
      <c r="D184" s="182"/>
      <c r="E184" s="194" t="s">
        <v>20</v>
      </c>
      <c r="F184" s="73" t="s">
        <v>410</v>
      </c>
      <c r="G184" s="74" t="s">
        <v>112</v>
      </c>
      <c r="H184" s="75">
        <v>11</v>
      </c>
      <c r="I184" s="76">
        <v>9</v>
      </c>
      <c r="J184" s="96">
        <f>4+1+1+2</f>
        <v>8</v>
      </c>
      <c r="K184" s="77">
        <f>4610.77+1568.98+1854.88+422.62+1334.13</f>
        <v>9791.380000000001</v>
      </c>
      <c r="L184" s="77">
        <f>4610.77+1568.98+1854.88</f>
        <v>8034.63</v>
      </c>
      <c r="M184" s="78">
        <f t="shared" si="16"/>
        <v>1756.7500000000009</v>
      </c>
      <c r="N184" s="100">
        <f>5+1+1+2+1</f>
        <v>10</v>
      </c>
      <c r="O184" s="81">
        <f>13579.06+1287.07+2636.18+26196.83</f>
        <v>43699.14</v>
      </c>
      <c r="P184" s="81">
        <f>13579.06+1287.07+2636.18+26196.83</f>
        <v>43699.14</v>
      </c>
      <c r="Q184" s="232">
        <f t="shared" si="13"/>
        <v>0</v>
      </c>
      <c r="R184" s="141"/>
    </row>
    <row r="185" spans="1:18" s="13" customFormat="1" x14ac:dyDescent="0.25">
      <c r="A185" s="229"/>
      <c r="B185" s="62" t="s">
        <v>146</v>
      </c>
      <c r="C185" s="181" t="s">
        <v>17</v>
      </c>
      <c r="D185" s="182"/>
      <c r="E185" s="183" t="s">
        <v>21</v>
      </c>
      <c r="F185" s="73" t="s">
        <v>443</v>
      </c>
      <c r="G185" s="230" t="s">
        <v>118</v>
      </c>
      <c r="H185" s="181">
        <v>8</v>
      </c>
      <c r="I185" s="234">
        <v>1</v>
      </c>
      <c r="J185" s="190">
        <v>1</v>
      </c>
      <c r="K185" s="193">
        <v>1152.5999999999999</v>
      </c>
      <c r="L185" s="193">
        <v>1152.5999999999999</v>
      </c>
      <c r="M185" s="187">
        <f t="shared" si="16"/>
        <v>0</v>
      </c>
      <c r="N185" s="114">
        <v>5</v>
      </c>
      <c r="O185" s="224">
        <v>5349.99</v>
      </c>
      <c r="P185" s="224">
        <v>5349.99</v>
      </c>
      <c r="Q185" s="79">
        <f t="shared" si="13"/>
        <v>0</v>
      </c>
    </row>
    <row r="186" spans="1:18" s="13" customFormat="1" x14ac:dyDescent="0.25">
      <c r="A186" s="229"/>
      <c r="B186" s="27" t="s">
        <v>102</v>
      </c>
      <c r="C186" s="181" t="s">
        <v>17</v>
      </c>
      <c r="D186" s="182"/>
      <c r="E186" s="194" t="s">
        <v>20</v>
      </c>
      <c r="F186" s="73" t="s">
        <v>411</v>
      </c>
      <c r="G186" s="74" t="s">
        <v>112</v>
      </c>
      <c r="H186" s="75">
        <v>10</v>
      </c>
      <c r="I186" s="76">
        <v>7</v>
      </c>
      <c r="J186" s="96">
        <f>1+1+2+1+2</f>
        <v>7</v>
      </c>
      <c r="K186" s="77">
        <f>845.24+845.24+1690.48+1394.65+2689.38</f>
        <v>7464.9900000000007</v>
      </c>
      <c r="L186" s="77">
        <f>845.24+845.24+1690.48+1394.65</f>
        <v>4775.6100000000006</v>
      </c>
      <c r="M186" s="78">
        <f>K186-L186</f>
        <v>2689.38</v>
      </c>
      <c r="N186" s="100">
        <f>3+1+1</f>
        <v>5</v>
      </c>
      <c r="O186" s="81">
        <f>7808.21+30833.77-12193.52+9963.17</f>
        <v>36411.630000000005</v>
      </c>
      <c r="P186" s="81">
        <f>7808.21+30833.77-12193.52+9963.17</f>
        <v>36411.630000000005</v>
      </c>
      <c r="Q186" s="232">
        <f t="shared" si="13"/>
        <v>0</v>
      </c>
      <c r="R186" s="141"/>
    </row>
    <row r="187" spans="1:18" s="13" customFormat="1" x14ac:dyDescent="0.25">
      <c r="A187" s="229"/>
      <c r="B187" s="27" t="s">
        <v>102</v>
      </c>
      <c r="C187" s="181" t="s">
        <v>17</v>
      </c>
      <c r="D187" s="182"/>
      <c r="E187" s="194" t="s">
        <v>20</v>
      </c>
      <c r="F187" s="73" t="s">
        <v>469</v>
      </c>
      <c r="G187" s="230" t="s">
        <v>114</v>
      </c>
      <c r="H187" s="181">
        <v>9</v>
      </c>
      <c r="I187" s="231">
        <v>3</v>
      </c>
      <c r="J187" s="190">
        <v>3</v>
      </c>
      <c r="K187" s="77">
        <v>1267.8599999999999</v>
      </c>
      <c r="L187" s="77"/>
      <c r="M187" s="187">
        <f t="shared" ref="M187" si="24">K187-L187</f>
        <v>1267.8599999999999</v>
      </c>
      <c r="N187" s="100">
        <v>6</v>
      </c>
      <c r="O187" s="224">
        <v>19552.72</v>
      </c>
      <c r="P187" s="224">
        <v>16479.12</v>
      </c>
      <c r="Q187" s="232">
        <f t="shared" si="13"/>
        <v>3073.6000000000022</v>
      </c>
    </row>
    <row r="188" spans="1:18" s="13" customFormat="1" x14ac:dyDescent="0.25">
      <c r="A188" s="229"/>
      <c r="B188" s="27" t="s">
        <v>103</v>
      </c>
      <c r="C188" s="181" t="s">
        <v>17</v>
      </c>
      <c r="D188" s="182"/>
      <c r="E188" s="183" t="s">
        <v>20</v>
      </c>
      <c r="F188" s="73" t="s">
        <v>412</v>
      </c>
      <c r="G188" s="74" t="s">
        <v>112</v>
      </c>
      <c r="H188" s="75">
        <v>11</v>
      </c>
      <c r="I188" s="76">
        <v>7</v>
      </c>
      <c r="J188" s="96">
        <f>4+1+2</f>
        <v>7</v>
      </c>
      <c r="K188" s="77">
        <f>16248.67+1092.81+2003.49</f>
        <v>19344.97</v>
      </c>
      <c r="L188" s="77">
        <f>16248.67</f>
        <v>16248.67</v>
      </c>
      <c r="M188" s="78">
        <f>K188-L188</f>
        <v>3096.3000000000011</v>
      </c>
      <c r="N188" s="100">
        <f>7+2+1+1</f>
        <v>11</v>
      </c>
      <c r="O188" s="77">
        <f>20193.14+7541.5</f>
        <v>27734.639999999999</v>
      </c>
      <c r="P188" s="77">
        <f>20193.14</f>
        <v>20193.14</v>
      </c>
      <c r="Q188" s="232">
        <f t="shared" si="13"/>
        <v>7541.5</v>
      </c>
      <c r="R188" s="141"/>
    </row>
    <row r="189" spans="1:18" s="13" customFormat="1" x14ac:dyDescent="0.25">
      <c r="A189" s="229"/>
      <c r="B189" s="27" t="s">
        <v>103</v>
      </c>
      <c r="C189" s="181" t="s">
        <v>17</v>
      </c>
      <c r="D189" s="182"/>
      <c r="E189" s="183" t="s">
        <v>20</v>
      </c>
      <c r="F189" s="73" t="s">
        <v>470</v>
      </c>
      <c r="G189" s="230" t="s">
        <v>114</v>
      </c>
      <c r="H189" s="181">
        <v>11</v>
      </c>
      <c r="I189" s="231">
        <v>1</v>
      </c>
      <c r="J189" s="190">
        <v>1</v>
      </c>
      <c r="K189" s="77">
        <v>1728.9</v>
      </c>
      <c r="L189" s="77">
        <v>1728.9</v>
      </c>
      <c r="M189" s="187">
        <f t="shared" ref="M189" si="25">K189-L189</f>
        <v>0</v>
      </c>
      <c r="N189" s="100">
        <v>4</v>
      </c>
      <c r="O189" s="224">
        <v>10431.89</v>
      </c>
      <c r="P189" s="224">
        <v>10431.89</v>
      </c>
      <c r="Q189" s="232">
        <f t="shared" si="13"/>
        <v>0</v>
      </c>
    </row>
    <row r="190" spans="1:18" s="15" customFormat="1" x14ac:dyDescent="0.25">
      <c r="A190" s="229"/>
      <c r="B190" s="27" t="s">
        <v>104</v>
      </c>
      <c r="C190" s="181" t="s">
        <v>17</v>
      </c>
      <c r="D190" s="182"/>
      <c r="E190" s="183" t="s">
        <v>20</v>
      </c>
      <c r="F190" s="73" t="s">
        <v>413</v>
      </c>
      <c r="G190" s="74" t="s">
        <v>112</v>
      </c>
      <c r="H190" s="75">
        <v>10</v>
      </c>
      <c r="I190" s="76">
        <v>4</v>
      </c>
      <c r="J190" s="96">
        <f>3+1</f>
        <v>4</v>
      </c>
      <c r="K190" s="77">
        <f>5112.82+422.64</f>
        <v>5535.46</v>
      </c>
      <c r="L190" s="77">
        <f>5112.82+422.64</f>
        <v>5535.46</v>
      </c>
      <c r="M190" s="78">
        <f>K190-L190</f>
        <v>0</v>
      </c>
      <c r="N190" s="100">
        <f>4+1+1+2</f>
        <v>8</v>
      </c>
      <c r="O190" s="81">
        <f>7087.22+3426.18+3496.22</f>
        <v>14009.619999999999</v>
      </c>
      <c r="P190" s="81">
        <f>7087.22+3426.18+3496.22</f>
        <v>14009.619999999999</v>
      </c>
      <c r="Q190" s="232">
        <f t="shared" si="13"/>
        <v>0</v>
      </c>
      <c r="R190" s="141"/>
    </row>
    <row r="191" spans="1:18" s="15" customFormat="1" x14ac:dyDescent="0.25">
      <c r="A191" s="229"/>
      <c r="B191" s="27" t="s">
        <v>104</v>
      </c>
      <c r="C191" s="181" t="s">
        <v>17</v>
      </c>
      <c r="D191" s="182"/>
      <c r="E191" s="183" t="s">
        <v>20</v>
      </c>
      <c r="F191" s="73" t="s">
        <v>471</v>
      </c>
      <c r="G191" s="230" t="s">
        <v>114</v>
      </c>
      <c r="H191" s="181">
        <v>29</v>
      </c>
      <c r="I191" s="231">
        <v>4</v>
      </c>
      <c r="J191" s="190">
        <v>4</v>
      </c>
      <c r="K191" s="77">
        <v>6646.48</v>
      </c>
      <c r="L191" s="77">
        <v>4533.38</v>
      </c>
      <c r="M191" s="187">
        <f t="shared" ref="M191" si="26">K191-L191</f>
        <v>2113.0999999999995</v>
      </c>
      <c r="N191" s="114">
        <v>16</v>
      </c>
      <c r="O191" s="224">
        <v>29848.55</v>
      </c>
      <c r="P191" s="224">
        <v>24277.65</v>
      </c>
      <c r="Q191" s="232">
        <f t="shared" si="13"/>
        <v>5570.8999999999978</v>
      </c>
    </row>
    <row r="192" spans="1:18" s="13" customFormat="1" x14ac:dyDescent="0.25">
      <c r="A192" s="229"/>
      <c r="B192" s="30" t="s">
        <v>26</v>
      </c>
      <c r="C192" s="181" t="s">
        <v>17</v>
      </c>
      <c r="D192" s="182"/>
      <c r="E192" s="183" t="s">
        <v>32</v>
      </c>
      <c r="F192" s="73" t="s">
        <v>246</v>
      </c>
      <c r="G192" s="74" t="s">
        <v>117</v>
      </c>
      <c r="H192" s="75"/>
      <c r="I192" s="76"/>
      <c r="J192" s="96"/>
      <c r="K192" s="77"/>
      <c r="L192" s="77"/>
      <c r="M192" s="78">
        <f t="shared" si="16"/>
        <v>0</v>
      </c>
      <c r="N192" s="100">
        <v>5</v>
      </c>
      <c r="O192" s="81">
        <v>7808.15</v>
      </c>
      <c r="P192" s="81">
        <v>7808.15</v>
      </c>
      <c r="Q192" s="232">
        <f t="shared" si="13"/>
        <v>0</v>
      </c>
    </row>
    <row r="193" spans="1:18" s="13" customFormat="1" x14ac:dyDescent="0.25">
      <c r="A193" s="229"/>
      <c r="B193" s="30" t="s">
        <v>105</v>
      </c>
      <c r="C193" s="181" t="s">
        <v>17</v>
      </c>
      <c r="D193" s="182"/>
      <c r="E193" s="194" t="s">
        <v>35</v>
      </c>
      <c r="F193" s="73" t="s">
        <v>436</v>
      </c>
      <c r="G193" s="230" t="s">
        <v>117</v>
      </c>
      <c r="H193" s="181"/>
      <c r="I193" s="234"/>
      <c r="J193" s="96"/>
      <c r="K193" s="77"/>
      <c r="L193" s="77"/>
      <c r="M193" s="187">
        <f t="shared" si="16"/>
        <v>0</v>
      </c>
      <c r="N193" s="100"/>
      <c r="O193" s="224"/>
      <c r="P193" s="224"/>
      <c r="Q193" s="79">
        <f t="shared" si="13"/>
        <v>0</v>
      </c>
    </row>
    <row r="194" spans="1:18" s="13" customFormat="1" x14ac:dyDescent="0.25">
      <c r="A194" s="229"/>
      <c r="B194" s="62" t="s">
        <v>106</v>
      </c>
      <c r="C194" s="181" t="s">
        <v>17</v>
      </c>
      <c r="D194" s="205"/>
      <c r="E194" s="194" t="s">
        <v>20</v>
      </c>
      <c r="F194" s="73" t="s">
        <v>414</v>
      </c>
      <c r="G194" s="74" t="s">
        <v>112</v>
      </c>
      <c r="H194" s="75">
        <v>10</v>
      </c>
      <c r="I194" s="76">
        <v>4</v>
      </c>
      <c r="J194" s="96">
        <f>1+4</f>
        <v>5</v>
      </c>
      <c r="K194" s="77">
        <f>3125.9</f>
        <v>3125.9</v>
      </c>
      <c r="L194" s="77"/>
      <c r="M194" s="78">
        <f>K194-L194</f>
        <v>3125.9</v>
      </c>
      <c r="N194" s="100">
        <f>3+1</f>
        <v>4</v>
      </c>
      <c r="O194" s="81">
        <f>15956.85+4551.62+19965.34</f>
        <v>40473.81</v>
      </c>
      <c r="P194" s="81">
        <f>15956.85+4551.62</f>
        <v>20508.47</v>
      </c>
      <c r="Q194" s="232">
        <f t="shared" si="13"/>
        <v>19965.339999999997</v>
      </c>
      <c r="R194" s="141"/>
    </row>
    <row r="195" spans="1:18" x14ac:dyDescent="0.25">
      <c r="A195" s="223"/>
      <c r="B195" s="66"/>
      <c r="C195" s="226"/>
      <c r="D195" s="235"/>
      <c r="E195" s="235"/>
      <c r="F195" s="73"/>
      <c r="G195" s="235" t="s">
        <v>131</v>
      </c>
      <c r="H195" s="240">
        <f t="shared" ref="H195:P195" si="27">SUM(H10:H194)</f>
        <v>1963</v>
      </c>
      <c r="I195" s="222">
        <f t="shared" si="27"/>
        <v>938</v>
      </c>
      <c r="J195" s="208">
        <f t="shared" si="27"/>
        <v>1101</v>
      </c>
      <c r="K195" s="209">
        <f t="shared" si="27"/>
        <v>1832156.2350000003</v>
      </c>
      <c r="L195" s="209">
        <f t="shared" si="27"/>
        <v>1525857.6550000012</v>
      </c>
      <c r="M195" s="210">
        <f>K195-L195</f>
        <v>306298.57999999914</v>
      </c>
      <c r="N195" s="208">
        <f t="shared" si="27"/>
        <v>1623</v>
      </c>
      <c r="O195" s="241">
        <f t="shared" si="27"/>
        <v>4863270.9400000013</v>
      </c>
      <c r="P195" s="241">
        <f t="shared" si="27"/>
        <v>4609210.7399999993</v>
      </c>
      <c r="Q195" s="79">
        <f t="shared" si="13"/>
        <v>254060.20000000205</v>
      </c>
      <c r="R195" s="129"/>
    </row>
    <row r="196" spans="1:18" x14ac:dyDescent="0.25">
      <c r="K196" s="91" t="s">
        <v>305</v>
      </c>
    </row>
    <row r="197" spans="1:18" ht="45" x14ac:dyDescent="0.25">
      <c r="B197" s="89" t="s">
        <v>316</v>
      </c>
      <c r="F197" s="104" t="s">
        <v>317</v>
      </c>
      <c r="M197" s="142"/>
      <c r="Q197" s="133"/>
    </row>
    <row r="198" spans="1:18" x14ac:dyDescent="0.25">
      <c r="M198" s="216"/>
    </row>
  </sheetData>
  <mergeCells count="7">
    <mergeCell ref="O1:Q1"/>
    <mergeCell ref="A3:Q3"/>
    <mergeCell ref="A4:Q4"/>
    <mergeCell ref="A5:Q5"/>
    <mergeCell ref="B7:G7"/>
    <mergeCell ref="H7:M7"/>
    <mergeCell ref="N7:Q7"/>
  </mergeCells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94"/>
  <sheetViews>
    <sheetView workbookViewId="0">
      <selection sqref="A1:XFD1048576"/>
    </sheetView>
  </sheetViews>
  <sheetFormatPr defaultRowHeight="15" x14ac:dyDescent="0.25"/>
  <cols>
    <col min="1" max="1" width="1.85546875" style="6" customWidth="1"/>
    <col min="2" max="2" width="38.28515625" style="88" customWidth="1"/>
    <col min="3" max="3" width="6.5703125" style="19" hidden="1" customWidth="1"/>
    <col min="4" max="4" width="17.42578125" style="19" hidden="1" customWidth="1"/>
    <col min="5" max="5" width="19" style="19" hidden="1" customWidth="1"/>
    <col min="6" max="6" width="19" style="89" customWidth="1"/>
    <col min="7" max="7" width="20.140625" style="89" customWidth="1"/>
    <col min="8" max="9" width="15.7109375" style="90" customWidth="1"/>
    <col min="10" max="10" width="15.7109375" style="99" customWidth="1"/>
    <col min="11" max="13" width="15.7109375" style="91" customWidth="1"/>
    <col min="14" max="14" width="15.7109375" style="99" customWidth="1"/>
    <col min="15" max="17" width="15.7109375" style="92" customWidth="1"/>
    <col min="18" max="18" width="11.7109375" style="6" customWidth="1"/>
    <col min="19" max="19" width="9.42578125" style="6" customWidth="1"/>
    <col min="20" max="21" width="9.140625" style="6" customWidth="1"/>
    <col min="22" max="16384" width="9.140625" style="6"/>
  </cols>
  <sheetData>
    <row r="1" spans="1:18" s="105" customFormat="1" x14ac:dyDescent="0.25">
      <c r="A1" s="60"/>
      <c r="B1" s="60"/>
      <c r="C1" s="225"/>
      <c r="D1" s="225"/>
      <c r="E1" s="225"/>
      <c r="F1" s="63"/>
      <c r="G1" s="63"/>
      <c r="H1" s="64"/>
      <c r="I1" s="64"/>
      <c r="J1" s="93"/>
      <c r="K1" s="65"/>
      <c r="L1" s="65"/>
      <c r="M1" s="65"/>
      <c r="N1" s="93"/>
      <c r="O1" s="362" t="s">
        <v>15</v>
      </c>
      <c r="P1" s="362"/>
      <c r="Q1" s="362"/>
    </row>
    <row r="2" spans="1:18" s="105" customFormat="1" x14ac:dyDescent="0.25">
      <c r="A2" s="243"/>
      <c r="B2" s="243"/>
      <c r="C2" s="244"/>
      <c r="D2" s="244"/>
      <c r="E2" s="244"/>
      <c r="F2" s="66"/>
      <c r="G2" s="66"/>
      <c r="H2" s="242"/>
      <c r="I2" s="242"/>
      <c r="J2" s="94"/>
      <c r="K2" s="67"/>
      <c r="L2" s="67"/>
      <c r="M2" s="67"/>
      <c r="N2" s="94"/>
      <c r="O2" s="68"/>
      <c r="P2" s="68"/>
      <c r="Q2" s="68"/>
    </row>
    <row r="3" spans="1:18" s="105" customFormat="1" x14ac:dyDescent="0.25">
      <c r="A3" s="380" t="s">
        <v>318</v>
      </c>
      <c r="B3" s="367"/>
      <c r="C3" s="380"/>
      <c r="D3" s="380"/>
      <c r="E3" s="380"/>
      <c r="F3" s="367"/>
      <c r="G3" s="367"/>
      <c r="H3" s="366"/>
      <c r="I3" s="366"/>
      <c r="J3" s="367"/>
      <c r="K3" s="367"/>
      <c r="L3" s="367"/>
      <c r="M3" s="367"/>
      <c r="N3" s="367"/>
      <c r="O3" s="367"/>
      <c r="P3" s="367"/>
      <c r="Q3" s="367"/>
    </row>
    <row r="4" spans="1:18" s="105" customFormat="1" x14ac:dyDescent="0.25">
      <c r="A4" s="381">
        <v>43675</v>
      </c>
      <c r="B4" s="373"/>
      <c r="C4" s="382"/>
      <c r="D4" s="382"/>
      <c r="E4" s="382"/>
      <c r="F4" s="373"/>
      <c r="G4" s="373"/>
      <c r="H4" s="372"/>
      <c r="I4" s="372"/>
      <c r="J4" s="373"/>
      <c r="K4" s="373"/>
      <c r="L4" s="373"/>
      <c r="M4" s="373"/>
      <c r="N4" s="373"/>
      <c r="O4" s="373"/>
      <c r="P4" s="373"/>
      <c r="Q4" s="373"/>
    </row>
    <row r="5" spans="1:18" s="105" customFormat="1" x14ac:dyDescent="0.25">
      <c r="A5" s="367" t="s">
        <v>14</v>
      </c>
      <c r="B5" s="367"/>
      <c r="C5" s="367"/>
      <c r="D5" s="367"/>
      <c r="E5" s="367"/>
      <c r="F5" s="367"/>
      <c r="G5" s="367"/>
      <c r="H5" s="366"/>
      <c r="I5" s="366"/>
      <c r="J5" s="367"/>
      <c r="K5" s="367"/>
      <c r="L5" s="367"/>
      <c r="M5" s="367"/>
      <c r="N5" s="367"/>
      <c r="O5" s="367"/>
      <c r="P5" s="367"/>
      <c r="Q5" s="367"/>
    </row>
    <row r="6" spans="1:18" s="105" customFormat="1" x14ac:dyDescent="0.25">
      <c r="A6" s="243"/>
      <c r="B6" s="243"/>
      <c r="C6" s="244"/>
      <c r="D6" s="244"/>
      <c r="E6" s="244"/>
      <c r="F6" s="66"/>
      <c r="G6" s="66"/>
      <c r="H6" s="242"/>
      <c r="I6" s="242"/>
      <c r="J6" s="94"/>
      <c r="K6" s="67"/>
      <c r="L6" s="67"/>
      <c r="M6" s="67"/>
      <c r="N6" s="94"/>
      <c r="O6" s="68"/>
      <c r="P6" s="68"/>
      <c r="Q6" s="68"/>
    </row>
    <row r="7" spans="1:18" x14ac:dyDescent="0.25">
      <c r="A7" s="227" t="s">
        <v>0</v>
      </c>
      <c r="B7" s="367" t="s">
        <v>10</v>
      </c>
      <c r="C7" s="380"/>
      <c r="D7" s="380"/>
      <c r="E7" s="380"/>
      <c r="F7" s="367"/>
      <c r="G7" s="367"/>
      <c r="H7" s="366" t="s">
        <v>472</v>
      </c>
      <c r="I7" s="366"/>
      <c r="J7" s="367"/>
      <c r="K7" s="367"/>
      <c r="L7" s="367"/>
      <c r="M7" s="367"/>
      <c r="N7" s="367" t="s">
        <v>132</v>
      </c>
      <c r="O7" s="367"/>
      <c r="P7" s="367"/>
      <c r="Q7" s="367"/>
    </row>
    <row r="8" spans="1:18" ht="195" x14ac:dyDescent="0.25">
      <c r="A8" s="227"/>
      <c r="B8" s="243" t="s">
        <v>4</v>
      </c>
      <c r="C8" s="244" t="s">
        <v>1</v>
      </c>
      <c r="D8" s="244" t="s">
        <v>3</v>
      </c>
      <c r="E8" s="244" t="s">
        <v>2</v>
      </c>
      <c r="F8" s="243" t="s">
        <v>6</v>
      </c>
      <c r="G8" s="66" t="s">
        <v>5</v>
      </c>
      <c r="H8" s="243" t="s">
        <v>7</v>
      </c>
      <c r="I8" s="243" t="s">
        <v>8</v>
      </c>
      <c r="J8" s="94" t="s">
        <v>9</v>
      </c>
      <c r="K8" s="67" t="s">
        <v>11</v>
      </c>
      <c r="L8" s="67" t="s">
        <v>12</v>
      </c>
      <c r="M8" s="67" t="s">
        <v>13</v>
      </c>
      <c r="N8" s="94" t="s">
        <v>9</v>
      </c>
      <c r="O8" s="68" t="s">
        <v>11</v>
      </c>
      <c r="P8" s="68" t="s">
        <v>12</v>
      </c>
      <c r="Q8" s="68" t="s">
        <v>13</v>
      </c>
    </row>
    <row r="9" spans="1:18" x14ac:dyDescent="0.25">
      <c r="A9" s="228">
        <v>1</v>
      </c>
      <c r="B9" s="61">
        <f>A9+1</f>
        <v>2</v>
      </c>
      <c r="C9" s="228">
        <f t="shared" ref="C9:Q9" si="0">B9+1</f>
        <v>3</v>
      </c>
      <c r="D9" s="228">
        <f t="shared" si="0"/>
        <v>4</v>
      </c>
      <c r="E9" s="228">
        <f t="shared" si="0"/>
        <v>5</v>
      </c>
      <c r="F9" s="69">
        <f t="shared" si="0"/>
        <v>6</v>
      </c>
      <c r="G9" s="69">
        <f t="shared" si="0"/>
        <v>7</v>
      </c>
      <c r="H9" s="70">
        <f t="shared" si="0"/>
        <v>8</v>
      </c>
      <c r="I9" s="70">
        <f t="shared" si="0"/>
        <v>9</v>
      </c>
      <c r="J9" s="95">
        <f t="shared" si="0"/>
        <v>10</v>
      </c>
      <c r="K9" s="71">
        <f t="shared" si="0"/>
        <v>11</v>
      </c>
      <c r="L9" s="71">
        <f t="shared" si="0"/>
        <v>12</v>
      </c>
      <c r="M9" s="71">
        <f t="shared" si="0"/>
        <v>13</v>
      </c>
      <c r="N9" s="95">
        <f t="shared" si="0"/>
        <v>14</v>
      </c>
      <c r="O9" s="72">
        <f t="shared" si="0"/>
        <v>15</v>
      </c>
      <c r="P9" s="72">
        <f t="shared" si="0"/>
        <v>16</v>
      </c>
      <c r="Q9" s="72">
        <f t="shared" si="0"/>
        <v>17</v>
      </c>
    </row>
    <row r="10" spans="1:18" s="13" customFormat="1" ht="15" customHeight="1" x14ac:dyDescent="0.25">
      <c r="A10" s="229"/>
      <c r="B10" s="62" t="s">
        <v>16</v>
      </c>
      <c r="C10" s="181" t="s">
        <v>304</v>
      </c>
      <c r="D10" s="182" t="s">
        <v>315</v>
      </c>
      <c r="E10" s="183" t="s">
        <v>18</v>
      </c>
      <c r="F10" s="73" t="s">
        <v>322</v>
      </c>
      <c r="G10" s="74" t="s">
        <v>112</v>
      </c>
      <c r="H10" s="75">
        <v>12</v>
      </c>
      <c r="I10" s="76">
        <v>9</v>
      </c>
      <c r="J10" s="98">
        <f>2+1+3+3</f>
        <v>9</v>
      </c>
      <c r="K10" s="77">
        <f>4792.51+1138.19+504.26+11366.06+4859.68+3954.5</f>
        <v>26615.200000000001</v>
      </c>
      <c r="L10" s="77">
        <f>4792.51+1138.19+504.26+11366.06+4859.68+3954.5</f>
        <v>26615.200000000001</v>
      </c>
      <c r="M10" s="78">
        <f>K10-L10</f>
        <v>0</v>
      </c>
      <c r="N10" s="100">
        <f>2+5+1+2+1</f>
        <v>11</v>
      </c>
      <c r="O10" s="77">
        <f>9108.77+6924.32+22366.06+8197.52</f>
        <v>46596.67</v>
      </c>
      <c r="P10" s="77">
        <f>9108.77+6924.32+12366.06+8197.52</f>
        <v>36596.67</v>
      </c>
      <c r="Q10" s="79">
        <f>O10-P10</f>
        <v>10000</v>
      </c>
      <c r="R10" s="141"/>
    </row>
    <row r="11" spans="1:18" s="13" customFormat="1" ht="15" customHeight="1" x14ac:dyDescent="0.25">
      <c r="A11" s="229"/>
      <c r="B11" s="62" t="s">
        <v>16</v>
      </c>
      <c r="C11" s="181" t="s">
        <v>304</v>
      </c>
      <c r="D11" s="182" t="s">
        <v>315</v>
      </c>
      <c r="E11" s="183" t="s">
        <v>18</v>
      </c>
      <c r="F11" s="73" t="s">
        <v>322</v>
      </c>
      <c r="G11" s="230" t="s">
        <v>116</v>
      </c>
      <c r="H11" s="181">
        <v>10</v>
      </c>
      <c r="I11" s="231">
        <v>4</v>
      </c>
      <c r="J11" s="96">
        <v>4</v>
      </c>
      <c r="K11" s="224">
        <v>7070</v>
      </c>
      <c r="L11" s="224">
        <v>6707</v>
      </c>
      <c r="M11" s="187">
        <f t="shared" ref="M11:M90" si="1">K11-L11</f>
        <v>363</v>
      </c>
      <c r="N11" s="100">
        <v>0</v>
      </c>
      <c r="O11" s="224">
        <v>2945</v>
      </c>
      <c r="P11" s="224">
        <v>2945</v>
      </c>
      <c r="Q11" s="232">
        <f t="shared" ref="Q11:Q80" si="2">O11-P11</f>
        <v>0</v>
      </c>
    </row>
    <row r="12" spans="1:18" s="13" customFormat="1" ht="15" customHeight="1" x14ac:dyDescent="0.25">
      <c r="A12" s="229"/>
      <c r="B12" s="62" t="s">
        <v>490</v>
      </c>
      <c r="C12" s="181" t="s">
        <v>304</v>
      </c>
      <c r="D12" s="182"/>
      <c r="E12" s="183"/>
      <c r="F12" s="189" t="s">
        <v>501</v>
      </c>
      <c r="G12" s="230" t="s">
        <v>112</v>
      </c>
      <c r="H12" s="181">
        <v>12</v>
      </c>
      <c r="I12" s="231">
        <v>7</v>
      </c>
      <c r="J12" s="96">
        <f>5+1+3</f>
        <v>9</v>
      </c>
      <c r="K12" s="224">
        <f>8352.39+384.2+1463.8+3720.67</f>
        <v>13921.06</v>
      </c>
      <c r="L12" s="224">
        <f>8352.39+384.2+1463.8+3720.67</f>
        <v>13921.06</v>
      </c>
      <c r="M12" s="78">
        <f t="shared" si="1"/>
        <v>0</v>
      </c>
      <c r="N12" s="100"/>
      <c r="O12" s="224"/>
      <c r="P12" s="224"/>
      <c r="Q12" s="79">
        <f t="shared" si="2"/>
        <v>0</v>
      </c>
    </row>
    <row r="13" spans="1:18" s="15" customFormat="1" ht="15" customHeight="1" x14ac:dyDescent="0.25">
      <c r="A13" s="229"/>
      <c r="B13" s="62" t="s">
        <v>19</v>
      </c>
      <c r="C13" s="181" t="s">
        <v>17</v>
      </c>
      <c r="D13" s="182"/>
      <c r="E13" s="183" t="s">
        <v>20</v>
      </c>
      <c r="F13" s="73" t="s">
        <v>323</v>
      </c>
      <c r="G13" s="74" t="s">
        <v>112</v>
      </c>
      <c r="H13" s="75">
        <v>11</v>
      </c>
      <c r="I13" s="76">
        <v>8</v>
      </c>
      <c r="J13" s="96">
        <f>1+2+5+2+1</f>
        <v>11</v>
      </c>
      <c r="K13" s="77">
        <f>422.62+4792.51+1796.14+1373.52</f>
        <v>8384.7900000000009</v>
      </c>
      <c r="L13" s="77">
        <f>422.62+4792.51+1796.14+1373.52</f>
        <v>8384.7900000000009</v>
      </c>
      <c r="M13" s="78">
        <f t="shared" si="1"/>
        <v>0</v>
      </c>
      <c r="N13" s="100">
        <f>8+3+1</f>
        <v>12</v>
      </c>
      <c r="O13" s="81">
        <f>6459.36+7124.45</f>
        <v>13583.81</v>
      </c>
      <c r="P13" s="81">
        <f>6459.36+7124.45</f>
        <v>13583.81</v>
      </c>
      <c r="Q13" s="79">
        <f t="shared" si="2"/>
        <v>0</v>
      </c>
      <c r="R13" s="141"/>
    </row>
    <row r="14" spans="1:18" s="15" customFormat="1" ht="15" customHeight="1" x14ac:dyDescent="0.25">
      <c r="A14" s="229"/>
      <c r="B14" s="62" t="s">
        <v>19</v>
      </c>
      <c r="C14" s="181" t="s">
        <v>17</v>
      </c>
      <c r="D14" s="182"/>
      <c r="E14" s="183" t="s">
        <v>20</v>
      </c>
      <c r="F14" s="73" t="s">
        <v>451</v>
      </c>
      <c r="G14" s="230" t="s">
        <v>114</v>
      </c>
      <c r="H14" s="181">
        <v>7</v>
      </c>
      <c r="I14" s="231">
        <v>1</v>
      </c>
      <c r="J14" s="190">
        <v>1</v>
      </c>
      <c r="K14" s="77">
        <v>1267.68</v>
      </c>
      <c r="L14" s="77">
        <v>1267.68</v>
      </c>
      <c r="M14" s="187">
        <f t="shared" si="1"/>
        <v>0</v>
      </c>
      <c r="N14" s="100">
        <v>9</v>
      </c>
      <c r="O14" s="224">
        <v>16688.7</v>
      </c>
      <c r="P14" s="224">
        <v>16688.7</v>
      </c>
      <c r="Q14" s="232">
        <f t="shared" si="2"/>
        <v>0</v>
      </c>
    </row>
    <row r="15" spans="1:18" s="15" customFormat="1" ht="15" customHeight="1" x14ac:dyDescent="0.25">
      <c r="A15" s="229"/>
      <c r="B15" s="62" t="s">
        <v>153</v>
      </c>
      <c r="C15" s="181" t="s">
        <v>17</v>
      </c>
      <c r="D15" s="182"/>
      <c r="E15" s="183" t="s">
        <v>20</v>
      </c>
      <c r="F15" s="73" t="s">
        <v>324</v>
      </c>
      <c r="G15" s="74" t="s">
        <v>112</v>
      </c>
      <c r="H15" s="75">
        <v>10</v>
      </c>
      <c r="I15" s="82">
        <v>6</v>
      </c>
      <c r="J15" s="96">
        <f>1+1+2+1+1+2</f>
        <v>8</v>
      </c>
      <c r="K15" s="77">
        <f>950.9+2451.87+3074.57+845.24+1977.86+1284.48</f>
        <v>10584.92</v>
      </c>
      <c r="L15" s="77">
        <f>950.9+2451.87+3074.57+845.24+1977.86</f>
        <v>9300.44</v>
      </c>
      <c r="M15" s="78">
        <f>K15-L15</f>
        <v>1284.4799999999996</v>
      </c>
      <c r="N15" s="114">
        <f>1+2+1+2+1+1</f>
        <v>8</v>
      </c>
      <c r="O15" s="81">
        <f>422.62+945.61+2484.69+7964.81+1536.8+2498.17</f>
        <v>15852.699999999999</v>
      </c>
      <c r="P15" s="81">
        <f>422.62+945.61+2484.69+7964.81+1536.8</f>
        <v>13354.529999999999</v>
      </c>
      <c r="Q15" s="79">
        <f t="shared" si="2"/>
        <v>2498.17</v>
      </c>
      <c r="R15" s="141"/>
    </row>
    <row r="16" spans="1:18" s="15" customFormat="1" ht="15" customHeight="1" x14ac:dyDescent="0.25">
      <c r="A16" s="229"/>
      <c r="B16" s="233" t="s">
        <v>153</v>
      </c>
      <c r="C16" s="181" t="s">
        <v>17</v>
      </c>
      <c r="D16" s="182"/>
      <c r="E16" s="183" t="s">
        <v>20</v>
      </c>
      <c r="F16" s="73" t="s">
        <v>452</v>
      </c>
      <c r="G16" s="230" t="s">
        <v>114</v>
      </c>
      <c r="H16" s="181">
        <v>14</v>
      </c>
      <c r="I16" s="231">
        <v>3</v>
      </c>
      <c r="J16" s="190">
        <v>3</v>
      </c>
      <c r="K16" s="77">
        <v>3957.08</v>
      </c>
      <c r="L16" s="77">
        <v>3957.08</v>
      </c>
      <c r="M16" s="187">
        <f t="shared" si="1"/>
        <v>0</v>
      </c>
      <c r="N16" s="100">
        <v>9</v>
      </c>
      <c r="O16" s="224">
        <v>31921.279999999999</v>
      </c>
      <c r="P16" s="224">
        <v>23692.58</v>
      </c>
      <c r="Q16" s="232">
        <f t="shared" si="2"/>
        <v>8228.6999999999971</v>
      </c>
    </row>
    <row r="17" spans="1:18" s="13" customFormat="1" ht="15" customHeight="1" x14ac:dyDescent="0.25">
      <c r="A17" s="229"/>
      <c r="B17" s="30" t="s">
        <v>22</v>
      </c>
      <c r="C17" s="181" t="s">
        <v>17</v>
      </c>
      <c r="D17" s="182"/>
      <c r="E17" s="183" t="s">
        <v>23</v>
      </c>
      <c r="F17" s="73" t="s">
        <v>325</v>
      </c>
      <c r="G17" s="74" t="s">
        <v>112</v>
      </c>
      <c r="H17" s="75">
        <v>29</v>
      </c>
      <c r="I17" s="76">
        <v>10</v>
      </c>
      <c r="J17" s="96">
        <f>1+2+1+9</f>
        <v>13</v>
      </c>
      <c r="K17" s="77">
        <f>2698.64+1402.33+11601.84</f>
        <v>15702.81</v>
      </c>
      <c r="L17" s="77">
        <f>2698.64+1402.33+11601.84</f>
        <v>15702.81</v>
      </c>
      <c r="M17" s="78">
        <f>K17-L17</f>
        <v>0</v>
      </c>
      <c r="N17" s="100">
        <f>14+3+7+1+1</f>
        <v>26</v>
      </c>
      <c r="O17" s="81">
        <f>22716.4+4171.06+18768.39+8172.47</f>
        <v>53828.320000000007</v>
      </c>
      <c r="P17" s="81">
        <f>22716.4+4171.06+18768.39+8172.47</f>
        <v>53828.320000000007</v>
      </c>
      <c r="Q17" s="79">
        <f t="shared" si="2"/>
        <v>0</v>
      </c>
      <c r="R17" s="141"/>
    </row>
    <row r="18" spans="1:18" s="13" customFormat="1" ht="15" customHeight="1" x14ac:dyDescent="0.25">
      <c r="A18" s="229"/>
      <c r="B18" s="30" t="s">
        <v>154</v>
      </c>
      <c r="C18" s="181" t="s">
        <v>17</v>
      </c>
      <c r="D18" s="182"/>
      <c r="E18" s="183" t="s">
        <v>20</v>
      </c>
      <c r="F18" s="73" t="s">
        <v>453</v>
      </c>
      <c r="G18" s="230" t="s">
        <v>114</v>
      </c>
      <c r="H18" s="181">
        <v>22</v>
      </c>
      <c r="I18" s="234">
        <v>2</v>
      </c>
      <c r="J18" s="190">
        <v>2</v>
      </c>
      <c r="K18" s="193">
        <v>2938.2</v>
      </c>
      <c r="L18" s="193">
        <v>2938.2</v>
      </c>
      <c r="M18" s="187">
        <f t="shared" si="1"/>
        <v>0</v>
      </c>
      <c r="N18" s="114">
        <v>16</v>
      </c>
      <c r="O18" s="224">
        <v>34624.39</v>
      </c>
      <c r="P18" s="224">
        <v>34624.39</v>
      </c>
      <c r="Q18" s="232">
        <f t="shared" si="2"/>
        <v>0</v>
      </c>
    </row>
    <row r="19" spans="1:18" s="13" customFormat="1" ht="15" customHeight="1" x14ac:dyDescent="0.25">
      <c r="A19" s="229"/>
      <c r="B19" s="30" t="s">
        <v>154</v>
      </c>
      <c r="C19" s="181" t="s">
        <v>17</v>
      </c>
      <c r="D19" s="182"/>
      <c r="E19" s="183" t="s">
        <v>20</v>
      </c>
      <c r="F19" s="73" t="s">
        <v>326</v>
      </c>
      <c r="G19" s="74" t="s">
        <v>112</v>
      </c>
      <c r="H19" s="75">
        <v>19</v>
      </c>
      <c r="I19" s="76">
        <v>15</v>
      </c>
      <c r="J19" s="96">
        <f>1+1+2+2+2+6+1+4</f>
        <v>19</v>
      </c>
      <c r="K19" s="77">
        <f>950.9+864.46+845.24+405.02+739.59+6850.57</f>
        <v>10655.78</v>
      </c>
      <c r="L19" s="77">
        <f>950.9+864.46+845.24+405.02+739.59</f>
        <v>3805.2100000000005</v>
      </c>
      <c r="M19" s="78">
        <f t="shared" si="1"/>
        <v>6850.57</v>
      </c>
      <c r="N19" s="100">
        <f>6+3+1+1+1+2+1+1</f>
        <v>16</v>
      </c>
      <c r="O19" s="81">
        <f>6681.33+7017+1523.5+9094.74</f>
        <v>24316.57</v>
      </c>
      <c r="P19" s="81">
        <f>6681.33+7017+1523.5+9094.74</f>
        <v>24316.57</v>
      </c>
      <c r="Q19" s="79">
        <f t="shared" si="2"/>
        <v>0</v>
      </c>
      <c r="R19" s="141"/>
    </row>
    <row r="20" spans="1:18" s="13" customFormat="1" ht="15" customHeight="1" x14ac:dyDescent="0.25">
      <c r="A20" s="229"/>
      <c r="B20" s="62" t="s">
        <v>24</v>
      </c>
      <c r="C20" s="181" t="s">
        <v>17</v>
      </c>
      <c r="D20" s="182"/>
      <c r="E20" s="183" t="s">
        <v>20</v>
      </c>
      <c r="F20" s="73" t="s">
        <v>327</v>
      </c>
      <c r="G20" s="74" t="s">
        <v>112</v>
      </c>
      <c r="H20" s="75">
        <v>7</v>
      </c>
      <c r="I20" s="76">
        <v>4</v>
      </c>
      <c r="J20" s="96">
        <f>3+1</f>
        <v>4</v>
      </c>
      <c r="K20" s="77">
        <f>1191.02</f>
        <v>1191.02</v>
      </c>
      <c r="L20" s="77">
        <f>1191.02</f>
        <v>1191.02</v>
      </c>
      <c r="M20" s="78">
        <f t="shared" si="1"/>
        <v>0</v>
      </c>
      <c r="N20" s="100">
        <f>1+1</f>
        <v>2</v>
      </c>
      <c r="O20" s="81">
        <f>576.3+1810.93</f>
        <v>2387.23</v>
      </c>
      <c r="P20" s="81">
        <f>576.3+1810.93</f>
        <v>2387.23</v>
      </c>
      <c r="Q20" s="232">
        <f t="shared" si="2"/>
        <v>0</v>
      </c>
      <c r="R20" s="141"/>
    </row>
    <row r="21" spans="1:18" s="13" customFormat="1" ht="15" customHeight="1" x14ac:dyDescent="0.25">
      <c r="A21" s="229"/>
      <c r="B21" s="62" t="s">
        <v>24</v>
      </c>
      <c r="C21" s="181" t="s">
        <v>17</v>
      </c>
      <c r="D21" s="182"/>
      <c r="E21" s="183" t="s">
        <v>20</v>
      </c>
      <c r="F21" s="73" t="s">
        <v>454</v>
      </c>
      <c r="G21" s="230" t="s">
        <v>114</v>
      </c>
      <c r="H21" s="181">
        <v>12</v>
      </c>
      <c r="I21" s="231"/>
      <c r="J21" s="190"/>
      <c r="K21" s="77"/>
      <c r="L21" s="77"/>
      <c r="M21" s="187">
        <f t="shared" si="1"/>
        <v>0</v>
      </c>
      <c r="N21" s="100">
        <v>16</v>
      </c>
      <c r="O21" s="224">
        <v>14635.6</v>
      </c>
      <c r="P21" s="224">
        <v>14635.6</v>
      </c>
      <c r="Q21" s="232">
        <f t="shared" si="2"/>
        <v>0</v>
      </c>
    </row>
    <row r="22" spans="1:18" s="13" customFormat="1" ht="15" customHeight="1" x14ac:dyDescent="0.25">
      <c r="A22" s="229"/>
      <c r="B22" s="62" t="s">
        <v>25</v>
      </c>
      <c r="C22" s="181" t="s">
        <v>17</v>
      </c>
      <c r="D22" s="182"/>
      <c r="E22" s="183" t="s">
        <v>20</v>
      </c>
      <c r="F22" s="73" t="s">
        <v>328</v>
      </c>
      <c r="G22" s="74" t="s">
        <v>112</v>
      </c>
      <c r="H22" s="75">
        <v>9</v>
      </c>
      <c r="I22" s="76">
        <v>4</v>
      </c>
      <c r="J22" s="96">
        <f>1+1+1+1+1</f>
        <v>5</v>
      </c>
      <c r="K22" s="173">
        <f>403.41+1605.6+3697.9</f>
        <v>5706.91</v>
      </c>
      <c r="L22" s="173">
        <v>403.41</v>
      </c>
      <c r="M22" s="78">
        <f>K22-L22</f>
        <v>5303.5</v>
      </c>
      <c r="N22" s="100">
        <f>6+1+2+2+1</f>
        <v>12</v>
      </c>
      <c r="O22" s="81">
        <f>14526.7+5595.3+2440.62+2839.24</f>
        <v>25401.86</v>
      </c>
      <c r="P22" s="81">
        <f>14526.7+5595.3+2440.62+2839.24</f>
        <v>25401.86</v>
      </c>
      <c r="Q22" s="232">
        <f t="shared" si="2"/>
        <v>0</v>
      </c>
      <c r="R22" s="141"/>
    </row>
    <row r="23" spans="1:18" s="13" customFormat="1" ht="15" customHeight="1" x14ac:dyDescent="0.25">
      <c r="A23" s="229"/>
      <c r="B23" s="62" t="s">
        <v>25</v>
      </c>
      <c r="C23" s="181" t="s">
        <v>17</v>
      </c>
      <c r="D23" s="182"/>
      <c r="E23" s="183" t="s">
        <v>20</v>
      </c>
      <c r="F23" s="73" t="s">
        <v>455</v>
      </c>
      <c r="G23" s="230" t="s">
        <v>114</v>
      </c>
      <c r="H23" s="181">
        <v>4</v>
      </c>
      <c r="I23" s="231"/>
      <c r="J23" s="190"/>
      <c r="K23" s="77"/>
      <c r="L23" s="77"/>
      <c r="M23" s="187">
        <f t="shared" si="1"/>
        <v>0</v>
      </c>
      <c r="N23" s="100">
        <v>3</v>
      </c>
      <c r="O23" s="224">
        <v>4146.2</v>
      </c>
      <c r="P23" s="224">
        <f>4146.2</f>
        <v>4146.2</v>
      </c>
      <c r="Q23" s="232">
        <f t="shared" si="2"/>
        <v>0</v>
      </c>
    </row>
    <row r="24" spans="1:18" s="13" customFormat="1" ht="15" customHeight="1" x14ac:dyDescent="0.25">
      <c r="A24" s="229"/>
      <c r="B24" s="62" t="s">
        <v>26</v>
      </c>
      <c r="C24" s="181" t="s">
        <v>17</v>
      </c>
      <c r="D24" s="182"/>
      <c r="E24" s="183" t="s">
        <v>27</v>
      </c>
      <c r="F24" s="73" t="s">
        <v>329</v>
      </c>
      <c r="G24" s="74" t="s">
        <v>112</v>
      </c>
      <c r="H24" s="75">
        <v>15</v>
      </c>
      <c r="I24" s="76">
        <v>8</v>
      </c>
      <c r="J24" s="96">
        <f>2+2+4+1</f>
        <v>9</v>
      </c>
      <c r="K24" s="77">
        <f>845.24+1056.55+5121.1+26225.35+422.62</f>
        <v>33670.86</v>
      </c>
      <c r="L24" s="77">
        <f>845.24+1056.55+5121.1+26225.35</f>
        <v>33248.239999999998</v>
      </c>
      <c r="M24" s="78">
        <f t="shared" si="1"/>
        <v>422.62000000000262</v>
      </c>
      <c r="N24" s="100">
        <f>6+1+1+2</f>
        <v>10</v>
      </c>
      <c r="O24" s="81">
        <f>17838.53+2535.75+7238.9</f>
        <v>27613.18</v>
      </c>
      <c r="P24" s="81">
        <f>17838.53+2535.75+7238.9</f>
        <v>27613.18</v>
      </c>
      <c r="Q24" s="232">
        <f t="shared" si="2"/>
        <v>0</v>
      </c>
      <c r="R24" s="141"/>
    </row>
    <row r="25" spans="1:18" s="15" customFormat="1" ht="15" customHeight="1" x14ac:dyDescent="0.25">
      <c r="A25" s="229"/>
      <c r="B25" s="62" t="s">
        <v>28</v>
      </c>
      <c r="C25" s="181" t="s">
        <v>17</v>
      </c>
      <c r="D25" s="182"/>
      <c r="E25" s="194" t="s">
        <v>29</v>
      </c>
      <c r="F25" s="73" t="s">
        <v>330</v>
      </c>
      <c r="G25" s="74" t="s">
        <v>112</v>
      </c>
      <c r="H25" s="75">
        <v>7</v>
      </c>
      <c r="I25" s="76">
        <v>6</v>
      </c>
      <c r="J25" s="96">
        <f>2+1+2+1</f>
        <v>6</v>
      </c>
      <c r="K25" s="77">
        <f>6135.14+2440.63+9722.07</f>
        <v>18297.84</v>
      </c>
      <c r="L25" s="77">
        <f>6135.14+2440.63+9722.07</f>
        <v>18297.84</v>
      </c>
      <c r="M25" s="78">
        <f t="shared" si="1"/>
        <v>0</v>
      </c>
      <c r="N25" s="100">
        <f>3+2+4+3+1</f>
        <v>13</v>
      </c>
      <c r="O25" s="81">
        <f>5310.83+4630.52+14679.01+36087.29</f>
        <v>60707.65</v>
      </c>
      <c r="P25" s="81">
        <f>5310.83+4630.52+14679.01+36087.29</f>
        <v>60707.65</v>
      </c>
      <c r="Q25" s="232">
        <f t="shared" si="2"/>
        <v>0</v>
      </c>
      <c r="R25" s="141"/>
    </row>
    <row r="26" spans="1:18" s="15" customFormat="1" ht="15" customHeight="1" x14ac:dyDescent="0.25">
      <c r="A26" s="229"/>
      <c r="B26" s="62" t="s">
        <v>28</v>
      </c>
      <c r="C26" s="181" t="s">
        <v>17</v>
      </c>
      <c r="D26" s="182"/>
      <c r="E26" s="194" t="s">
        <v>29</v>
      </c>
      <c r="F26" s="73" t="s">
        <v>420</v>
      </c>
      <c r="G26" s="235" t="s">
        <v>117</v>
      </c>
      <c r="H26" s="181">
        <v>2</v>
      </c>
      <c r="I26" s="231"/>
      <c r="J26" s="96"/>
      <c r="K26" s="77"/>
      <c r="L26" s="77"/>
      <c r="M26" s="78">
        <f t="shared" si="1"/>
        <v>0</v>
      </c>
      <c r="N26" s="100">
        <v>5</v>
      </c>
      <c r="O26" s="224">
        <v>2766.24</v>
      </c>
      <c r="P26" s="224">
        <v>2766.24</v>
      </c>
      <c r="Q26" s="79">
        <f t="shared" si="2"/>
        <v>0</v>
      </c>
    </row>
    <row r="27" spans="1:18" s="15" customFormat="1" ht="15" customHeight="1" x14ac:dyDescent="0.25">
      <c r="A27" s="229"/>
      <c r="B27" s="233" t="s">
        <v>500</v>
      </c>
      <c r="C27" s="181" t="s">
        <v>17</v>
      </c>
      <c r="D27" s="182"/>
      <c r="E27" s="194"/>
      <c r="F27" s="73" t="s">
        <v>503</v>
      </c>
      <c r="G27" s="235" t="s">
        <v>112</v>
      </c>
      <c r="H27" s="181">
        <v>10</v>
      </c>
      <c r="I27" s="231">
        <v>3</v>
      </c>
      <c r="J27" s="96">
        <f>2+2</f>
        <v>4</v>
      </c>
      <c r="K27" s="77">
        <f>1202.51+3555.1</f>
        <v>4757.6099999999997</v>
      </c>
      <c r="L27" s="77">
        <v>1202.51</v>
      </c>
      <c r="M27" s="78">
        <f t="shared" si="1"/>
        <v>3555.0999999999995</v>
      </c>
      <c r="N27" s="100"/>
      <c r="O27" s="224"/>
      <c r="P27" s="224"/>
      <c r="Q27" s="79">
        <f t="shared" si="2"/>
        <v>0</v>
      </c>
    </row>
    <row r="28" spans="1:18" s="13" customFormat="1" ht="15" customHeight="1" x14ac:dyDescent="0.25">
      <c r="A28" s="229"/>
      <c r="B28" s="27" t="s">
        <v>30</v>
      </c>
      <c r="C28" s="181" t="s">
        <v>17</v>
      </c>
      <c r="D28" s="182"/>
      <c r="E28" s="194" t="s">
        <v>21</v>
      </c>
      <c r="F28" s="73" t="s">
        <v>333</v>
      </c>
      <c r="G28" s="74" t="s">
        <v>112</v>
      </c>
      <c r="H28" s="75">
        <v>16</v>
      </c>
      <c r="I28" s="76">
        <v>11</v>
      </c>
      <c r="J28" s="96">
        <f>3+1+3+1+4+1+1</f>
        <v>14</v>
      </c>
      <c r="K28" s="77">
        <f>16637.24+1045.98</f>
        <v>17683.22</v>
      </c>
      <c r="L28" s="77">
        <f>16637.24+1045.98-1465.72</f>
        <v>16217.500000000002</v>
      </c>
      <c r="M28" s="78">
        <f t="shared" si="1"/>
        <v>1465.7199999999993</v>
      </c>
      <c r="N28" s="100">
        <f>9+1+3+1+1+1+2+1+1+2</f>
        <v>22</v>
      </c>
      <c r="O28" s="81">
        <f>77047.8+15703.07+7288.94</f>
        <v>100039.81</v>
      </c>
      <c r="P28" s="81">
        <f>77047.8+15703.07</f>
        <v>92750.87</v>
      </c>
      <c r="Q28" s="79">
        <f t="shared" si="2"/>
        <v>7288.9400000000023</v>
      </c>
      <c r="R28" s="141"/>
    </row>
    <row r="29" spans="1:18" s="13" customFormat="1" ht="15" customHeight="1" x14ac:dyDescent="0.25">
      <c r="A29" s="229"/>
      <c r="B29" s="27" t="s">
        <v>491</v>
      </c>
      <c r="C29" s="181" t="s">
        <v>17</v>
      </c>
      <c r="D29" s="182"/>
      <c r="E29" s="183" t="s">
        <v>20</v>
      </c>
      <c r="F29" s="73" t="s">
        <v>495</v>
      </c>
      <c r="G29" s="74" t="s">
        <v>112</v>
      </c>
      <c r="H29" s="75">
        <v>8</v>
      </c>
      <c r="I29" s="76">
        <v>6</v>
      </c>
      <c r="J29" s="96">
        <f>2+2+1+1</f>
        <v>6</v>
      </c>
      <c r="K29" s="77">
        <f>1727.9+2093.89+728.54</f>
        <v>4550.33</v>
      </c>
      <c r="L29" s="77">
        <f>1727.9+2093.89</f>
        <v>3821.79</v>
      </c>
      <c r="M29" s="78">
        <f t="shared" si="1"/>
        <v>728.54</v>
      </c>
      <c r="N29" s="100"/>
      <c r="O29" s="81"/>
      <c r="P29" s="81"/>
      <c r="Q29" s="79">
        <f t="shared" si="2"/>
        <v>0</v>
      </c>
      <c r="R29" s="141"/>
    </row>
    <row r="30" spans="1:18" s="13" customFormat="1" ht="15" customHeight="1" x14ac:dyDescent="0.25">
      <c r="A30" s="229"/>
      <c r="B30" s="27" t="s">
        <v>491</v>
      </c>
      <c r="C30" s="181" t="s">
        <v>17</v>
      </c>
      <c r="D30" s="182"/>
      <c r="E30" s="183" t="s">
        <v>20</v>
      </c>
      <c r="F30" s="73" t="s">
        <v>504</v>
      </c>
      <c r="G30" s="74" t="s">
        <v>114</v>
      </c>
      <c r="H30" s="75">
        <v>7</v>
      </c>
      <c r="I30" s="76">
        <v>1</v>
      </c>
      <c r="J30" s="96">
        <v>1</v>
      </c>
      <c r="K30" s="77">
        <v>1267.8599999999999</v>
      </c>
      <c r="L30" s="77"/>
      <c r="M30" s="187">
        <f t="shared" si="1"/>
        <v>1267.8599999999999</v>
      </c>
      <c r="N30" s="100"/>
      <c r="O30" s="81"/>
      <c r="P30" s="81"/>
      <c r="Q30" s="232">
        <f t="shared" si="2"/>
        <v>0</v>
      </c>
      <c r="R30" s="141"/>
    </row>
    <row r="31" spans="1:18" s="13" customFormat="1" ht="15" customHeight="1" x14ac:dyDescent="0.25">
      <c r="A31" s="229"/>
      <c r="B31" s="27" t="s">
        <v>491</v>
      </c>
      <c r="C31" s="181" t="s">
        <v>17</v>
      </c>
      <c r="D31" s="182"/>
      <c r="E31" s="183"/>
      <c r="F31" s="73" t="s">
        <v>510</v>
      </c>
      <c r="G31" s="235" t="s">
        <v>117</v>
      </c>
      <c r="H31" s="75">
        <v>1</v>
      </c>
      <c r="I31" s="76"/>
      <c r="J31" s="96"/>
      <c r="K31" s="77"/>
      <c r="L31" s="77"/>
      <c r="M31" s="187">
        <f t="shared" si="1"/>
        <v>0</v>
      </c>
      <c r="N31" s="100"/>
      <c r="O31" s="81"/>
      <c r="P31" s="81"/>
      <c r="Q31" s="232">
        <f t="shared" si="2"/>
        <v>0</v>
      </c>
      <c r="R31" s="141"/>
    </row>
    <row r="32" spans="1:18" s="13" customFormat="1" ht="15" customHeight="1" x14ac:dyDescent="0.25">
      <c r="A32" s="229"/>
      <c r="B32" s="30" t="s">
        <v>31</v>
      </c>
      <c r="C32" s="181" t="s">
        <v>17</v>
      </c>
      <c r="D32" s="182"/>
      <c r="E32" s="183" t="s">
        <v>32</v>
      </c>
      <c r="F32" s="73" t="s">
        <v>331</v>
      </c>
      <c r="G32" s="74" t="s">
        <v>112</v>
      </c>
      <c r="H32" s="75">
        <v>11</v>
      </c>
      <c r="I32" s="76">
        <v>10</v>
      </c>
      <c r="J32" s="96">
        <f>1+2+3+1+4+3</f>
        <v>14</v>
      </c>
      <c r="K32" s="77">
        <f>633.93+1045.98+5377.62+950.9+6004.09+4598.82+8410.14</f>
        <v>27021.48</v>
      </c>
      <c r="L32" s="77">
        <f>633.93+1045.98+5377.62+950.9+6004.09</f>
        <v>14012.52</v>
      </c>
      <c r="M32" s="187">
        <f t="shared" si="1"/>
        <v>13008.96</v>
      </c>
      <c r="N32" s="100">
        <f>1+3+3+1+1+2+1</f>
        <v>12</v>
      </c>
      <c r="O32" s="81">
        <f>2299.8+15239.58+6152.75+2720.49+1483.38+7043.49+11175.04</f>
        <v>46114.530000000006</v>
      </c>
      <c r="P32" s="81">
        <f>2299.8+15239.58+6152.75+2720.49+1483.38+7043.49+11175.04</f>
        <v>46114.530000000006</v>
      </c>
      <c r="Q32" s="232">
        <f t="shared" si="2"/>
        <v>0</v>
      </c>
      <c r="R32" s="141"/>
    </row>
    <row r="33" spans="1:18" s="13" customFormat="1" ht="15" customHeight="1" x14ac:dyDescent="0.25">
      <c r="A33" s="229"/>
      <c r="B33" s="30" t="s">
        <v>31</v>
      </c>
      <c r="C33" s="181" t="s">
        <v>17</v>
      </c>
      <c r="D33" s="182"/>
      <c r="E33" s="183" t="s">
        <v>32</v>
      </c>
      <c r="F33" s="73" t="s">
        <v>422</v>
      </c>
      <c r="G33" s="235" t="s">
        <v>117</v>
      </c>
      <c r="H33" s="181">
        <v>9</v>
      </c>
      <c r="I33" s="231">
        <v>2</v>
      </c>
      <c r="J33" s="96">
        <v>2</v>
      </c>
      <c r="K33" s="77">
        <v>4073.2</v>
      </c>
      <c r="L33" s="77">
        <v>4073.2</v>
      </c>
      <c r="M33" s="187">
        <f t="shared" si="1"/>
        <v>0</v>
      </c>
      <c r="N33" s="100">
        <v>7</v>
      </c>
      <c r="O33" s="77">
        <v>13695.79</v>
      </c>
      <c r="P33" s="77">
        <v>13695.79</v>
      </c>
      <c r="Q33" s="232">
        <f t="shared" si="2"/>
        <v>0</v>
      </c>
    </row>
    <row r="34" spans="1:18" s="15" customFormat="1" ht="15" customHeight="1" x14ac:dyDescent="0.25">
      <c r="A34" s="229"/>
      <c r="B34" s="62" t="s">
        <v>33</v>
      </c>
      <c r="C34" s="181" t="s">
        <v>17</v>
      </c>
      <c r="D34" s="182"/>
      <c r="E34" s="183" t="s">
        <v>20</v>
      </c>
      <c r="F34" s="73" t="s">
        <v>332</v>
      </c>
      <c r="G34" s="74" t="s">
        <v>112</v>
      </c>
      <c r="H34" s="75">
        <v>8</v>
      </c>
      <c r="I34" s="76">
        <v>6</v>
      </c>
      <c r="J34" s="96">
        <f>1+1+1+1+1+2</f>
        <v>7</v>
      </c>
      <c r="K34" s="77">
        <f>845.245+5363.43+5912.72+845.24+12887.16</f>
        <v>25853.794999999998</v>
      </c>
      <c r="L34" s="77">
        <f>845.245+5363.43+5912.72+845.24</f>
        <v>12966.635</v>
      </c>
      <c r="M34" s="78">
        <f>K34-L34</f>
        <v>12887.159999999998</v>
      </c>
      <c r="N34" s="100">
        <f>2+1+1+1+1+2+1+1</f>
        <v>10</v>
      </c>
      <c r="O34" s="81">
        <f>845.24+1613.64+3380.96+3639.33+1152.6</f>
        <v>10631.77</v>
      </c>
      <c r="P34" s="81">
        <f>845.24+1613.64+3380.96+3639.33+1152.6</f>
        <v>10631.77</v>
      </c>
      <c r="Q34" s="79">
        <f t="shared" si="2"/>
        <v>0</v>
      </c>
      <c r="R34" s="141"/>
    </row>
    <row r="35" spans="1:18" s="15" customFormat="1" ht="15" customHeight="1" x14ac:dyDescent="0.25">
      <c r="A35" s="229"/>
      <c r="B35" s="62" t="s">
        <v>33</v>
      </c>
      <c r="C35" s="181" t="s">
        <v>17</v>
      </c>
      <c r="D35" s="182"/>
      <c r="E35" s="183" t="s">
        <v>20</v>
      </c>
      <c r="F35" s="73" t="s">
        <v>481</v>
      </c>
      <c r="G35" s="230" t="s">
        <v>114</v>
      </c>
      <c r="H35" s="181">
        <v>7</v>
      </c>
      <c r="I35" s="231"/>
      <c r="J35" s="190"/>
      <c r="K35" s="77"/>
      <c r="L35" s="77"/>
      <c r="M35" s="187">
        <f t="shared" si="1"/>
        <v>0</v>
      </c>
      <c r="N35" s="100">
        <v>15</v>
      </c>
      <c r="O35" s="224">
        <v>32944.949999999997</v>
      </c>
      <c r="P35" s="224">
        <v>32944.949999999997</v>
      </c>
      <c r="Q35" s="232">
        <f t="shared" si="2"/>
        <v>0</v>
      </c>
    </row>
    <row r="36" spans="1:18" s="15" customFormat="1" ht="15" customHeight="1" x14ac:dyDescent="0.25">
      <c r="A36" s="229"/>
      <c r="B36" s="62" t="s">
        <v>147</v>
      </c>
      <c r="C36" s="181" t="s">
        <v>17</v>
      </c>
      <c r="D36" s="182"/>
      <c r="E36" s="183" t="s">
        <v>29</v>
      </c>
      <c r="F36" s="73" t="s">
        <v>334</v>
      </c>
      <c r="G36" s="74" t="s">
        <v>112</v>
      </c>
      <c r="H36" s="75">
        <v>7</v>
      </c>
      <c r="I36" s="234">
        <v>3</v>
      </c>
      <c r="J36" s="96">
        <f>1+1+2</f>
        <v>4</v>
      </c>
      <c r="K36" s="77">
        <f>1854.88+2824.48</f>
        <v>4679.3600000000006</v>
      </c>
      <c r="L36" s="77">
        <f>1854.88+2824.48</f>
        <v>4679.3600000000006</v>
      </c>
      <c r="M36" s="78">
        <f>K36-L36</f>
        <v>0</v>
      </c>
      <c r="N36" s="114">
        <f>1+1+1</f>
        <v>3</v>
      </c>
      <c r="O36" s="81">
        <f>1394.65+2473.17+1961.49</f>
        <v>5829.31</v>
      </c>
      <c r="P36" s="81">
        <f>1394.65+2473.17+1961.49</f>
        <v>5829.31</v>
      </c>
      <c r="Q36" s="79">
        <f t="shared" si="2"/>
        <v>0</v>
      </c>
      <c r="R36" s="141"/>
    </row>
    <row r="37" spans="1:18" s="15" customFormat="1" ht="15" customHeight="1" x14ac:dyDescent="0.25">
      <c r="A37" s="229"/>
      <c r="B37" s="233" t="s">
        <v>147</v>
      </c>
      <c r="C37" s="181" t="s">
        <v>17</v>
      </c>
      <c r="D37" s="182"/>
      <c r="E37" s="183" t="s">
        <v>29</v>
      </c>
      <c r="F37" s="73" t="s">
        <v>423</v>
      </c>
      <c r="G37" s="230" t="s">
        <v>117</v>
      </c>
      <c r="H37" s="181">
        <v>5</v>
      </c>
      <c r="I37" s="231">
        <v>4</v>
      </c>
      <c r="J37" s="96">
        <v>4</v>
      </c>
      <c r="K37" s="77">
        <v>6847.1</v>
      </c>
      <c r="L37" s="77">
        <v>6847.1</v>
      </c>
      <c r="M37" s="187">
        <f t="shared" si="1"/>
        <v>0</v>
      </c>
      <c r="N37" s="100">
        <v>4</v>
      </c>
      <c r="O37" s="224">
        <v>4706.45</v>
      </c>
      <c r="P37" s="224">
        <v>4706.45</v>
      </c>
      <c r="Q37" s="232">
        <f t="shared" si="2"/>
        <v>0</v>
      </c>
    </row>
    <row r="38" spans="1:18" s="13" customFormat="1" ht="15" customHeight="1" x14ac:dyDescent="0.25">
      <c r="A38" s="229"/>
      <c r="B38" s="62" t="s">
        <v>34</v>
      </c>
      <c r="C38" s="181" t="s">
        <v>17</v>
      </c>
      <c r="D38" s="182"/>
      <c r="E38" s="194" t="s">
        <v>35</v>
      </c>
      <c r="F38" s="73" t="s">
        <v>335</v>
      </c>
      <c r="G38" s="74" t="s">
        <v>112</v>
      </c>
      <c r="H38" s="75">
        <v>22</v>
      </c>
      <c r="I38" s="76">
        <v>12</v>
      </c>
      <c r="J38" s="96">
        <f>4+2+2+7</f>
        <v>15</v>
      </c>
      <c r="K38" s="77">
        <f>8288.4+1267.86+845.24+13964.6+11418.26</f>
        <v>35784.36</v>
      </c>
      <c r="L38" s="77">
        <f>8288.4+1267.86+845.24+13964.6+11418.26</f>
        <v>35784.36</v>
      </c>
      <c r="M38" s="78">
        <f>K38-L38</f>
        <v>0</v>
      </c>
      <c r="N38" s="100">
        <f>4+4+6+1+3+1+3+1</f>
        <v>23</v>
      </c>
      <c r="O38" s="81">
        <f>23915.04+21171.88+6399.1+11460.81+1501.24</f>
        <v>64448.069999999992</v>
      </c>
      <c r="P38" s="81">
        <f>23915.04+21171.88+6399.1+11460.81</f>
        <v>62946.829999999994</v>
      </c>
      <c r="Q38" s="79">
        <f t="shared" si="2"/>
        <v>1501.239999999998</v>
      </c>
      <c r="R38" s="141"/>
    </row>
    <row r="39" spans="1:18" s="13" customFormat="1" ht="15" customHeight="1" x14ac:dyDescent="0.25">
      <c r="A39" s="229"/>
      <c r="B39" s="62" t="s">
        <v>34</v>
      </c>
      <c r="C39" s="181" t="s">
        <v>17</v>
      </c>
      <c r="D39" s="182"/>
      <c r="E39" s="194" t="s">
        <v>35</v>
      </c>
      <c r="F39" s="73" t="s">
        <v>424</v>
      </c>
      <c r="G39" s="235" t="s">
        <v>117</v>
      </c>
      <c r="H39" s="181">
        <v>2</v>
      </c>
      <c r="I39" s="231">
        <v>1</v>
      </c>
      <c r="J39" s="96">
        <v>2</v>
      </c>
      <c r="K39" s="77">
        <v>3842</v>
      </c>
      <c r="L39" s="77">
        <v>3842</v>
      </c>
      <c r="M39" s="187">
        <f t="shared" si="1"/>
        <v>0</v>
      </c>
      <c r="N39" s="100">
        <v>3</v>
      </c>
      <c r="O39" s="224">
        <v>9220.7999999999993</v>
      </c>
      <c r="P39" s="224">
        <v>9220.7999999999993</v>
      </c>
      <c r="Q39" s="232">
        <f t="shared" si="2"/>
        <v>0</v>
      </c>
    </row>
    <row r="40" spans="1:18" s="13" customFormat="1" ht="15" customHeight="1" x14ac:dyDescent="0.25">
      <c r="A40" s="229"/>
      <c r="B40" s="27" t="s">
        <v>36</v>
      </c>
      <c r="C40" s="181" t="s">
        <v>17</v>
      </c>
      <c r="D40" s="182"/>
      <c r="E40" s="194" t="s">
        <v>32</v>
      </c>
      <c r="F40" s="73" t="s">
        <v>336</v>
      </c>
      <c r="G40" s="74" t="s">
        <v>112</v>
      </c>
      <c r="H40" s="75">
        <v>19</v>
      </c>
      <c r="I40" s="76">
        <v>10</v>
      </c>
      <c r="J40" s="96">
        <f>1+3+4+2+2</f>
        <v>12</v>
      </c>
      <c r="K40" s="77">
        <f>2091.97+4201.22+3643.94+998.92</f>
        <v>10936.050000000001</v>
      </c>
      <c r="L40" s="77">
        <f>2091.97+4201.22+3643.94+998.92</f>
        <v>10936.050000000001</v>
      </c>
      <c r="M40" s="78">
        <f t="shared" si="1"/>
        <v>0</v>
      </c>
      <c r="N40" s="100">
        <f>4+2+5+1+1+4+1</f>
        <v>18</v>
      </c>
      <c r="O40" s="81">
        <f>26828.22+3116.2+14162+4691+13237.22+22342.31</f>
        <v>84376.95</v>
      </c>
      <c r="P40" s="81">
        <f>26828.22+3116.2+14162+4691+13237.22</f>
        <v>62034.64</v>
      </c>
      <c r="Q40" s="79">
        <f t="shared" si="2"/>
        <v>22342.309999999998</v>
      </c>
      <c r="R40" s="141"/>
    </row>
    <row r="41" spans="1:18" s="13" customFormat="1" ht="15" customHeight="1" x14ac:dyDescent="0.25">
      <c r="A41" s="229"/>
      <c r="B41" s="27" t="s">
        <v>38</v>
      </c>
      <c r="C41" s="181" t="s">
        <v>17</v>
      </c>
      <c r="D41" s="182"/>
      <c r="E41" s="183" t="s">
        <v>20</v>
      </c>
      <c r="F41" s="73" t="s">
        <v>338</v>
      </c>
      <c r="G41" s="74" t="s">
        <v>112</v>
      </c>
      <c r="H41" s="75">
        <v>37</v>
      </c>
      <c r="I41" s="76">
        <v>24</v>
      </c>
      <c r="J41" s="96">
        <f>5+9+3+4+4+2+3+3</f>
        <v>33</v>
      </c>
      <c r="K41" s="77">
        <f>4427.07+14262.52+23391.74+11108.38+9141.17+3923.07</f>
        <v>66253.95</v>
      </c>
      <c r="L41" s="77">
        <f>4427.07+14262.52+23391.74+11108.38+9141.17+3923.07</f>
        <v>66253.95</v>
      </c>
      <c r="M41" s="78">
        <f t="shared" si="1"/>
        <v>0</v>
      </c>
      <c r="N41" s="100">
        <f>1+14+2+2+2+3</f>
        <v>24</v>
      </c>
      <c r="O41" s="81">
        <f>34449.99+27363.78+23604.86+16739.26+15240.34+16003.48</f>
        <v>133401.71</v>
      </c>
      <c r="P41" s="81">
        <f>34449.99+27363.78+23604.86+16739.26+15240.34+16003.48</f>
        <v>133401.71</v>
      </c>
      <c r="Q41" s="79">
        <f t="shared" si="2"/>
        <v>0</v>
      </c>
      <c r="R41" s="141"/>
    </row>
    <row r="42" spans="1:18" s="13" customFormat="1" ht="15" customHeight="1" x14ac:dyDescent="0.25">
      <c r="A42" s="229"/>
      <c r="B42" s="27" t="s">
        <v>38</v>
      </c>
      <c r="C42" s="181" t="s">
        <v>17</v>
      </c>
      <c r="D42" s="182"/>
      <c r="E42" s="183" t="s">
        <v>20</v>
      </c>
      <c r="F42" s="73" t="s">
        <v>268</v>
      </c>
      <c r="G42" s="230" t="s">
        <v>114</v>
      </c>
      <c r="H42" s="181"/>
      <c r="I42" s="231"/>
      <c r="J42" s="190"/>
      <c r="K42" s="77"/>
      <c r="L42" s="77"/>
      <c r="M42" s="187">
        <f t="shared" si="1"/>
        <v>0</v>
      </c>
      <c r="N42" s="100"/>
      <c r="O42" s="224"/>
      <c r="P42" s="224"/>
      <c r="Q42" s="232">
        <f t="shared" si="2"/>
        <v>0</v>
      </c>
    </row>
    <row r="43" spans="1:18" s="13" customFormat="1" ht="15" customHeight="1" x14ac:dyDescent="0.25">
      <c r="A43" s="229"/>
      <c r="B43" s="27" t="s">
        <v>38</v>
      </c>
      <c r="C43" s="181" t="s">
        <v>17</v>
      </c>
      <c r="D43" s="182"/>
      <c r="E43" s="183" t="s">
        <v>18</v>
      </c>
      <c r="F43" s="73" t="s">
        <v>324</v>
      </c>
      <c r="G43" s="230" t="s">
        <v>116</v>
      </c>
      <c r="H43" s="181">
        <v>3</v>
      </c>
      <c r="I43" s="231">
        <v>6</v>
      </c>
      <c r="J43" s="190">
        <v>6</v>
      </c>
      <c r="K43" s="77"/>
      <c r="L43" s="77"/>
      <c r="M43" s="187">
        <f t="shared" si="1"/>
        <v>0</v>
      </c>
      <c r="N43" s="100"/>
      <c r="O43" s="224"/>
      <c r="P43" s="224"/>
      <c r="Q43" s="232">
        <f t="shared" si="2"/>
        <v>0</v>
      </c>
    </row>
    <row r="44" spans="1:18" s="13" customFormat="1" ht="15" customHeight="1" x14ac:dyDescent="0.25">
      <c r="A44" s="229"/>
      <c r="B44" s="62" t="s">
        <v>39</v>
      </c>
      <c r="C44" s="181" t="s">
        <v>17</v>
      </c>
      <c r="D44" s="182"/>
      <c r="E44" s="183" t="s">
        <v>20</v>
      </c>
      <c r="F44" s="73" t="s">
        <v>269</v>
      </c>
      <c r="G44" s="230" t="s">
        <v>114</v>
      </c>
      <c r="H44" s="181"/>
      <c r="I44" s="231"/>
      <c r="J44" s="190"/>
      <c r="K44" s="77"/>
      <c r="L44" s="77"/>
      <c r="M44" s="187">
        <f t="shared" si="1"/>
        <v>0</v>
      </c>
      <c r="N44" s="100"/>
      <c r="O44" s="224"/>
      <c r="P44" s="224"/>
      <c r="Q44" s="232">
        <f t="shared" si="2"/>
        <v>0</v>
      </c>
    </row>
    <row r="45" spans="1:18" s="13" customFormat="1" ht="15" customHeight="1" x14ac:dyDescent="0.25">
      <c r="A45" s="229"/>
      <c r="B45" s="27" t="s">
        <v>40</v>
      </c>
      <c r="C45" s="181" t="s">
        <v>17</v>
      </c>
      <c r="D45" s="182"/>
      <c r="E45" s="194" t="s">
        <v>41</v>
      </c>
      <c r="F45" s="73" t="s">
        <v>339</v>
      </c>
      <c r="G45" s="74" t="s">
        <v>112</v>
      </c>
      <c r="H45" s="75">
        <v>17</v>
      </c>
      <c r="I45" s="76">
        <v>15</v>
      </c>
      <c r="J45" s="96">
        <f>1+1+3+9+4+4+3</f>
        <v>25</v>
      </c>
      <c r="K45" s="77">
        <f>1045.98+3271.86+15658.52+8166.35+6035.99+8024.36</f>
        <v>42203.06</v>
      </c>
      <c r="L45" s="77">
        <f>1045.98+3271.86+15658.52+8166.35+6035.99</f>
        <v>34178.699999999997</v>
      </c>
      <c r="M45" s="78">
        <f>K45-L45</f>
        <v>8024.3600000000006</v>
      </c>
      <c r="N45" s="100">
        <f>3+13+6+5+4+2+1</f>
        <v>34</v>
      </c>
      <c r="O45" s="81">
        <f>17269.31+39990.78+16582.12+23492.44+7068.31+4243.84</f>
        <v>108646.79999999999</v>
      </c>
      <c r="P45" s="81">
        <f>17269.31+39990.78+16582.12+23492.44+7068.31+4243.84</f>
        <v>108646.79999999999</v>
      </c>
      <c r="Q45" s="79">
        <f t="shared" si="2"/>
        <v>0</v>
      </c>
      <c r="R45" s="141"/>
    </row>
    <row r="46" spans="1:18" s="13" customFormat="1" ht="15" customHeight="1" x14ac:dyDescent="0.25">
      <c r="A46" s="229"/>
      <c r="B46" s="27" t="s">
        <v>40</v>
      </c>
      <c r="C46" s="181" t="s">
        <v>17</v>
      </c>
      <c r="D46" s="182"/>
      <c r="E46" s="194" t="s">
        <v>41</v>
      </c>
      <c r="F46" s="73" t="s">
        <v>482</v>
      </c>
      <c r="G46" s="230" t="s">
        <v>114</v>
      </c>
      <c r="H46" s="181"/>
      <c r="I46" s="231"/>
      <c r="J46" s="190"/>
      <c r="K46" s="77"/>
      <c r="L46" s="77"/>
      <c r="M46" s="187">
        <f t="shared" si="1"/>
        <v>0</v>
      </c>
      <c r="N46" s="100">
        <v>1</v>
      </c>
      <c r="O46" s="224">
        <v>3073.6</v>
      </c>
      <c r="P46" s="224">
        <f>3073.6</f>
        <v>3073.6</v>
      </c>
      <c r="Q46" s="232">
        <f t="shared" si="2"/>
        <v>0</v>
      </c>
    </row>
    <row r="47" spans="1:18" s="13" customFormat="1" ht="15" customHeight="1" x14ac:dyDescent="0.25">
      <c r="A47" s="229"/>
      <c r="B47" s="27" t="s">
        <v>148</v>
      </c>
      <c r="C47" s="181" t="s">
        <v>17</v>
      </c>
      <c r="D47" s="182"/>
      <c r="E47" s="183" t="s">
        <v>20</v>
      </c>
      <c r="F47" s="73" t="s">
        <v>340</v>
      </c>
      <c r="G47" s="74" t="s">
        <v>112</v>
      </c>
      <c r="H47" s="75">
        <v>16</v>
      </c>
      <c r="I47" s="82">
        <v>10</v>
      </c>
      <c r="J47" s="96">
        <f>1+2+1+4+4</f>
        <v>12</v>
      </c>
      <c r="K47" s="77">
        <f>537.88+2110.03+6723.98+8914.21</f>
        <v>18286.099999999999</v>
      </c>
      <c r="L47" s="77">
        <f>537.88+2110.03+6723.98</f>
        <v>9371.89</v>
      </c>
      <c r="M47" s="78">
        <f>K47-L47</f>
        <v>8914.2099999999991</v>
      </c>
      <c r="N47" s="100">
        <f>6+5+3+1+1+1+1</f>
        <v>18</v>
      </c>
      <c r="O47" s="81">
        <f>9370.6+9456.38+8868.69+5367.27+11572.62</f>
        <v>44635.560000000005</v>
      </c>
      <c r="P47" s="81">
        <f>9370.6+9456.38+8868.69+5367.27+11572.62</f>
        <v>44635.560000000005</v>
      </c>
      <c r="Q47" s="79">
        <f t="shared" si="2"/>
        <v>0</v>
      </c>
      <c r="R47" s="141"/>
    </row>
    <row r="48" spans="1:18" s="13" customFormat="1" ht="15" customHeight="1" x14ac:dyDescent="0.25">
      <c r="A48" s="229"/>
      <c r="B48" s="27" t="s">
        <v>148</v>
      </c>
      <c r="C48" s="181" t="s">
        <v>17</v>
      </c>
      <c r="D48" s="182"/>
      <c r="E48" s="194" t="s">
        <v>32</v>
      </c>
      <c r="F48" s="73" t="s">
        <v>425</v>
      </c>
      <c r="G48" s="230" t="s">
        <v>117</v>
      </c>
      <c r="H48" s="181">
        <v>8</v>
      </c>
      <c r="I48" s="231">
        <v>1</v>
      </c>
      <c r="J48" s="96">
        <v>1</v>
      </c>
      <c r="K48" s="77">
        <v>1344.7</v>
      </c>
      <c r="L48" s="77">
        <v>1344.7</v>
      </c>
      <c r="M48" s="187">
        <f t="shared" si="1"/>
        <v>0</v>
      </c>
      <c r="N48" s="100">
        <v>4</v>
      </c>
      <c r="O48" s="224">
        <v>12851.49</v>
      </c>
      <c r="P48" s="224">
        <v>12851.49</v>
      </c>
      <c r="Q48" s="232">
        <f t="shared" si="2"/>
        <v>0</v>
      </c>
    </row>
    <row r="49" spans="1:18" s="13" customFormat="1" ht="15" customHeight="1" x14ac:dyDescent="0.25">
      <c r="A49" s="229"/>
      <c r="B49" s="30" t="s">
        <v>42</v>
      </c>
      <c r="C49" s="181" t="s">
        <v>17</v>
      </c>
      <c r="D49" s="182"/>
      <c r="E49" s="183" t="s">
        <v>23</v>
      </c>
      <c r="F49" s="73" t="s">
        <v>341</v>
      </c>
      <c r="G49" s="74" t="s">
        <v>112</v>
      </c>
      <c r="H49" s="75">
        <v>36</v>
      </c>
      <c r="I49" s="76">
        <v>30</v>
      </c>
      <c r="J49" s="96">
        <f>5+3+5+3+8+3+8+5</f>
        <v>40</v>
      </c>
      <c r="K49" s="77">
        <f>7156.22+3849.11+8154.25+4149.36+15912.38</f>
        <v>39221.32</v>
      </c>
      <c r="L49" s="77">
        <f>7156.22+3849.11+8154.25+4149.36+15912.38</f>
        <v>39221.32</v>
      </c>
      <c r="M49" s="78">
        <f>K49-L49</f>
        <v>0</v>
      </c>
      <c r="N49" s="100">
        <f>4+6+9+2+4+2+2+3+3+2</f>
        <v>37</v>
      </c>
      <c r="O49" s="81">
        <f>5364.2+26170.88+2849.25+18965.6+9565.56+9423.5</f>
        <v>72338.989999999991</v>
      </c>
      <c r="P49" s="81">
        <f>5364.2+26170.88+2849.25+18965.6+9565.56+9423.5</f>
        <v>72338.989999999991</v>
      </c>
      <c r="Q49" s="79">
        <f t="shared" si="2"/>
        <v>0</v>
      </c>
      <c r="R49" s="141"/>
    </row>
    <row r="50" spans="1:18" s="13" customFormat="1" ht="15" customHeight="1" x14ac:dyDescent="0.25">
      <c r="A50" s="229"/>
      <c r="B50" s="30" t="s">
        <v>42</v>
      </c>
      <c r="C50" s="181" t="s">
        <v>17</v>
      </c>
      <c r="D50" s="182"/>
      <c r="E50" s="183" t="s">
        <v>23</v>
      </c>
      <c r="F50" s="73" t="s">
        <v>437</v>
      </c>
      <c r="G50" s="230" t="s">
        <v>118</v>
      </c>
      <c r="H50" s="181">
        <v>2</v>
      </c>
      <c r="I50" s="231"/>
      <c r="J50" s="96"/>
      <c r="K50" s="77"/>
      <c r="L50" s="77"/>
      <c r="M50" s="187">
        <f t="shared" si="1"/>
        <v>0</v>
      </c>
      <c r="N50" s="100">
        <v>1</v>
      </c>
      <c r="O50" s="224">
        <v>7766.4</v>
      </c>
      <c r="P50" s="224">
        <v>7766.4</v>
      </c>
      <c r="Q50" s="232">
        <f t="shared" si="2"/>
        <v>0</v>
      </c>
    </row>
    <row r="51" spans="1:18" s="13" customFormat="1" ht="15" customHeight="1" x14ac:dyDescent="0.25">
      <c r="A51" s="229"/>
      <c r="B51" s="30" t="s">
        <v>173</v>
      </c>
      <c r="C51" s="181" t="s">
        <v>17</v>
      </c>
      <c r="D51" s="182"/>
      <c r="E51" s="230" t="s">
        <v>118</v>
      </c>
      <c r="F51" s="73" t="s">
        <v>342</v>
      </c>
      <c r="G51" s="74" t="s">
        <v>112</v>
      </c>
      <c r="H51" s="75">
        <v>4</v>
      </c>
      <c r="I51" s="76">
        <v>4</v>
      </c>
      <c r="J51" s="96">
        <f>1+2+1</f>
        <v>4</v>
      </c>
      <c r="K51" s="77">
        <f>6833.76+696.36</f>
        <v>7530.12</v>
      </c>
      <c r="L51" s="77">
        <f>6833.76+696.36</f>
        <v>7530.12</v>
      </c>
      <c r="M51" s="78">
        <f>K51-L51</f>
        <v>0</v>
      </c>
      <c r="N51" s="100">
        <f>4+2</f>
        <v>6</v>
      </c>
      <c r="O51" s="81">
        <f>5931.9+4183.92+3158.95</f>
        <v>13274.77</v>
      </c>
      <c r="P51" s="81">
        <f>5931.9+4183.92+3158.95</f>
        <v>13274.77</v>
      </c>
      <c r="Q51" s="79">
        <f t="shared" si="2"/>
        <v>0</v>
      </c>
      <c r="R51" s="141"/>
    </row>
    <row r="52" spans="1:18" s="13" customFormat="1" ht="15" customHeight="1" x14ac:dyDescent="0.25">
      <c r="A52" s="229"/>
      <c r="B52" s="62" t="s">
        <v>143</v>
      </c>
      <c r="C52" s="181" t="s">
        <v>64</v>
      </c>
      <c r="D52" s="182" t="s">
        <v>444</v>
      </c>
      <c r="E52" s="183" t="s">
        <v>20</v>
      </c>
      <c r="F52" s="73" t="s">
        <v>445</v>
      </c>
      <c r="G52" s="230" t="s">
        <v>114</v>
      </c>
      <c r="H52" s="181">
        <v>15</v>
      </c>
      <c r="I52" s="234">
        <v>3</v>
      </c>
      <c r="J52" s="190">
        <v>3</v>
      </c>
      <c r="K52" s="193">
        <v>4802.5</v>
      </c>
      <c r="L52" s="193">
        <v>4802.5</v>
      </c>
      <c r="M52" s="187">
        <f t="shared" si="1"/>
        <v>0</v>
      </c>
      <c r="N52" s="114">
        <v>18</v>
      </c>
      <c r="O52" s="224">
        <v>27390.400000000001</v>
      </c>
      <c r="P52" s="224">
        <v>27390.400000000001</v>
      </c>
      <c r="Q52" s="232">
        <f t="shared" si="2"/>
        <v>0</v>
      </c>
    </row>
    <row r="53" spans="1:18" s="13" customFormat="1" ht="15" customHeight="1" x14ac:dyDescent="0.25">
      <c r="A53" s="229"/>
      <c r="B53" s="30" t="s">
        <v>158</v>
      </c>
      <c r="C53" s="181" t="s">
        <v>17</v>
      </c>
      <c r="D53" s="182"/>
      <c r="E53" s="194" t="s">
        <v>32</v>
      </c>
      <c r="F53" s="73" t="s">
        <v>426</v>
      </c>
      <c r="G53" s="230" t="s">
        <v>117</v>
      </c>
      <c r="H53" s="181">
        <v>7</v>
      </c>
      <c r="I53" s="234">
        <v>4</v>
      </c>
      <c r="J53" s="190">
        <v>5</v>
      </c>
      <c r="K53" s="193">
        <v>9666.64</v>
      </c>
      <c r="L53" s="193">
        <v>9666.64</v>
      </c>
      <c r="M53" s="187">
        <f t="shared" si="1"/>
        <v>0</v>
      </c>
      <c r="N53" s="114">
        <v>4</v>
      </c>
      <c r="O53" s="224">
        <v>9789.2000000000007</v>
      </c>
      <c r="P53" s="224">
        <v>9789.2000000000007</v>
      </c>
      <c r="Q53" s="232">
        <f t="shared" si="2"/>
        <v>0</v>
      </c>
    </row>
    <row r="54" spans="1:18" s="15" customFormat="1" ht="15" customHeight="1" x14ac:dyDescent="0.25">
      <c r="A54" s="229"/>
      <c r="B54" s="62" t="s">
        <v>43</v>
      </c>
      <c r="C54" s="181" t="s">
        <v>17</v>
      </c>
      <c r="D54" s="182"/>
      <c r="E54" s="183" t="s">
        <v>18</v>
      </c>
      <c r="F54" s="73" t="s">
        <v>344</v>
      </c>
      <c r="G54" s="74" t="s">
        <v>112</v>
      </c>
      <c r="H54" s="75">
        <v>21</v>
      </c>
      <c r="I54" s="76">
        <v>15</v>
      </c>
      <c r="J54" s="96">
        <f>1+2+2+5+2+3+2</f>
        <v>17</v>
      </c>
      <c r="K54" s="77">
        <f>1776.93+926.88+3328.29+3172.19</f>
        <v>9204.2900000000009</v>
      </c>
      <c r="L54" s="77">
        <f>1776.93+926.88+3328.29+3172.19</f>
        <v>9204.2900000000009</v>
      </c>
      <c r="M54" s="78">
        <f>K54-L54</f>
        <v>0</v>
      </c>
      <c r="N54" s="100">
        <f>1+5+4+1+1+1+1</f>
        <v>14</v>
      </c>
      <c r="O54" s="81">
        <f>1223.8+3810.29+4959.02+10043.87+2769.48+2146.91+11926.24-1465.64</f>
        <v>35413.97</v>
      </c>
      <c r="P54" s="81">
        <f>1223.8+3810.29+4959.02+10043.87+2769.48+2146.91+11926.24-1465.64</f>
        <v>35413.97</v>
      </c>
      <c r="Q54" s="79">
        <f t="shared" si="2"/>
        <v>0</v>
      </c>
      <c r="R54" s="141"/>
    </row>
    <row r="55" spans="1:18" s="15" customFormat="1" ht="15" customHeight="1" x14ac:dyDescent="0.25">
      <c r="A55" s="229"/>
      <c r="B55" s="62" t="s">
        <v>43</v>
      </c>
      <c r="C55" s="181" t="s">
        <v>304</v>
      </c>
      <c r="D55" s="182" t="s">
        <v>473</v>
      </c>
      <c r="E55" s="183" t="s">
        <v>18</v>
      </c>
      <c r="F55" s="73" t="s">
        <v>323</v>
      </c>
      <c r="G55" s="230" t="s">
        <v>113</v>
      </c>
      <c r="H55" s="181">
        <v>20</v>
      </c>
      <c r="I55" s="234">
        <v>14</v>
      </c>
      <c r="J55" s="98">
        <v>14</v>
      </c>
      <c r="K55" s="77">
        <v>16405</v>
      </c>
      <c r="L55" s="77">
        <v>16405</v>
      </c>
      <c r="M55" s="187">
        <f t="shared" si="1"/>
        <v>0</v>
      </c>
      <c r="N55" s="114">
        <v>17</v>
      </c>
      <c r="O55" s="224">
        <v>29954</v>
      </c>
      <c r="P55" s="224">
        <v>29954</v>
      </c>
      <c r="Q55" s="232">
        <f t="shared" si="2"/>
        <v>0</v>
      </c>
    </row>
    <row r="56" spans="1:18" s="13" customFormat="1" ht="15" customHeight="1" x14ac:dyDescent="0.25">
      <c r="A56" s="229"/>
      <c r="B56" s="30" t="s">
        <v>44</v>
      </c>
      <c r="C56" s="181" t="s">
        <v>17</v>
      </c>
      <c r="D56" s="182"/>
      <c r="E56" s="183" t="s">
        <v>20</v>
      </c>
      <c r="F56" s="73" t="s">
        <v>345</v>
      </c>
      <c r="G56" s="74" t="s">
        <v>112</v>
      </c>
      <c r="H56" s="75">
        <v>7</v>
      </c>
      <c r="I56" s="76">
        <v>6</v>
      </c>
      <c r="J56" s="96">
        <f>1+1+1+4</f>
        <v>7</v>
      </c>
      <c r="K56" s="77">
        <f>2422.38+1267.86+15410.58</f>
        <v>19100.82</v>
      </c>
      <c r="L56" s="77">
        <f>2422.38+1267.86+15410.58</f>
        <v>19100.82</v>
      </c>
      <c r="M56" s="78">
        <f>K56-L56</f>
        <v>0</v>
      </c>
      <c r="N56" s="100">
        <f>1+11</f>
        <v>12</v>
      </c>
      <c r="O56" s="81">
        <f>421.62+4603.39+10559.77+72902.04</f>
        <v>88486.819999999992</v>
      </c>
      <c r="P56" s="81">
        <f>421.62+4603.39+10559.77+72902.04</f>
        <v>88486.819999999992</v>
      </c>
      <c r="Q56" s="79">
        <f t="shared" si="2"/>
        <v>0</v>
      </c>
      <c r="R56" s="141"/>
    </row>
    <row r="57" spans="1:18" s="13" customFormat="1" ht="15" customHeight="1" x14ac:dyDescent="0.25">
      <c r="A57" s="229"/>
      <c r="B57" s="30" t="s">
        <v>44</v>
      </c>
      <c r="C57" s="181" t="s">
        <v>17</v>
      </c>
      <c r="D57" s="182"/>
      <c r="E57" s="183" t="s">
        <v>20</v>
      </c>
      <c r="F57" s="73" t="s">
        <v>483</v>
      </c>
      <c r="G57" s="230" t="s">
        <v>114</v>
      </c>
      <c r="H57" s="181"/>
      <c r="I57" s="231"/>
      <c r="J57" s="190"/>
      <c r="K57" s="77"/>
      <c r="L57" s="77"/>
      <c r="M57" s="187">
        <f t="shared" si="1"/>
        <v>0</v>
      </c>
      <c r="N57" s="100">
        <v>2</v>
      </c>
      <c r="O57" s="224">
        <v>6723.5</v>
      </c>
      <c r="P57" s="224">
        <v>6723.5</v>
      </c>
      <c r="Q57" s="232">
        <f t="shared" si="2"/>
        <v>0</v>
      </c>
    </row>
    <row r="58" spans="1:18" s="13" customFormat="1" ht="15" customHeight="1" x14ac:dyDescent="0.25">
      <c r="A58" s="229"/>
      <c r="B58" s="30" t="s">
        <v>492</v>
      </c>
      <c r="C58" s="181" t="s">
        <v>17</v>
      </c>
      <c r="D58" s="182"/>
      <c r="E58" s="183" t="s">
        <v>20</v>
      </c>
      <c r="F58" s="73" t="s">
        <v>499</v>
      </c>
      <c r="G58" s="230" t="s">
        <v>112</v>
      </c>
      <c r="H58" s="181">
        <v>9</v>
      </c>
      <c r="I58" s="231">
        <v>1</v>
      </c>
      <c r="J58" s="190">
        <f>1</f>
        <v>1</v>
      </c>
      <c r="K58" s="77">
        <f>1044.98</f>
        <v>1044.98</v>
      </c>
      <c r="L58" s="77">
        <f>1044.98</f>
        <v>1044.98</v>
      </c>
      <c r="M58" s="78">
        <f t="shared" si="1"/>
        <v>0</v>
      </c>
      <c r="N58" s="100"/>
      <c r="O58" s="224"/>
      <c r="P58" s="224"/>
      <c r="Q58" s="79">
        <f t="shared" si="2"/>
        <v>0</v>
      </c>
    </row>
    <row r="59" spans="1:18" s="13" customFormat="1" ht="15" customHeight="1" x14ac:dyDescent="0.25">
      <c r="A59" s="229"/>
      <c r="B59" s="27" t="s">
        <v>45</v>
      </c>
      <c r="C59" s="181" t="s">
        <v>17</v>
      </c>
      <c r="D59" s="182"/>
      <c r="E59" s="183" t="s">
        <v>20</v>
      </c>
      <c r="F59" s="73" t="s">
        <v>346</v>
      </c>
      <c r="G59" s="74" t="s">
        <v>112</v>
      </c>
      <c r="H59" s="75"/>
      <c r="I59" s="76"/>
      <c r="J59" s="96"/>
      <c r="K59" s="77"/>
      <c r="L59" s="77"/>
      <c r="M59" s="78">
        <f t="shared" si="1"/>
        <v>0</v>
      </c>
      <c r="N59" s="100">
        <f>1</f>
        <v>1</v>
      </c>
      <c r="O59" s="81">
        <f>17995.91+2729.8</f>
        <v>20725.71</v>
      </c>
      <c r="P59" s="81">
        <f>17995.91+2729.8</f>
        <v>20725.71</v>
      </c>
      <c r="Q59" s="79">
        <f t="shared" si="2"/>
        <v>0</v>
      </c>
      <c r="R59" s="141"/>
    </row>
    <row r="60" spans="1:18" s="13" customFormat="1" ht="15" customHeight="1" x14ac:dyDescent="0.25">
      <c r="A60" s="229"/>
      <c r="B60" s="27" t="s">
        <v>45</v>
      </c>
      <c r="C60" s="181" t="s">
        <v>17</v>
      </c>
      <c r="D60" s="182"/>
      <c r="E60" s="183" t="s">
        <v>20</v>
      </c>
      <c r="F60" s="73" t="s">
        <v>484</v>
      </c>
      <c r="G60" s="230" t="s">
        <v>114</v>
      </c>
      <c r="H60" s="181"/>
      <c r="I60" s="231"/>
      <c r="J60" s="190"/>
      <c r="K60" s="77"/>
      <c r="L60" s="77"/>
      <c r="M60" s="187">
        <f t="shared" si="1"/>
        <v>0</v>
      </c>
      <c r="N60" s="100"/>
      <c r="O60" s="224"/>
      <c r="P60" s="224"/>
      <c r="Q60" s="232">
        <f t="shared" si="2"/>
        <v>0</v>
      </c>
    </row>
    <row r="61" spans="1:18" s="15" customFormat="1" ht="15" customHeight="1" x14ac:dyDescent="0.25">
      <c r="A61" s="229"/>
      <c r="B61" s="27" t="s">
        <v>46</v>
      </c>
      <c r="C61" s="181" t="s">
        <v>17</v>
      </c>
      <c r="D61" s="182"/>
      <c r="E61" s="183" t="s">
        <v>20</v>
      </c>
      <c r="F61" s="73" t="s">
        <v>347</v>
      </c>
      <c r="G61" s="74" t="s">
        <v>112</v>
      </c>
      <c r="H61" s="75">
        <v>15</v>
      </c>
      <c r="I61" s="76">
        <v>12</v>
      </c>
      <c r="J61" s="96">
        <f>1+2+3+2+4+1+4+2</f>
        <v>19</v>
      </c>
      <c r="K61" s="77">
        <f>1045.98+1068.08+8157.32+1778.85+9152.67+11156.63</f>
        <v>32359.53</v>
      </c>
      <c r="L61" s="77">
        <f>1045.98+1068.08+8157.32+1778.85+9152.67</f>
        <v>21202.9</v>
      </c>
      <c r="M61" s="78">
        <f>K61-L61</f>
        <v>11156.629999999997</v>
      </c>
      <c r="N61" s="100">
        <f>4+4+1+1+1</f>
        <v>11</v>
      </c>
      <c r="O61" s="81">
        <f>10759.2+10685.34+7362.04</f>
        <v>28806.58</v>
      </c>
      <c r="P61" s="81">
        <f>10759.2+10685.34+7362.04</f>
        <v>28806.58</v>
      </c>
      <c r="Q61" s="79">
        <f t="shared" si="2"/>
        <v>0</v>
      </c>
      <c r="R61" s="141"/>
    </row>
    <row r="62" spans="1:18" s="15" customFormat="1" ht="15" customHeight="1" x14ac:dyDescent="0.25">
      <c r="A62" s="229"/>
      <c r="B62" s="27" t="s">
        <v>46</v>
      </c>
      <c r="C62" s="181" t="s">
        <v>17</v>
      </c>
      <c r="D62" s="182"/>
      <c r="E62" s="183" t="s">
        <v>20</v>
      </c>
      <c r="F62" s="73" t="s">
        <v>273</v>
      </c>
      <c r="G62" s="230" t="s">
        <v>114</v>
      </c>
      <c r="H62" s="181">
        <v>2</v>
      </c>
      <c r="I62" s="231">
        <v>1</v>
      </c>
      <c r="J62" s="190">
        <v>1</v>
      </c>
      <c r="K62" s="77">
        <v>576.29999999999995</v>
      </c>
      <c r="L62" s="77">
        <v>576.29999999999995</v>
      </c>
      <c r="M62" s="187">
        <f t="shared" si="1"/>
        <v>0</v>
      </c>
      <c r="N62" s="100">
        <v>3</v>
      </c>
      <c r="O62" s="224">
        <v>9356.9</v>
      </c>
      <c r="P62" s="224">
        <v>9356.9</v>
      </c>
      <c r="Q62" s="232">
        <f t="shared" si="2"/>
        <v>0</v>
      </c>
    </row>
    <row r="63" spans="1:18" s="13" customFormat="1" ht="15" customHeight="1" x14ac:dyDescent="0.25">
      <c r="A63" s="229"/>
      <c r="B63" s="30" t="s">
        <v>47</v>
      </c>
      <c r="C63" s="181" t="s">
        <v>304</v>
      </c>
      <c r="D63" s="182" t="s">
        <v>474</v>
      </c>
      <c r="E63" s="183" t="s">
        <v>18</v>
      </c>
      <c r="F63" s="73" t="s">
        <v>348</v>
      </c>
      <c r="G63" s="74" t="s">
        <v>112</v>
      </c>
      <c r="H63" s="75">
        <v>42</v>
      </c>
      <c r="I63" s="76">
        <v>21</v>
      </c>
      <c r="J63" s="98">
        <f>1+1+3+21+7+2+5+2+7</f>
        <v>49</v>
      </c>
      <c r="K63" s="77">
        <f>30728.27+19236.99</f>
        <v>49965.26</v>
      </c>
      <c r="L63" s="77">
        <f>30728.27+19236.99</f>
        <v>49965.26</v>
      </c>
      <c r="M63" s="78">
        <f>K63-L63</f>
        <v>0</v>
      </c>
      <c r="N63" s="100">
        <f>7+3+4+10+6+1+2+1+3</f>
        <v>37</v>
      </c>
      <c r="O63" s="81">
        <f>8477.51+15159.83+14079.46+15414.2+17995.91+2065.56+1859.53+9543.86+1728.53+14526.84</f>
        <v>100851.23</v>
      </c>
      <c r="P63" s="81">
        <f>8477.51+15159.83+14079.46+15414.2+17995.91+2065.56+1859.53+9543.86+1728.53+14526.84</f>
        <v>100851.23</v>
      </c>
      <c r="Q63" s="79">
        <f t="shared" si="2"/>
        <v>0</v>
      </c>
      <c r="R63" s="141"/>
    </row>
    <row r="64" spans="1:18" s="13" customFormat="1" ht="15" customHeight="1" x14ac:dyDescent="0.25">
      <c r="A64" s="229"/>
      <c r="B64" s="62" t="s">
        <v>120</v>
      </c>
      <c r="C64" s="181" t="s">
        <v>304</v>
      </c>
      <c r="D64" s="182" t="s">
        <v>474</v>
      </c>
      <c r="E64" s="183" t="s">
        <v>18</v>
      </c>
      <c r="F64" s="73" t="s">
        <v>334</v>
      </c>
      <c r="G64" s="230" t="s">
        <v>116</v>
      </c>
      <c r="H64" s="181">
        <v>25</v>
      </c>
      <c r="I64" s="234">
        <v>16</v>
      </c>
      <c r="J64" s="98">
        <v>17</v>
      </c>
      <c r="K64" s="77">
        <v>12583</v>
      </c>
      <c r="L64" s="77">
        <v>12583</v>
      </c>
      <c r="M64" s="78">
        <f t="shared" si="1"/>
        <v>0</v>
      </c>
      <c r="N64" s="100">
        <v>13</v>
      </c>
      <c r="O64" s="224">
        <v>47383</v>
      </c>
      <c r="P64" s="224">
        <v>45904</v>
      </c>
      <c r="Q64" s="232">
        <f t="shared" si="2"/>
        <v>1479</v>
      </c>
    </row>
    <row r="65" spans="1:18" s="13" customFormat="1" ht="15" customHeight="1" x14ac:dyDescent="0.25">
      <c r="A65" s="229"/>
      <c r="B65" s="30" t="s">
        <v>134</v>
      </c>
      <c r="C65" s="181" t="s">
        <v>17</v>
      </c>
      <c r="D65" s="182"/>
      <c r="E65" s="183" t="s">
        <v>20</v>
      </c>
      <c r="F65" s="73" t="s">
        <v>349</v>
      </c>
      <c r="G65" s="74" t="s">
        <v>112</v>
      </c>
      <c r="H65" s="75">
        <v>12</v>
      </c>
      <c r="I65" s="76">
        <v>10</v>
      </c>
      <c r="J65" s="96">
        <f>1+4+1+1+2</f>
        <v>9</v>
      </c>
      <c r="K65" s="77">
        <f>7301.48+1473.89+1911.09+1690.48+845.24+6268.51</f>
        <v>19490.689999999999</v>
      </c>
      <c r="L65" s="77">
        <f>7301.48+1473.89+1911.09+1690.48+845.24</f>
        <v>13222.179999999998</v>
      </c>
      <c r="M65" s="78">
        <f>K65-L65</f>
        <v>6268.51</v>
      </c>
      <c r="N65" s="100">
        <f>4+1+1+1+1</f>
        <v>8</v>
      </c>
      <c r="O65" s="81">
        <f>5020.05+3215.31+12312.39+4648.82+32425.98+7889.42</f>
        <v>65511.97</v>
      </c>
      <c r="P65" s="81">
        <f>5020.05+3215.31+12312.39+4648.82+32425.98+7889.42</f>
        <v>65511.97</v>
      </c>
      <c r="Q65" s="79">
        <f t="shared" si="2"/>
        <v>0</v>
      </c>
      <c r="R65" s="141"/>
    </row>
    <row r="66" spans="1:18" s="13" customFormat="1" ht="15" customHeight="1" x14ac:dyDescent="0.25">
      <c r="A66" s="229"/>
      <c r="B66" s="30" t="s">
        <v>134</v>
      </c>
      <c r="C66" s="181" t="s">
        <v>17</v>
      </c>
      <c r="D66" s="182"/>
      <c r="E66" s="183" t="s">
        <v>20</v>
      </c>
      <c r="F66" s="73" t="s">
        <v>456</v>
      </c>
      <c r="G66" s="230" t="s">
        <v>114</v>
      </c>
      <c r="H66" s="181">
        <v>17</v>
      </c>
      <c r="I66" s="231">
        <v>5</v>
      </c>
      <c r="J66" s="190">
        <v>5</v>
      </c>
      <c r="K66" s="77">
        <v>11641.8</v>
      </c>
      <c r="L66" s="77">
        <v>11641.8</v>
      </c>
      <c r="M66" s="187">
        <f t="shared" si="1"/>
        <v>0</v>
      </c>
      <c r="N66" s="100">
        <v>27</v>
      </c>
      <c r="O66" s="224">
        <v>60189.9</v>
      </c>
      <c r="P66" s="224">
        <v>60189.9</v>
      </c>
      <c r="Q66" s="232">
        <f t="shared" si="2"/>
        <v>0</v>
      </c>
    </row>
    <row r="67" spans="1:18" s="13" customFormat="1" ht="15" customHeight="1" x14ac:dyDescent="0.25">
      <c r="A67" s="229"/>
      <c r="B67" s="62" t="s">
        <v>48</v>
      </c>
      <c r="C67" s="181" t="s">
        <v>17</v>
      </c>
      <c r="D67" s="182"/>
      <c r="E67" s="183" t="s">
        <v>20</v>
      </c>
      <c r="F67" s="73" t="s">
        <v>350</v>
      </c>
      <c r="G67" s="74" t="s">
        <v>112</v>
      </c>
      <c r="H67" s="75">
        <v>13</v>
      </c>
      <c r="I67" s="76">
        <v>7</v>
      </c>
      <c r="J67" s="96">
        <f>1+1+2+1</f>
        <v>5</v>
      </c>
      <c r="K67" s="77">
        <f>4805.96+2585.78+3065.92+2588.55+14407.5</f>
        <v>27453.71</v>
      </c>
      <c r="L67" s="77">
        <f>4805.96+2585.78+3065.92+2588.55</f>
        <v>13046.21</v>
      </c>
      <c r="M67" s="78">
        <f t="shared" si="1"/>
        <v>14407.5</v>
      </c>
      <c r="N67" s="100">
        <f>2+1+2</f>
        <v>5</v>
      </c>
      <c r="O67" s="81">
        <f>23174.33+2535.72+11633.02+6993.42+20756.4</f>
        <v>65092.890000000007</v>
      </c>
      <c r="P67" s="81">
        <f>23174.33+2535.72+11633.02+6993.42+20756.4</f>
        <v>65092.890000000007</v>
      </c>
      <c r="Q67" s="79">
        <f t="shared" si="2"/>
        <v>0</v>
      </c>
      <c r="R67" s="141"/>
    </row>
    <row r="68" spans="1:18" s="13" customFormat="1" ht="15" customHeight="1" x14ac:dyDescent="0.25">
      <c r="A68" s="229"/>
      <c r="B68" s="62" t="s">
        <v>49</v>
      </c>
      <c r="C68" s="181" t="s">
        <v>17</v>
      </c>
      <c r="D68" s="182"/>
      <c r="E68" s="183" t="s">
        <v>50</v>
      </c>
      <c r="F68" s="73" t="s">
        <v>351</v>
      </c>
      <c r="G68" s="74" t="s">
        <v>112</v>
      </c>
      <c r="H68" s="75">
        <v>26</v>
      </c>
      <c r="I68" s="76">
        <v>15</v>
      </c>
      <c r="J68" s="96">
        <f>1+4+8+6</f>
        <v>19</v>
      </c>
      <c r="K68" s="77">
        <f>525.65+1267.86+6544.72+13939.57+1896.54+9712.48</f>
        <v>33886.82</v>
      </c>
      <c r="L68" s="77">
        <f>525.65+1267.86+6544.72+13939.57</f>
        <v>22277.8</v>
      </c>
      <c r="M68" s="78">
        <f t="shared" si="1"/>
        <v>11609.02</v>
      </c>
      <c r="N68" s="100">
        <f>5+1+3+1</f>
        <v>10</v>
      </c>
      <c r="O68" s="81">
        <f>7374+1806.93+7275.53+4666.9+2684.03+6682.03</f>
        <v>30489.42</v>
      </c>
      <c r="P68" s="81">
        <f>7374+1806.93+7275.53+4666.9+2684.03</f>
        <v>23807.39</v>
      </c>
      <c r="Q68" s="232">
        <f t="shared" si="2"/>
        <v>6682.0299999999988</v>
      </c>
      <c r="R68" s="141"/>
    </row>
    <row r="69" spans="1:18" s="13" customFormat="1" ht="15" customHeight="1" x14ac:dyDescent="0.25">
      <c r="A69" s="229"/>
      <c r="B69" s="62" t="s">
        <v>49</v>
      </c>
      <c r="C69" s="181" t="s">
        <v>17</v>
      </c>
      <c r="D69" s="182"/>
      <c r="E69" s="183" t="s">
        <v>50</v>
      </c>
      <c r="F69" s="73" t="s">
        <v>427</v>
      </c>
      <c r="G69" s="230" t="s">
        <v>115</v>
      </c>
      <c r="H69" s="181">
        <v>11</v>
      </c>
      <c r="I69" s="231">
        <v>4</v>
      </c>
      <c r="J69" s="96">
        <v>4</v>
      </c>
      <c r="K69" s="77">
        <v>7514.63</v>
      </c>
      <c r="L69" s="77">
        <v>7514.63</v>
      </c>
      <c r="M69" s="187">
        <f t="shared" si="1"/>
        <v>0</v>
      </c>
      <c r="N69" s="100">
        <v>8</v>
      </c>
      <c r="O69" s="224">
        <v>11237.9</v>
      </c>
      <c r="P69" s="224">
        <v>11237.9</v>
      </c>
      <c r="Q69" s="79">
        <f t="shared" si="2"/>
        <v>0</v>
      </c>
    </row>
    <row r="70" spans="1:18" s="13" customFormat="1" ht="15" customHeight="1" x14ac:dyDescent="0.25">
      <c r="A70" s="229"/>
      <c r="B70" s="27" t="s">
        <v>51</v>
      </c>
      <c r="C70" s="181" t="s">
        <v>17</v>
      </c>
      <c r="D70" s="182"/>
      <c r="E70" s="183" t="s">
        <v>20</v>
      </c>
      <c r="F70" s="73" t="s">
        <v>186</v>
      </c>
      <c r="G70" s="74" t="s">
        <v>112</v>
      </c>
      <c r="H70" s="75"/>
      <c r="I70" s="76"/>
      <c r="J70" s="96"/>
      <c r="K70" s="77"/>
      <c r="L70" s="77"/>
      <c r="M70" s="78">
        <f>K70-L70</f>
        <v>0</v>
      </c>
      <c r="N70" s="100">
        <f>1</f>
        <v>1</v>
      </c>
      <c r="O70" s="81">
        <v>2451.87</v>
      </c>
      <c r="P70" s="81">
        <v>2451.87</v>
      </c>
      <c r="Q70" s="232">
        <f t="shared" si="2"/>
        <v>0</v>
      </c>
      <c r="R70" s="141"/>
    </row>
    <row r="71" spans="1:18" s="13" customFormat="1" ht="15" customHeight="1" x14ac:dyDescent="0.25">
      <c r="A71" s="229"/>
      <c r="B71" s="27" t="s">
        <v>51</v>
      </c>
      <c r="C71" s="181" t="s">
        <v>17</v>
      </c>
      <c r="D71" s="182"/>
      <c r="E71" s="183" t="s">
        <v>20</v>
      </c>
      <c r="F71" s="73" t="s">
        <v>276</v>
      </c>
      <c r="G71" s="230" t="s">
        <v>114</v>
      </c>
      <c r="H71" s="181"/>
      <c r="I71" s="231"/>
      <c r="J71" s="190"/>
      <c r="K71" s="77"/>
      <c r="L71" s="77"/>
      <c r="M71" s="187">
        <f t="shared" si="1"/>
        <v>0</v>
      </c>
      <c r="N71" s="100">
        <v>3</v>
      </c>
      <c r="O71" s="224">
        <v>6763.6</v>
      </c>
      <c r="P71" s="224">
        <v>6763.6</v>
      </c>
      <c r="Q71" s="232">
        <f t="shared" si="2"/>
        <v>0</v>
      </c>
    </row>
    <row r="72" spans="1:18" s="13" customFormat="1" ht="15" customHeight="1" x14ac:dyDescent="0.25">
      <c r="A72" s="229"/>
      <c r="B72" s="62" t="s">
        <v>52</v>
      </c>
      <c r="C72" s="181" t="s">
        <v>17</v>
      </c>
      <c r="D72" s="182"/>
      <c r="E72" s="183" t="s">
        <v>20</v>
      </c>
      <c r="F72" s="73" t="s">
        <v>352</v>
      </c>
      <c r="G72" s="74" t="s">
        <v>112</v>
      </c>
      <c r="H72" s="75">
        <v>10</v>
      </c>
      <c r="I72" s="76">
        <v>5</v>
      </c>
      <c r="J72" s="96">
        <f>1+1+1+1+2</f>
        <v>6</v>
      </c>
      <c r="K72" s="77">
        <f>10714.2+2747.14+2138.07</f>
        <v>15599.41</v>
      </c>
      <c r="L72" s="77">
        <f>10714.2+2747.14+2138.07</f>
        <v>15599.41</v>
      </c>
      <c r="M72" s="78">
        <f>K72-L72</f>
        <v>0</v>
      </c>
      <c r="N72" s="100">
        <f>4+3+1+1+2+3+1+1</f>
        <v>16</v>
      </c>
      <c r="O72" s="81">
        <f>5977.15+48296.91+7596.86+1061.83+8902.9+6856.31</f>
        <v>78691.960000000006</v>
      </c>
      <c r="P72" s="81">
        <f>5977.15+48296.91+7596.86+1061.83+8902.9+6856.31</f>
        <v>78691.960000000006</v>
      </c>
      <c r="Q72" s="232">
        <f t="shared" si="2"/>
        <v>0</v>
      </c>
      <c r="R72" s="141"/>
    </row>
    <row r="73" spans="1:18" s="13" customFormat="1" ht="15" customHeight="1" x14ac:dyDescent="0.25">
      <c r="A73" s="229"/>
      <c r="B73" s="62" t="s">
        <v>52</v>
      </c>
      <c r="C73" s="181" t="s">
        <v>17</v>
      </c>
      <c r="D73" s="182"/>
      <c r="E73" s="183" t="s">
        <v>20</v>
      </c>
      <c r="F73" s="73" t="s">
        <v>457</v>
      </c>
      <c r="G73" s="230" t="s">
        <v>114</v>
      </c>
      <c r="H73" s="181">
        <v>11</v>
      </c>
      <c r="I73" s="231">
        <v>4</v>
      </c>
      <c r="J73" s="190">
        <v>4</v>
      </c>
      <c r="K73" s="77">
        <v>1152.5999999999999</v>
      </c>
      <c r="L73" s="77">
        <v>1152.5999999999999</v>
      </c>
      <c r="M73" s="187">
        <f t="shared" si="1"/>
        <v>0</v>
      </c>
      <c r="N73" s="100">
        <v>20</v>
      </c>
      <c r="O73" s="224">
        <v>27349.86</v>
      </c>
      <c r="P73" s="224">
        <v>27349.86</v>
      </c>
      <c r="Q73" s="232">
        <f t="shared" si="2"/>
        <v>0</v>
      </c>
    </row>
    <row r="74" spans="1:18" s="13" customFormat="1" ht="15" customHeight="1" x14ac:dyDescent="0.25">
      <c r="A74" s="229"/>
      <c r="B74" s="27" t="s">
        <v>53</v>
      </c>
      <c r="C74" s="181" t="s">
        <v>17</v>
      </c>
      <c r="D74" s="182"/>
      <c r="E74" s="183" t="s">
        <v>20</v>
      </c>
      <c r="F74" s="73" t="s">
        <v>353</v>
      </c>
      <c r="G74" s="74" t="s">
        <v>112</v>
      </c>
      <c r="H74" s="75">
        <v>10</v>
      </c>
      <c r="I74" s="76">
        <v>6</v>
      </c>
      <c r="J74" s="96">
        <f>2+2+2</f>
        <v>6</v>
      </c>
      <c r="K74" s="77">
        <f>3655.66+6862.24+2535.72</f>
        <v>13053.619999999999</v>
      </c>
      <c r="L74" s="77">
        <f>3655.66+6862.24+2535.72</f>
        <v>13053.619999999999</v>
      </c>
      <c r="M74" s="78">
        <f t="shared" si="1"/>
        <v>0</v>
      </c>
      <c r="N74" s="100">
        <f>1+2+2+1+1</f>
        <v>7</v>
      </c>
      <c r="O74" s="81">
        <f>1743.3+3921.71+422.62+5626.45</f>
        <v>11714.08</v>
      </c>
      <c r="P74" s="81">
        <f>1743.3+3921.71+422.62+5626.45</f>
        <v>11714.08</v>
      </c>
      <c r="Q74" s="232">
        <f t="shared" si="2"/>
        <v>0</v>
      </c>
      <c r="R74" s="141"/>
    </row>
    <row r="75" spans="1:18" s="13" customFormat="1" ht="15" customHeight="1" x14ac:dyDescent="0.25">
      <c r="A75" s="229"/>
      <c r="B75" s="27" t="s">
        <v>149</v>
      </c>
      <c r="C75" s="181" t="s">
        <v>17</v>
      </c>
      <c r="D75" s="182"/>
      <c r="E75" s="183" t="s">
        <v>383</v>
      </c>
      <c r="F75" s="73" t="s">
        <v>354</v>
      </c>
      <c r="G75" s="74" t="s">
        <v>112</v>
      </c>
      <c r="H75" s="75">
        <v>32</v>
      </c>
      <c r="I75" s="76">
        <v>6</v>
      </c>
      <c r="J75" s="96">
        <f>7</f>
        <v>7</v>
      </c>
      <c r="K75" s="77">
        <f>7743.07</f>
        <v>7743.07</v>
      </c>
      <c r="L75" s="77"/>
      <c r="M75" s="78">
        <f t="shared" si="1"/>
        <v>7743.07</v>
      </c>
      <c r="N75" s="100">
        <f>2+2+2</f>
        <v>6</v>
      </c>
      <c r="O75" s="81">
        <f>3676.8+3431.65+6320.35</f>
        <v>13428.800000000001</v>
      </c>
      <c r="P75" s="81">
        <f>3676.8+3431.65</f>
        <v>7108.4500000000007</v>
      </c>
      <c r="Q75" s="79">
        <f t="shared" si="2"/>
        <v>6320.35</v>
      </c>
      <c r="R75" s="141"/>
    </row>
    <row r="76" spans="1:18" s="13" customFormat="1" ht="15" customHeight="1" x14ac:dyDescent="0.25">
      <c r="A76" s="229"/>
      <c r="B76" s="27" t="s">
        <v>149</v>
      </c>
      <c r="C76" s="181" t="s">
        <v>17</v>
      </c>
      <c r="D76" s="182"/>
      <c r="E76" s="183" t="s">
        <v>383</v>
      </c>
      <c r="F76" s="73" t="s">
        <v>438</v>
      </c>
      <c r="G76" s="230" t="s">
        <v>118</v>
      </c>
      <c r="H76" s="181">
        <v>9</v>
      </c>
      <c r="I76" s="234">
        <v>1</v>
      </c>
      <c r="J76" s="190">
        <v>1</v>
      </c>
      <c r="K76" s="193">
        <v>576.29999999999995</v>
      </c>
      <c r="L76" s="193">
        <v>576.29999999999995</v>
      </c>
      <c r="M76" s="78">
        <f t="shared" si="1"/>
        <v>0</v>
      </c>
      <c r="N76" s="114">
        <v>7</v>
      </c>
      <c r="O76" s="224">
        <v>9835.52</v>
      </c>
      <c r="P76" s="224">
        <v>9835.52</v>
      </c>
      <c r="Q76" s="232">
        <f t="shared" si="2"/>
        <v>0</v>
      </c>
    </row>
    <row r="77" spans="1:18" s="13" customFormat="1" ht="15" customHeight="1" x14ac:dyDescent="0.25">
      <c r="A77" s="229"/>
      <c r="B77" s="62" t="s">
        <v>107</v>
      </c>
      <c r="C77" s="181" t="s">
        <v>17</v>
      </c>
      <c r="D77" s="182"/>
      <c r="E77" s="194" t="s">
        <v>20</v>
      </c>
      <c r="F77" s="73" t="s">
        <v>355</v>
      </c>
      <c r="G77" s="74" t="s">
        <v>112</v>
      </c>
      <c r="H77" s="75">
        <v>11</v>
      </c>
      <c r="I77" s="76">
        <v>5</v>
      </c>
      <c r="J77" s="96">
        <f>1+3+3</f>
        <v>7</v>
      </c>
      <c r="K77" s="77">
        <f>666.63+7071.2+5333.38+13316.37+23091.24</f>
        <v>49478.820000000007</v>
      </c>
      <c r="L77" s="77">
        <f>666.63+7071.2+5333.38+13316.37</f>
        <v>26387.58</v>
      </c>
      <c r="M77" s="78">
        <f t="shared" si="1"/>
        <v>23091.240000000005</v>
      </c>
      <c r="N77" s="100">
        <f>2+6+1+1+2</f>
        <v>12</v>
      </c>
      <c r="O77" s="81">
        <f>7612.92+18804.48+9163.33+3260.98+6297.63</f>
        <v>45139.340000000004</v>
      </c>
      <c r="P77" s="81">
        <f>7612.92+18804.48+9163.33+3260.98+6297.63</f>
        <v>45139.340000000004</v>
      </c>
      <c r="Q77" s="79">
        <f t="shared" si="2"/>
        <v>0</v>
      </c>
      <c r="R77" s="141"/>
    </row>
    <row r="78" spans="1:18" s="13" customFormat="1" ht="15" customHeight="1" x14ac:dyDescent="0.25">
      <c r="A78" s="229"/>
      <c r="B78" s="30" t="s">
        <v>54</v>
      </c>
      <c r="C78" s="181" t="s">
        <v>17</v>
      </c>
      <c r="D78" s="182"/>
      <c r="E78" s="194" t="s">
        <v>20</v>
      </c>
      <c r="F78" s="73" t="s">
        <v>356</v>
      </c>
      <c r="G78" s="74" t="s">
        <v>112</v>
      </c>
      <c r="H78" s="75"/>
      <c r="I78" s="76"/>
      <c r="J78" s="96"/>
      <c r="K78" s="77"/>
      <c r="L78" s="77"/>
      <c r="M78" s="78">
        <f t="shared" si="1"/>
        <v>0</v>
      </c>
      <c r="N78" s="100">
        <f>4+1+1+2</f>
        <v>8</v>
      </c>
      <c r="O78" s="81">
        <f>17895.28+17443.73+5473.41</f>
        <v>40812.42</v>
      </c>
      <c r="P78" s="81">
        <f>17895.28+17443.73+5473.41</f>
        <v>40812.42</v>
      </c>
      <c r="Q78" s="79">
        <f t="shared" si="2"/>
        <v>0</v>
      </c>
      <c r="R78" s="141"/>
    </row>
    <row r="79" spans="1:18" s="13" customFormat="1" ht="15" customHeight="1" x14ac:dyDescent="0.25">
      <c r="A79" s="229"/>
      <c r="B79" s="27" t="s">
        <v>55</v>
      </c>
      <c r="C79" s="181" t="s">
        <v>304</v>
      </c>
      <c r="D79" s="182" t="s">
        <v>387</v>
      </c>
      <c r="E79" s="183" t="s">
        <v>20</v>
      </c>
      <c r="F79" s="73" t="s">
        <v>357</v>
      </c>
      <c r="G79" s="74" t="s">
        <v>112</v>
      </c>
      <c r="H79" s="75">
        <v>17</v>
      </c>
      <c r="I79" s="76">
        <v>11</v>
      </c>
      <c r="J79" s="96">
        <f>3+1+1+2+1</f>
        <v>8</v>
      </c>
      <c r="K79" s="77">
        <f>1267.86+6667.8+5756.15+1180.38+4780.37</f>
        <v>19652.559999999998</v>
      </c>
      <c r="L79" s="77">
        <f>1267.86+6667.8+5756.15+1180.38</f>
        <v>14872.189999999999</v>
      </c>
      <c r="M79" s="78">
        <f t="shared" si="1"/>
        <v>4780.369999999999</v>
      </c>
      <c r="N79" s="100">
        <f>2+1+2+2+2+1+2+1</f>
        <v>13</v>
      </c>
      <c r="O79" s="81">
        <f>34854.19+2113.1+6430.67+5463.42+39145.22+2535.72+5132.44+12985.86</f>
        <v>108660.62000000001</v>
      </c>
      <c r="P79" s="81">
        <f>34854.19+2113.1+6430.67+5463.42+39145.22+2535.72+5132.44</f>
        <v>95674.760000000009</v>
      </c>
      <c r="Q79" s="232">
        <f t="shared" si="2"/>
        <v>12985.86</v>
      </c>
      <c r="R79" s="141"/>
    </row>
    <row r="80" spans="1:18" s="13" customFormat="1" ht="15" customHeight="1" x14ac:dyDescent="0.25">
      <c r="A80" s="229"/>
      <c r="B80" s="62" t="s">
        <v>56</v>
      </c>
      <c r="C80" s="181" t="s">
        <v>17</v>
      </c>
      <c r="D80" s="182" t="s">
        <v>386</v>
      </c>
      <c r="E80" s="183" t="s">
        <v>18</v>
      </c>
      <c r="F80" s="73" t="s">
        <v>358</v>
      </c>
      <c r="G80" s="74" t="s">
        <v>112</v>
      </c>
      <c r="H80" s="75">
        <v>8</v>
      </c>
      <c r="I80" s="76">
        <v>4</v>
      </c>
      <c r="J80" s="96">
        <f>1+1+2</f>
        <v>4</v>
      </c>
      <c r="K80" s="77">
        <f>678.11+678.11+4865.7</f>
        <v>6221.92</v>
      </c>
      <c r="L80" s="77">
        <f>678.11+678.11+4865.7</f>
        <v>6221.92</v>
      </c>
      <c r="M80" s="78">
        <f t="shared" si="1"/>
        <v>0</v>
      </c>
      <c r="N80" s="100">
        <f>1</f>
        <v>1</v>
      </c>
      <c r="O80" s="81">
        <f>4395.5</f>
        <v>4395.5</v>
      </c>
      <c r="P80" s="81">
        <f>4395.5</f>
        <v>4395.5</v>
      </c>
      <c r="Q80" s="79">
        <f t="shared" si="2"/>
        <v>0</v>
      </c>
      <c r="R80" s="141"/>
    </row>
    <row r="81" spans="1:18" s="13" customFormat="1" ht="15" customHeight="1" x14ac:dyDescent="0.25">
      <c r="A81" s="229"/>
      <c r="B81" s="62" t="s">
        <v>56</v>
      </c>
      <c r="C81" s="181" t="s">
        <v>304</v>
      </c>
      <c r="D81" s="182" t="s">
        <v>386</v>
      </c>
      <c r="E81" s="183" t="s">
        <v>18</v>
      </c>
      <c r="F81" s="73" t="s">
        <v>476</v>
      </c>
      <c r="G81" s="230" t="s">
        <v>113</v>
      </c>
      <c r="H81" s="181">
        <v>7</v>
      </c>
      <c r="I81" s="231">
        <v>5</v>
      </c>
      <c r="J81" s="96">
        <v>5</v>
      </c>
      <c r="K81" s="77">
        <v>4745</v>
      </c>
      <c r="L81" s="77">
        <v>4745</v>
      </c>
      <c r="M81" s="78">
        <f t="shared" si="1"/>
        <v>0</v>
      </c>
      <c r="N81" s="100"/>
      <c r="O81" s="224">
        <v>7612</v>
      </c>
      <c r="P81" s="224">
        <v>7612</v>
      </c>
      <c r="Q81" s="232">
        <f t="shared" ref="Q81:Q148" si="3">O81-P81</f>
        <v>0</v>
      </c>
    </row>
    <row r="82" spans="1:18" s="13" customFormat="1" ht="15" customHeight="1" x14ac:dyDescent="0.25">
      <c r="A82" s="229"/>
      <c r="B82" s="62" t="s">
        <v>156</v>
      </c>
      <c r="C82" s="181" t="s">
        <v>304</v>
      </c>
      <c r="D82" s="182"/>
      <c r="E82" s="183" t="s">
        <v>20</v>
      </c>
      <c r="F82" s="73" t="s">
        <v>359</v>
      </c>
      <c r="G82" s="74" t="s">
        <v>112</v>
      </c>
      <c r="H82" s="75">
        <v>4</v>
      </c>
      <c r="I82" s="76">
        <v>2</v>
      </c>
      <c r="J82" s="96">
        <f>2</f>
        <v>2</v>
      </c>
      <c r="K82" s="77">
        <f>1690.48+993.47</f>
        <v>2683.95</v>
      </c>
      <c r="L82" s="77">
        <f>1690.48+993.47</f>
        <v>2683.95</v>
      </c>
      <c r="M82" s="78">
        <f t="shared" si="1"/>
        <v>0</v>
      </c>
      <c r="N82" s="100">
        <f>3+1+1</f>
        <v>5</v>
      </c>
      <c r="O82" s="81">
        <f>5488.54+2398.37+422.62+1605.6</f>
        <v>9915.130000000001</v>
      </c>
      <c r="P82" s="81">
        <f>5488.54+2398.37+422.62</f>
        <v>8309.5300000000007</v>
      </c>
      <c r="Q82" s="79">
        <f t="shared" si="3"/>
        <v>1605.6000000000004</v>
      </c>
      <c r="R82" s="141"/>
    </row>
    <row r="83" spans="1:18" s="15" customFormat="1" ht="15" customHeight="1" x14ac:dyDescent="0.25">
      <c r="A83" s="229"/>
      <c r="B83" s="62" t="s">
        <v>57</v>
      </c>
      <c r="C83" s="181" t="s">
        <v>17</v>
      </c>
      <c r="D83" s="182"/>
      <c r="E83" s="183" t="s">
        <v>20</v>
      </c>
      <c r="F83" s="73" t="s">
        <v>360</v>
      </c>
      <c r="G83" s="74" t="s">
        <v>112</v>
      </c>
      <c r="H83" s="75">
        <v>6</v>
      </c>
      <c r="I83" s="76">
        <v>6</v>
      </c>
      <c r="J83" s="96">
        <f>2+1+1+2</f>
        <v>6</v>
      </c>
      <c r="K83" s="77">
        <f>806.82+1728.9+422.62+2958.34</f>
        <v>5916.68</v>
      </c>
      <c r="L83" s="77">
        <f>806.82+1728.9+422.62+2958.34</f>
        <v>5916.68</v>
      </c>
      <c r="M83" s="78">
        <f t="shared" si="1"/>
        <v>0</v>
      </c>
      <c r="N83" s="100">
        <f>2+1</f>
        <v>3</v>
      </c>
      <c r="O83" s="81">
        <f>2745.3</f>
        <v>2745.3</v>
      </c>
      <c r="P83" s="81">
        <f>2745.3</f>
        <v>2745.3</v>
      </c>
      <c r="Q83" s="232">
        <f t="shared" si="3"/>
        <v>0</v>
      </c>
      <c r="R83" s="141"/>
    </row>
    <row r="84" spans="1:18" s="15" customFormat="1" ht="15" customHeight="1" x14ac:dyDescent="0.25">
      <c r="A84" s="229"/>
      <c r="B84" s="62" t="s">
        <v>57</v>
      </c>
      <c r="C84" s="181" t="s">
        <v>17</v>
      </c>
      <c r="D84" s="182"/>
      <c r="E84" s="183" t="s">
        <v>20</v>
      </c>
      <c r="F84" s="73" t="s">
        <v>458</v>
      </c>
      <c r="G84" s="230" t="s">
        <v>114</v>
      </c>
      <c r="H84" s="181">
        <v>31</v>
      </c>
      <c r="I84" s="231">
        <v>7</v>
      </c>
      <c r="J84" s="190">
        <v>7</v>
      </c>
      <c r="K84" s="77">
        <v>8068.2</v>
      </c>
      <c r="L84" s="77">
        <v>8068.2</v>
      </c>
      <c r="M84" s="187">
        <f t="shared" si="1"/>
        <v>0</v>
      </c>
      <c r="N84" s="100">
        <v>19</v>
      </c>
      <c r="O84" s="224">
        <v>38071.1</v>
      </c>
      <c r="P84" s="224">
        <v>38071.1</v>
      </c>
      <c r="Q84" s="232">
        <f t="shared" si="3"/>
        <v>0</v>
      </c>
    </row>
    <row r="85" spans="1:18" s="13" customFormat="1" ht="15" customHeight="1" x14ac:dyDescent="0.25">
      <c r="A85" s="229"/>
      <c r="B85" s="62" t="s">
        <v>58</v>
      </c>
      <c r="C85" s="181" t="s">
        <v>17</v>
      </c>
      <c r="D85" s="182"/>
      <c r="E85" s="183" t="s">
        <v>20</v>
      </c>
      <c r="F85" s="73" t="s">
        <v>361</v>
      </c>
      <c r="G85" s="74" t="s">
        <v>112</v>
      </c>
      <c r="H85" s="75">
        <v>7</v>
      </c>
      <c r="I85" s="76">
        <v>4</v>
      </c>
      <c r="J85" s="96">
        <f>1+2+1</f>
        <v>4</v>
      </c>
      <c r="K85" s="77">
        <f>1892.47+3118.94+422.62</f>
        <v>5434.03</v>
      </c>
      <c r="L85" s="77">
        <f>1892.47+3118.94+422.62</f>
        <v>5434.03</v>
      </c>
      <c r="M85" s="78">
        <f>K85-L85</f>
        <v>0</v>
      </c>
      <c r="N85" s="100">
        <f>1+1+3</f>
        <v>5</v>
      </c>
      <c r="O85" s="81">
        <f>9196.24+2480.78+2954.11+15214.32</f>
        <v>29845.45</v>
      </c>
      <c r="P85" s="81">
        <f>9196.24+2480.78+2954.11+15214.32</f>
        <v>29845.45</v>
      </c>
      <c r="Q85" s="232">
        <f t="shared" si="3"/>
        <v>0</v>
      </c>
      <c r="R85" s="141"/>
    </row>
    <row r="86" spans="1:18" s="13" customFormat="1" ht="15" customHeight="1" x14ac:dyDescent="0.25">
      <c r="A86" s="229"/>
      <c r="B86" s="62" t="s">
        <v>58</v>
      </c>
      <c r="C86" s="181" t="s">
        <v>17</v>
      </c>
      <c r="D86" s="182"/>
      <c r="E86" s="183" t="s">
        <v>20</v>
      </c>
      <c r="F86" s="73" t="s">
        <v>478</v>
      </c>
      <c r="G86" s="230" t="s">
        <v>114</v>
      </c>
      <c r="H86" s="181">
        <v>15</v>
      </c>
      <c r="I86" s="231">
        <v>2</v>
      </c>
      <c r="J86" s="190">
        <v>2</v>
      </c>
      <c r="K86" s="77">
        <v>3765.16</v>
      </c>
      <c r="L86" s="77">
        <v>3765.16</v>
      </c>
      <c r="M86" s="187">
        <f t="shared" si="1"/>
        <v>0</v>
      </c>
      <c r="N86" s="100">
        <v>21</v>
      </c>
      <c r="O86" s="224">
        <v>54215.77</v>
      </c>
      <c r="P86" s="224">
        <v>54215.77</v>
      </c>
      <c r="Q86" s="232">
        <f t="shared" si="3"/>
        <v>0</v>
      </c>
    </row>
    <row r="87" spans="1:18" s="13" customFormat="1" ht="15" customHeight="1" x14ac:dyDescent="0.25">
      <c r="A87" s="229"/>
      <c r="B87" s="62" t="s">
        <v>59</v>
      </c>
      <c r="C87" s="181" t="s">
        <v>17</v>
      </c>
      <c r="D87" s="182"/>
      <c r="E87" s="183" t="s">
        <v>20</v>
      </c>
      <c r="F87" s="73" t="s">
        <v>362</v>
      </c>
      <c r="G87" s="74" t="s">
        <v>112</v>
      </c>
      <c r="H87" s="75">
        <v>11</v>
      </c>
      <c r="I87" s="76">
        <v>8</v>
      </c>
      <c r="J87" s="96">
        <f>1+1+1+3+1+1</f>
        <v>8</v>
      </c>
      <c r="K87" s="77">
        <f>403.41+1431.16+845.24+998.92</f>
        <v>3678.7300000000005</v>
      </c>
      <c r="L87" s="77">
        <f>403.41+1431.16+845.24+998.92</f>
        <v>3678.7300000000005</v>
      </c>
      <c r="M87" s="78">
        <f>K87-L87</f>
        <v>0</v>
      </c>
      <c r="N87" s="100">
        <f>1+2+2+1+1+1</f>
        <v>8</v>
      </c>
      <c r="O87" s="81">
        <f>6646.05+1267.86+979.71</f>
        <v>8893.619999999999</v>
      </c>
      <c r="P87" s="81">
        <f>2353.23+5561.68+978.71</f>
        <v>8893.619999999999</v>
      </c>
      <c r="Q87" s="232">
        <f t="shared" si="3"/>
        <v>0</v>
      </c>
      <c r="R87" s="141"/>
    </row>
    <row r="88" spans="1:18" s="13" customFormat="1" ht="15" customHeight="1" x14ac:dyDescent="0.25">
      <c r="A88" s="229"/>
      <c r="B88" s="62" t="s">
        <v>59</v>
      </c>
      <c r="C88" s="181" t="s">
        <v>17</v>
      </c>
      <c r="D88" s="182"/>
      <c r="E88" s="183" t="s">
        <v>20</v>
      </c>
      <c r="F88" s="73" t="s">
        <v>128</v>
      </c>
      <c r="G88" s="230" t="s">
        <v>114</v>
      </c>
      <c r="H88" s="181"/>
      <c r="I88" s="231"/>
      <c r="J88" s="190"/>
      <c r="K88" s="77"/>
      <c r="L88" s="77"/>
      <c r="M88" s="187">
        <f t="shared" si="1"/>
        <v>0</v>
      </c>
      <c r="N88" s="100"/>
      <c r="O88" s="224"/>
      <c r="P88" s="224"/>
      <c r="Q88" s="232">
        <f t="shared" si="3"/>
        <v>0</v>
      </c>
    </row>
    <row r="89" spans="1:18" s="13" customFormat="1" ht="15" customHeight="1" x14ac:dyDescent="0.25">
      <c r="A89" s="229"/>
      <c r="B89" s="27" t="s">
        <v>60</v>
      </c>
      <c r="C89" s="181" t="s">
        <v>17</v>
      </c>
      <c r="D89" s="182"/>
      <c r="E89" s="183" t="s">
        <v>20</v>
      </c>
      <c r="F89" s="73" t="s">
        <v>364</v>
      </c>
      <c r="G89" s="74" t="s">
        <v>112</v>
      </c>
      <c r="H89" s="75">
        <v>16</v>
      </c>
      <c r="I89" s="76">
        <v>7</v>
      </c>
      <c r="J89" s="96">
        <f>1+1+1+4</f>
        <v>7</v>
      </c>
      <c r="K89" s="77">
        <f>634.93+893.27+2930.22</f>
        <v>4458.42</v>
      </c>
      <c r="L89" s="77">
        <f>634.93+893.27</f>
        <v>1528.1999999999998</v>
      </c>
      <c r="M89" s="78">
        <f>K89-L89</f>
        <v>2930.2200000000003</v>
      </c>
      <c r="N89" s="100">
        <f>4+1+3+1</f>
        <v>9</v>
      </c>
      <c r="O89" s="81">
        <f>15124.53+2065.75+8492.52</f>
        <v>25682.799999999999</v>
      </c>
      <c r="P89" s="81">
        <f>15124.53+2065.75+8492.52</f>
        <v>25682.799999999999</v>
      </c>
      <c r="Q89" s="232">
        <f t="shared" si="3"/>
        <v>0</v>
      </c>
      <c r="R89" s="141"/>
    </row>
    <row r="90" spans="1:18" s="13" customFormat="1" ht="15" customHeight="1" x14ac:dyDescent="0.25">
      <c r="A90" s="229"/>
      <c r="B90" s="27" t="s">
        <v>60</v>
      </c>
      <c r="C90" s="181" t="s">
        <v>17</v>
      </c>
      <c r="D90" s="182"/>
      <c r="E90" s="183" t="s">
        <v>20</v>
      </c>
      <c r="F90" s="73" t="s">
        <v>479</v>
      </c>
      <c r="G90" s="230" t="s">
        <v>114</v>
      </c>
      <c r="H90" s="181">
        <v>10</v>
      </c>
      <c r="I90" s="231">
        <v>2</v>
      </c>
      <c r="J90" s="190">
        <v>2</v>
      </c>
      <c r="K90" s="77">
        <v>5186.7</v>
      </c>
      <c r="L90" s="77">
        <v>5186.7</v>
      </c>
      <c r="M90" s="187">
        <f t="shared" si="1"/>
        <v>0</v>
      </c>
      <c r="N90" s="100">
        <v>12</v>
      </c>
      <c r="O90" s="224">
        <v>41121.599999999999</v>
      </c>
      <c r="P90" s="224">
        <v>20666.900000000001</v>
      </c>
      <c r="Q90" s="232">
        <f t="shared" si="3"/>
        <v>20454.699999999997</v>
      </c>
    </row>
    <row r="91" spans="1:18" s="13" customFormat="1" ht="15" customHeight="1" x14ac:dyDescent="0.25">
      <c r="A91" s="229"/>
      <c r="B91" s="27" t="s">
        <v>493</v>
      </c>
      <c r="C91" s="181" t="s">
        <v>17</v>
      </c>
      <c r="D91" s="182"/>
      <c r="E91" s="183" t="s">
        <v>20</v>
      </c>
      <c r="F91" s="73" t="s">
        <v>496</v>
      </c>
      <c r="G91" s="230" t="s">
        <v>112</v>
      </c>
      <c r="H91" s="181">
        <v>11</v>
      </c>
      <c r="I91" s="231">
        <v>7</v>
      </c>
      <c r="J91" s="190">
        <f>3+2+1+3</f>
        <v>9</v>
      </c>
      <c r="K91" s="77">
        <f>3387.04+3467.41+1267.86</f>
        <v>8122.3099999999995</v>
      </c>
      <c r="L91" s="77">
        <f>3387.04+3467.41+1267.86</f>
        <v>8122.3099999999995</v>
      </c>
      <c r="M91" s="78">
        <f t="shared" ref="M91:M158" si="4">K91-L91</f>
        <v>0</v>
      </c>
      <c r="N91" s="100"/>
      <c r="O91" s="224"/>
      <c r="P91" s="224"/>
      <c r="Q91" s="232">
        <f t="shared" si="3"/>
        <v>0</v>
      </c>
    </row>
    <row r="92" spans="1:18" s="15" customFormat="1" ht="15" customHeight="1" x14ac:dyDescent="0.25">
      <c r="A92" s="229"/>
      <c r="B92" s="27" t="s">
        <v>61</v>
      </c>
      <c r="C92" s="181" t="s">
        <v>17</v>
      </c>
      <c r="D92" s="182"/>
      <c r="E92" s="183" t="s">
        <v>20</v>
      </c>
      <c r="F92" s="73" t="s">
        <v>363</v>
      </c>
      <c r="G92" s="74" t="s">
        <v>112</v>
      </c>
      <c r="H92" s="75"/>
      <c r="I92" s="76"/>
      <c r="J92" s="96"/>
      <c r="K92" s="77"/>
      <c r="L92" s="77"/>
      <c r="M92" s="78">
        <f t="shared" si="4"/>
        <v>0</v>
      </c>
      <c r="N92" s="100"/>
      <c r="O92" s="81"/>
      <c r="P92" s="81"/>
      <c r="Q92" s="232">
        <f t="shared" si="3"/>
        <v>0</v>
      </c>
      <c r="R92" s="141"/>
    </row>
    <row r="93" spans="1:18" s="15" customFormat="1" ht="15" customHeight="1" x14ac:dyDescent="0.25">
      <c r="A93" s="229"/>
      <c r="B93" s="27" t="s">
        <v>61</v>
      </c>
      <c r="C93" s="181" t="s">
        <v>17</v>
      </c>
      <c r="D93" s="182"/>
      <c r="E93" s="183" t="s">
        <v>20</v>
      </c>
      <c r="F93" s="73" t="s">
        <v>121</v>
      </c>
      <c r="G93" s="230" t="s">
        <v>114</v>
      </c>
      <c r="H93" s="181"/>
      <c r="I93" s="231"/>
      <c r="J93" s="190"/>
      <c r="K93" s="77"/>
      <c r="L93" s="77"/>
      <c r="M93" s="187">
        <f t="shared" si="4"/>
        <v>0</v>
      </c>
      <c r="N93" s="100"/>
      <c r="O93" s="224"/>
      <c r="P93" s="224"/>
      <c r="Q93" s="232">
        <f t="shared" si="3"/>
        <v>0</v>
      </c>
    </row>
    <row r="94" spans="1:18" s="15" customFormat="1" ht="15" customHeight="1" x14ac:dyDescent="0.25">
      <c r="A94" s="229"/>
      <c r="B94" s="236" t="s">
        <v>306</v>
      </c>
      <c r="C94" s="181" t="s">
        <v>17</v>
      </c>
      <c r="D94" s="182"/>
      <c r="E94" s="183" t="s">
        <v>35</v>
      </c>
      <c r="F94" s="73" t="s">
        <v>365</v>
      </c>
      <c r="G94" s="230" t="s">
        <v>112</v>
      </c>
      <c r="H94" s="181">
        <v>27</v>
      </c>
      <c r="I94" s="231">
        <v>16</v>
      </c>
      <c r="J94" s="190">
        <f>1+2+1+3+3+2+3+1</f>
        <v>16</v>
      </c>
      <c r="K94" s="77">
        <f>1045.98+2658.7+35696.14+4892.46+1024.04+2384.53+10793.24+5320.79+2075.24</f>
        <v>65891.12</v>
      </c>
      <c r="L94" s="77">
        <f>1045.98+2658.7+35696.14+4892.46+1024.04+2384.53+10793.24+5320.79</f>
        <v>63815.88</v>
      </c>
      <c r="M94" s="78">
        <f>K94-L94</f>
        <v>2075.239999999998</v>
      </c>
      <c r="N94" s="114">
        <f>7+2+2+2+1+1</f>
        <v>15</v>
      </c>
      <c r="O94" s="224">
        <f>2313.84+6162.57+2330.32+1690.48+3706.14+3107.65</f>
        <v>19311</v>
      </c>
      <c r="P94" s="224">
        <f>2313.84+6162.57+2330.32+1690.48+3706.14+3107.65</f>
        <v>19311</v>
      </c>
      <c r="Q94" s="232">
        <f t="shared" si="3"/>
        <v>0</v>
      </c>
      <c r="R94" s="141"/>
    </row>
    <row r="95" spans="1:18" s="13" customFormat="1" ht="15" customHeight="1" x14ac:dyDescent="0.25">
      <c r="A95" s="229"/>
      <c r="B95" s="62" t="s">
        <v>306</v>
      </c>
      <c r="C95" s="181" t="s">
        <v>17</v>
      </c>
      <c r="D95" s="182"/>
      <c r="E95" s="183" t="s">
        <v>27</v>
      </c>
      <c r="F95" s="73" t="s">
        <v>421</v>
      </c>
      <c r="G95" s="230" t="s">
        <v>117</v>
      </c>
      <c r="H95" s="181">
        <v>2</v>
      </c>
      <c r="I95" s="231"/>
      <c r="J95" s="96"/>
      <c r="K95" s="77"/>
      <c r="L95" s="77"/>
      <c r="M95" s="78">
        <f>K95-L95</f>
        <v>0</v>
      </c>
      <c r="N95" s="100"/>
      <c r="O95" s="77"/>
      <c r="P95" s="77"/>
      <c r="Q95" s="79">
        <f>O95-P95</f>
        <v>0</v>
      </c>
    </row>
    <row r="96" spans="1:18" s="13" customFormat="1" ht="15" customHeight="1" x14ac:dyDescent="0.25">
      <c r="A96" s="229"/>
      <c r="B96" s="27" t="s">
        <v>62</v>
      </c>
      <c r="C96" s="181" t="s">
        <v>17</v>
      </c>
      <c r="D96" s="182"/>
      <c r="E96" s="183" t="s">
        <v>35</v>
      </c>
      <c r="F96" s="73" t="s">
        <v>366</v>
      </c>
      <c r="G96" s="74" t="s">
        <v>112</v>
      </c>
      <c r="H96" s="75">
        <v>20</v>
      </c>
      <c r="I96" s="76">
        <v>9</v>
      </c>
      <c r="J96" s="96">
        <f>1+3+1+1+2</f>
        <v>8</v>
      </c>
      <c r="K96" s="77">
        <f>3613.4+1872.01+1394.65+3518.32</f>
        <v>10398.379999999999</v>
      </c>
      <c r="L96" s="77">
        <f>3613.4+1872.01+1394.65+3518.32</f>
        <v>10398.379999999999</v>
      </c>
      <c r="M96" s="78">
        <f>K96-L96</f>
        <v>0</v>
      </c>
      <c r="N96" s="100">
        <f>6+2+1+2+1+3</f>
        <v>15</v>
      </c>
      <c r="O96" s="81">
        <f>19511.33+1270.93+3979.74+2500.85+8530.18+845.24+12787.47</f>
        <v>49425.74</v>
      </c>
      <c r="P96" s="81">
        <f>19511.33+1270.93+3979.74+2500.85+8530.18+845.24+12787.47</f>
        <v>49425.74</v>
      </c>
      <c r="Q96" s="79">
        <f t="shared" si="3"/>
        <v>0</v>
      </c>
      <c r="R96" s="141"/>
    </row>
    <row r="97" spans="1:18" s="13" customFormat="1" ht="15" customHeight="1" x14ac:dyDescent="0.25">
      <c r="A97" s="229"/>
      <c r="B97" s="27" t="s">
        <v>62</v>
      </c>
      <c r="C97" s="181" t="s">
        <v>17</v>
      </c>
      <c r="D97" s="182"/>
      <c r="E97" s="183" t="s">
        <v>35</v>
      </c>
      <c r="F97" s="73" t="s">
        <v>428</v>
      </c>
      <c r="G97" s="230" t="s">
        <v>117</v>
      </c>
      <c r="H97" s="181">
        <v>2</v>
      </c>
      <c r="I97" s="231"/>
      <c r="J97" s="96"/>
      <c r="K97" s="77"/>
      <c r="L97" s="77"/>
      <c r="M97" s="78">
        <f t="shared" si="4"/>
        <v>0</v>
      </c>
      <c r="N97" s="100">
        <v>9</v>
      </c>
      <c r="O97" s="224">
        <v>22788.1</v>
      </c>
      <c r="P97" s="224">
        <v>22788.1</v>
      </c>
      <c r="Q97" s="232">
        <f t="shared" si="3"/>
        <v>0</v>
      </c>
    </row>
    <row r="98" spans="1:18" s="13" customFormat="1" ht="15" customHeight="1" x14ac:dyDescent="0.25">
      <c r="A98" s="229"/>
      <c r="B98" s="27" t="s">
        <v>63</v>
      </c>
      <c r="C98" s="181" t="s">
        <v>64</v>
      </c>
      <c r="D98" s="182" t="s">
        <v>65</v>
      </c>
      <c r="E98" s="183" t="s">
        <v>20</v>
      </c>
      <c r="F98" s="73" t="s">
        <v>480</v>
      </c>
      <c r="G98" s="230" t="s">
        <v>114</v>
      </c>
      <c r="H98" s="181"/>
      <c r="I98" s="231"/>
      <c r="J98" s="190"/>
      <c r="K98" s="77"/>
      <c r="L98" s="77"/>
      <c r="M98" s="187">
        <f t="shared" si="4"/>
        <v>0</v>
      </c>
      <c r="N98" s="100"/>
      <c r="O98" s="224"/>
      <c r="P98" s="224"/>
      <c r="Q98" s="232">
        <f t="shared" si="3"/>
        <v>0</v>
      </c>
    </row>
    <row r="99" spans="1:18" s="13" customFormat="1" ht="15" customHeight="1" x14ac:dyDescent="0.25">
      <c r="A99" s="229"/>
      <c r="B99" s="27" t="s">
        <v>155</v>
      </c>
      <c r="C99" s="181" t="s">
        <v>17</v>
      </c>
      <c r="D99" s="182"/>
      <c r="E99" s="183" t="s">
        <v>20</v>
      </c>
      <c r="F99" s="73" t="s">
        <v>367</v>
      </c>
      <c r="G99" s="74" t="s">
        <v>112</v>
      </c>
      <c r="H99" s="75">
        <v>9</v>
      </c>
      <c r="I99" s="82">
        <v>6</v>
      </c>
      <c r="J99" s="96">
        <f>1+2+3+1</f>
        <v>7</v>
      </c>
      <c r="K99" s="77">
        <f>3117.56+2266.78+5307.72</f>
        <v>10692.060000000001</v>
      </c>
      <c r="L99" s="77">
        <f>3117.56+2266.78+5307.72</f>
        <v>10692.060000000001</v>
      </c>
      <c r="M99" s="78">
        <f>K99-L99</f>
        <v>0</v>
      </c>
      <c r="N99" s="100">
        <f>1+1+1</f>
        <v>3</v>
      </c>
      <c r="O99" s="81">
        <f>1798.06+2123.67</f>
        <v>3921.73</v>
      </c>
      <c r="P99" s="81">
        <f>1798.06+2123.67</f>
        <v>3921.73</v>
      </c>
      <c r="Q99" s="232">
        <f t="shared" si="3"/>
        <v>0</v>
      </c>
      <c r="R99" s="141"/>
    </row>
    <row r="100" spans="1:18" s="13" customFormat="1" ht="15" customHeight="1" x14ac:dyDescent="0.25">
      <c r="A100" s="229"/>
      <c r="B100" s="27" t="s">
        <v>155</v>
      </c>
      <c r="C100" s="181" t="s">
        <v>17</v>
      </c>
      <c r="D100" s="182"/>
      <c r="E100" s="183" t="s">
        <v>20</v>
      </c>
      <c r="F100" s="73" t="s">
        <v>459</v>
      </c>
      <c r="G100" s="230" t="s">
        <v>114</v>
      </c>
      <c r="H100" s="181">
        <v>11</v>
      </c>
      <c r="I100" s="231">
        <v>4</v>
      </c>
      <c r="J100" s="190">
        <v>4</v>
      </c>
      <c r="K100" s="77">
        <v>6147.2</v>
      </c>
      <c r="L100" s="77">
        <v>6147.2</v>
      </c>
      <c r="M100" s="187">
        <f t="shared" ref="M100" si="5">K100-L100</f>
        <v>0</v>
      </c>
      <c r="N100" s="100">
        <v>15</v>
      </c>
      <c r="O100" s="224">
        <v>33202.26</v>
      </c>
      <c r="P100" s="224">
        <v>33202.26</v>
      </c>
      <c r="Q100" s="232">
        <f t="shared" si="3"/>
        <v>0</v>
      </c>
    </row>
    <row r="101" spans="1:18" s="13" customFormat="1" ht="15" customHeight="1" x14ac:dyDescent="0.25">
      <c r="A101" s="229"/>
      <c r="B101" s="30" t="s">
        <v>66</v>
      </c>
      <c r="C101" s="181" t="s">
        <v>17</v>
      </c>
      <c r="D101" s="182"/>
      <c r="E101" s="183" t="s">
        <v>21</v>
      </c>
      <c r="F101" s="73" t="s">
        <v>368</v>
      </c>
      <c r="G101" s="74" t="s">
        <v>112</v>
      </c>
      <c r="H101" s="75">
        <v>23</v>
      </c>
      <c r="I101" s="76">
        <v>19</v>
      </c>
      <c r="J101" s="96">
        <f>1+3+2+3+2+1+2+1+3+7</f>
        <v>25</v>
      </c>
      <c r="K101" s="77">
        <f>1045.98+4309.04+3820.12+1872.01+4253.49+3044.79+1191.19+4942.84+9299.2</f>
        <v>33778.660000000003</v>
      </c>
      <c r="L101" s="77">
        <f>1045.98+4309.04+3820.12+1872.01+4253.49+3044.79+1191.19+4942.84</f>
        <v>24479.46</v>
      </c>
      <c r="M101" s="78">
        <f>K101-L101</f>
        <v>9299.2000000000044</v>
      </c>
      <c r="N101" s="100">
        <f>6+3+8+7+1+1+1+2+1+1+1+1+1</f>
        <v>34</v>
      </c>
      <c r="O101" s="81">
        <f>11911.17+23136+18060.17+1977.84+2091.97+19535.65+19124.11+3199.71+4430.07</f>
        <v>103466.69</v>
      </c>
      <c r="P101" s="81">
        <f>11911.17+23136+18060.17+1977.84+2091.97+19535.65+19124.11+3199.71+4430.07</f>
        <v>103466.69</v>
      </c>
      <c r="Q101" s="232">
        <f t="shared" si="3"/>
        <v>0</v>
      </c>
      <c r="R101" s="141"/>
    </row>
    <row r="102" spans="1:18" s="13" customFormat="1" ht="15" customHeight="1" x14ac:dyDescent="0.25">
      <c r="A102" s="229"/>
      <c r="B102" s="30" t="s">
        <v>66</v>
      </c>
      <c r="C102" s="181" t="s">
        <v>17</v>
      </c>
      <c r="D102" s="182"/>
      <c r="E102" s="183" t="s">
        <v>21</v>
      </c>
      <c r="F102" s="73" t="s">
        <v>439</v>
      </c>
      <c r="G102" s="230" t="s">
        <v>118</v>
      </c>
      <c r="H102" s="181">
        <v>6</v>
      </c>
      <c r="I102" s="231">
        <v>2</v>
      </c>
      <c r="J102" s="96">
        <v>2</v>
      </c>
      <c r="K102" s="77">
        <v>2958.9</v>
      </c>
      <c r="L102" s="77">
        <v>2958.9</v>
      </c>
      <c r="M102" s="187">
        <f t="shared" si="4"/>
        <v>0</v>
      </c>
      <c r="N102" s="100">
        <v>16</v>
      </c>
      <c r="O102" s="224">
        <v>66871.69</v>
      </c>
      <c r="P102" s="224">
        <v>66871.69</v>
      </c>
      <c r="Q102" s="79">
        <f t="shared" si="3"/>
        <v>0</v>
      </c>
    </row>
    <row r="103" spans="1:18" s="13" customFormat="1" ht="15" customHeight="1" x14ac:dyDescent="0.25">
      <c r="A103" s="229"/>
      <c r="B103" s="62" t="s">
        <v>137</v>
      </c>
      <c r="C103" s="181" t="s">
        <v>17</v>
      </c>
      <c r="D103" s="182"/>
      <c r="E103" s="194" t="s">
        <v>35</v>
      </c>
      <c r="F103" s="73" t="s">
        <v>369</v>
      </c>
      <c r="G103" s="74" t="s">
        <v>112</v>
      </c>
      <c r="H103" s="75">
        <v>29</v>
      </c>
      <c r="I103" s="76">
        <v>15</v>
      </c>
      <c r="J103" s="96">
        <f>3+3+1+4+1+3</f>
        <v>15</v>
      </c>
      <c r="K103" s="77">
        <f>504.26+845.24+3380.96+422.62+2535.72+6256.62</f>
        <v>13945.419999999998</v>
      </c>
      <c r="L103" s="77">
        <f>504.26+845.24+3380.96+422.62+2535.72</f>
        <v>7688.7999999999993</v>
      </c>
      <c r="M103" s="78">
        <f>K103-L103</f>
        <v>6256.619999999999</v>
      </c>
      <c r="N103" s="100">
        <f>5+1+1+2+1</f>
        <v>10</v>
      </c>
      <c r="O103" s="81">
        <f>2617.36+422.62+3852.18+3380.96+422.62</f>
        <v>10695.74</v>
      </c>
      <c r="P103" s="81">
        <f>2617.36+422.62+3852.18+3380.96+422.62</f>
        <v>10695.74</v>
      </c>
      <c r="Q103" s="232">
        <f t="shared" si="3"/>
        <v>0</v>
      </c>
      <c r="R103" s="141"/>
    </row>
    <row r="104" spans="1:18" s="13" customFormat="1" ht="15" customHeight="1" x14ac:dyDescent="0.25">
      <c r="A104" s="229"/>
      <c r="B104" s="62" t="s">
        <v>137</v>
      </c>
      <c r="C104" s="181" t="s">
        <v>17</v>
      </c>
      <c r="D104" s="182"/>
      <c r="E104" s="194" t="s">
        <v>35</v>
      </c>
      <c r="F104" s="73" t="s">
        <v>429</v>
      </c>
      <c r="G104" s="230" t="s">
        <v>117</v>
      </c>
      <c r="H104" s="181">
        <v>2</v>
      </c>
      <c r="I104" s="231">
        <v>1</v>
      </c>
      <c r="J104" s="190">
        <v>1</v>
      </c>
      <c r="K104" s="193">
        <v>1921</v>
      </c>
      <c r="L104" s="193">
        <v>1921</v>
      </c>
      <c r="M104" s="78">
        <f t="shared" si="4"/>
        <v>0</v>
      </c>
      <c r="N104" s="114">
        <v>2</v>
      </c>
      <c r="O104" s="224">
        <v>10565.5</v>
      </c>
      <c r="P104" s="224">
        <v>10565.5</v>
      </c>
      <c r="Q104" s="79">
        <f t="shared" si="3"/>
        <v>0</v>
      </c>
    </row>
    <row r="105" spans="1:18" s="13" customFormat="1" ht="15" customHeight="1" x14ac:dyDescent="0.25">
      <c r="A105" s="229"/>
      <c r="B105" s="30" t="s">
        <v>67</v>
      </c>
      <c r="C105" s="181" t="s">
        <v>17</v>
      </c>
      <c r="D105" s="182"/>
      <c r="E105" s="194" t="s">
        <v>21</v>
      </c>
      <c r="F105" s="73" t="s">
        <v>370</v>
      </c>
      <c r="G105" s="74" t="s">
        <v>112</v>
      </c>
      <c r="H105" s="75">
        <v>24</v>
      </c>
      <c r="I105" s="76">
        <v>16</v>
      </c>
      <c r="J105" s="96">
        <f>2+1+1+2+1+1+2+2+1+2+5</f>
        <v>20</v>
      </c>
      <c r="K105" s="77">
        <f>3319.85+1198.9+864.45+7235.32+1947.89+5377.75+8701.73+3581.7+8737.54</f>
        <v>40965.130000000005</v>
      </c>
      <c r="L105" s="77">
        <f>3319.85+1198.9+864.45+7235.32+1947.89+5377.75+8701.73</f>
        <v>28645.89</v>
      </c>
      <c r="M105" s="78">
        <f>K105-L105</f>
        <v>12319.240000000005</v>
      </c>
      <c r="N105" s="100">
        <f>4+9+4+4+1+3+1+3+1+1+1+1</f>
        <v>33</v>
      </c>
      <c r="O105" s="81">
        <f>29696.65+38129.03+13567.9+20687.05+2022.79+8145.77+17250.05+1233.28+5568.04</f>
        <v>136300.56</v>
      </c>
      <c r="P105" s="81">
        <f>29696.65+38129.03+13567.9+20687.05+2022.79+8145.77+17250.05+1233.28</f>
        <v>130732.51999999999</v>
      </c>
      <c r="Q105" s="232">
        <f t="shared" si="3"/>
        <v>5568.0400000000081</v>
      </c>
      <c r="R105" s="141"/>
    </row>
    <row r="106" spans="1:18" s="13" customFormat="1" ht="15" customHeight="1" x14ac:dyDescent="0.25">
      <c r="A106" s="229"/>
      <c r="B106" s="30" t="s">
        <v>67</v>
      </c>
      <c r="C106" s="181" t="s">
        <v>17</v>
      </c>
      <c r="D106" s="182"/>
      <c r="E106" s="194" t="s">
        <v>21</v>
      </c>
      <c r="F106" s="73" t="s">
        <v>440</v>
      </c>
      <c r="G106" s="230" t="s">
        <v>118</v>
      </c>
      <c r="H106" s="181">
        <v>11</v>
      </c>
      <c r="I106" s="231">
        <v>2</v>
      </c>
      <c r="J106" s="96">
        <v>2</v>
      </c>
      <c r="K106" s="77">
        <v>5282.54</v>
      </c>
      <c r="L106" s="77">
        <v>5282.54</v>
      </c>
      <c r="M106" s="78">
        <f t="shared" si="4"/>
        <v>0</v>
      </c>
      <c r="N106" s="100">
        <v>15</v>
      </c>
      <c r="O106" s="224">
        <v>49443.59</v>
      </c>
      <c r="P106" s="224">
        <v>49443.59</v>
      </c>
      <c r="Q106" s="79">
        <f t="shared" si="3"/>
        <v>0</v>
      </c>
    </row>
    <row r="107" spans="1:18" s="13" customFormat="1" ht="15" customHeight="1" x14ac:dyDescent="0.25">
      <c r="A107" s="229"/>
      <c r="B107" s="30" t="s">
        <v>68</v>
      </c>
      <c r="C107" s="181" t="s">
        <v>17</v>
      </c>
      <c r="D107" s="182"/>
      <c r="E107" s="194" t="s">
        <v>32</v>
      </c>
      <c r="F107" s="73" t="s">
        <v>371</v>
      </c>
      <c r="G107" s="74" t="s">
        <v>112</v>
      </c>
      <c r="H107" s="75">
        <v>17</v>
      </c>
      <c r="I107" s="76">
        <v>14</v>
      </c>
      <c r="J107" s="96">
        <f>2+1+2+5+5</f>
        <v>15</v>
      </c>
      <c r="K107" s="77">
        <f>1128.59+422.62+1152.6+4557.81+10981.59+5362.88+4996.85</f>
        <v>28602.940000000002</v>
      </c>
      <c r="L107" s="77">
        <f>1128.59+422.62+1152.6+4557.81+10981.59</f>
        <v>18243.21</v>
      </c>
      <c r="M107" s="78">
        <f>K107-L107</f>
        <v>10359.730000000003</v>
      </c>
      <c r="N107" s="100">
        <f>6+5+1+4+2+2</f>
        <v>20</v>
      </c>
      <c r="O107" s="81">
        <f>7813.73+8523.5+1452.28+12582.19+18077.76+4987.46</f>
        <v>53436.919999999991</v>
      </c>
      <c r="P107" s="81">
        <f>7813.73+8523.5+1452.28+12582.19+18077.76</f>
        <v>48449.459999999992</v>
      </c>
      <c r="Q107" s="232">
        <f t="shared" si="3"/>
        <v>4987.4599999999991</v>
      </c>
      <c r="R107" s="141"/>
    </row>
    <row r="108" spans="1:18" s="13" customFormat="1" ht="15" customHeight="1" x14ac:dyDescent="0.25">
      <c r="A108" s="229"/>
      <c r="B108" s="30" t="s">
        <v>68</v>
      </c>
      <c r="C108" s="181" t="s">
        <v>17</v>
      </c>
      <c r="D108" s="182"/>
      <c r="E108" s="194" t="s">
        <v>32</v>
      </c>
      <c r="F108" s="73" t="s">
        <v>430</v>
      </c>
      <c r="G108" s="235" t="s">
        <v>117</v>
      </c>
      <c r="H108" s="181">
        <v>2</v>
      </c>
      <c r="I108" s="231"/>
      <c r="J108" s="96"/>
      <c r="K108" s="77"/>
      <c r="L108" s="77"/>
      <c r="M108" s="78">
        <f t="shared" si="4"/>
        <v>0</v>
      </c>
      <c r="N108" s="100"/>
      <c r="O108" s="77"/>
      <c r="P108" s="77"/>
      <c r="Q108" s="79">
        <f t="shared" si="3"/>
        <v>0</v>
      </c>
    </row>
    <row r="109" spans="1:18" s="15" customFormat="1" ht="15" customHeight="1" x14ac:dyDescent="0.25">
      <c r="A109" s="229"/>
      <c r="B109" s="27" t="s">
        <v>69</v>
      </c>
      <c r="C109" s="181" t="s">
        <v>17</v>
      </c>
      <c r="D109" s="182"/>
      <c r="E109" s="183" t="s">
        <v>20</v>
      </c>
      <c r="F109" s="73" t="s">
        <v>372</v>
      </c>
      <c r="G109" s="74" t="s">
        <v>112</v>
      </c>
      <c r="H109" s="75">
        <v>6</v>
      </c>
      <c r="I109" s="76">
        <v>3</v>
      </c>
      <c r="J109" s="96">
        <f>1+1+1+1</f>
        <v>4</v>
      </c>
      <c r="K109" s="77">
        <f>422.62+17390.69+3114.71+475.45</f>
        <v>21403.469999999998</v>
      </c>
      <c r="L109" s="77">
        <f>422.62+17390.69+3114.71+475.45</f>
        <v>21403.469999999998</v>
      </c>
      <c r="M109" s="78">
        <f t="shared" si="4"/>
        <v>0</v>
      </c>
      <c r="N109" s="100">
        <f>3+2+1+1+1</f>
        <v>8</v>
      </c>
      <c r="O109" s="77">
        <f>7210.31+3647.96+1306.28+1267.86+2697.06</f>
        <v>16129.470000000001</v>
      </c>
      <c r="P109" s="77">
        <f>7210.31+3647.96+1306.28+1267.86+2697.06</f>
        <v>16129.470000000001</v>
      </c>
      <c r="Q109" s="232">
        <f t="shared" si="3"/>
        <v>0</v>
      </c>
      <c r="R109" s="141"/>
    </row>
    <row r="110" spans="1:18" s="15" customFormat="1" ht="15" customHeight="1" x14ac:dyDescent="0.25">
      <c r="A110" s="229"/>
      <c r="B110" s="236" t="s">
        <v>502</v>
      </c>
      <c r="C110" s="181"/>
      <c r="D110" s="182"/>
      <c r="E110" s="183"/>
      <c r="F110" s="73" t="s">
        <v>508</v>
      </c>
      <c r="G110" s="74" t="s">
        <v>112</v>
      </c>
      <c r="H110" s="75">
        <v>8</v>
      </c>
      <c r="I110" s="76">
        <v>4</v>
      </c>
      <c r="J110" s="96">
        <f>4</f>
        <v>4</v>
      </c>
      <c r="K110" s="77">
        <f>6145.3</f>
        <v>6145.3</v>
      </c>
      <c r="L110" s="77"/>
      <c r="M110" s="78">
        <f t="shared" si="4"/>
        <v>6145.3</v>
      </c>
      <c r="N110" s="100"/>
      <c r="O110" s="77"/>
      <c r="P110" s="77"/>
      <c r="Q110" s="232">
        <f t="shared" si="3"/>
        <v>0</v>
      </c>
      <c r="R110" s="141"/>
    </row>
    <row r="111" spans="1:18" s="15" customFormat="1" ht="15" customHeight="1" x14ac:dyDescent="0.25">
      <c r="A111" s="229"/>
      <c r="B111" s="236" t="s">
        <v>502</v>
      </c>
      <c r="C111" s="181"/>
      <c r="D111" s="182"/>
      <c r="E111" s="183"/>
      <c r="F111" s="73" t="s">
        <v>511</v>
      </c>
      <c r="G111" s="235" t="s">
        <v>117</v>
      </c>
      <c r="H111" s="75">
        <v>3</v>
      </c>
      <c r="I111" s="76"/>
      <c r="J111" s="96"/>
      <c r="K111" s="77"/>
      <c r="L111" s="77"/>
      <c r="M111" s="78">
        <f t="shared" si="4"/>
        <v>0</v>
      </c>
      <c r="N111" s="100"/>
      <c r="O111" s="77"/>
      <c r="P111" s="77"/>
      <c r="Q111" s="232">
        <f t="shared" si="3"/>
        <v>0</v>
      </c>
      <c r="R111" s="141"/>
    </row>
    <row r="112" spans="1:18" s="13" customFormat="1" ht="15" customHeight="1" x14ac:dyDescent="0.25">
      <c r="A112" s="229"/>
      <c r="B112" s="62" t="s">
        <v>70</v>
      </c>
      <c r="C112" s="181" t="s">
        <v>17</v>
      </c>
      <c r="D112" s="182"/>
      <c r="E112" s="183" t="s">
        <v>20</v>
      </c>
      <c r="F112" s="73" t="s">
        <v>373</v>
      </c>
      <c r="G112" s="74" t="s">
        <v>112</v>
      </c>
      <c r="H112" s="75">
        <v>10</v>
      </c>
      <c r="I112" s="76">
        <v>8</v>
      </c>
      <c r="J112" s="96">
        <f>2+2+2+3</f>
        <v>9</v>
      </c>
      <c r="K112" s="77">
        <f>19498+3011.17+8156.45</f>
        <v>30665.62</v>
      </c>
      <c r="L112" s="77">
        <f>19498+3011.17</f>
        <v>22509.17</v>
      </c>
      <c r="M112" s="78">
        <f>K112-L112</f>
        <v>8156.4500000000007</v>
      </c>
      <c r="N112" s="100">
        <f>2+3+4+2</f>
        <v>11</v>
      </c>
      <c r="O112" s="81">
        <f>7606.2+16795.84</f>
        <v>24402.04</v>
      </c>
      <c r="P112" s="81">
        <f>7606.2+16795.84</f>
        <v>24402.04</v>
      </c>
      <c r="Q112" s="79">
        <f t="shared" si="3"/>
        <v>0</v>
      </c>
      <c r="R112" s="141"/>
    </row>
    <row r="113" spans="1:19" s="13" customFormat="1" ht="15" customHeight="1" x14ac:dyDescent="0.25">
      <c r="A113" s="229"/>
      <c r="B113" s="62" t="s">
        <v>70</v>
      </c>
      <c r="C113" s="181" t="s">
        <v>17</v>
      </c>
      <c r="D113" s="182"/>
      <c r="E113" s="183" t="s">
        <v>20</v>
      </c>
      <c r="F113" s="73" t="s">
        <v>460</v>
      </c>
      <c r="G113" s="230" t="s">
        <v>114</v>
      </c>
      <c r="H113" s="181">
        <v>30</v>
      </c>
      <c r="I113" s="231">
        <v>11</v>
      </c>
      <c r="J113" s="190">
        <v>11</v>
      </c>
      <c r="K113" s="77">
        <v>14541.97</v>
      </c>
      <c r="L113" s="77">
        <v>14541.97</v>
      </c>
      <c r="M113" s="187">
        <f t="shared" ref="M113" si="6">K113-L113</f>
        <v>0</v>
      </c>
      <c r="N113" s="100">
        <v>31</v>
      </c>
      <c r="O113" s="224">
        <v>67328.240000000005</v>
      </c>
      <c r="P113" s="224">
        <v>67328.240000000005</v>
      </c>
      <c r="Q113" s="232">
        <f t="shared" si="3"/>
        <v>0</v>
      </c>
    </row>
    <row r="114" spans="1:19" s="15" customFormat="1" ht="15" customHeight="1" x14ac:dyDescent="0.25">
      <c r="A114" s="229"/>
      <c r="B114" s="62" t="s">
        <v>71</v>
      </c>
      <c r="C114" s="181" t="s">
        <v>17</v>
      </c>
      <c r="D114" s="182"/>
      <c r="E114" s="183" t="s">
        <v>32</v>
      </c>
      <c r="F114" s="73" t="s">
        <v>374</v>
      </c>
      <c r="G114" s="74" t="s">
        <v>112</v>
      </c>
      <c r="H114" s="75">
        <v>16</v>
      </c>
      <c r="I114" s="76">
        <v>10</v>
      </c>
      <c r="J114" s="96">
        <f>3+1+2+1+1+3</f>
        <v>11</v>
      </c>
      <c r="K114" s="77">
        <f>1536.8+461.04+1748.88+633.93+3169.65+2435.83</f>
        <v>9986.130000000001</v>
      </c>
      <c r="L114" s="77">
        <f>1536.8+461.04+1748.88+633.93+3169.65</f>
        <v>7550.3000000000011</v>
      </c>
      <c r="M114" s="78">
        <f>K114-L114</f>
        <v>2435.83</v>
      </c>
      <c r="N114" s="100">
        <f>3+2+1+1+2+1</f>
        <v>10</v>
      </c>
      <c r="O114" s="81">
        <f>9567.93+3616.67+403.41+14275.52+10922.18+12907.41</f>
        <v>51693.119999999995</v>
      </c>
      <c r="P114" s="81">
        <f>9567.93+3616.67+403.41+14275.52+10922.18</f>
        <v>38785.71</v>
      </c>
      <c r="Q114" s="79">
        <f t="shared" si="3"/>
        <v>12907.409999999996</v>
      </c>
      <c r="R114" s="141"/>
      <c r="S114" s="36"/>
    </row>
    <row r="115" spans="1:19" s="15" customFormat="1" ht="15" customHeight="1" x14ac:dyDescent="0.25">
      <c r="A115" s="229"/>
      <c r="B115" s="62" t="s">
        <v>71</v>
      </c>
      <c r="C115" s="181" t="s">
        <v>17</v>
      </c>
      <c r="D115" s="182"/>
      <c r="E115" s="183" t="s">
        <v>32</v>
      </c>
      <c r="F115" s="73" t="s">
        <v>431</v>
      </c>
      <c r="G115" s="230" t="s">
        <v>115</v>
      </c>
      <c r="H115" s="181">
        <v>6</v>
      </c>
      <c r="I115" s="231">
        <v>4</v>
      </c>
      <c r="J115" s="96">
        <v>4</v>
      </c>
      <c r="K115" s="237">
        <v>6627.45</v>
      </c>
      <c r="L115" s="237">
        <v>6627.45</v>
      </c>
      <c r="M115" s="187">
        <f t="shared" si="4"/>
        <v>0</v>
      </c>
      <c r="N115" s="114">
        <f>5</f>
        <v>5</v>
      </c>
      <c r="O115" s="77">
        <v>6595.5</v>
      </c>
      <c r="P115" s="77">
        <v>6595.5</v>
      </c>
      <c r="Q115" s="232">
        <f t="shared" si="3"/>
        <v>0</v>
      </c>
    </row>
    <row r="116" spans="1:19" s="13" customFormat="1" ht="15" customHeight="1" x14ac:dyDescent="0.25">
      <c r="A116" s="229"/>
      <c r="B116" s="62" t="s">
        <v>319</v>
      </c>
      <c r="C116" s="181" t="s">
        <v>17</v>
      </c>
      <c r="D116" s="182"/>
      <c r="E116" s="183" t="s">
        <v>20</v>
      </c>
      <c r="F116" s="73" t="s">
        <v>375</v>
      </c>
      <c r="G116" s="74" t="s">
        <v>112</v>
      </c>
      <c r="H116" s="75">
        <v>27</v>
      </c>
      <c r="I116" s="76">
        <v>21</v>
      </c>
      <c r="J116" s="96">
        <f>2+1+4+3+6+2+7</f>
        <v>25</v>
      </c>
      <c r="K116" s="77">
        <f>710.77+1523.35+6753.23+7215.52+1437.48+28056.52</f>
        <v>45696.869999999995</v>
      </c>
      <c r="L116" s="77">
        <f>710.77+1523.35+6753.23+7215.52+1437.48</f>
        <v>17640.349999999999</v>
      </c>
      <c r="M116" s="78">
        <f t="shared" si="4"/>
        <v>28056.519999999997</v>
      </c>
      <c r="N116" s="100">
        <f>3+1+2+1+2</f>
        <v>9</v>
      </c>
      <c r="O116" s="77">
        <f>13419.94+726.71+2846.77+3770.56+4653.31</f>
        <v>25417.290000000005</v>
      </c>
      <c r="P116" s="77">
        <f>13419.94+726.71+2846.77+3770.56</f>
        <v>20763.980000000003</v>
      </c>
      <c r="Q116" s="79">
        <f>O116-P116</f>
        <v>4653.3100000000013</v>
      </c>
      <c r="R116" s="141"/>
    </row>
    <row r="117" spans="1:19" s="15" customFormat="1" ht="15" customHeight="1" x14ac:dyDescent="0.25">
      <c r="A117" s="229"/>
      <c r="B117" s="62" t="s">
        <v>150</v>
      </c>
      <c r="C117" s="181" t="s">
        <v>17</v>
      </c>
      <c r="D117" s="182"/>
      <c r="E117" s="183" t="s">
        <v>35</v>
      </c>
      <c r="F117" s="73" t="s">
        <v>376</v>
      </c>
      <c r="G117" s="74" t="s">
        <v>112</v>
      </c>
      <c r="H117" s="75">
        <v>21</v>
      </c>
      <c r="I117" s="76">
        <v>7</v>
      </c>
      <c r="J117" s="96">
        <f>1+1+2+2+1</f>
        <v>7</v>
      </c>
      <c r="K117" s="77">
        <f>1343.65+384.2+1690.4+4889.84</f>
        <v>8308.09</v>
      </c>
      <c r="L117" s="77">
        <f>1343.65+384.2+1690.4+4889.84</f>
        <v>8308.09</v>
      </c>
      <c r="M117" s="78">
        <f t="shared" si="4"/>
        <v>0</v>
      </c>
      <c r="N117" s="114">
        <f>8+1+1+2+3+1+1+1</f>
        <v>18</v>
      </c>
      <c r="O117" s="77">
        <f>5997.32+3719.39+3054.34+13138.17+6578.46+6198.68</f>
        <v>38686.36</v>
      </c>
      <c r="P117" s="77">
        <f>5997.32+3719.39+3054.34+13138.17+6578.46+6198.68</f>
        <v>38686.36</v>
      </c>
      <c r="Q117" s="79">
        <f t="shared" si="3"/>
        <v>0</v>
      </c>
      <c r="R117" s="141"/>
    </row>
    <row r="118" spans="1:19" s="15" customFormat="1" ht="15" customHeight="1" x14ac:dyDescent="0.25">
      <c r="A118" s="229"/>
      <c r="B118" s="233" t="s">
        <v>150</v>
      </c>
      <c r="C118" s="181" t="s">
        <v>17</v>
      </c>
      <c r="D118" s="182"/>
      <c r="E118" s="183" t="s">
        <v>32</v>
      </c>
      <c r="F118" s="73" t="s">
        <v>487</v>
      </c>
      <c r="G118" s="230" t="s">
        <v>117</v>
      </c>
      <c r="H118" s="181">
        <v>2</v>
      </c>
      <c r="I118" s="231">
        <v>2</v>
      </c>
      <c r="J118" s="96">
        <v>2</v>
      </c>
      <c r="K118" s="77"/>
      <c r="L118" s="193"/>
      <c r="M118" s="187">
        <f t="shared" si="4"/>
        <v>0</v>
      </c>
      <c r="N118" s="100">
        <v>2</v>
      </c>
      <c r="O118" s="77">
        <v>8240.2000000000007</v>
      </c>
      <c r="P118" s="77">
        <v>8240.2000000000007</v>
      </c>
      <c r="Q118" s="232">
        <f t="shared" si="3"/>
        <v>0</v>
      </c>
    </row>
    <row r="119" spans="1:19" s="13" customFormat="1" ht="15" customHeight="1" x14ac:dyDescent="0.25">
      <c r="A119" s="229"/>
      <c r="B119" s="30" t="s">
        <v>72</v>
      </c>
      <c r="C119" s="181" t="s">
        <v>17</v>
      </c>
      <c r="D119" s="182"/>
      <c r="E119" s="183" t="s">
        <v>21</v>
      </c>
      <c r="F119" s="73" t="s">
        <v>377</v>
      </c>
      <c r="G119" s="74" t="s">
        <v>112</v>
      </c>
      <c r="H119" s="75">
        <v>17</v>
      </c>
      <c r="I119" s="76">
        <v>9</v>
      </c>
      <c r="J119" s="96">
        <f>1+1+1+1+6+2</f>
        <v>12</v>
      </c>
      <c r="K119" s="77">
        <f>633.93+1415.78+1610.18+1394.65+18140.86+2440.63</f>
        <v>25636.030000000002</v>
      </c>
      <c r="L119" s="77">
        <f>633.93+1415.78+1610.18+1394.65+18140.86</f>
        <v>23195.4</v>
      </c>
      <c r="M119" s="78">
        <f>K119-L119</f>
        <v>2440.630000000001</v>
      </c>
      <c r="N119" s="100">
        <f>1+3+1+1+1+3+1+3</f>
        <v>14</v>
      </c>
      <c r="O119" s="81">
        <f>1950.74+10237.13+6595.95+3861.21+1348.53+10328.94+50451.86-19567+15859.78</f>
        <v>81067.14</v>
      </c>
      <c r="P119" s="81">
        <f>1950.74+10237.13+6595.95+3861.21+1348.53+10328.94+50451.86-19567+15859.78</f>
        <v>81067.14</v>
      </c>
      <c r="Q119" s="79">
        <f t="shared" si="3"/>
        <v>0</v>
      </c>
      <c r="R119" s="141"/>
    </row>
    <row r="120" spans="1:19" s="13" customFormat="1" ht="15" customHeight="1" x14ac:dyDescent="0.25">
      <c r="A120" s="229"/>
      <c r="B120" s="30" t="s">
        <v>72</v>
      </c>
      <c r="C120" s="181" t="s">
        <v>17</v>
      </c>
      <c r="D120" s="182"/>
      <c r="E120" s="183" t="s">
        <v>21</v>
      </c>
      <c r="F120" s="73" t="s">
        <v>441</v>
      </c>
      <c r="G120" s="230" t="s">
        <v>118</v>
      </c>
      <c r="H120" s="181">
        <v>6</v>
      </c>
      <c r="I120" s="231">
        <v>1</v>
      </c>
      <c r="J120" s="96">
        <v>1</v>
      </c>
      <c r="K120" s="77">
        <v>1728.9</v>
      </c>
      <c r="L120" s="77">
        <v>1728.9</v>
      </c>
      <c r="M120" s="187">
        <f t="shared" si="4"/>
        <v>0</v>
      </c>
      <c r="N120" s="100">
        <v>13</v>
      </c>
      <c r="O120" s="224">
        <v>45577.03</v>
      </c>
      <c r="P120" s="224">
        <v>45577.03</v>
      </c>
      <c r="Q120" s="232">
        <f t="shared" si="3"/>
        <v>0</v>
      </c>
    </row>
    <row r="121" spans="1:19" s="15" customFormat="1" ht="15" customHeight="1" x14ac:dyDescent="0.25">
      <c r="A121" s="229"/>
      <c r="B121" s="30" t="s">
        <v>73</v>
      </c>
      <c r="C121" s="181" t="s">
        <v>17</v>
      </c>
      <c r="D121" s="182"/>
      <c r="E121" s="183" t="s">
        <v>74</v>
      </c>
      <c r="F121" s="73" t="s">
        <v>378</v>
      </c>
      <c r="G121" s="74" t="s">
        <v>112</v>
      </c>
      <c r="H121" s="75">
        <v>27</v>
      </c>
      <c r="I121" s="76">
        <v>23</v>
      </c>
      <c r="J121" s="96">
        <f>9+8+2+2+10+1</f>
        <v>32</v>
      </c>
      <c r="K121" s="77">
        <f>6305.33+12574.83+14899.84+13657.06</f>
        <v>47437.06</v>
      </c>
      <c r="L121" s="77">
        <f>6305.33+12574.83+14899.84</f>
        <v>33780</v>
      </c>
      <c r="M121" s="78">
        <f>K121-L121</f>
        <v>13657.059999999998</v>
      </c>
      <c r="N121" s="100">
        <f>5+3+3+1+1</f>
        <v>13</v>
      </c>
      <c r="O121" s="81">
        <f>5416.39+9506.99+12269.39+7610.68+1928.68</f>
        <v>36732.129999999997</v>
      </c>
      <c r="P121" s="81">
        <f>5416.39+9506.99+12269.39+7610.68+1928.68</f>
        <v>36732.129999999997</v>
      </c>
      <c r="Q121" s="79">
        <f t="shared" si="3"/>
        <v>0</v>
      </c>
      <c r="R121" s="141"/>
    </row>
    <row r="122" spans="1:19" s="15" customFormat="1" ht="15" customHeight="1" x14ac:dyDescent="0.25">
      <c r="A122" s="229"/>
      <c r="B122" s="30" t="s">
        <v>73</v>
      </c>
      <c r="C122" s="181" t="s">
        <v>17</v>
      </c>
      <c r="D122" s="182"/>
      <c r="E122" s="183" t="s">
        <v>74</v>
      </c>
      <c r="F122" s="73" t="s">
        <v>282</v>
      </c>
      <c r="G122" s="230" t="s">
        <v>114</v>
      </c>
      <c r="H122" s="181"/>
      <c r="I122" s="231"/>
      <c r="J122" s="190"/>
      <c r="K122" s="77"/>
      <c r="L122" s="77"/>
      <c r="M122" s="187">
        <f t="shared" ref="M122" si="7">K122-L122</f>
        <v>0</v>
      </c>
      <c r="N122" s="100">
        <v>1</v>
      </c>
      <c r="O122" s="224">
        <v>1728.9</v>
      </c>
      <c r="P122" s="224">
        <v>1728.9</v>
      </c>
      <c r="Q122" s="232">
        <f t="shared" si="3"/>
        <v>0</v>
      </c>
    </row>
    <row r="123" spans="1:19" s="13" customFormat="1" ht="15" customHeight="1" x14ac:dyDescent="0.25">
      <c r="A123" s="229"/>
      <c r="B123" s="30" t="s">
        <v>135</v>
      </c>
      <c r="C123" s="181" t="s">
        <v>17</v>
      </c>
      <c r="D123" s="182"/>
      <c r="E123" s="194" t="s">
        <v>35</v>
      </c>
      <c r="F123" s="73" t="s">
        <v>379</v>
      </c>
      <c r="G123" s="74" t="s">
        <v>112</v>
      </c>
      <c r="H123" s="75">
        <v>27</v>
      </c>
      <c r="I123" s="76">
        <v>17</v>
      </c>
      <c r="J123" s="96">
        <f>1+6+5+3+3</f>
        <v>18</v>
      </c>
      <c r="K123" s="77">
        <f>697.32+4374.12+5747.44+4426.94+15712.05</f>
        <v>30957.87</v>
      </c>
      <c r="L123" s="77">
        <f>697.32+4374.12+5747.44+1891.22</f>
        <v>12710.099999999999</v>
      </c>
      <c r="M123" s="78">
        <f>K123-L123</f>
        <v>18247.77</v>
      </c>
      <c r="N123" s="100">
        <f>2+5+1+2+2+2</f>
        <v>14</v>
      </c>
      <c r="O123" s="81">
        <f>6432.89+2283.68+4932.13</f>
        <v>13648.7</v>
      </c>
      <c r="P123" s="81">
        <f>6432.89+2283.68+4932.13</f>
        <v>13648.7</v>
      </c>
      <c r="Q123" s="232">
        <f t="shared" si="3"/>
        <v>0</v>
      </c>
      <c r="R123" s="141"/>
    </row>
    <row r="124" spans="1:19" s="13" customFormat="1" ht="15" customHeight="1" x14ac:dyDescent="0.25">
      <c r="A124" s="229"/>
      <c r="B124" s="30" t="s">
        <v>135</v>
      </c>
      <c r="C124" s="181" t="s">
        <v>17</v>
      </c>
      <c r="D124" s="182"/>
      <c r="E124" s="194" t="s">
        <v>35</v>
      </c>
      <c r="F124" s="73" t="s">
        <v>432</v>
      </c>
      <c r="G124" s="230" t="s">
        <v>115</v>
      </c>
      <c r="H124" s="181"/>
      <c r="I124" s="231"/>
      <c r="J124" s="96"/>
      <c r="K124" s="77"/>
      <c r="L124" s="77"/>
      <c r="M124" s="78">
        <f t="shared" si="4"/>
        <v>0</v>
      </c>
      <c r="N124" s="100">
        <v>1</v>
      </c>
      <c r="O124" s="224">
        <v>2689.4</v>
      </c>
      <c r="P124" s="224">
        <v>2689.4</v>
      </c>
      <c r="Q124" s="79">
        <f t="shared" si="3"/>
        <v>0</v>
      </c>
    </row>
    <row r="125" spans="1:19" s="13" customFormat="1" ht="15" customHeight="1" x14ac:dyDescent="0.25">
      <c r="A125" s="229"/>
      <c r="B125" s="30" t="s">
        <v>145</v>
      </c>
      <c r="C125" s="181" t="s">
        <v>17</v>
      </c>
      <c r="D125" s="182"/>
      <c r="E125" s="194" t="s">
        <v>20</v>
      </c>
      <c r="F125" s="73" t="s">
        <v>380</v>
      </c>
      <c r="G125" s="74" t="s">
        <v>112</v>
      </c>
      <c r="H125" s="75">
        <v>13</v>
      </c>
      <c r="I125" s="82">
        <v>11</v>
      </c>
      <c r="J125" s="96">
        <f>2+1+1+2+2+5</f>
        <v>13</v>
      </c>
      <c r="K125" s="77">
        <f>5169.72+1100+538.84+4293.82+3949.22+3361.76</f>
        <v>18413.36</v>
      </c>
      <c r="L125" s="77">
        <f>5169.72+1100+538.84+4293.82+3949.22+3361.76</f>
        <v>18413.36</v>
      </c>
      <c r="M125" s="78">
        <f>K125-L125</f>
        <v>0</v>
      </c>
      <c r="N125" s="100">
        <f>1+1+2+1</f>
        <v>5</v>
      </c>
      <c r="O125" s="81">
        <f>5120.23+3915.15+1114.12</f>
        <v>10149.5</v>
      </c>
      <c r="P125" s="81">
        <f>5120.23+3915.15+1114.12</f>
        <v>10149.5</v>
      </c>
      <c r="Q125" s="232">
        <f t="shared" si="3"/>
        <v>0</v>
      </c>
      <c r="R125" s="141"/>
    </row>
    <row r="126" spans="1:19" s="13" customFormat="1" ht="15" customHeight="1" x14ac:dyDescent="0.25">
      <c r="A126" s="229"/>
      <c r="B126" s="30" t="s">
        <v>145</v>
      </c>
      <c r="C126" s="181" t="s">
        <v>17</v>
      </c>
      <c r="D126" s="182"/>
      <c r="E126" s="194" t="s">
        <v>20</v>
      </c>
      <c r="F126" s="73" t="s">
        <v>461</v>
      </c>
      <c r="G126" s="230" t="s">
        <v>114</v>
      </c>
      <c r="H126" s="181">
        <v>4</v>
      </c>
      <c r="I126" s="231">
        <v>1</v>
      </c>
      <c r="J126" s="190">
        <v>1</v>
      </c>
      <c r="K126" s="77">
        <v>1921</v>
      </c>
      <c r="L126" s="77"/>
      <c r="M126" s="187">
        <f t="shared" ref="M126" si="8">K126-L126</f>
        <v>1921</v>
      </c>
      <c r="N126" s="100">
        <v>10</v>
      </c>
      <c r="O126" s="224">
        <v>21300.400000000001</v>
      </c>
      <c r="P126" s="224">
        <v>19379.400000000001</v>
      </c>
      <c r="Q126" s="232">
        <f t="shared" si="3"/>
        <v>1921</v>
      </c>
    </row>
    <row r="127" spans="1:19" s="13" customFormat="1" ht="15" customHeight="1" x14ac:dyDescent="0.25">
      <c r="A127" s="229"/>
      <c r="B127" s="62" t="s">
        <v>76</v>
      </c>
      <c r="C127" s="181" t="s">
        <v>17</v>
      </c>
      <c r="D127" s="182"/>
      <c r="E127" s="183" t="s">
        <v>20</v>
      </c>
      <c r="F127" s="73" t="s">
        <v>381</v>
      </c>
      <c r="G127" s="74" t="s">
        <v>112</v>
      </c>
      <c r="H127" s="75">
        <v>21</v>
      </c>
      <c r="I127" s="76">
        <v>15</v>
      </c>
      <c r="J127" s="96">
        <f>1+6+3+1+3+1+2+2</f>
        <v>19</v>
      </c>
      <c r="K127" s="77">
        <f>6556.06+2806.39+2697.06+1267.86+11775.51+1557.35+2113.1</f>
        <v>28773.329999999998</v>
      </c>
      <c r="L127" s="77">
        <f>6556.06+2806.39+2697.06+1267.86+11775.51+1557.35+2113.1</f>
        <v>28773.329999999998</v>
      </c>
      <c r="M127" s="78">
        <f>K127-L127</f>
        <v>0</v>
      </c>
      <c r="N127" s="100">
        <f>5+6+2+1+1+1</f>
        <v>16</v>
      </c>
      <c r="O127" s="81">
        <f>11527.9+19846.52+1011.91+9641+2451.87+10072.83+11307.66+2243.83</f>
        <v>68103.520000000004</v>
      </c>
      <c r="P127" s="81">
        <f>11527.9+19846.52+1011.91+9641+2451.87+10072.83+11307.66+2243.83</f>
        <v>68103.520000000004</v>
      </c>
      <c r="Q127" s="232">
        <f t="shared" si="3"/>
        <v>0</v>
      </c>
      <c r="R127" s="141"/>
    </row>
    <row r="128" spans="1:19" s="13" customFormat="1" ht="15" customHeight="1" x14ac:dyDescent="0.25">
      <c r="A128" s="229"/>
      <c r="B128" s="62" t="s">
        <v>76</v>
      </c>
      <c r="C128" s="181" t="s">
        <v>17</v>
      </c>
      <c r="D128" s="182"/>
      <c r="E128" s="183" t="s">
        <v>20</v>
      </c>
      <c r="F128" s="73" t="s">
        <v>462</v>
      </c>
      <c r="G128" s="230" t="s">
        <v>114</v>
      </c>
      <c r="H128" s="181">
        <v>10</v>
      </c>
      <c r="I128" s="231">
        <v>1</v>
      </c>
      <c r="J128" s="190">
        <v>1</v>
      </c>
      <c r="K128" s="77">
        <v>2113.1</v>
      </c>
      <c r="L128" s="77">
        <v>2113.1</v>
      </c>
      <c r="M128" s="187">
        <f t="shared" ref="M128" si="9">K128-L128</f>
        <v>0</v>
      </c>
      <c r="N128" s="100">
        <v>8</v>
      </c>
      <c r="O128" s="224">
        <v>27398.29</v>
      </c>
      <c r="P128" s="224">
        <v>27398.29</v>
      </c>
      <c r="Q128" s="232">
        <f t="shared" si="3"/>
        <v>0</v>
      </c>
    </row>
    <row r="129" spans="1:18" s="13" customFormat="1" ht="15" customHeight="1" x14ac:dyDescent="0.25">
      <c r="A129" s="229"/>
      <c r="B129" s="30" t="s">
        <v>77</v>
      </c>
      <c r="C129" s="181" t="s">
        <v>17</v>
      </c>
      <c r="D129" s="182"/>
      <c r="E129" s="183" t="s">
        <v>32</v>
      </c>
      <c r="F129" s="73" t="s">
        <v>388</v>
      </c>
      <c r="G129" s="74" t="s">
        <v>112</v>
      </c>
      <c r="H129" s="75">
        <v>13</v>
      </c>
      <c r="I129" s="76">
        <v>8</v>
      </c>
      <c r="J129" s="96">
        <f>2+2+2+6+1</f>
        <v>13</v>
      </c>
      <c r="K129" s="77">
        <f>2440.63+1507.02+2101.48+13625.7</f>
        <v>19674.830000000002</v>
      </c>
      <c r="L129" s="77">
        <f>2440.63+1507.02+2101.48+13625.7</f>
        <v>19674.830000000002</v>
      </c>
      <c r="M129" s="78">
        <f>K129-L129</f>
        <v>0</v>
      </c>
      <c r="N129" s="100">
        <f>5+2+3+3+1+1</f>
        <v>15</v>
      </c>
      <c r="O129" s="81">
        <f>11716.73+6848.82+4046.18+11166.34+8845.95</f>
        <v>42624.020000000004</v>
      </c>
      <c r="P129" s="81">
        <f>11716.73+6848.82+4046.18+11166.34+8845.95</f>
        <v>42624.020000000004</v>
      </c>
      <c r="Q129" s="232">
        <f t="shared" si="3"/>
        <v>0</v>
      </c>
      <c r="R129" s="141"/>
    </row>
    <row r="130" spans="1:18" s="13" customFormat="1" ht="15" customHeight="1" x14ac:dyDescent="0.25">
      <c r="A130" s="229"/>
      <c r="B130" s="30" t="s">
        <v>77</v>
      </c>
      <c r="C130" s="181" t="s">
        <v>17</v>
      </c>
      <c r="D130" s="182"/>
      <c r="E130" s="183" t="s">
        <v>32</v>
      </c>
      <c r="F130" s="73" t="s">
        <v>433</v>
      </c>
      <c r="G130" s="230" t="s">
        <v>117</v>
      </c>
      <c r="H130" s="181">
        <v>1</v>
      </c>
      <c r="I130" s="231">
        <v>1</v>
      </c>
      <c r="J130" s="96">
        <v>1</v>
      </c>
      <c r="K130" s="77">
        <v>1921</v>
      </c>
      <c r="L130" s="77">
        <v>1921</v>
      </c>
      <c r="M130" s="78">
        <f t="shared" si="4"/>
        <v>0</v>
      </c>
      <c r="N130" s="100">
        <v>6</v>
      </c>
      <c r="O130" s="224">
        <v>18164.11</v>
      </c>
      <c r="P130" s="224">
        <v>18164.11</v>
      </c>
      <c r="Q130" s="79">
        <f t="shared" si="3"/>
        <v>0</v>
      </c>
    </row>
    <row r="131" spans="1:18" s="13" customFormat="1" ht="15" customHeight="1" x14ac:dyDescent="0.25">
      <c r="A131" s="229"/>
      <c r="B131" s="30" t="s">
        <v>321</v>
      </c>
      <c r="C131" s="181" t="s">
        <v>17</v>
      </c>
      <c r="D131" s="182"/>
      <c r="E131" s="183" t="s">
        <v>21</v>
      </c>
      <c r="F131" s="73" t="s">
        <v>489</v>
      </c>
      <c r="G131" s="230" t="s">
        <v>112</v>
      </c>
      <c r="H131" s="181">
        <v>4</v>
      </c>
      <c r="I131" s="231">
        <v>1</v>
      </c>
      <c r="J131" s="96">
        <f>1</f>
        <v>1</v>
      </c>
      <c r="K131" s="77">
        <f>2547.89</f>
        <v>2547.89</v>
      </c>
      <c r="L131" s="77"/>
      <c r="M131" s="78">
        <f t="shared" si="4"/>
        <v>2547.89</v>
      </c>
      <c r="N131" s="100"/>
      <c r="O131" s="224"/>
      <c r="P131" s="224"/>
      <c r="Q131" s="79">
        <f t="shared" si="3"/>
        <v>0</v>
      </c>
      <c r="R131" s="141"/>
    </row>
    <row r="132" spans="1:18" s="13" customFormat="1" ht="15" customHeight="1" x14ac:dyDescent="0.25">
      <c r="A132" s="229"/>
      <c r="B132" s="62" t="s">
        <v>79</v>
      </c>
      <c r="C132" s="181" t="s">
        <v>304</v>
      </c>
      <c r="D132" s="182" t="s">
        <v>385</v>
      </c>
      <c r="E132" s="183" t="s">
        <v>18</v>
      </c>
      <c r="F132" s="73" t="s">
        <v>389</v>
      </c>
      <c r="G132" s="74" t="s">
        <v>112</v>
      </c>
      <c r="H132" s="75">
        <v>14</v>
      </c>
      <c r="I132" s="76">
        <v>10</v>
      </c>
      <c r="J132" s="96">
        <f>2+5+2+3</f>
        <v>12</v>
      </c>
      <c r="K132" s="77">
        <f>2091.97+3190.2+5703.08+6368.88+4029.68</f>
        <v>21383.81</v>
      </c>
      <c r="L132" s="77">
        <f>2091.97+3190.2+5703.08+6368.88+4029.68</f>
        <v>21383.81</v>
      </c>
      <c r="M132" s="78">
        <f t="shared" si="4"/>
        <v>0</v>
      </c>
      <c r="N132" s="100">
        <f>2+2+1+2+1+1</f>
        <v>9</v>
      </c>
      <c r="O132" s="81">
        <f>1547.4+4166.12+7835.61+1675.01+4717.63+6039.62+18829.39</f>
        <v>44810.78</v>
      </c>
      <c r="P132" s="81">
        <f>1547.4+4166.12+7835.61+1675.01+4717.63+6039.62+18829.39</f>
        <v>44810.78</v>
      </c>
      <c r="Q132" s="232">
        <f t="shared" si="3"/>
        <v>0</v>
      </c>
      <c r="R132" s="141"/>
    </row>
    <row r="133" spans="1:18" s="13" customFormat="1" ht="15" customHeight="1" x14ac:dyDescent="0.25">
      <c r="A133" s="229"/>
      <c r="B133" s="62" t="s">
        <v>79</v>
      </c>
      <c r="C133" s="181" t="s">
        <v>304</v>
      </c>
      <c r="D133" s="182" t="s">
        <v>475</v>
      </c>
      <c r="E133" s="183" t="s">
        <v>18</v>
      </c>
      <c r="F133" s="73" t="s">
        <v>329</v>
      </c>
      <c r="G133" s="230" t="s">
        <v>113</v>
      </c>
      <c r="H133" s="181">
        <v>39</v>
      </c>
      <c r="I133" s="234">
        <v>15</v>
      </c>
      <c r="J133" s="98">
        <v>17</v>
      </c>
      <c r="K133" s="224">
        <v>21353</v>
      </c>
      <c r="L133" s="224">
        <v>21353</v>
      </c>
      <c r="M133" s="78">
        <f t="shared" si="4"/>
        <v>0</v>
      </c>
      <c r="N133" s="100">
        <v>15</v>
      </c>
      <c r="O133" s="224">
        <v>51293</v>
      </c>
      <c r="P133" s="224">
        <v>46683</v>
      </c>
      <c r="Q133" s="79">
        <f t="shared" si="3"/>
        <v>4610</v>
      </c>
    </row>
    <row r="134" spans="1:18" s="13" customFormat="1" ht="15" customHeight="1" x14ac:dyDescent="0.25">
      <c r="A134" s="229"/>
      <c r="B134" s="62" t="s">
        <v>151</v>
      </c>
      <c r="C134" s="181" t="s">
        <v>17</v>
      </c>
      <c r="D134" s="182"/>
      <c r="E134" s="183" t="s">
        <v>32</v>
      </c>
      <c r="F134" s="73" t="s">
        <v>390</v>
      </c>
      <c r="G134" s="74" t="s">
        <v>112</v>
      </c>
      <c r="H134" s="75">
        <v>43</v>
      </c>
      <c r="I134" s="82">
        <v>27</v>
      </c>
      <c r="J134" s="96">
        <f>1+3+3+5+3+9+4+6</f>
        <v>34</v>
      </c>
      <c r="K134" s="81">
        <f>2317+4640.19+5864.19+10765+12519.53+4514.35+14486.46</f>
        <v>55106.719999999994</v>
      </c>
      <c r="L134" s="81">
        <f>2317+4640.19+5864.19+10765+12519.53</f>
        <v>36105.909999999996</v>
      </c>
      <c r="M134" s="78">
        <f>K134-L134</f>
        <v>19000.809999999998</v>
      </c>
      <c r="N134" s="100">
        <f>9+3+5+1+4+4</f>
        <v>26</v>
      </c>
      <c r="O134" s="81">
        <f>10726.94+18822.65+5703.53+12846.53+1320.36+4050.1+22728.38</f>
        <v>76198.490000000005</v>
      </c>
      <c r="P134" s="81">
        <f>10726.94+18822.65+5703.53+12846.53+1320.36+4050.1+22728.38</f>
        <v>76198.490000000005</v>
      </c>
      <c r="Q134" s="232">
        <f t="shared" si="3"/>
        <v>0</v>
      </c>
      <c r="R134" s="141"/>
    </row>
    <row r="135" spans="1:18" s="13" customFormat="1" ht="15" customHeight="1" x14ac:dyDescent="0.25">
      <c r="A135" s="229"/>
      <c r="B135" s="62" t="s">
        <v>151</v>
      </c>
      <c r="C135" s="181" t="s">
        <v>17</v>
      </c>
      <c r="D135" s="182"/>
      <c r="E135" s="183" t="s">
        <v>32</v>
      </c>
      <c r="F135" s="73" t="s">
        <v>434</v>
      </c>
      <c r="G135" s="230" t="s">
        <v>117</v>
      </c>
      <c r="H135" s="181">
        <v>11</v>
      </c>
      <c r="I135" s="231"/>
      <c r="J135" s="96"/>
      <c r="K135" s="77"/>
      <c r="L135" s="77"/>
      <c r="M135" s="78">
        <f t="shared" si="4"/>
        <v>0</v>
      </c>
      <c r="N135" s="100">
        <v>13</v>
      </c>
      <c r="O135" s="224">
        <v>24537.7</v>
      </c>
      <c r="P135" s="224">
        <v>24537.7</v>
      </c>
      <c r="Q135" s="79">
        <f t="shared" si="3"/>
        <v>0</v>
      </c>
    </row>
    <row r="136" spans="1:18" s="13" customFormat="1" ht="15" customHeight="1" x14ac:dyDescent="0.25">
      <c r="A136" s="229"/>
      <c r="B136" s="62" t="s">
        <v>80</v>
      </c>
      <c r="C136" s="181" t="s">
        <v>17</v>
      </c>
      <c r="D136" s="182"/>
      <c r="E136" s="183" t="s">
        <v>81</v>
      </c>
      <c r="F136" s="73" t="s">
        <v>417</v>
      </c>
      <c r="G136" s="74" t="s">
        <v>112</v>
      </c>
      <c r="H136" s="75"/>
      <c r="I136" s="76"/>
      <c r="J136" s="96"/>
      <c r="K136" s="77">
        <f>749.19+8649.27</f>
        <v>9398.4600000000009</v>
      </c>
      <c r="L136" s="77">
        <f>749.19+8649.27</f>
        <v>9398.4600000000009</v>
      </c>
      <c r="M136" s="78">
        <f>K136-L136</f>
        <v>0</v>
      </c>
      <c r="N136" s="100">
        <f>2+2</f>
        <v>4</v>
      </c>
      <c r="O136" s="81">
        <f>3040.94</f>
        <v>3040.94</v>
      </c>
      <c r="P136" s="81">
        <f>3040.94</f>
        <v>3040.94</v>
      </c>
      <c r="Q136" s="232">
        <f t="shared" si="3"/>
        <v>0</v>
      </c>
      <c r="R136" s="141"/>
    </row>
    <row r="137" spans="1:18" s="13" customFormat="1" ht="15" customHeight="1" x14ac:dyDescent="0.25">
      <c r="A137" s="229"/>
      <c r="B137" s="62" t="s">
        <v>80</v>
      </c>
      <c r="C137" s="181" t="s">
        <v>17</v>
      </c>
      <c r="D137" s="182"/>
      <c r="E137" s="183" t="s">
        <v>81</v>
      </c>
      <c r="F137" s="73" t="s">
        <v>285</v>
      </c>
      <c r="G137" s="230" t="s">
        <v>114</v>
      </c>
      <c r="H137" s="181"/>
      <c r="I137" s="231"/>
      <c r="J137" s="190"/>
      <c r="K137" s="77"/>
      <c r="L137" s="77"/>
      <c r="M137" s="187">
        <f t="shared" ref="M137" si="10">K137-L137</f>
        <v>0</v>
      </c>
      <c r="N137" s="100">
        <v>23</v>
      </c>
      <c r="O137" s="224">
        <v>47615.74</v>
      </c>
      <c r="P137" s="224">
        <v>47615.74</v>
      </c>
      <c r="Q137" s="232">
        <f t="shared" si="3"/>
        <v>0</v>
      </c>
    </row>
    <row r="138" spans="1:18" s="13" customFormat="1" ht="15" customHeight="1" x14ac:dyDescent="0.25">
      <c r="A138" s="229"/>
      <c r="B138" s="30" t="s">
        <v>82</v>
      </c>
      <c r="C138" s="181" t="s">
        <v>17</v>
      </c>
      <c r="D138" s="182"/>
      <c r="E138" s="183" t="s">
        <v>20</v>
      </c>
      <c r="F138" s="73" t="s">
        <v>394</v>
      </c>
      <c r="G138" s="74" t="s">
        <v>112</v>
      </c>
      <c r="H138" s="75">
        <v>12</v>
      </c>
      <c r="I138" s="76">
        <v>10</v>
      </c>
      <c r="J138" s="96">
        <f>4+3+2+2+1</f>
        <v>12</v>
      </c>
      <c r="K138" s="77">
        <f>7750.47+2207.69</f>
        <v>9958.16</v>
      </c>
      <c r="L138" s="77">
        <f>7750.47</f>
        <v>7750.47</v>
      </c>
      <c r="M138" s="78">
        <f>K138-L138</f>
        <v>2207.6899999999996</v>
      </c>
      <c r="N138" s="100">
        <f>3+5+1+1+1</f>
        <v>11</v>
      </c>
      <c r="O138" s="81">
        <f>5975.84+23579.15+1426.34</f>
        <v>30981.33</v>
      </c>
      <c r="P138" s="81">
        <f>5975.84+23579.15+1426.34</f>
        <v>30981.33</v>
      </c>
      <c r="Q138" s="232">
        <f t="shared" si="3"/>
        <v>0</v>
      </c>
      <c r="R138" s="141"/>
    </row>
    <row r="139" spans="1:18" s="13" customFormat="1" ht="15" customHeight="1" x14ac:dyDescent="0.25">
      <c r="A139" s="229"/>
      <c r="B139" s="30" t="s">
        <v>82</v>
      </c>
      <c r="C139" s="181" t="s">
        <v>17</v>
      </c>
      <c r="D139" s="182"/>
      <c r="E139" s="183" t="s">
        <v>20</v>
      </c>
      <c r="F139" s="73" t="s">
        <v>463</v>
      </c>
      <c r="G139" s="230" t="s">
        <v>114</v>
      </c>
      <c r="H139" s="181">
        <v>18</v>
      </c>
      <c r="I139" s="231">
        <v>5</v>
      </c>
      <c r="J139" s="190">
        <v>5</v>
      </c>
      <c r="K139" s="77">
        <v>10181.299999999999</v>
      </c>
      <c r="L139" s="77">
        <v>10181.299999999999</v>
      </c>
      <c r="M139" s="187">
        <f t="shared" ref="M139" si="11">K139-L139</f>
        <v>0</v>
      </c>
      <c r="N139" s="100">
        <v>14</v>
      </c>
      <c r="O139" s="224">
        <v>48620.71</v>
      </c>
      <c r="P139" s="224">
        <v>48620.71</v>
      </c>
      <c r="Q139" s="232">
        <f t="shared" si="3"/>
        <v>0</v>
      </c>
    </row>
    <row r="140" spans="1:18" s="13" customFormat="1" ht="15" customHeight="1" x14ac:dyDescent="0.25">
      <c r="A140" s="229"/>
      <c r="B140" s="30" t="s">
        <v>309</v>
      </c>
      <c r="C140" s="181"/>
      <c r="D140" s="182"/>
      <c r="E140" s="183" t="s">
        <v>20</v>
      </c>
      <c r="F140" s="73" t="s">
        <v>391</v>
      </c>
      <c r="G140" s="230" t="s">
        <v>112</v>
      </c>
      <c r="H140" s="181">
        <v>13</v>
      </c>
      <c r="I140" s="231">
        <v>7</v>
      </c>
      <c r="J140" s="190">
        <f>1+5+2</f>
        <v>8</v>
      </c>
      <c r="K140" s="77">
        <f>3606.1+3402.77</f>
        <v>7008.87</v>
      </c>
      <c r="L140" s="77">
        <f>3606.1+3402.77</f>
        <v>7008.87</v>
      </c>
      <c r="M140" s="78">
        <f t="shared" si="4"/>
        <v>0</v>
      </c>
      <c r="N140" s="100">
        <f>1+5+1+3</f>
        <v>10</v>
      </c>
      <c r="O140" s="224">
        <f>3088.97+13147.65+1267.86+5955.71</f>
        <v>23460.19</v>
      </c>
      <c r="P140" s="224">
        <f>3088.97+13147.65+1267.86+5955.71</f>
        <v>23460.19</v>
      </c>
      <c r="Q140" s="232">
        <f t="shared" si="3"/>
        <v>0</v>
      </c>
      <c r="R140" s="141"/>
    </row>
    <row r="141" spans="1:18" s="13" customFormat="1" ht="15" customHeight="1" x14ac:dyDescent="0.25">
      <c r="A141" s="229"/>
      <c r="B141" s="30" t="s">
        <v>152</v>
      </c>
      <c r="C141" s="181" t="s">
        <v>17</v>
      </c>
      <c r="D141" s="182"/>
      <c r="E141" s="183" t="s">
        <v>35</v>
      </c>
      <c r="F141" s="73" t="s">
        <v>392</v>
      </c>
      <c r="G141" s="74" t="s">
        <v>112</v>
      </c>
      <c r="H141" s="75">
        <v>7</v>
      </c>
      <c r="I141" s="76">
        <v>6</v>
      </c>
      <c r="J141" s="96">
        <f>1+1+2+1+1</f>
        <v>6</v>
      </c>
      <c r="K141" s="77">
        <f>403.41+845.24+2113.1</f>
        <v>3361.75</v>
      </c>
      <c r="L141" s="77">
        <f>403.41+845.24+2113.1</f>
        <v>3361.75</v>
      </c>
      <c r="M141" s="78">
        <f t="shared" si="4"/>
        <v>0</v>
      </c>
      <c r="N141" s="100">
        <f>2+2+2+1+1+1+2</f>
        <v>11</v>
      </c>
      <c r="O141" s="81">
        <f>1690.48+3050.26+3661.61+4648.82+1267.86+1690.48+9282.42+4052.53</f>
        <v>29344.46</v>
      </c>
      <c r="P141" s="81">
        <f>1690.48+3050.26+3661.61+4648.82+1267.86+1690.48+9282.42+4052.53</f>
        <v>29344.46</v>
      </c>
      <c r="Q141" s="232">
        <f t="shared" si="3"/>
        <v>0</v>
      </c>
      <c r="R141" s="141"/>
    </row>
    <row r="142" spans="1:18" s="13" customFormat="1" ht="15" customHeight="1" x14ac:dyDescent="0.25">
      <c r="A142" s="229"/>
      <c r="B142" s="30" t="s">
        <v>83</v>
      </c>
      <c r="C142" s="181" t="s">
        <v>17</v>
      </c>
      <c r="D142" s="182"/>
      <c r="E142" s="183" t="s">
        <v>20</v>
      </c>
      <c r="F142" s="73" t="s">
        <v>393</v>
      </c>
      <c r="G142" s="74" t="s">
        <v>112</v>
      </c>
      <c r="H142" s="75">
        <v>12</v>
      </c>
      <c r="I142" s="76">
        <v>8</v>
      </c>
      <c r="J142" s="96">
        <f>1+1+2+1+1+1+1+1</f>
        <v>9</v>
      </c>
      <c r="K142" s="77">
        <f>768.4+2535.72+845.24+14407.5+883.08</f>
        <v>19439.940000000002</v>
      </c>
      <c r="L142" s="77">
        <f>768.4+2535.72+845.24+14407.5</f>
        <v>18556.86</v>
      </c>
      <c r="M142" s="78">
        <f>K142-L142</f>
        <v>883.08000000000175</v>
      </c>
      <c r="N142" s="100">
        <f>1+2+1+1+1+2</f>
        <v>8</v>
      </c>
      <c r="O142" s="81">
        <f>5837.09+1922.92+4288.54+1686.25</f>
        <v>13734.8</v>
      </c>
      <c r="P142" s="81">
        <f>5837.09+1922.92+4288.54+1686.25</f>
        <v>13734.8</v>
      </c>
      <c r="Q142" s="232">
        <f t="shared" si="3"/>
        <v>0</v>
      </c>
      <c r="R142" s="141"/>
    </row>
    <row r="143" spans="1:18" s="13" customFormat="1" ht="15" customHeight="1" x14ac:dyDescent="0.25">
      <c r="A143" s="229"/>
      <c r="B143" s="30" t="s">
        <v>83</v>
      </c>
      <c r="C143" s="181" t="s">
        <v>17</v>
      </c>
      <c r="D143" s="182"/>
      <c r="E143" s="183" t="s">
        <v>20</v>
      </c>
      <c r="F143" s="73" t="s">
        <v>464</v>
      </c>
      <c r="G143" s="230" t="s">
        <v>114</v>
      </c>
      <c r="H143" s="181">
        <v>28</v>
      </c>
      <c r="I143" s="231">
        <v>7</v>
      </c>
      <c r="J143" s="190">
        <v>7</v>
      </c>
      <c r="K143" s="77">
        <v>7818.27</v>
      </c>
      <c r="L143" s="77">
        <v>7818.27</v>
      </c>
      <c r="M143" s="187">
        <f t="shared" ref="M143:M144" si="12">K143-L143</f>
        <v>0</v>
      </c>
      <c r="N143" s="100">
        <v>28</v>
      </c>
      <c r="O143" s="224">
        <v>83770.47</v>
      </c>
      <c r="P143" s="224">
        <v>83770.47</v>
      </c>
      <c r="Q143" s="232">
        <f t="shared" si="3"/>
        <v>0</v>
      </c>
    </row>
    <row r="144" spans="1:18" s="13" customFormat="1" ht="15" customHeight="1" x14ac:dyDescent="0.25">
      <c r="A144" s="229"/>
      <c r="B144" s="30" t="s">
        <v>84</v>
      </c>
      <c r="C144" s="181" t="s">
        <v>17</v>
      </c>
      <c r="D144" s="182"/>
      <c r="E144" s="183" t="s">
        <v>20</v>
      </c>
      <c r="F144" s="73" t="s">
        <v>287</v>
      </c>
      <c r="G144" s="230" t="s">
        <v>114</v>
      </c>
      <c r="H144" s="181"/>
      <c r="I144" s="231"/>
      <c r="J144" s="190"/>
      <c r="K144" s="77"/>
      <c r="L144" s="77"/>
      <c r="M144" s="187">
        <f t="shared" si="12"/>
        <v>0</v>
      </c>
      <c r="N144" s="100"/>
      <c r="O144" s="224"/>
      <c r="P144" s="224"/>
      <c r="Q144" s="232">
        <f t="shared" si="3"/>
        <v>0</v>
      </c>
    </row>
    <row r="145" spans="1:18" s="13" customFormat="1" ht="15" customHeight="1" x14ac:dyDescent="0.25">
      <c r="A145" s="229"/>
      <c r="B145" s="30" t="s">
        <v>85</v>
      </c>
      <c r="C145" s="181" t="s">
        <v>304</v>
      </c>
      <c r="D145" s="182" t="s">
        <v>415</v>
      </c>
      <c r="E145" s="183" t="s">
        <v>20</v>
      </c>
      <c r="F145" s="73" t="s">
        <v>395</v>
      </c>
      <c r="G145" s="74" t="s">
        <v>112</v>
      </c>
      <c r="H145" s="75">
        <v>15</v>
      </c>
      <c r="I145" s="76">
        <v>6</v>
      </c>
      <c r="J145" s="96">
        <f>2</f>
        <v>2</v>
      </c>
      <c r="K145" s="77">
        <f>4800.58+2591.84</f>
        <v>7392.42</v>
      </c>
      <c r="L145" s="77">
        <f>4800.58</f>
        <v>4800.58</v>
      </c>
      <c r="M145" s="78">
        <f t="shared" si="4"/>
        <v>2591.84</v>
      </c>
      <c r="N145" s="100">
        <f>2+1</f>
        <v>3</v>
      </c>
      <c r="O145" s="81">
        <f>3917.73+8936.21+5669.37+31185.72</f>
        <v>49709.03</v>
      </c>
      <c r="P145" s="81">
        <f>3917.73+8936.21</f>
        <v>12853.939999999999</v>
      </c>
      <c r="Q145" s="79">
        <f t="shared" si="3"/>
        <v>36855.089999999997</v>
      </c>
      <c r="R145" s="141"/>
    </row>
    <row r="146" spans="1:18" s="13" customFormat="1" ht="15" customHeight="1" x14ac:dyDescent="0.25">
      <c r="A146" s="229"/>
      <c r="B146" s="27" t="s">
        <v>86</v>
      </c>
      <c r="C146" s="181" t="s">
        <v>17</v>
      </c>
      <c r="D146" s="182"/>
      <c r="E146" s="194" t="s">
        <v>20</v>
      </c>
      <c r="F146" s="73" t="s">
        <v>396</v>
      </c>
      <c r="G146" s="74" t="s">
        <v>112</v>
      </c>
      <c r="H146" s="75">
        <v>11</v>
      </c>
      <c r="I146" s="76">
        <v>10</v>
      </c>
      <c r="J146" s="96">
        <f>1+3+1+7+2+2</f>
        <v>16</v>
      </c>
      <c r="K146" s="77">
        <f>950.9+5134.06+2091.97+528.03+8954.46+5719.74</f>
        <v>23379.159999999996</v>
      </c>
      <c r="L146" s="77">
        <f>950.9+5134.06+2091.97+528.03+8954.46+5719.74</f>
        <v>23379.159999999996</v>
      </c>
      <c r="M146" s="78">
        <f t="shared" si="4"/>
        <v>0</v>
      </c>
      <c r="N146" s="100">
        <f>15+4+2+1+2+2</f>
        <v>26</v>
      </c>
      <c r="O146" s="81">
        <f>30236.61+18366.75+8887.09+1077.68+8961.95</f>
        <v>67530.080000000002</v>
      </c>
      <c r="P146" s="81">
        <f>30236.61+18366.75+8887.09+1077.68+8961.95</f>
        <v>67530.080000000002</v>
      </c>
      <c r="Q146" s="232">
        <f t="shared" si="3"/>
        <v>0</v>
      </c>
      <c r="R146" s="141"/>
    </row>
    <row r="147" spans="1:18" s="13" customFormat="1" ht="15" customHeight="1" x14ac:dyDescent="0.25">
      <c r="A147" s="229"/>
      <c r="B147" s="27" t="s">
        <v>86</v>
      </c>
      <c r="C147" s="181" t="s">
        <v>17</v>
      </c>
      <c r="D147" s="182"/>
      <c r="E147" s="194" t="s">
        <v>20</v>
      </c>
      <c r="F147" s="73" t="s">
        <v>465</v>
      </c>
      <c r="G147" s="230" t="s">
        <v>114</v>
      </c>
      <c r="H147" s="181">
        <v>4</v>
      </c>
      <c r="I147" s="231">
        <v>1</v>
      </c>
      <c r="J147" s="190">
        <v>1</v>
      </c>
      <c r="K147" s="77"/>
      <c r="L147" s="77"/>
      <c r="M147" s="187">
        <f t="shared" si="4"/>
        <v>0</v>
      </c>
      <c r="N147" s="100">
        <v>9</v>
      </c>
      <c r="O147" s="224">
        <v>15209.53</v>
      </c>
      <c r="P147" s="224">
        <v>15209.53</v>
      </c>
      <c r="Q147" s="232">
        <f t="shared" si="3"/>
        <v>0</v>
      </c>
    </row>
    <row r="148" spans="1:18" s="13" customFormat="1" ht="15" customHeight="1" x14ac:dyDescent="0.25">
      <c r="A148" s="229"/>
      <c r="B148" s="62" t="s">
        <v>312</v>
      </c>
      <c r="C148" s="181" t="s">
        <v>17</v>
      </c>
      <c r="D148" s="182"/>
      <c r="E148" s="194" t="s">
        <v>20</v>
      </c>
      <c r="F148" s="73" t="s">
        <v>320</v>
      </c>
      <c r="G148" s="74" t="s">
        <v>112</v>
      </c>
      <c r="H148" s="75">
        <v>13</v>
      </c>
      <c r="I148" s="76">
        <v>5</v>
      </c>
      <c r="J148" s="96">
        <f>1+1+1+2</f>
        <v>5</v>
      </c>
      <c r="K148" s="77">
        <f>3319.49+845.24+4965.79</f>
        <v>9130.52</v>
      </c>
      <c r="L148" s="77">
        <f>3319.49+845.24+4965.79</f>
        <v>9130.52</v>
      </c>
      <c r="M148" s="78">
        <f t="shared" si="4"/>
        <v>0</v>
      </c>
      <c r="N148" s="100">
        <f>5+6+1+1</f>
        <v>13</v>
      </c>
      <c r="O148" s="81">
        <f>4226.2+6627.45+4360.59</f>
        <v>15214.24</v>
      </c>
      <c r="P148" s="81">
        <f>4226.2+6627.45</f>
        <v>10853.65</v>
      </c>
      <c r="Q148" s="232">
        <f t="shared" si="3"/>
        <v>4360.59</v>
      </c>
      <c r="R148" s="141"/>
    </row>
    <row r="149" spans="1:18" s="13" customFormat="1" ht="15" customHeight="1" x14ac:dyDescent="0.25">
      <c r="A149" s="229"/>
      <c r="B149" s="62" t="s">
        <v>494</v>
      </c>
      <c r="C149" s="181" t="s">
        <v>17</v>
      </c>
      <c r="D149" s="182"/>
      <c r="E149" s="194" t="s">
        <v>20</v>
      </c>
      <c r="F149" s="73" t="s">
        <v>497</v>
      </c>
      <c r="G149" s="74" t="s">
        <v>112</v>
      </c>
      <c r="H149" s="75">
        <v>9</v>
      </c>
      <c r="I149" s="76">
        <v>6</v>
      </c>
      <c r="J149" s="96">
        <f>1+1+1+1+2</f>
        <v>6</v>
      </c>
      <c r="K149" s="77">
        <f>3379+5494.06+576.3+2417.43</f>
        <v>11866.79</v>
      </c>
      <c r="L149" s="77">
        <f>3379+5494.06+576.3</f>
        <v>9449.36</v>
      </c>
      <c r="M149" s="78">
        <f t="shared" si="4"/>
        <v>2417.4300000000003</v>
      </c>
      <c r="N149" s="100"/>
      <c r="O149" s="81"/>
      <c r="P149" s="81"/>
      <c r="Q149" s="232">
        <f t="shared" ref="Q149" si="13">O149-P149</f>
        <v>0</v>
      </c>
      <c r="R149" s="141"/>
    </row>
    <row r="150" spans="1:18" s="13" customFormat="1" ht="15" customHeight="1" x14ac:dyDescent="0.25">
      <c r="A150" s="229"/>
      <c r="B150" s="62" t="s">
        <v>494</v>
      </c>
      <c r="C150" s="181" t="s">
        <v>17</v>
      </c>
      <c r="D150" s="182"/>
      <c r="E150" s="194" t="s">
        <v>20</v>
      </c>
      <c r="F150" s="73" t="s">
        <v>507</v>
      </c>
      <c r="G150" s="74" t="s">
        <v>114</v>
      </c>
      <c r="H150" s="75">
        <v>26</v>
      </c>
      <c r="I150" s="76">
        <v>4</v>
      </c>
      <c r="J150" s="96">
        <v>4</v>
      </c>
      <c r="K150" s="77">
        <v>5570.9</v>
      </c>
      <c r="L150" s="77">
        <v>5570.9</v>
      </c>
      <c r="M150" s="187">
        <f t="shared" si="4"/>
        <v>0</v>
      </c>
      <c r="N150" s="100"/>
      <c r="O150" s="81"/>
      <c r="P150" s="81"/>
      <c r="Q150" s="232">
        <f t="shared" ref="Q150:Q191" si="14">O150-P150</f>
        <v>0</v>
      </c>
      <c r="R150" s="141"/>
    </row>
    <row r="151" spans="1:18" s="13" customFormat="1" ht="15" customHeight="1" x14ac:dyDescent="0.25">
      <c r="A151" s="229"/>
      <c r="B151" s="30" t="s">
        <v>88</v>
      </c>
      <c r="C151" s="181" t="s">
        <v>17</v>
      </c>
      <c r="D151" s="182"/>
      <c r="E151" s="183" t="s">
        <v>89</v>
      </c>
      <c r="F151" s="73" t="s">
        <v>397</v>
      </c>
      <c r="G151" s="74" t="s">
        <v>112</v>
      </c>
      <c r="H151" s="75">
        <v>12</v>
      </c>
      <c r="I151" s="76">
        <v>7</v>
      </c>
      <c r="J151" s="96">
        <f>1+3+1+2</f>
        <v>7</v>
      </c>
      <c r="K151" s="77">
        <f>4226.2+2394.91+6485.1+556.71+4126.31</f>
        <v>17789.23</v>
      </c>
      <c r="L151" s="77">
        <f>4226.2+2394.91+6485.1+556.71</f>
        <v>13662.919999999998</v>
      </c>
      <c r="M151" s="78">
        <f>K151-L151</f>
        <v>4126.3100000000013</v>
      </c>
      <c r="N151" s="100">
        <f>4+1+3+1+2+2+1+1+2</f>
        <v>17</v>
      </c>
      <c r="O151" s="81">
        <f>11967.83+2831.55+10544.37+9418.99+3799.13+1798.04+2548.4-12193.52+4083.77</f>
        <v>34798.559999999998</v>
      </c>
      <c r="P151" s="81">
        <f>11967.83+2831.55+10544.37+9418.99+3799.13+1798.04+2548.4-12193.52+4083.77</f>
        <v>34798.559999999998</v>
      </c>
      <c r="Q151" s="79">
        <f t="shared" si="14"/>
        <v>0</v>
      </c>
      <c r="R151" s="141"/>
    </row>
    <row r="152" spans="1:18" s="13" customFormat="1" ht="15" customHeight="1" x14ac:dyDescent="0.25">
      <c r="A152" s="229"/>
      <c r="B152" s="30" t="s">
        <v>88</v>
      </c>
      <c r="C152" s="181" t="s">
        <v>17</v>
      </c>
      <c r="D152" s="182"/>
      <c r="E152" s="183" t="s">
        <v>89</v>
      </c>
      <c r="F152" s="73" t="s">
        <v>442</v>
      </c>
      <c r="G152" s="230" t="s">
        <v>118</v>
      </c>
      <c r="H152" s="181">
        <v>5</v>
      </c>
      <c r="I152" s="231"/>
      <c r="J152" s="96"/>
      <c r="K152" s="77"/>
      <c r="L152" s="77"/>
      <c r="M152" s="187">
        <f t="shared" si="4"/>
        <v>0</v>
      </c>
      <c r="N152" s="100">
        <v>3</v>
      </c>
      <c r="O152" s="224">
        <v>11020.82</v>
      </c>
      <c r="P152" s="224">
        <v>11020.82</v>
      </c>
      <c r="Q152" s="232">
        <f t="shared" si="14"/>
        <v>0</v>
      </c>
    </row>
    <row r="153" spans="1:18" s="13" customFormat="1" ht="15" customHeight="1" x14ac:dyDescent="0.25">
      <c r="A153" s="229"/>
      <c r="B153" s="30" t="s">
        <v>88</v>
      </c>
      <c r="C153" s="181" t="s">
        <v>17</v>
      </c>
      <c r="D153" s="182"/>
      <c r="E153" s="194" t="s">
        <v>505</v>
      </c>
      <c r="F153" s="73" t="s">
        <v>506</v>
      </c>
      <c r="G153" s="230" t="s">
        <v>114</v>
      </c>
      <c r="H153" s="181">
        <v>5</v>
      </c>
      <c r="I153" s="231">
        <v>1</v>
      </c>
      <c r="J153" s="96">
        <v>1</v>
      </c>
      <c r="K153" s="77">
        <v>3763.9</v>
      </c>
      <c r="L153" s="77">
        <v>3763.9</v>
      </c>
      <c r="M153" s="187">
        <f t="shared" si="4"/>
        <v>0</v>
      </c>
      <c r="N153" s="100"/>
      <c r="O153" s="224"/>
      <c r="P153" s="224"/>
      <c r="Q153" s="232">
        <f t="shared" si="14"/>
        <v>0</v>
      </c>
    </row>
    <row r="154" spans="1:18" s="13" customFormat="1" ht="15" customHeight="1" x14ac:dyDescent="0.25">
      <c r="A154" s="229"/>
      <c r="B154" s="30" t="s">
        <v>90</v>
      </c>
      <c r="C154" s="181" t="s">
        <v>17</v>
      </c>
      <c r="D154" s="182"/>
      <c r="E154" s="194" t="s">
        <v>20</v>
      </c>
      <c r="F154" s="73" t="s">
        <v>398</v>
      </c>
      <c r="G154" s="74" t="s">
        <v>112</v>
      </c>
      <c r="H154" s="75">
        <v>8</v>
      </c>
      <c r="I154" s="76">
        <v>5</v>
      </c>
      <c r="J154" s="96">
        <f>1+1+1+4</f>
        <v>7</v>
      </c>
      <c r="K154" s="77">
        <f>422.62+4662.44+7580.13</f>
        <v>12665.189999999999</v>
      </c>
      <c r="L154" s="77">
        <f>422.62+4662.44</f>
        <v>5085.0599999999995</v>
      </c>
      <c r="M154" s="78">
        <f>K154-L154</f>
        <v>7580.1299999999992</v>
      </c>
      <c r="N154" s="100">
        <f>1+1+1+1+2</f>
        <v>6</v>
      </c>
      <c r="O154" s="81">
        <f>2122.67+787.61+15453.48+6194.26</f>
        <v>24558.019999999997</v>
      </c>
      <c r="P154" s="81">
        <f>2122.67+787.61+15453.48</f>
        <v>18363.759999999998</v>
      </c>
      <c r="Q154" s="79">
        <f t="shared" si="14"/>
        <v>6194.2599999999984</v>
      </c>
      <c r="R154" s="141"/>
    </row>
    <row r="155" spans="1:18" s="13" customFormat="1" ht="15" customHeight="1" x14ac:dyDescent="0.25">
      <c r="A155" s="229"/>
      <c r="B155" s="30" t="s">
        <v>90</v>
      </c>
      <c r="C155" s="181" t="s">
        <v>17</v>
      </c>
      <c r="D155" s="182"/>
      <c r="E155" s="194" t="s">
        <v>20</v>
      </c>
      <c r="F155" s="73" t="s">
        <v>466</v>
      </c>
      <c r="G155" s="230" t="s">
        <v>114</v>
      </c>
      <c r="H155" s="181">
        <v>14</v>
      </c>
      <c r="I155" s="231">
        <v>4</v>
      </c>
      <c r="J155" s="190">
        <v>4</v>
      </c>
      <c r="K155" s="77">
        <v>10469.16</v>
      </c>
      <c r="L155" s="77">
        <v>10469.16</v>
      </c>
      <c r="M155" s="187">
        <f t="shared" ref="M155" si="15">K155-L155</f>
        <v>0</v>
      </c>
      <c r="N155" s="100">
        <v>25</v>
      </c>
      <c r="O155" s="224">
        <v>81936.800000000003</v>
      </c>
      <c r="P155" s="224">
        <v>81936.800000000003</v>
      </c>
      <c r="Q155" s="232">
        <f t="shared" si="14"/>
        <v>0</v>
      </c>
    </row>
    <row r="156" spans="1:18" s="13" customFormat="1" ht="15" customHeight="1" x14ac:dyDescent="0.25">
      <c r="A156" s="229"/>
      <c r="B156" s="30" t="s">
        <v>91</v>
      </c>
      <c r="C156" s="181" t="s">
        <v>17</v>
      </c>
      <c r="D156" s="182"/>
      <c r="E156" s="194" t="s">
        <v>20</v>
      </c>
      <c r="F156" s="73" t="s">
        <v>399</v>
      </c>
      <c r="G156" s="74" t="s">
        <v>112</v>
      </c>
      <c r="H156" s="75"/>
      <c r="I156" s="76"/>
      <c r="J156" s="96"/>
      <c r="K156" s="77"/>
      <c r="L156" s="77"/>
      <c r="M156" s="78">
        <f>K156-L156</f>
        <v>0</v>
      </c>
      <c r="N156" s="100"/>
      <c r="O156" s="81"/>
      <c r="P156" s="81"/>
      <c r="Q156" s="79">
        <f t="shared" si="14"/>
        <v>0</v>
      </c>
      <c r="R156" s="141"/>
    </row>
    <row r="157" spans="1:18" s="13" customFormat="1" ht="15" customHeight="1" x14ac:dyDescent="0.25">
      <c r="A157" s="229"/>
      <c r="B157" s="62" t="s">
        <v>138</v>
      </c>
      <c r="C157" s="181" t="s">
        <v>17</v>
      </c>
      <c r="D157" s="182"/>
      <c r="E157" s="194" t="s">
        <v>20</v>
      </c>
      <c r="F157" s="73" t="s">
        <v>467</v>
      </c>
      <c r="G157" s="230" t="s">
        <v>114</v>
      </c>
      <c r="H157" s="181">
        <v>7</v>
      </c>
      <c r="I157" s="231">
        <v>3</v>
      </c>
      <c r="J157" s="190">
        <v>3</v>
      </c>
      <c r="K157" s="193">
        <v>1728.9</v>
      </c>
      <c r="L157" s="193">
        <v>1728.9</v>
      </c>
      <c r="M157" s="187">
        <f t="shared" ref="M157" si="16">K157-L157</f>
        <v>0</v>
      </c>
      <c r="N157" s="114">
        <v>7</v>
      </c>
      <c r="O157" s="224">
        <v>12214.4</v>
      </c>
      <c r="P157" s="224">
        <v>12214.4</v>
      </c>
      <c r="Q157" s="232">
        <f t="shared" si="14"/>
        <v>0</v>
      </c>
    </row>
    <row r="158" spans="1:18" s="13" customFormat="1" ht="15" customHeight="1" x14ac:dyDescent="0.25">
      <c r="A158" s="229"/>
      <c r="B158" s="62" t="s">
        <v>138</v>
      </c>
      <c r="C158" s="181" t="s">
        <v>17</v>
      </c>
      <c r="D158" s="182"/>
      <c r="E158" s="194" t="s">
        <v>20</v>
      </c>
      <c r="F158" s="73" t="s">
        <v>400</v>
      </c>
      <c r="G158" s="74" t="s">
        <v>112</v>
      </c>
      <c r="H158" s="75">
        <v>10</v>
      </c>
      <c r="I158" s="82">
        <v>4</v>
      </c>
      <c r="J158" s="96">
        <f>3+1+1</f>
        <v>5</v>
      </c>
      <c r="K158" s="77">
        <f>2224.52+9639.33+3232.07</f>
        <v>15095.92</v>
      </c>
      <c r="L158" s="77">
        <f>2224.52+9639.33</f>
        <v>11863.85</v>
      </c>
      <c r="M158" s="78">
        <f t="shared" si="4"/>
        <v>3232.0699999999997</v>
      </c>
      <c r="N158" s="100">
        <f>5+4</f>
        <v>9</v>
      </c>
      <c r="O158" s="81">
        <f>8995.87+8641.99</f>
        <v>17637.86</v>
      </c>
      <c r="P158" s="81">
        <f>8995.87+8641.99</f>
        <v>17637.86</v>
      </c>
      <c r="Q158" s="79">
        <f t="shared" si="14"/>
        <v>0</v>
      </c>
      <c r="R158" s="141"/>
    </row>
    <row r="159" spans="1:18" s="13" customFormat="1" ht="15" customHeight="1" x14ac:dyDescent="0.25">
      <c r="A159" s="229"/>
      <c r="B159" s="62" t="s">
        <v>157</v>
      </c>
      <c r="C159" s="181" t="s">
        <v>17</v>
      </c>
      <c r="D159" s="182"/>
      <c r="E159" s="194" t="s">
        <v>20</v>
      </c>
      <c r="F159" s="73" t="s">
        <v>401</v>
      </c>
      <c r="G159" s="74" t="s">
        <v>112</v>
      </c>
      <c r="H159" s="75">
        <v>11</v>
      </c>
      <c r="I159" s="82"/>
      <c r="J159" s="96"/>
      <c r="K159" s="77"/>
      <c r="L159" s="77"/>
      <c r="M159" s="78">
        <f t="shared" ref="M159:M189" si="17">K159-L159</f>
        <v>0</v>
      </c>
      <c r="N159" s="100"/>
      <c r="O159" s="81"/>
      <c r="P159" s="81"/>
      <c r="Q159" s="232">
        <f t="shared" si="14"/>
        <v>0</v>
      </c>
      <c r="R159" s="141"/>
    </row>
    <row r="160" spans="1:18" s="15" customFormat="1" ht="15" customHeight="1" x14ac:dyDescent="0.25">
      <c r="A160" s="229"/>
      <c r="B160" s="62" t="s">
        <v>92</v>
      </c>
      <c r="C160" s="181" t="s">
        <v>17</v>
      </c>
      <c r="D160" s="182"/>
      <c r="E160" s="194" t="s">
        <v>20</v>
      </c>
      <c r="F160" s="73" t="s">
        <v>402</v>
      </c>
      <c r="G160" s="74" t="s">
        <v>112</v>
      </c>
      <c r="H160" s="75">
        <v>10</v>
      </c>
      <c r="I160" s="76">
        <v>8</v>
      </c>
      <c r="J160" s="96">
        <f>1+2+5</f>
        <v>8</v>
      </c>
      <c r="K160" s="77">
        <f>1951.74+1335.1+2996.76</f>
        <v>6283.6</v>
      </c>
      <c r="L160" s="77">
        <f>1951.74+1335.1</f>
        <v>3286.84</v>
      </c>
      <c r="M160" s="78">
        <f>K160-L160</f>
        <v>2996.76</v>
      </c>
      <c r="N160" s="100">
        <f>4+1+1</f>
        <v>6</v>
      </c>
      <c r="O160" s="81">
        <f>12624.74+2697.06+1225.93</f>
        <v>16547.73</v>
      </c>
      <c r="P160" s="81">
        <f>12624.74+2697.06+1225.93</f>
        <v>16547.73</v>
      </c>
      <c r="Q160" s="232">
        <f t="shared" si="14"/>
        <v>0</v>
      </c>
      <c r="R160" s="141"/>
    </row>
    <row r="161" spans="1:18" s="15" customFormat="1" ht="15" customHeight="1" x14ac:dyDescent="0.25">
      <c r="A161" s="229"/>
      <c r="B161" s="62" t="s">
        <v>92</v>
      </c>
      <c r="C161" s="181" t="s">
        <v>17</v>
      </c>
      <c r="D161" s="182"/>
      <c r="E161" s="194" t="s">
        <v>20</v>
      </c>
      <c r="F161" s="73" t="s">
        <v>129</v>
      </c>
      <c r="G161" s="230" t="s">
        <v>114</v>
      </c>
      <c r="H161" s="181"/>
      <c r="I161" s="231"/>
      <c r="J161" s="190"/>
      <c r="K161" s="77"/>
      <c r="L161" s="77"/>
      <c r="M161" s="187">
        <f t="shared" ref="M161" si="18">K161-L161</f>
        <v>0</v>
      </c>
      <c r="N161" s="114"/>
      <c r="O161" s="224"/>
      <c r="P161" s="224"/>
      <c r="Q161" s="232">
        <f t="shared" si="14"/>
        <v>0</v>
      </c>
    </row>
    <row r="162" spans="1:18" s="13" customFormat="1" ht="15" customHeight="1" x14ac:dyDescent="0.25">
      <c r="A162" s="229"/>
      <c r="B162" s="30" t="s">
        <v>93</v>
      </c>
      <c r="C162" s="181" t="s">
        <v>17</v>
      </c>
      <c r="D162" s="182"/>
      <c r="E162" s="183" t="s">
        <v>94</v>
      </c>
      <c r="F162" s="73" t="s">
        <v>403</v>
      </c>
      <c r="G162" s="74" t="s">
        <v>112</v>
      </c>
      <c r="H162" s="75">
        <v>7</v>
      </c>
      <c r="I162" s="76">
        <v>2</v>
      </c>
      <c r="J162" s="96">
        <f>2</f>
        <v>2</v>
      </c>
      <c r="K162" s="77">
        <f>2336.84</f>
        <v>2336.84</v>
      </c>
      <c r="L162" s="77">
        <f>2336.84</f>
        <v>2336.84</v>
      </c>
      <c r="M162" s="78">
        <f>K162-L162</f>
        <v>0</v>
      </c>
      <c r="N162" s="100">
        <f>3+8</f>
        <v>11</v>
      </c>
      <c r="O162" s="81">
        <f>20117.75</f>
        <v>20117.75</v>
      </c>
      <c r="P162" s="81">
        <f>20117.75</f>
        <v>20117.75</v>
      </c>
      <c r="Q162" s="232">
        <f t="shared" si="14"/>
        <v>0</v>
      </c>
      <c r="R162" s="141"/>
    </row>
    <row r="163" spans="1:18" s="13" customFormat="1" ht="15" customHeight="1" x14ac:dyDescent="0.25">
      <c r="A163" s="229"/>
      <c r="B163" s="30" t="s">
        <v>93</v>
      </c>
      <c r="C163" s="181" t="s">
        <v>17</v>
      </c>
      <c r="D163" s="182"/>
      <c r="E163" s="183" t="s">
        <v>94</v>
      </c>
      <c r="F163" s="73" t="s">
        <v>130</v>
      </c>
      <c r="G163" s="230" t="s">
        <v>114</v>
      </c>
      <c r="H163" s="181"/>
      <c r="I163" s="231"/>
      <c r="J163" s="190"/>
      <c r="K163" s="77"/>
      <c r="L163" s="77"/>
      <c r="M163" s="187">
        <f t="shared" ref="M163" si="19">K163-L163</f>
        <v>0</v>
      </c>
      <c r="N163" s="100"/>
      <c r="O163" s="224"/>
      <c r="P163" s="224"/>
      <c r="Q163" s="232">
        <f t="shared" si="14"/>
        <v>0</v>
      </c>
    </row>
    <row r="164" spans="1:18" s="13" customFormat="1" ht="15" customHeight="1" x14ac:dyDescent="0.25">
      <c r="A164" s="229"/>
      <c r="B164" s="30" t="s">
        <v>93</v>
      </c>
      <c r="C164" s="181" t="s">
        <v>17</v>
      </c>
      <c r="D164" s="182"/>
      <c r="E164" s="183" t="s">
        <v>94</v>
      </c>
      <c r="F164" s="73" t="s">
        <v>240</v>
      </c>
      <c r="G164" s="230" t="s">
        <v>118</v>
      </c>
      <c r="H164" s="181"/>
      <c r="I164" s="231"/>
      <c r="J164" s="96"/>
      <c r="K164" s="77"/>
      <c r="L164" s="77"/>
      <c r="M164" s="78">
        <f t="shared" si="17"/>
        <v>0</v>
      </c>
      <c r="N164" s="100"/>
      <c r="O164" s="224"/>
      <c r="P164" s="224"/>
      <c r="Q164" s="232">
        <f t="shared" si="14"/>
        <v>0</v>
      </c>
    </row>
    <row r="165" spans="1:18" s="13" customFormat="1" ht="15" customHeight="1" x14ac:dyDescent="0.25">
      <c r="A165" s="229"/>
      <c r="B165" s="30" t="s">
        <v>95</v>
      </c>
      <c r="C165" s="181" t="s">
        <v>17</v>
      </c>
      <c r="D165" s="182"/>
      <c r="E165" s="194" t="s">
        <v>20</v>
      </c>
      <c r="F165" s="73" t="s">
        <v>404</v>
      </c>
      <c r="G165" s="74" t="s">
        <v>112</v>
      </c>
      <c r="H165" s="75">
        <v>16</v>
      </c>
      <c r="I165" s="76">
        <v>10</v>
      </c>
      <c r="J165" s="96">
        <f>1+4+4+5</f>
        <v>14</v>
      </c>
      <c r="K165" s="77">
        <f>1061.35+5770.05+5238.9</f>
        <v>12070.3</v>
      </c>
      <c r="L165" s="77">
        <f>1061.35+5770.05+5238.9</f>
        <v>12070.3</v>
      </c>
      <c r="M165" s="78">
        <f>K165-L165</f>
        <v>0</v>
      </c>
      <c r="N165" s="100">
        <f>1+6+1+4+1</f>
        <v>13</v>
      </c>
      <c r="O165" s="81">
        <f>11603.82+7559.28+6777.29+24757.02</f>
        <v>50697.41</v>
      </c>
      <c r="P165" s="81">
        <f>11603.82+7559.28+6777.29+24757.02</f>
        <v>50697.41</v>
      </c>
      <c r="Q165" s="79">
        <f t="shared" si="14"/>
        <v>0</v>
      </c>
      <c r="R165" s="141"/>
    </row>
    <row r="166" spans="1:18" s="13" customFormat="1" ht="15" customHeight="1" x14ac:dyDescent="0.25">
      <c r="A166" s="229"/>
      <c r="B166" s="30" t="s">
        <v>95</v>
      </c>
      <c r="C166" s="181" t="s">
        <v>17</v>
      </c>
      <c r="D166" s="182"/>
      <c r="E166" s="194" t="s">
        <v>20</v>
      </c>
      <c r="F166" s="73" t="s">
        <v>291</v>
      </c>
      <c r="G166" s="230" t="s">
        <v>114</v>
      </c>
      <c r="H166" s="181">
        <v>8</v>
      </c>
      <c r="I166" s="231">
        <v>2</v>
      </c>
      <c r="J166" s="190">
        <v>2</v>
      </c>
      <c r="K166" s="77">
        <v>1152.5999999999999</v>
      </c>
      <c r="L166" s="77">
        <v>1152.5999999999999</v>
      </c>
      <c r="M166" s="187">
        <f t="shared" ref="M166" si="20">K166-L166</f>
        <v>0</v>
      </c>
      <c r="N166" s="100">
        <v>12</v>
      </c>
      <c r="O166" s="224">
        <f>27182.15</f>
        <v>27182.15</v>
      </c>
      <c r="P166" s="224">
        <f>27182.15</f>
        <v>27182.15</v>
      </c>
      <c r="Q166" s="232">
        <f t="shared" si="14"/>
        <v>0</v>
      </c>
    </row>
    <row r="167" spans="1:18" s="13" customFormat="1" ht="15" customHeight="1" x14ac:dyDescent="0.25">
      <c r="A167" s="229"/>
      <c r="B167" s="30" t="s">
        <v>96</v>
      </c>
      <c r="C167" s="181" t="s">
        <v>17</v>
      </c>
      <c r="D167" s="182"/>
      <c r="E167" s="194" t="s">
        <v>97</v>
      </c>
      <c r="F167" s="73" t="s">
        <v>405</v>
      </c>
      <c r="G167" s="74" t="s">
        <v>112</v>
      </c>
      <c r="H167" s="75">
        <v>1</v>
      </c>
      <c r="I167" s="76">
        <v>1</v>
      </c>
      <c r="J167" s="96">
        <f>2</f>
        <v>2</v>
      </c>
      <c r="K167" s="77"/>
      <c r="L167" s="77"/>
      <c r="M167" s="78">
        <f>K167-L167</f>
        <v>0</v>
      </c>
      <c r="N167" s="103">
        <f>1+2+1</f>
        <v>4</v>
      </c>
      <c r="O167" s="77">
        <f>1742.31+9358.48</f>
        <v>11100.789999999999</v>
      </c>
      <c r="P167" s="77">
        <f>1742.31+9358.48</f>
        <v>11100.789999999999</v>
      </c>
      <c r="Q167" s="79">
        <f t="shared" si="14"/>
        <v>0</v>
      </c>
      <c r="R167" s="141"/>
    </row>
    <row r="168" spans="1:18" s="13" customFormat="1" ht="15" customHeight="1" x14ac:dyDescent="0.25">
      <c r="A168" s="229"/>
      <c r="B168" s="30" t="s">
        <v>96</v>
      </c>
      <c r="C168" s="181" t="s">
        <v>17</v>
      </c>
      <c r="D168" s="182"/>
      <c r="E168" s="194" t="s">
        <v>97</v>
      </c>
      <c r="F168" s="73" t="s">
        <v>468</v>
      </c>
      <c r="G168" s="230" t="s">
        <v>114</v>
      </c>
      <c r="H168" s="181">
        <v>1</v>
      </c>
      <c r="I168" s="231"/>
      <c r="J168" s="190"/>
      <c r="K168" s="77"/>
      <c r="L168" s="77"/>
      <c r="M168" s="187">
        <f t="shared" ref="M168" si="21">K168-L168</f>
        <v>0</v>
      </c>
      <c r="N168" s="100">
        <v>4</v>
      </c>
      <c r="O168" s="224">
        <v>8676.6</v>
      </c>
      <c r="P168" s="224">
        <v>3682</v>
      </c>
      <c r="Q168" s="232">
        <f t="shared" si="14"/>
        <v>4994.6000000000004</v>
      </c>
    </row>
    <row r="169" spans="1:18" s="13" customFormat="1" ht="15" customHeight="1" x14ac:dyDescent="0.25">
      <c r="A169" s="229"/>
      <c r="B169" s="30" t="s">
        <v>98</v>
      </c>
      <c r="C169" s="181" t="s">
        <v>17</v>
      </c>
      <c r="D169" s="182"/>
      <c r="E169" s="194" t="s">
        <v>35</v>
      </c>
      <c r="F169" s="73" t="s">
        <v>406</v>
      </c>
      <c r="G169" s="74" t="s">
        <v>112</v>
      </c>
      <c r="H169" s="75">
        <v>26</v>
      </c>
      <c r="I169" s="76">
        <v>20</v>
      </c>
      <c r="J169" s="96">
        <f>1+2+1+1+4+4+1</f>
        <v>14</v>
      </c>
      <c r="K169" s="77">
        <f>845.24+1764.25+8353.03+1298.98+7610.68+13826.64+2752.31+9720.26</f>
        <v>46171.39</v>
      </c>
      <c r="L169" s="77">
        <f>845.24+1764.25+8353.03+1298.98+7610.68+13826.64</f>
        <v>33698.82</v>
      </c>
      <c r="M169" s="78">
        <f>K169-L169</f>
        <v>12472.57</v>
      </c>
      <c r="N169" s="100">
        <f>9+1+1+4+2+1+2+4+2</f>
        <v>26</v>
      </c>
      <c r="O169" s="81">
        <f>73585.55+12034.56+5680.01-5067.39</f>
        <v>86232.73</v>
      </c>
      <c r="P169" s="81">
        <f>73585.55+12034.56</f>
        <v>85620.11</v>
      </c>
      <c r="Q169" s="79">
        <f t="shared" si="14"/>
        <v>612.61999999999534</v>
      </c>
      <c r="R169" s="141"/>
    </row>
    <row r="170" spans="1:18" s="13" customFormat="1" ht="15" customHeight="1" x14ac:dyDescent="0.25">
      <c r="A170" s="229"/>
      <c r="B170" s="30" t="s">
        <v>98</v>
      </c>
      <c r="C170" s="181" t="s">
        <v>17</v>
      </c>
      <c r="D170" s="182"/>
      <c r="E170" s="194" t="s">
        <v>35</v>
      </c>
      <c r="F170" s="73" t="s">
        <v>435</v>
      </c>
      <c r="G170" s="235" t="s">
        <v>117</v>
      </c>
      <c r="H170" s="181">
        <v>3</v>
      </c>
      <c r="I170" s="231">
        <v>2</v>
      </c>
      <c r="J170" s="96">
        <v>2</v>
      </c>
      <c r="K170" s="77">
        <v>2486.83</v>
      </c>
      <c r="L170" s="77">
        <v>2486.83</v>
      </c>
      <c r="M170" s="78">
        <f t="shared" si="17"/>
        <v>0</v>
      </c>
      <c r="N170" s="100">
        <v>5</v>
      </c>
      <c r="O170" s="77">
        <v>18950.45</v>
      </c>
      <c r="P170" s="77">
        <v>18950.45</v>
      </c>
      <c r="Q170" s="232">
        <f t="shared" si="14"/>
        <v>0</v>
      </c>
    </row>
    <row r="171" spans="1:18" s="13" customFormat="1" ht="15" customHeight="1" x14ac:dyDescent="0.25">
      <c r="A171" s="229"/>
      <c r="B171" s="30" t="s">
        <v>488</v>
      </c>
      <c r="C171" s="181" t="s">
        <v>17</v>
      </c>
      <c r="D171" s="182"/>
      <c r="E171" s="194" t="s">
        <v>97</v>
      </c>
      <c r="F171" s="73" t="s">
        <v>498</v>
      </c>
      <c r="G171" s="235" t="s">
        <v>112</v>
      </c>
      <c r="H171" s="181">
        <v>9</v>
      </c>
      <c r="I171" s="231">
        <v>5</v>
      </c>
      <c r="J171" s="96">
        <f>4+1</f>
        <v>5</v>
      </c>
      <c r="K171" s="77">
        <f>1535.8+576.3</f>
        <v>2112.1</v>
      </c>
      <c r="L171" s="77">
        <v>1535.8</v>
      </c>
      <c r="M171" s="78">
        <f t="shared" si="17"/>
        <v>576.29999999999995</v>
      </c>
      <c r="N171" s="100"/>
      <c r="O171" s="77"/>
      <c r="P171" s="77"/>
      <c r="Q171" s="232"/>
    </row>
    <row r="172" spans="1:18" s="15" customFormat="1" ht="15" customHeight="1" x14ac:dyDescent="0.25">
      <c r="A172" s="229"/>
      <c r="B172" s="30" t="s">
        <v>99</v>
      </c>
      <c r="C172" s="181" t="s">
        <v>17</v>
      </c>
      <c r="D172" s="182"/>
      <c r="E172" s="183" t="s">
        <v>32</v>
      </c>
      <c r="F172" s="73" t="s">
        <v>418</v>
      </c>
      <c r="G172" s="74" t="s">
        <v>112</v>
      </c>
      <c r="H172" s="75"/>
      <c r="I172" s="76"/>
      <c r="J172" s="96"/>
      <c r="K172" s="77"/>
      <c r="L172" s="77"/>
      <c r="M172" s="78">
        <f t="shared" si="17"/>
        <v>0</v>
      </c>
      <c r="N172" s="100"/>
      <c r="O172" s="81"/>
      <c r="P172" s="81"/>
      <c r="Q172" s="79">
        <f t="shared" si="14"/>
        <v>0</v>
      </c>
      <c r="R172" s="141"/>
    </row>
    <row r="173" spans="1:18" s="15" customFormat="1" ht="15" customHeight="1" x14ac:dyDescent="0.25">
      <c r="A173" s="229"/>
      <c r="B173" s="30" t="s">
        <v>99</v>
      </c>
      <c r="C173" s="181" t="s">
        <v>17</v>
      </c>
      <c r="D173" s="182"/>
      <c r="E173" s="183" t="s">
        <v>32</v>
      </c>
      <c r="F173" s="73" t="s">
        <v>423</v>
      </c>
      <c r="G173" s="235" t="s">
        <v>117</v>
      </c>
      <c r="H173" s="181"/>
      <c r="I173" s="231"/>
      <c r="J173" s="190"/>
      <c r="K173" s="77"/>
      <c r="L173" s="77"/>
      <c r="M173" s="78">
        <f t="shared" si="17"/>
        <v>0</v>
      </c>
      <c r="N173" s="114"/>
      <c r="O173" s="77"/>
      <c r="P173" s="77"/>
      <c r="Q173" s="232">
        <f t="shared" si="14"/>
        <v>0</v>
      </c>
    </row>
    <row r="174" spans="1:18" s="15" customFormat="1" ht="15" customHeight="1" x14ac:dyDescent="0.25">
      <c r="A174" s="229"/>
      <c r="B174" s="30" t="s">
        <v>144</v>
      </c>
      <c r="C174" s="181" t="s">
        <v>304</v>
      </c>
      <c r="D174" s="182" t="s">
        <v>313</v>
      </c>
      <c r="E174" s="194" t="s">
        <v>97</v>
      </c>
      <c r="F174" s="73" t="s">
        <v>407</v>
      </c>
      <c r="G174" s="66" t="s">
        <v>112</v>
      </c>
      <c r="H174" s="75">
        <v>15</v>
      </c>
      <c r="I174" s="76">
        <v>14</v>
      </c>
      <c r="J174" s="98">
        <f>2+2+1+3+1+1+5+2</f>
        <v>17</v>
      </c>
      <c r="K174" s="77">
        <f>950.9+1449.39+2272.32+2785.92+5112.01+6655.23</f>
        <v>19225.77</v>
      </c>
      <c r="L174" s="77">
        <f>950.9+1449.39+2272.32+2785.92+5112.01</f>
        <v>12570.54</v>
      </c>
      <c r="M174" s="78">
        <f>K174-L174</f>
        <v>6655.23</v>
      </c>
      <c r="N174" s="100">
        <f>3+2+1+1+1+1</f>
        <v>9</v>
      </c>
      <c r="O174" s="77">
        <f>5020.57+5566.06+2694.94+845.24</f>
        <v>14126.810000000001</v>
      </c>
      <c r="P174" s="77">
        <f>5020.57+5566.06+2694.94+845.24</f>
        <v>14126.810000000001</v>
      </c>
      <c r="Q174" s="79">
        <f t="shared" si="14"/>
        <v>0</v>
      </c>
      <c r="R174" s="141"/>
    </row>
    <row r="175" spans="1:18" s="15" customFormat="1" ht="15" customHeight="1" x14ac:dyDescent="0.25">
      <c r="A175" s="229"/>
      <c r="B175" s="30" t="s">
        <v>488</v>
      </c>
      <c r="C175" s="181"/>
      <c r="D175" s="182"/>
      <c r="E175" s="194"/>
      <c r="F175" s="73" t="s">
        <v>509</v>
      </c>
      <c r="G175" s="66" t="s">
        <v>114</v>
      </c>
      <c r="H175" s="75">
        <v>19</v>
      </c>
      <c r="I175" s="76">
        <v>8</v>
      </c>
      <c r="J175" s="98">
        <v>8</v>
      </c>
      <c r="K175" s="77">
        <v>13216.48</v>
      </c>
      <c r="L175" s="77">
        <v>13216.48</v>
      </c>
      <c r="M175" s="187">
        <f t="shared" ref="M175:M177" si="22">K175-L175</f>
        <v>0</v>
      </c>
      <c r="N175" s="100"/>
      <c r="O175" s="77"/>
      <c r="P175" s="77"/>
      <c r="Q175" s="232">
        <f t="shared" si="14"/>
        <v>0</v>
      </c>
    </row>
    <row r="176" spans="1:18" s="15" customFormat="1" ht="15" customHeight="1" x14ac:dyDescent="0.25">
      <c r="A176" s="229"/>
      <c r="B176" s="30" t="s">
        <v>488</v>
      </c>
      <c r="C176" s="181"/>
      <c r="D176" s="182"/>
      <c r="E176" s="194"/>
      <c r="F176" s="73" t="s">
        <v>512</v>
      </c>
      <c r="G176" s="66" t="s">
        <v>113</v>
      </c>
      <c r="H176" s="75">
        <v>11</v>
      </c>
      <c r="I176" s="76">
        <v>5</v>
      </c>
      <c r="J176" s="98">
        <v>5</v>
      </c>
      <c r="K176" s="77">
        <v>7271</v>
      </c>
      <c r="L176" s="77">
        <v>6109</v>
      </c>
      <c r="M176" s="78">
        <f t="shared" si="22"/>
        <v>1162</v>
      </c>
      <c r="N176" s="100"/>
      <c r="O176" s="77"/>
      <c r="P176" s="77"/>
      <c r="Q176" s="79"/>
    </row>
    <row r="177" spans="1:18" s="15" customFormat="1" ht="15" customHeight="1" x14ac:dyDescent="0.25">
      <c r="A177" s="229"/>
      <c r="B177" s="238" t="s">
        <v>144</v>
      </c>
      <c r="C177" s="181" t="s">
        <v>446</v>
      </c>
      <c r="D177" s="182" t="s">
        <v>313</v>
      </c>
      <c r="E177" s="183" t="s">
        <v>20</v>
      </c>
      <c r="F177" s="73" t="s">
        <v>485</v>
      </c>
      <c r="G177" s="235" t="s">
        <v>114</v>
      </c>
      <c r="H177" s="181">
        <v>26</v>
      </c>
      <c r="I177" s="234">
        <v>7</v>
      </c>
      <c r="J177" s="202">
        <v>7</v>
      </c>
      <c r="K177" s="77">
        <v>14029</v>
      </c>
      <c r="L177" s="77">
        <v>9412.9</v>
      </c>
      <c r="M177" s="187">
        <f t="shared" si="22"/>
        <v>4616.1000000000004</v>
      </c>
      <c r="N177" s="100">
        <v>21</v>
      </c>
      <c r="O177" s="224">
        <v>53276.800000000003</v>
      </c>
      <c r="P177" s="224">
        <v>44847.4</v>
      </c>
      <c r="Q177" s="232">
        <f t="shared" ref="Q177" si="23">O177-P177</f>
        <v>8429.4000000000015</v>
      </c>
    </row>
    <row r="178" spans="1:18" s="21" customFormat="1" ht="15" customHeight="1" x14ac:dyDescent="0.25">
      <c r="A178" s="181"/>
      <c r="B178" s="30" t="s">
        <v>100</v>
      </c>
      <c r="C178" s="181" t="s">
        <v>304</v>
      </c>
      <c r="D178" s="182" t="s">
        <v>416</v>
      </c>
      <c r="E178" s="194" t="s">
        <v>20</v>
      </c>
      <c r="F178" s="73" t="s">
        <v>408</v>
      </c>
      <c r="G178" s="27" t="s">
        <v>112</v>
      </c>
      <c r="H178" s="75">
        <v>12</v>
      </c>
      <c r="I178" s="76">
        <v>6</v>
      </c>
      <c r="J178" s="98">
        <f>5+1</f>
        <v>6</v>
      </c>
      <c r="K178" s="86">
        <f>6524.55+600.31</f>
        <v>7124.8600000000006</v>
      </c>
      <c r="L178" s="86">
        <f>6524.55+600.31</f>
        <v>7124.8600000000006</v>
      </c>
      <c r="M178" s="78">
        <f>K178-L178</f>
        <v>0</v>
      </c>
      <c r="N178" s="100">
        <f>1+3</f>
        <v>4</v>
      </c>
      <c r="O178" s="87">
        <f>10770.58+2113.01</f>
        <v>12883.59</v>
      </c>
      <c r="P178" s="87">
        <f>10770.58+2113.01</f>
        <v>12883.59</v>
      </c>
      <c r="Q178" s="79">
        <f t="shared" si="14"/>
        <v>0</v>
      </c>
      <c r="R178" s="141"/>
    </row>
    <row r="179" spans="1:18" s="21" customFormat="1" ht="15" customHeight="1" x14ac:dyDescent="0.25">
      <c r="A179" s="181"/>
      <c r="B179" s="30" t="s">
        <v>100</v>
      </c>
      <c r="C179" s="203" t="s">
        <v>125</v>
      </c>
      <c r="D179" s="182" t="s">
        <v>126</v>
      </c>
      <c r="E179" s="194" t="s">
        <v>20</v>
      </c>
      <c r="F179" s="73" t="s">
        <v>486</v>
      </c>
      <c r="G179" s="236" t="s">
        <v>114</v>
      </c>
      <c r="H179" s="181">
        <v>9</v>
      </c>
      <c r="I179" s="234"/>
      <c r="J179" s="202"/>
      <c r="K179" s="86"/>
      <c r="L179" s="86"/>
      <c r="M179" s="187">
        <f t="shared" ref="M179" si="24">K179-L179</f>
        <v>0</v>
      </c>
      <c r="N179" s="100"/>
      <c r="O179" s="239"/>
      <c r="P179" s="239"/>
      <c r="Q179" s="232">
        <f t="shared" si="14"/>
        <v>0</v>
      </c>
    </row>
    <row r="180" spans="1:18" s="13" customFormat="1" ht="15" customHeight="1" x14ac:dyDescent="0.25">
      <c r="A180" s="229"/>
      <c r="B180" s="62" t="s">
        <v>101</v>
      </c>
      <c r="C180" s="181" t="s">
        <v>17</v>
      </c>
      <c r="D180" s="182"/>
      <c r="E180" s="194" t="s">
        <v>20</v>
      </c>
      <c r="F180" s="73" t="s">
        <v>409</v>
      </c>
      <c r="G180" s="74" t="s">
        <v>112</v>
      </c>
      <c r="H180" s="75">
        <v>11</v>
      </c>
      <c r="I180" s="76">
        <v>7</v>
      </c>
      <c r="J180" s="96">
        <f>1+5+1+1+2</f>
        <v>10</v>
      </c>
      <c r="K180" s="77">
        <f>1045.98+3354.45+1225.93+742.59</f>
        <v>6368.9500000000007</v>
      </c>
      <c r="L180" s="77">
        <f>1045.98+3354.45+1225.93</f>
        <v>5626.3600000000006</v>
      </c>
      <c r="M180" s="78">
        <f t="shared" si="17"/>
        <v>742.59000000000015</v>
      </c>
      <c r="N180" s="100">
        <f>5+2+1+1</f>
        <v>9</v>
      </c>
      <c r="O180" s="81">
        <f>6288.07+3061.62+3426.18+12951.18</f>
        <v>25727.05</v>
      </c>
      <c r="P180" s="81">
        <f>6288.07+3061.62+3426.18+12951.18</f>
        <v>25727.05</v>
      </c>
      <c r="Q180" s="79">
        <f t="shared" si="14"/>
        <v>0</v>
      </c>
      <c r="R180" s="141"/>
    </row>
    <row r="181" spans="1:18" s="13" customFormat="1" ht="15" customHeight="1" x14ac:dyDescent="0.25">
      <c r="A181" s="229"/>
      <c r="B181" s="62" t="s">
        <v>146</v>
      </c>
      <c r="C181" s="181" t="s">
        <v>17</v>
      </c>
      <c r="D181" s="182"/>
      <c r="E181" s="194" t="s">
        <v>20</v>
      </c>
      <c r="F181" s="73" t="s">
        <v>410</v>
      </c>
      <c r="G181" s="74" t="s">
        <v>112</v>
      </c>
      <c r="H181" s="75">
        <v>11</v>
      </c>
      <c r="I181" s="76">
        <v>9</v>
      </c>
      <c r="J181" s="96">
        <f>4+1+1+2</f>
        <v>8</v>
      </c>
      <c r="K181" s="77">
        <f>4610.77+1568.98+1854.88+422.62+1334.13</f>
        <v>9791.380000000001</v>
      </c>
      <c r="L181" s="77">
        <f>4610.77+1568.98+1854.88</f>
        <v>8034.63</v>
      </c>
      <c r="M181" s="78">
        <f t="shared" si="17"/>
        <v>1756.7500000000009</v>
      </c>
      <c r="N181" s="100">
        <f>5+1+1+2+1</f>
        <v>10</v>
      </c>
      <c r="O181" s="81">
        <f>13579.06+1287.07+2636.18+26196.83</f>
        <v>43699.14</v>
      </c>
      <c r="P181" s="81">
        <f>13579.06+1287.07+2636.18+26196.83</f>
        <v>43699.14</v>
      </c>
      <c r="Q181" s="232">
        <f t="shared" si="14"/>
        <v>0</v>
      </c>
      <c r="R181" s="141"/>
    </row>
    <row r="182" spans="1:18" s="13" customFormat="1" ht="15" customHeight="1" x14ac:dyDescent="0.25">
      <c r="A182" s="229"/>
      <c r="B182" s="62" t="s">
        <v>146</v>
      </c>
      <c r="C182" s="181" t="s">
        <v>17</v>
      </c>
      <c r="D182" s="182"/>
      <c r="E182" s="183" t="s">
        <v>21</v>
      </c>
      <c r="F182" s="73" t="s">
        <v>443</v>
      </c>
      <c r="G182" s="230" t="s">
        <v>118</v>
      </c>
      <c r="H182" s="181">
        <v>8</v>
      </c>
      <c r="I182" s="234">
        <v>1</v>
      </c>
      <c r="J182" s="190">
        <v>1</v>
      </c>
      <c r="K182" s="193">
        <v>1152.5999999999999</v>
      </c>
      <c r="L182" s="193">
        <v>1152.5999999999999</v>
      </c>
      <c r="M182" s="187">
        <f t="shared" si="17"/>
        <v>0</v>
      </c>
      <c r="N182" s="114">
        <v>5</v>
      </c>
      <c r="O182" s="224">
        <v>5349.99</v>
      </c>
      <c r="P182" s="224">
        <v>5349.99</v>
      </c>
      <c r="Q182" s="79">
        <f t="shared" si="14"/>
        <v>0</v>
      </c>
    </row>
    <row r="183" spans="1:18" s="13" customFormat="1" ht="15" customHeight="1" x14ac:dyDescent="0.25">
      <c r="A183" s="229"/>
      <c r="B183" s="27" t="s">
        <v>102</v>
      </c>
      <c r="C183" s="181" t="s">
        <v>17</v>
      </c>
      <c r="D183" s="182"/>
      <c r="E183" s="194" t="s">
        <v>20</v>
      </c>
      <c r="F183" s="73" t="s">
        <v>411</v>
      </c>
      <c r="G183" s="74" t="s">
        <v>112</v>
      </c>
      <c r="H183" s="75">
        <v>10</v>
      </c>
      <c r="I183" s="76">
        <v>7</v>
      </c>
      <c r="J183" s="96">
        <f>1+1+2+1+2</f>
        <v>7</v>
      </c>
      <c r="K183" s="77">
        <f>845.24+845.24+1690.48+1394.65+2689.38</f>
        <v>7464.9900000000007</v>
      </c>
      <c r="L183" s="77">
        <f>845.24+845.24+1690.48+1394.65</f>
        <v>4775.6100000000006</v>
      </c>
      <c r="M183" s="78">
        <f>K183-L183</f>
        <v>2689.38</v>
      </c>
      <c r="N183" s="100">
        <f>3+1+1</f>
        <v>5</v>
      </c>
      <c r="O183" s="81">
        <f>7808.21+30833.77-12193.52+9963.17</f>
        <v>36411.630000000005</v>
      </c>
      <c r="P183" s="81">
        <f>7808.21+30833.77-12193.52+9963.17</f>
        <v>36411.630000000005</v>
      </c>
      <c r="Q183" s="232">
        <f t="shared" si="14"/>
        <v>0</v>
      </c>
      <c r="R183" s="141"/>
    </row>
    <row r="184" spans="1:18" s="13" customFormat="1" ht="15" customHeight="1" x14ac:dyDescent="0.25">
      <c r="A184" s="229"/>
      <c r="B184" s="27" t="s">
        <v>102</v>
      </c>
      <c r="C184" s="181" t="s">
        <v>17</v>
      </c>
      <c r="D184" s="182"/>
      <c r="E184" s="194" t="s">
        <v>20</v>
      </c>
      <c r="F184" s="73" t="s">
        <v>469</v>
      </c>
      <c r="G184" s="230" t="s">
        <v>114</v>
      </c>
      <c r="H184" s="181">
        <v>10</v>
      </c>
      <c r="I184" s="231">
        <v>3</v>
      </c>
      <c r="J184" s="190">
        <v>3</v>
      </c>
      <c r="K184" s="77">
        <v>1267.8599999999999</v>
      </c>
      <c r="L184" s="77">
        <v>1267.8599999999999</v>
      </c>
      <c r="M184" s="187">
        <f t="shared" ref="M184" si="25">K184-L184</f>
        <v>0</v>
      </c>
      <c r="N184" s="100">
        <v>8</v>
      </c>
      <c r="O184" s="224">
        <v>19552.72</v>
      </c>
      <c r="P184" s="224">
        <v>19552.72</v>
      </c>
      <c r="Q184" s="232">
        <f t="shared" si="14"/>
        <v>0</v>
      </c>
    </row>
    <row r="185" spans="1:18" s="13" customFormat="1" ht="15" customHeight="1" x14ac:dyDescent="0.25">
      <c r="A185" s="229"/>
      <c r="B185" s="27" t="s">
        <v>103</v>
      </c>
      <c r="C185" s="181" t="s">
        <v>17</v>
      </c>
      <c r="D185" s="182"/>
      <c r="E185" s="183" t="s">
        <v>20</v>
      </c>
      <c r="F185" s="73" t="s">
        <v>412</v>
      </c>
      <c r="G185" s="74" t="s">
        <v>112</v>
      </c>
      <c r="H185" s="75">
        <v>11</v>
      </c>
      <c r="I185" s="76">
        <v>7</v>
      </c>
      <c r="J185" s="96">
        <f>4+1+2</f>
        <v>7</v>
      </c>
      <c r="K185" s="77">
        <f>16248.67+1092.81+2003.49</f>
        <v>19344.97</v>
      </c>
      <c r="L185" s="77">
        <f>16248.67</f>
        <v>16248.67</v>
      </c>
      <c r="M185" s="78">
        <f>K185-L185</f>
        <v>3096.3000000000011</v>
      </c>
      <c r="N185" s="100">
        <f>7+2+1+1</f>
        <v>11</v>
      </c>
      <c r="O185" s="77">
        <f>20193.14+7541.5</f>
        <v>27734.639999999999</v>
      </c>
      <c r="P185" s="77">
        <f>20193.14</f>
        <v>20193.14</v>
      </c>
      <c r="Q185" s="232">
        <f t="shared" si="14"/>
        <v>7541.5</v>
      </c>
      <c r="R185" s="141"/>
    </row>
    <row r="186" spans="1:18" s="13" customFormat="1" ht="15" customHeight="1" x14ac:dyDescent="0.25">
      <c r="A186" s="229"/>
      <c r="B186" s="27" t="s">
        <v>103</v>
      </c>
      <c r="C186" s="181" t="s">
        <v>17</v>
      </c>
      <c r="D186" s="182"/>
      <c r="E186" s="183" t="s">
        <v>20</v>
      </c>
      <c r="F186" s="73" t="s">
        <v>470</v>
      </c>
      <c r="G186" s="230" t="s">
        <v>114</v>
      </c>
      <c r="H186" s="181">
        <v>11</v>
      </c>
      <c r="I186" s="231">
        <v>1</v>
      </c>
      <c r="J186" s="190">
        <v>1</v>
      </c>
      <c r="K186" s="77">
        <v>1728.9</v>
      </c>
      <c r="L186" s="77">
        <v>1728.9</v>
      </c>
      <c r="M186" s="187">
        <f t="shared" ref="M186:M188" si="26">K186-L186</f>
        <v>0</v>
      </c>
      <c r="N186" s="100">
        <v>4</v>
      </c>
      <c r="O186" s="224">
        <v>10431.89</v>
      </c>
      <c r="P186" s="224">
        <v>10431.89</v>
      </c>
      <c r="Q186" s="232">
        <f t="shared" si="14"/>
        <v>0</v>
      </c>
    </row>
    <row r="187" spans="1:18" s="15" customFormat="1" ht="15" customHeight="1" x14ac:dyDescent="0.25">
      <c r="A187" s="229"/>
      <c r="B187" s="27" t="s">
        <v>104</v>
      </c>
      <c r="C187" s="181" t="s">
        <v>17</v>
      </c>
      <c r="D187" s="182"/>
      <c r="E187" s="183" t="s">
        <v>20</v>
      </c>
      <c r="F187" s="73" t="s">
        <v>413</v>
      </c>
      <c r="G187" s="74" t="s">
        <v>112</v>
      </c>
      <c r="H187" s="75">
        <v>11</v>
      </c>
      <c r="I187" s="76">
        <v>6</v>
      </c>
      <c r="J187" s="96">
        <f>3+1+2</f>
        <v>6</v>
      </c>
      <c r="K187" s="77">
        <f>5112.82+422.64</f>
        <v>5535.46</v>
      </c>
      <c r="L187" s="77">
        <f>5112.82+422.64</f>
        <v>5535.46</v>
      </c>
      <c r="M187" s="78">
        <f>K187-L187</f>
        <v>0</v>
      </c>
      <c r="N187" s="100">
        <f>4+1+1+2</f>
        <v>8</v>
      </c>
      <c r="O187" s="81">
        <f>7087.22+3426.18+3496.22</f>
        <v>14009.619999999999</v>
      </c>
      <c r="P187" s="81">
        <f>7087.22+3426.18+3496.22</f>
        <v>14009.619999999999</v>
      </c>
      <c r="Q187" s="232">
        <f t="shared" si="14"/>
        <v>0</v>
      </c>
      <c r="R187" s="141"/>
    </row>
    <row r="188" spans="1:18" s="15" customFormat="1" ht="15" customHeight="1" x14ac:dyDescent="0.25">
      <c r="A188" s="229"/>
      <c r="B188" s="27" t="s">
        <v>104</v>
      </c>
      <c r="C188" s="181" t="s">
        <v>17</v>
      </c>
      <c r="D188" s="182"/>
      <c r="E188" s="183" t="s">
        <v>20</v>
      </c>
      <c r="F188" s="73" t="s">
        <v>471</v>
      </c>
      <c r="G188" s="230" t="s">
        <v>114</v>
      </c>
      <c r="H188" s="181">
        <v>30</v>
      </c>
      <c r="I188" s="231">
        <v>6</v>
      </c>
      <c r="J188" s="190">
        <v>6</v>
      </c>
      <c r="K188" s="77">
        <v>6646.48</v>
      </c>
      <c r="L188" s="77">
        <v>6646.48</v>
      </c>
      <c r="M188" s="187">
        <f t="shared" si="26"/>
        <v>0</v>
      </c>
      <c r="N188" s="114">
        <v>18</v>
      </c>
      <c r="O188" s="224">
        <v>29848.55</v>
      </c>
      <c r="P188" s="224">
        <v>29848.55</v>
      </c>
      <c r="Q188" s="232">
        <f t="shared" si="14"/>
        <v>0</v>
      </c>
    </row>
    <row r="189" spans="1:18" s="13" customFormat="1" ht="15" customHeight="1" x14ac:dyDescent="0.25">
      <c r="A189" s="229"/>
      <c r="B189" s="30" t="s">
        <v>26</v>
      </c>
      <c r="C189" s="181" t="s">
        <v>17</v>
      </c>
      <c r="D189" s="182"/>
      <c r="E189" s="183" t="s">
        <v>32</v>
      </c>
      <c r="F189" s="73" t="s">
        <v>246</v>
      </c>
      <c r="G189" s="74" t="s">
        <v>117</v>
      </c>
      <c r="H189" s="75"/>
      <c r="I189" s="76"/>
      <c r="J189" s="96"/>
      <c r="K189" s="77"/>
      <c r="L189" s="77"/>
      <c r="M189" s="78">
        <f t="shared" si="17"/>
        <v>0</v>
      </c>
      <c r="N189" s="100">
        <v>5</v>
      </c>
      <c r="O189" s="81">
        <v>7808.15</v>
      </c>
      <c r="P189" s="81">
        <v>7808.15</v>
      </c>
      <c r="Q189" s="232">
        <f t="shared" si="14"/>
        <v>0</v>
      </c>
    </row>
    <row r="190" spans="1:18" s="13" customFormat="1" ht="15" customHeight="1" x14ac:dyDescent="0.25">
      <c r="A190" s="229"/>
      <c r="B190" s="62" t="s">
        <v>106</v>
      </c>
      <c r="C190" s="181" t="s">
        <v>17</v>
      </c>
      <c r="D190" s="205"/>
      <c r="E190" s="194" t="s">
        <v>20</v>
      </c>
      <c r="F190" s="73" t="s">
        <v>414</v>
      </c>
      <c r="G190" s="74" t="s">
        <v>112</v>
      </c>
      <c r="H190" s="75">
        <v>10</v>
      </c>
      <c r="I190" s="76">
        <v>4</v>
      </c>
      <c r="J190" s="96">
        <f>1+4</f>
        <v>5</v>
      </c>
      <c r="K190" s="77">
        <f>3125.9</f>
        <v>3125.9</v>
      </c>
      <c r="L190" s="77"/>
      <c r="M190" s="78">
        <f>K190-L190</f>
        <v>3125.9</v>
      </c>
      <c r="N190" s="100">
        <f>3+1</f>
        <v>4</v>
      </c>
      <c r="O190" s="81">
        <f>15956.85+4551.62+19965.34</f>
        <v>40473.81</v>
      </c>
      <c r="P190" s="81">
        <f>15956.85+4551.62</f>
        <v>20508.47</v>
      </c>
      <c r="Q190" s="232">
        <f t="shared" si="14"/>
        <v>19965.339999999997</v>
      </c>
      <c r="R190" s="141"/>
    </row>
    <row r="191" spans="1:18" ht="15" customHeight="1" x14ac:dyDescent="0.25">
      <c r="A191" s="243"/>
      <c r="B191" s="66"/>
      <c r="C191" s="244"/>
      <c r="D191" s="235"/>
      <c r="E191" s="235"/>
      <c r="F191" s="73"/>
      <c r="G191" s="235" t="s">
        <v>131</v>
      </c>
      <c r="H191" s="240">
        <f>SUM(H10:H190)</f>
        <v>2025</v>
      </c>
      <c r="I191" s="242">
        <f>SUM(I10:I190)</f>
        <v>1026</v>
      </c>
      <c r="J191" s="208">
        <f>SUM(J10:J190)</f>
        <v>1200</v>
      </c>
      <c r="K191" s="209">
        <f>SUM(K10:K190)</f>
        <v>1928186.4650000001</v>
      </c>
      <c r="L191" s="209">
        <f>SUM(L10:L190)</f>
        <v>1576276.1050000011</v>
      </c>
      <c r="M191" s="210">
        <f>K191-L191</f>
        <v>351910.35999999894</v>
      </c>
      <c r="N191" s="208">
        <f>SUM(N10:N190)</f>
        <v>1665</v>
      </c>
      <c r="O191" s="241">
        <f>SUM(O10:O190)</f>
        <v>4905945.71</v>
      </c>
      <c r="P191" s="241">
        <f>SUM(P10:P190)</f>
        <v>4680958.1899999985</v>
      </c>
      <c r="Q191" s="79">
        <f t="shared" si="14"/>
        <v>224987.52000000142</v>
      </c>
      <c r="R191" s="129"/>
    </row>
    <row r="192" spans="1:18" x14ac:dyDescent="0.25">
      <c r="K192" s="91" t="s">
        <v>305</v>
      </c>
    </row>
    <row r="193" spans="2:17" ht="45" x14ac:dyDescent="0.25">
      <c r="B193" s="89" t="s">
        <v>316</v>
      </c>
      <c r="F193" s="104" t="s">
        <v>317</v>
      </c>
      <c r="M193" s="142"/>
      <c r="Q193" s="133"/>
    </row>
    <row r="194" spans="2:17" x14ac:dyDescent="0.25">
      <c r="M194" s="216"/>
    </row>
  </sheetData>
  <mergeCells count="7">
    <mergeCell ref="O1:Q1"/>
    <mergeCell ref="A3:Q3"/>
    <mergeCell ref="A4:Q4"/>
    <mergeCell ref="A5:Q5"/>
    <mergeCell ref="B7:G7"/>
    <mergeCell ref="H7:M7"/>
    <mergeCell ref="N7:Q7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85"/>
  <sheetViews>
    <sheetView workbookViewId="0">
      <selection sqref="A1:XFD1048576"/>
    </sheetView>
  </sheetViews>
  <sheetFormatPr defaultRowHeight="15" x14ac:dyDescent="0.25"/>
  <cols>
    <col min="1" max="1" width="4" style="6" customWidth="1"/>
    <col min="2" max="2" width="37.5703125" style="88" customWidth="1"/>
    <col min="3" max="3" width="6.5703125" style="19" customWidth="1"/>
    <col min="4" max="4" width="10.140625" style="19" customWidth="1"/>
    <col min="5" max="5" width="19" style="19" customWidth="1"/>
    <col min="6" max="6" width="21.7109375" style="89" customWidth="1"/>
    <col min="7" max="7" width="22.7109375" style="89" customWidth="1"/>
    <col min="8" max="9" width="10.7109375" style="90" customWidth="1"/>
    <col min="10" max="10" width="8.42578125" style="99" customWidth="1"/>
    <col min="11" max="13" width="15.7109375" style="91" customWidth="1"/>
    <col min="14" max="14" width="10.7109375" style="99" customWidth="1"/>
    <col min="15" max="16" width="15.7109375" style="92" customWidth="1"/>
    <col min="17" max="17" width="18.28515625" style="92" customWidth="1"/>
    <col min="18" max="19" width="9.42578125" style="6" customWidth="1"/>
    <col min="20" max="21" width="9.140625" style="6" customWidth="1"/>
    <col min="22" max="16384" width="9.140625" style="6"/>
  </cols>
  <sheetData>
    <row r="1" spans="1:17" s="105" customFormat="1" x14ac:dyDescent="0.25">
      <c r="B1" s="60"/>
      <c r="C1" s="4"/>
      <c r="D1" s="4"/>
      <c r="E1" s="4"/>
      <c r="F1" s="63"/>
      <c r="G1" s="63"/>
      <c r="H1" s="64"/>
      <c r="I1" s="64"/>
      <c r="J1" s="93"/>
      <c r="K1" s="65"/>
      <c r="L1" s="65"/>
      <c r="M1" s="65"/>
      <c r="N1" s="93"/>
      <c r="O1" s="362" t="s">
        <v>15</v>
      </c>
      <c r="P1" s="362"/>
      <c r="Q1" s="362"/>
    </row>
    <row r="2" spans="1:17" s="105" customFormat="1" x14ac:dyDescent="0.25">
      <c r="A2" s="7"/>
      <c r="B2" s="113"/>
      <c r="C2" s="107"/>
      <c r="D2" s="107"/>
      <c r="E2" s="107"/>
      <c r="F2" s="66"/>
      <c r="G2" s="66"/>
      <c r="H2" s="112"/>
      <c r="I2" s="112"/>
      <c r="J2" s="94"/>
      <c r="K2" s="67"/>
      <c r="L2" s="67"/>
      <c r="M2" s="67"/>
      <c r="N2" s="94"/>
      <c r="O2" s="68"/>
      <c r="P2" s="68"/>
      <c r="Q2" s="68"/>
    </row>
    <row r="3" spans="1:17" s="105" customFormat="1" x14ac:dyDescent="0.25">
      <c r="A3" s="363" t="s">
        <v>318</v>
      </c>
      <c r="B3" s="364"/>
      <c r="C3" s="363"/>
      <c r="D3" s="363"/>
      <c r="E3" s="363"/>
      <c r="F3" s="364"/>
      <c r="G3" s="364"/>
      <c r="H3" s="365"/>
      <c r="I3" s="366"/>
      <c r="J3" s="367"/>
      <c r="K3" s="364"/>
      <c r="L3" s="364"/>
      <c r="M3" s="364"/>
      <c r="N3" s="364"/>
      <c r="O3" s="364"/>
      <c r="P3" s="364"/>
      <c r="Q3" s="364"/>
    </row>
    <row r="4" spans="1:17" s="105" customFormat="1" x14ac:dyDescent="0.25">
      <c r="A4" s="368">
        <v>43486</v>
      </c>
      <c r="B4" s="369"/>
      <c r="C4" s="370"/>
      <c r="D4" s="370"/>
      <c r="E4" s="370"/>
      <c r="F4" s="369"/>
      <c r="G4" s="369"/>
      <c r="H4" s="371"/>
      <c r="I4" s="372"/>
      <c r="J4" s="373"/>
      <c r="K4" s="369"/>
      <c r="L4" s="369"/>
      <c r="M4" s="369"/>
      <c r="N4" s="369"/>
      <c r="O4" s="369"/>
      <c r="P4" s="369"/>
      <c r="Q4" s="369"/>
    </row>
    <row r="5" spans="1:17" s="105" customFormat="1" x14ac:dyDescent="0.25">
      <c r="A5" s="374" t="s">
        <v>14</v>
      </c>
      <c r="B5" s="367"/>
      <c r="C5" s="374"/>
      <c r="D5" s="374"/>
      <c r="E5" s="374"/>
      <c r="F5" s="367"/>
      <c r="G5" s="367"/>
      <c r="H5" s="366"/>
      <c r="I5" s="366"/>
      <c r="J5" s="367"/>
      <c r="K5" s="367"/>
      <c r="L5" s="367"/>
      <c r="M5" s="367"/>
      <c r="N5" s="367"/>
      <c r="O5" s="367"/>
      <c r="P5" s="367"/>
      <c r="Q5" s="367"/>
    </row>
    <row r="6" spans="1:17" s="105" customFormat="1" x14ac:dyDescent="0.25">
      <c r="A6" s="7"/>
      <c r="B6" s="113"/>
      <c r="C6" s="107"/>
      <c r="D6" s="107"/>
      <c r="E6" s="107"/>
      <c r="F6" s="66"/>
      <c r="G6" s="66"/>
      <c r="H6" s="112"/>
      <c r="I6" s="112"/>
      <c r="J6" s="94"/>
      <c r="K6" s="67"/>
      <c r="L6" s="67"/>
      <c r="M6" s="67"/>
      <c r="N6" s="94"/>
      <c r="O6" s="68"/>
      <c r="P6" s="68"/>
      <c r="Q6" s="68"/>
    </row>
    <row r="7" spans="1:17" x14ac:dyDescent="0.25">
      <c r="A7" s="5" t="s">
        <v>0</v>
      </c>
      <c r="B7" s="364" t="s">
        <v>10</v>
      </c>
      <c r="C7" s="375"/>
      <c r="D7" s="375"/>
      <c r="E7" s="375"/>
      <c r="F7" s="364"/>
      <c r="G7" s="364"/>
      <c r="H7" s="365" t="s">
        <v>136</v>
      </c>
      <c r="I7" s="366"/>
      <c r="J7" s="367"/>
      <c r="K7" s="364"/>
      <c r="L7" s="364"/>
      <c r="M7" s="364"/>
      <c r="N7" s="364" t="s">
        <v>132</v>
      </c>
      <c r="O7" s="364"/>
      <c r="P7" s="364"/>
      <c r="Q7" s="364"/>
    </row>
    <row r="8" spans="1:17" ht="240" x14ac:dyDescent="0.25">
      <c r="A8" s="5"/>
      <c r="B8" s="113" t="s">
        <v>4</v>
      </c>
      <c r="C8" s="107" t="s">
        <v>1</v>
      </c>
      <c r="D8" s="107" t="s">
        <v>3</v>
      </c>
      <c r="E8" s="107" t="s">
        <v>2</v>
      </c>
      <c r="F8" s="113" t="s">
        <v>6</v>
      </c>
      <c r="G8" s="66" t="s">
        <v>5</v>
      </c>
      <c r="H8" s="113" t="s">
        <v>7</v>
      </c>
      <c r="I8" s="113" t="s">
        <v>8</v>
      </c>
      <c r="J8" s="94" t="s">
        <v>9</v>
      </c>
      <c r="K8" s="67" t="s">
        <v>11</v>
      </c>
      <c r="L8" s="67" t="s">
        <v>12</v>
      </c>
      <c r="M8" s="67" t="s">
        <v>13</v>
      </c>
      <c r="N8" s="94" t="s">
        <v>9</v>
      </c>
      <c r="O8" s="68" t="s">
        <v>11</v>
      </c>
      <c r="P8" s="68" t="s">
        <v>12</v>
      </c>
      <c r="Q8" s="68" t="s">
        <v>13</v>
      </c>
    </row>
    <row r="9" spans="1:17" x14ac:dyDescent="0.25">
      <c r="A9" s="9">
        <v>1</v>
      </c>
      <c r="B9" s="61">
        <f>A9+1</f>
        <v>2</v>
      </c>
      <c r="C9" s="9">
        <f t="shared" ref="C9:Q9" si="0">B9+1</f>
        <v>3</v>
      </c>
      <c r="D9" s="9">
        <f t="shared" si="0"/>
        <v>4</v>
      </c>
      <c r="E9" s="9">
        <f t="shared" si="0"/>
        <v>5</v>
      </c>
      <c r="F9" s="69">
        <f t="shared" si="0"/>
        <v>6</v>
      </c>
      <c r="G9" s="69">
        <f t="shared" si="0"/>
        <v>7</v>
      </c>
      <c r="H9" s="70">
        <f t="shared" si="0"/>
        <v>8</v>
      </c>
      <c r="I9" s="70">
        <f t="shared" si="0"/>
        <v>9</v>
      </c>
      <c r="J9" s="95">
        <f t="shared" si="0"/>
        <v>10</v>
      </c>
      <c r="K9" s="71">
        <f t="shared" si="0"/>
        <v>11</v>
      </c>
      <c r="L9" s="71">
        <f t="shared" si="0"/>
        <v>12</v>
      </c>
      <c r="M9" s="71">
        <f t="shared" si="0"/>
        <v>13</v>
      </c>
      <c r="N9" s="95">
        <f t="shared" si="0"/>
        <v>14</v>
      </c>
      <c r="O9" s="72">
        <f t="shared" si="0"/>
        <v>15</v>
      </c>
      <c r="P9" s="72">
        <f t="shared" si="0"/>
        <v>16</v>
      </c>
      <c r="Q9" s="72">
        <f t="shared" si="0"/>
        <v>17</v>
      </c>
    </row>
    <row r="10" spans="1:17" s="13" customFormat="1" ht="24" x14ac:dyDescent="0.25">
      <c r="A10" s="10">
        <v>1</v>
      </c>
      <c r="B10" s="62" t="s">
        <v>16</v>
      </c>
      <c r="C10" s="1" t="s">
        <v>304</v>
      </c>
      <c r="D10" s="18" t="s">
        <v>315</v>
      </c>
      <c r="E10" s="3" t="s">
        <v>18</v>
      </c>
      <c r="F10" s="73" t="s">
        <v>159</v>
      </c>
      <c r="G10" s="74" t="s">
        <v>112</v>
      </c>
      <c r="H10" s="75">
        <v>1</v>
      </c>
      <c r="I10" s="76"/>
      <c r="J10" s="96"/>
      <c r="K10" s="77"/>
      <c r="L10" s="77"/>
      <c r="M10" s="78">
        <f>K10-L10</f>
        <v>0</v>
      </c>
      <c r="N10" s="100"/>
      <c r="O10" s="77"/>
      <c r="P10" s="77"/>
      <c r="Q10" s="79">
        <f>O10-P10</f>
        <v>0</v>
      </c>
    </row>
    <row r="11" spans="1:17" s="13" customFormat="1" ht="15.75" x14ac:dyDescent="0.25">
      <c r="A11" s="10">
        <v>2</v>
      </c>
      <c r="B11" s="22" t="s">
        <v>16</v>
      </c>
      <c r="C11" s="1" t="s">
        <v>17</v>
      </c>
      <c r="D11" s="2"/>
      <c r="E11" s="3" t="s">
        <v>18</v>
      </c>
      <c r="F11" s="2" t="s">
        <v>241</v>
      </c>
      <c r="G11" s="11" t="s">
        <v>116</v>
      </c>
      <c r="H11" s="1">
        <v>2</v>
      </c>
      <c r="I11" s="49"/>
      <c r="J11" s="46"/>
      <c r="K11" s="31"/>
      <c r="L11" s="31"/>
      <c r="M11" s="38">
        <f t="shared" ref="M11:M82" si="1">K11-L11</f>
        <v>0</v>
      </c>
      <c r="N11" s="41"/>
      <c r="O11" s="31"/>
      <c r="P11" s="31"/>
      <c r="Q11" s="12">
        <f t="shared" ref="Q11:Q75" si="2">O11-P11</f>
        <v>0</v>
      </c>
    </row>
    <row r="12" spans="1:17" s="15" customFormat="1" ht="15.75" x14ac:dyDescent="0.25">
      <c r="A12" s="14">
        <v>2</v>
      </c>
      <c r="B12" s="80" t="s">
        <v>19</v>
      </c>
      <c r="C12" s="1" t="s">
        <v>17</v>
      </c>
      <c r="D12" s="2"/>
      <c r="E12" s="3" t="s">
        <v>20</v>
      </c>
      <c r="F12" s="73" t="s">
        <v>160</v>
      </c>
      <c r="G12" s="74" t="s">
        <v>112</v>
      </c>
      <c r="H12" s="75">
        <v>4</v>
      </c>
      <c r="I12" s="76"/>
      <c r="J12" s="96"/>
      <c r="K12" s="77"/>
      <c r="L12" s="77"/>
      <c r="M12" s="78">
        <f t="shared" si="1"/>
        <v>0</v>
      </c>
      <c r="N12" s="100"/>
      <c r="O12" s="81"/>
      <c r="P12" s="81"/>
      <c r="Q12" s="79">
        <f t="shared" si="2"/>
        <v>0</v>
      </c>
    </row>
    <row r="13" spans="1:17" s="15" customFormat="1" ht="15.75" x14ac:dyDescent="0.25">
      <c r="A13" s="14">
        <v>2</v>
      </c>
      <c r="B13" s="23" t="s">
        <v>19</v>
      </c>
      <c r="C13" s="1" t="s">
        <v>17</v>
      </c>
      <c r="D13" s="2"/>
      <c r="E13" s="3" t="s">
        <v>20</v>
      </c>
      <c r="F13" s="2" t="s">
        <v>264</v>
      </c>
      <c r="G13" s="11" t="s">
        <v>114</v>
      </c>
      <c r="H13" s="1"/>
      <c r="I13" s="49"/>
      <c r="J13" s="51"/>
      <c r="K13" s="40"/>
      <c r="L13" s="40"/>
      <c r="M13" s="38">
        <f t="shared" si="1"/>
        <v>0</v>
      </c>
      <c r="N13" s="42"/>
      <c r="O13" s="31"/>
      <c r="P13" s="31"/>
      <c r="Q13" s="12">
        <f t="shared" si="2"/>
        <v>0</v>
      </c>
    </row>
    <row r="14" spans="1:17" s="15" customFormat="1" ht="15.75" x14ac:dyDescent="0.25">
      <c r="A14" s="14"/>
      <c r="B14" s="62" t="s">
        <v>153</v>
      </c>
      <c r="C14" s="1" t="s">
        <v>17</v>
      </c>
      <c r="D14" s="2"/>
      <c r="E14" s="3" t="s">
        <v>20</v>
      </c>
      <c r="F14" s="73" t="s">
        <v>297</v>
      </c>
      <c r="G14" s="74" t="s">
        <v>112</v>
      </c>
      <c r="H14" s="75">
        <v>1</v>
      </c>
      <c r="I14" s="82"/>
      <c r="J14" s="96"/>
      <c r="K14" s="77"/>
      <c r="L14" s="77"/>
      <c r="M14" s="78">
        <f t="shared" si="1"/>
        <v>0</v>
      </c>
      <c r="N14" s="114">
        <f>1</f>
        <v>1</v>
      </c>
      <c r="O14" s="81"/>
      <c r="P14" s="81"/>
      <c r="Q14" s="79">
        <f t="shared" si="2"/>
        <v>0</v>
      </c>
    </row>
    <row r="15" spans="1:17" s="15" customFormat="1" ht="15.75" x14ac:dyDescent="0.25">
      <c r="A15" s="14"/>
      <c r="B15" s="50" t="s">
        <v>153</v>
      </c>
      <c r="C15" s="1"/>
      <c r="D15" s="2"/>
      <c r="E15" s="3" t="s">
        <v>20</v>
      </c>
      <c r="F15" s="2"/>
      <c r="G15" s="11" t="s">
        <v>114</v>
      </c>
      <c r="H15" s="1"/>
      <c r="I15" s="49"/>
      <c r="J15" s="51"/>
      <c r="K15" s="40"/>
      <c r="L15" s="40"/>
      <c r="M15" s="38">
        <f t="shared" si="1"/>
        <v>0</v>
      </c>
      <c r="N15" s="42"/>
      <c r="O15" s="31"/>
      <c r="P15" s="31"/>
      <c r="Q15" s="12">
        <f t="shared" si="2"/>
        <v>0</v>
      </c>
    </row>
    <row r="16" spans="1:17" s="13" customFormat="1" ht="15.75" x14ac:dyDescent="0.25">
      <c r="A16" s="10">
        <v>3</v>
      </c>
      <c r="B16" s="30" t="s">
        <v>22</v>
      </c>
      <c r="C16" s="1" t="s">
        <v>17</v>
      </c>
      <c r="D16" s="2"/>
      <c r="E16" s="3" t="s">
        <v>23</v>
      </c>
      <c r="F16" s="73" t="s">
        <v>161</v>
      </c>
      <c r="G16" s="74" t="s">
        <v>112</v>
      </c>
      <c r="H16" s="75"/>
      <c r="I16" s="76"/>
      <c r="J16" s="96"/>
      <c r="K16" s="77"/>
      <c r="L16" s="77"/>
      <c r="M16" s="78">
        <f t="shared" si="1"/>
        <v>0</v>
      </c>
      <c r="N16" s="100"/>
      <c r="O16" s="81"/>
      <c r="P16" s="81"/>
      <c r="Q16" s="79">
        <f t="shared" si="2"/>
        <v>0</v>
      </c>
    </row>
    <row r="17" spans="1:17" s="13" customFormat="1" ht="15.75" x14ac:dyDescent="0.25">
      <c r="A17" s="10"/>
      <c r="B17" s="24" t="s">
        <v>154</v>
      </c>
      <c r="C17" s="1" t="s">
        <v>17</v>
      </c>
      <c r="D17" s="2"/>
      <c r="E17" s="3" t="s">
        <v>20</v>
      </c>
      <c r="F17" s="2"/>
      <c r="G17" s="11" t="s">
        <v>114</v>
      </c>
      <c r="H17" s="1">
        <v>1</v>
      </c>
      <c r="I17" s="47"/>
      <c r="J17" s="51"/>
      <c r="K17" s="37"/>
      <c r="L17" s="37"/>
      <c r="M17" s="38">
        <f t="shared" si="1"/>
        <v>0</v>
      </c>
      <c r="N17" s="39"/>
      <c r="O17" s="31"/>
      <c r="P17" s="31"/>
      <c r="Q17" s="12">
        <f t="shared" si="2"/>
        <v>0</v>
      </c>
    </row>
    <row r="18" spans="1:17" s="13" customFormat="1" ht="15.75" x14ac:dyDescent="0.25">
      <c r="A18" s="10"/>
      <c r="B18" s="30" t="s">
        <v>154</v>
      </c>
      <c r="C18" s="1" t="s">
        <v>17</v>
      </c>
      <c r="D18" s="2"/>
      <c r="E18" s="3" t="s">
        <v>20</v>
      </c>
      <c r="F18" s="73" t="s">
        <v>298</v>
      </c>
      <c r="G18" s="74" t="s">
        <v>112</v>
      </c>
      <c r="H18" s="75">
        <v>3</v>
      </c>
      <c r="I18" s="76"/>
      <c r="J18" s="96"/>
      <c r="K18" s="77"/>
      <c r="L18" s="77"/>
      <c r="M18" s="78">
        <f t="shared" si="1"/>
        <v>0</v>
      </c>
      <c r="N18" s="100">
        <f>6</f>
        <v>6</v>
      </c>
      <c r="O18" s="81"/>
      <c r="P18" s="81"/>
      <c r="Q18" s="79">
        <f t="shared" si="2"/>
        <v>0</v>
      </c>
    </row>
    <row r="19" spans="1:17" s="13" customFormat="1" ht="15.75" x14ac:dyDescent="0.25">
      <c r="A19" s="10">
        <v>4</v>
      </c>
      <c r="B19" s="62" t="s">
        <v>24</v>
      </c>
      <c r="C19" s="1" t="s">
        <v>17</v>
      </c>
      <c r="D19" s="2"/>
      <c r="E19" s="3" t="s">
        <v>20</v>
      </c>
      <c r="F19" s="73" t="s">
        <v>162</v>
      </c>
      <c r="G19" s="74" t="s">
        <v>112</v>
      </c>
      <c r="H19" s="75"/>
      <c r="I19" s="76"/>
      <c r="J19" s="96"/>
      <c r="K19" s="77"/>
      <c r="L19" s="77"/>
      <c r="M19" s="38">
        <f t="shared" si="1"/>
        <v>0</v>
      </c>
      <c r="N19" s="100"/>
      <c r="O19" s="81"/>
      <c r="P19" s="81"/>
      <c r="Q19" s="12">
        <f t="shared" si="2"/>
        <v>0</v>
      </c>
    </row>
    <row r="20" spans="1:17" s="13" customFormat="1" ht="15.75" x14ac:dyDescent="0.25">
      <c r="A20" s="10">
        <v>1</v>
      </c>
      <c r="B20" s="22" t="s">
        <v>24</v>
      </c>
      <c r="C20" s="1" t="s">
        <v>17</v>
      </c>
      <c r="D20" s="2"/>
      <c r="E20" s="3" t="s">
        <v>20</v>
      </c>
      <c r="F20" s="2" t="s">
        <v>265</v>
      </c>
      <c r="G20" s="11" t="s">
        <v>114</v>
      </c>
      <c r="H20" s="1">
        <v>3</v>
      </c>
      <c r="I20" s="49"/>
      <c r="J20" s="51"/>
      <c r="K20" s="40"/>
      <c r="L20" s="40"/>
      <c r="M20" s="78">
        <f t="shared" si="1"/>
        <v>0</v>
      </c>
      <c r="N20" s="41"/>
      <c r="O20" s="31"/>
      <c r="P20" s="31"/>
      <c r="Q20" s="79">
        <f t="shared" si="2"/>
        <v>0</v>
      </c>
    </row>
    <row r="21" spans="1:17" s="13" customFormat="1" ht="15.75" x14ac:dyDescent="0.25">
      <c r="A21" s="10">
        <v>5</v>
      </c>
      <c r="B21" s="62" t="s">
        <v>25</v>
      </c>
      <c r="C21" s="1" t="s">
        <v>17</v>
      </c>
      <c r="D21" s="2"/>
      <c r="E21" s="3" t="s">
        <v>20</v>
      </c>
      <c r="F21" s="73" t="s">
        <v>163</v>
      </c>
      <c r="G21" s="74" t="s">
        <v>112</v>
      </c>
      <c r="H21" s="75">
        <v>1</v>
      </c>
      <c r="I21" s="76"/>
      <c r="J21" s="96"/>
      <c r="K21" s="77"/>
      <c r="L21" s="77"/>
      <c r="M21" s="38">
        <f t="shared" si="1"/>
        <v>0</v>
      </c>
      <c r="N21" s="100"/>
      <c r="O21" s="81"/>
      <c r="P21" s="81"/>
      <c r="Q21" s="12">
        <f t="shared" si="2"/>
        <v>0</v>
      </c>
    </row>
    <row r="22" spans="1:17" s="13" customFormat="1" ht="15.75" x14ac:dyDescent="0.25">
      <c r="A22" s="10"/>
      <c r="B22" s="22" t="s">
        <v>25</v>
      </c>
      <c r="C22" s="1" t="s">
        <v>17</v>
      </c>
      <c r="D22" s="2"/>
      <c r="E22" s="3" t="s">
        <v>20</v>
      </c>
      <c r="F22" s="2" t="s">
        <v>266</v>
      </c>
      <c r="G22" s="11" t="s">
        <v>114</v>
      </c>
      <c r="H22" s="1"/>
      <c r="I22" s="49"/>
      <c r="J22" s="51"/>
      <c r="K22" s="40"/>
      <c r="L22" s="40"/>
      <c r="M22" s="78">
        <f t="shared" si="1"/>
        <v>0</v>
      </c>
      <c r="N22" s="41"/>
      <c r="O22" s="31"/>
      <c r="P22" s="31"/>
      <c r="Q22" s="79">
        <f t="shared" si="2"/>
        <v>0</v>
      </c>
    </row>
    <row r="23" spans="1:17" s="13" customFormat="1" ht="15.75" x14ac:dyDescent="0.25">
      <c r="A23" s="10">
        <v>6</v>
      </c>
      <c r="B23" s="62" t="s">
        <v>26</v>
      </c>
      <c r="C23" s="1" t="s">
        <v>17</v>
      </c>
      <c r="D23" s="2"/>
      <c r="E23" s="3" t="s">
        <v>27</v>
      </c>
      <c r="F23" s="73" t="s">
        <v>164</v>
      </c>
      <c r="G23" s="74" t="s">
        <v>112</v>
      </c>
      <c r="H23" s="75"/>
      <c r="I23" s="76"/>
      <c r="J23" s="96"/>
      <c r="K23" s="77"/>
      <c r="L23" s="77"/>
      <c r="M23" s="38">
        <f t="shared" si="1"/>
        <v>0</v>
      </c>
      <c r="N23" s="100">
        <f>6</f>
        <v>6</v>
      </c>
      <c r="O23" s="81"/>
      <c r="P23" s="81"/>
      <c r="Q23" s="12">
        <f t="shared" si="2"/>
        <v>0</v>
      </c>
    </row>
    <row r="24" spans="1:17" s="13" customFormat="1" ht="15.75" x14ac:dyDescent="0.25">
      <c r="A24" s="10"/>
      <c r="B24" s="22" t="s">
        <v>26</v>
      </c>
      <c r="C24" s="1" t="s">
        <v>17</v>
      </c>
      <c r="D24" s="2"/>
      <c r="E24" s="3" t="s">
        <v>27</v>
      </c>
      <c r="F24" s="16" t="s">
        <v>246</v>
      </c>
      <c r="G24" s="11" t="s">
        <v>117</v>
      </c>
      <c r="H24" s="1"/>
      <c r="I24" s="49"/>
      <c r="J24" s="46"/>
      <c r="K24" s="40"/>
      <c r="L24" s="40"/>
      <c r="M24" s="78">
        <f t="shared" si="1"/>
        <v>0</v>
      </c>
      <c r="N24" s="41">
        <f>3</f>
        <v>3</v>
      </c>
      <c r="O24" s="40"/>
      <c r="P24" s="40"/>
      <c r="Q24" s="79">
        <f>O24-P24</f>
        <v>0</v>
      </c>
    </row>
    <row r="25" spans="1:17" s="15" customFormat="1" ht="15.75" x14ac:dyDescent="0.25">
      <c r="A25" s="14">
        <v>7</v>
      </c>
      <c r="B25" s="80" t="s">
        <v>28</v>
      </c>
      <c r="C25" s="1" t="s">
        <v>17</v>
      </c>
      <c r="D25" s="2"/>
      <c r="E25" s="17" t="s">
        <v>29</v>
      </c>
      <c r="F25" s="73" t="s">
        <v>165</v>
      </c>
      <c r="G25" s="74" t="s">
        <v>112</v>
      </c>
      <c r="H25" s="75"/>
      <c r="I25" s="76"/>
      <c r="J25" s="96"/>
      <c r="K25" s="77"/>
      <c r="L25" s="77"/>
      <c r="M25" s="38">
        <f t="shared" si="1"/>
        <v>0</v>
      </c>
      <c r="N25" s="100">
        <f>3</f>
        <v>3</v>
      </c>
      <c r="O25" s="81"/>
      <c r="P25" s="81"/>
      <c r="Q25" s="12">
        <f t="shared" si="2"/>
        <v>0</v>
      </c>
    </row>
    <row r="26" spans="1:17" s="15" customFormat="1" ht="15.75" x14ac:dyDescent="0.25">
      <c r="A26" s="14"/>
      <c r="B26" s="23" t="s">
        <v>28</v>
      </c>
      <c r="C26" s="1" t="s">
        <v>17</v>
      </c>
      <c r="D26" s="2"/>
      <c r="E26" s="17" t="s">
        <v>29</v>
      </c>
      <c r="F26" s="16" t="s">
        <v>247</v>
      </c>
      <c r="G26" s="8" t="s">
        <v>117</v>
      </c>
      <c r="H26" s="1"/>
      <c r="I26" s="48"/>
      <c r="J26" s="45"/>
      <c r="K26" s="40"/>
      <c r="L26" s="40"/>
      <c r="M26" s="78">
        <f t="shared" si="1"/>
        <v>0</v>
      </c>
      <c r="N26" s="42"/>
      <c r="O26" s="31"/>
      <c r="P26" s="31"/>
      <c r="Q26" s="79">
        <f t="shared" si="2"/>
        <v>0</v>
      </c>
    </row>
    <row r="27" spans="1:17" s="13" customFormat="1" ht="15.75" x14ac:dyDescent="0.25">
      <c r="A27" s="10">
        <v>8</v>
      </c>
      <c r="B27" s="27" t="s">
        <v>30</v>
      </c>
      <c r="C27" s="1" t="s">
        <v>17</v>
      </c>
      <c r="D27" s="2"/>
      <c r="E27" s="17" t="s">
        <v>21</v>
      </c>
      <c r="F27" s="73" t="s">
        <v>166</v>
      </c>
      <c r="G27" s="74" t="s">
        <v>112</v>
      </c>
      <c r="H27" s="75">
        <v>3</v>
      </c>
      <c r="I27" s="76"/>
      <c r="J27" s="96"/>
      <c r="K27" s="77"/>
      <c r="L27" s="77"/>
      <c r="M27" s="38">
        <f t="shared" si="1"/>
        <v>0</v>
      </c>
      <c r="N27" s="100"/>
      <c r="O27" s="81"/>
      <c r="P27" s="81"/>
      <c r="Q27" s="12">
        <f t="shared" si="2"/>
        <v>0</v>
      </c>
    </row>
    <row r="28" spans="1:17" s="13" customFormat="1" ht="15.75" x14ac:dyDescent="0.25">
      <c r="A28" s="10">
        <v>9</v>
      </c>
      <c r="B28" s="30" t="s">
        <v>31</v>
      </c>
      <c r="C28" s="1" t="s">
        <v>17</v>
      </c>
      <c r="D28" s="2"/>
      <c r="E28" s="3" t="s">
        <v>32</v>
      </c>
      <c r="F28" s="73" t="s">
        <v>167</v>
      </c>
      <c r="G28" s="74" t="s">
        <v>112</v>
      </c>
      <c r="H28" s="75"/>
      <c r="I28" s="76"/>
      <c r="J28" s="96"/>
      <c r="K28" s="77"/>
      <c r="L28" s="77"/>
      <c r="M28" s="78">
        <f t="shared" si="1"/>
        <v>0</v>
      </c>
      <c r="N28" s="100">
        <f>1</f>
        <v>1</v>
      </c>
      <c r="O28" s="81"/>
      <c r="P28" s="81"/>
      <c r="Q28" s="79">
        <f t="shared" si="2"/>
        <v>0</v>
      </c>
    </row>
    <row r="29" spans="1:17" s="13" customFormat="1" ht="15.75" x14ac:dyDescent="0.25">
      <c r="A29" s="10"/>
      <c r="B29" s="24" t="s">
        <v>31</v>
      </c>
      <c r="C29" s="1" t="s">
        <v>17</v>
      </c>
      <c r="D29" s="2"/>
      <c r="E29" s="3" t="s">
        <v>32</v>
      </c>
      <c r="F29" s="16" t="s">
        <v>248</v>
      </c>
      <c r="G29" s="8" t="s">
        <v>117</v>
      </c>
      <c r="H29" s="1">
        <v>2</v>
      </c>
      <c r="I29" s="49"/>
      <c r="J29" s="46"/>
      <c r="K29" s="40"/>
      <c r="L29" s="40"/>
      <c r="M29" s="38">
        <f t="shared" si="1"/>
        <v>0</v>
      </c>
      <c r="N29" s="41">
        <f>5</f>
        <v>5</v>
      </c>
      <c r="O29" s="40"/>
      <c r="P29" s="40"/>
      <c r="Q29" s="12">
        <f t="shared" si="2"/>
        <v>0</v>
      </c>
    </row>
    <row r="30" spans="1:17" s="15" customFormat="1" ht="15.75" x14ac:dyDescent="0.25">
      <c r="A30" s="14">
        <v>10</v>
      </c>
      <c r="B30" s="80" t="s">
        <v>33</v>
      </c>
      <c r="C30" s="1" t="s">
        <v>17</v>
      </c>
      <c r="D30" s="2"/>
      <c r="E30" s="3" t="s">
        <v>20</v>
      </c>
      <c r="F30" s="73" t="s">
        <v>168</v>
      </c>
      <c r="G30" s="74" t="s">
        <v>112</v>
      </c>
      <c r="H30" s="75"/>
      <c r="I30" s="76"/>
      <c r="J30" s="96"/>
      <c r="K30" s="77"/>
      <c r="L30" s="77"/>
      <c r="M30" s="78">
        <f t="shared" si="1"/>
        <v>0</v>
      </c>
      <c r="N30" s="100">
        <f>2</f>
        <v>2</v>
      </c>
      <c r="O30" s="81"/>
      <c r="P30" s="81"/>
      <c r="Q30" s="79">
        <f t="shared" si="2"/>
        <v>0</v>
      </c>
    </row>
    <row r="31" spans="1:17" s="15" customFormat="1" ht="15.75" x14ac:dyDescent="0.25">
      <c r="A31" s="14"/>
      <c r="B31" s="23" t="s">
        <v>33</v>
      </c>
      <c r="C31" s="1" t="s">
        <v>17</v>
      </c>
      <c r="D31" s="2"/>
      <c r="E31" s="3" t="s">
        <v>20</v>
      </c>
      <c r="F31" s="2" t="s">
        <v>267</v>
      </c>
      <c r="G31" s="11" t="s">
        <v>114</v>
      </c>
      <c r="H31" s="1"/>
      <c r="I31" s="49"/>
      <c r="J31" s="51"/>
      <c r="K31" s="40"/>
      <c r="L31" s="40"/>
      <c r="M31" s="38">
        <f t="shared" si="1"/>
        <v>0</v>
      </c>
      <c r="N31" s="42"/>
      <c r="O31" s="31"/>
      <c r="P31" s="31"/>
      <c r="Q31" s="12">
        <f t="shared" si="2"/>
        <v>0</v>
      </c>
    </row>
    <row r="32" spans="1:17" s="15" customFormat="1" ht="15.75" x14ac:dyDescent="0.25">
      <c r="A32" s="14"/>
      <c r="B32" s="62" t="s">
        <v>147</v>
      </c>
      <c r="C32" s="1" t="s">
        <v>17</v>
      </c>
      <c r="D32" s="2"/>
      <c r="E32" s="3" t="s">
        <v>29</v>
      </c>
      <c r="F32" s="73" t="s">
        <v>299</v>
      </c>
      <c r="G32" s="74" t="s">
        <v>112</v>
      </c>
      <c r="H32" s="75">
        <v>1</v>
      </c>
      <c r="I32" s="102"/>
      <c r="J32" s="97"/>
      <c r="K32" s="77"/>
      <c r="L32" s="77"/>
      <c r="M32" s="78">
        <f t="shared" si="1"/>
        <v>0</v>
      </c>
      <c r="N32" s="114">
        <f>1</f>
        <v>1</v>
      </c>
      <c r="O32" s="81"/>
      <c r="P32" s="81"/>
      <c r="Q32" s="79">
        <f t="shared" si="2"/>
        <v>0</v>
      </c>
    </row>
    <row r="33" spans="1:17" s="15" customFormat="1" ht="15.75" x14ac:dyDescent="0.25">
      <c r="A33" s="14"/>
      <c r="B33" s="50" t="s">
        <v>147</v>
      </c>
      <c r="C33" s="1" t="s">
        <v>17</v>
      </c>
      <c r="D33" s="2"/>
      <c r="E33" s="3" t="s">
        <v>29</v>
      </c>
      <c r="F33" s="2" t="s">
        <v>262</v>
      </c>
      <c r="G33" s="11" t="s">
        <v>117</v>
      </c>
      <c r="H33" s="1"/>
      <c r="I33" s="48"/>
      <c r="J33" s="45"/>
      <c r="K33" s="40"/>
      <c r="L33" s="40"/>
      <c r="M33" s="38">
        <f t="shared" si="1"/>
        <v>0</v>
      </c>
      <c r="N33" s="42">
        <f>2</f>
        <v>2</v>
      </c>
      <c r="O33" s="31"/>
      <c r="P33" s="31"/>
      <c r="Q33" s="12">
        <f t="shared" si="2"/>
        <v>0</v>
      </c>
    </row>
    <row r="34" spans="1:17" s="13" customFormat="1" ht="15.75" x14ac:dyDescent="0.25">
      <c r="A34" s="10">
        <v>11</v>
      </c>
      <c r="B34" s="62" t="s">
        <v>34</v>
      </c>
      <c r="C34" s="1" t="s">
        <v>17</v>
      </c>
      <c r="D34" s="2"/>
      <c r="E34" s="17" t="s">
        <v>35</v>
      </c>
      <c r="F34" s="73" t="s">
        <v>169</v>
      </c>
      <c r="G34" s="74" t="s">
        <v>112</v>
      </c>
      <c r="H34" s="75">
        <v>1</v>
      </c>
      <c r="I34" s="76"/>
      <c r="J34" s="96"/>
      <c r="K34" s="77"/>
      <c r="L34" s="77"/>
      <c r="M34" s="78">
        <f t="shared" si="1"/>
        <v>0</v>
      </c>
      <c r="N34" s="100">
        <f>4</f>
        <v>4</v>
      </c>
      <c r="O34" s="81"/>
      <c r="P34" s="81"/>
      <c r="Q34" s="79">
        <f t="shared" si="2"/>
        <v>0</v>
      </c>
    </row>
    <row r="35" spans="1:17" s="13" customFormat="1" ht="15.75" x14ac:dyDescent="0.25">
      <c r="A35" s="10"/>
      <c r="B35" s="22" t="s">
        <v>34</v>
      </c>
      <c r="C35" s="1" t="s">
        <v>17</v>
      </c>
      <c r="D35" s="2"/>
      <c r="E35" s="17" t="s">
        <v>35</v>
      </c>
      <c r="F35" s="16" t="s">
        <v>263</v>
      </c>
      <c r="G35" s="8" t="s">
        <v>117</v>
      </c>
      <c r="H35" s="1"/>
      <c r="I35" s="49"/>
      <c r="J35" s="46"/>
      <c r="K35" s="40"/>
      <c r="L35" s="40"/>
      <c r="M35" s="38">
        <f t="shared" si="1"/>
        <v>0</v>
      </c>
      <c r="N35" s="41">
        <f>1</f>
        <v>1</v>
      </c>
      <c r="O35" s="31"/>
      <c r="P35" s="31"/>
      <c r="Q35" s="12">
        <f t="shared" si="2"/>
        <v>0</v>
      </c>
    </row>
    <row r="36" spans="1:17" s="13" customFormat="1" ht="15.75" x14ac:dyDescent="0.25">
      <c r="A36" s="10">
        <v>12</v>
      </c>
      <c r="B36" s="27" t="s">
        <v>36</v>
      </c>
      <c r="C36" s="1" t="s">
        <v>17</v>
      </c>
      <c r="D36" s="2"/>
      <c r="E36" s="17" t="s">
        <v>32</v>
      </c>
      <c r="F36" s="73" t="s">
        <v>170</v>
      </c>
      <c r="G36" s="74" t="s">
        <v>112</v>
      </c>
      <c r="H36" s="75"/>
      <c r="I36" s="76"/>
      <c r="J36" s="96"/>
      <c r="K36" s="77"/>
      <c r="L36" s="77"/>
      <c r="M36" s="78">
        <f t="shared" si="1"/>
        <v>0</v>
      </c>
      <c r="N36" s="100">
        <f>4</f>
        <v>4</v>
      </c>
      <c r="O36" s="81"/>
      <c r="P36" s="81"/>
      <c r="Q36" s="79">
        <f t="shared" si="2"/>
        <v>0</v>
      </c>
    </row>
    <row r="37" spans="1:17" s="13" customFormat="1" ht="15.75" x14ac:dyDescent="0.25">
      <c r="A37" s="10">
        <v>13</v>
      </c>
      <c r="B37" s="62" t="s">
        <v>37</v>
      </c>
      <c r="C37" s="1" t="s">
        <v>17</v>
      </c>
      <c r="D37" s="2"/>
      <c r="E37" s="3" t="s">
        <v>21</v>
      </c>
      <c r="F37" s="73" t="s">
        <v>171</v>
      </c>
      <c r="G37" s="74" t="s">
        <v>112</v>
      </c>
      <c r="H37" s="75"/>
      <c r="I37" s="76"/>
      <c r="J37" s="96"/>
      <c r="K37" s="77"/>
      <c r="L37" s="77"/>
      <c r="M37" s="38">
        <f t="shared" si="1"/>
        <v>0</v>
      </c>
      <c r="N37" s="100"/>
      <c r="O37" s="81"/>
      <c r="P37" s="81"/>
      <c r="Q37" s="12">
        <f t="shared" si="2"/>
        <v>0</v>
      </c>
    </row>
    <row r="38" spans="1:17" s="13" customFormat="1" ht="15.75" x14ac:dyDescent="0.25">
      <c r="A38" s="10">
        <v>14</v>
      </c>
      <c r="B38" s="27" t="s">
        <v>38</v>
      </c>
      <c r="C38" s="1" t="s">
        <v>17</v>
      </c>
      <c r="D38" s="2"/>
      <c r="E38" s="3" t="s">
        <v>20</v>
      </c>
      <c r="F38" s="73" t="s">
        <v>172</v>
      </c>
      <c r="G38" s="74" t="s">
        <v>112</v>
      </c>
      <c r="H38" s="75">
        <v>2</v>
      </c>
      <c r="I38" s="76"/>
      <c r="J38" s="96"/>
      <c r="K38" s="77"/>
      <c r="L38" s="77"/>
      <c r="M38" s="78">
        <f t="shared" si="1"/>
        <v>0</v>
      </c>
      <c r="N38" s="100">
        <f>1</f>
        <v>1</v>
      </c>
      <c r="O38" s="81"/>
      <c r="P38" s="81"/>
      <c r="Q38" s="79">
        <f t="shared" si="2"/>
        <v>0</v>
      </c>
    </row>
    <row r="39" spans="1:17" s="13" customFormat="1" ht="15.75" x14ac:dyDescent="0.25">
      <c r="A39" s="10"/>
      <c r="B39" s="25" t="s">
        <v>38</v>
      </c>
      <c r="C39" s="1" t="s">
        <v>17</v>
      </c>
      <c r="D39" s="2"/>
      <c r="E39" s="3" t="s">
        <v>20</v>
      </c>
      <c r="F39" s="2" t="s">
        <v>268</v>
      </c>
      <c r="G39" s="11" t="s">
        <v>114</v>
      </c>
      <c r="H39" s="1"/>
      <c r="I39" s="49"/>
      <c r="J39" s="51"/>
      <c r="K39" s="40"/>
      <c r="L39" s="40"/>
      <c r="M39" s="38">
        <f t="shared" si="1"/>
        <v>0</v>
      </c>
      <c r="N39" s="41"/>
      <c r="O39" s="31"/>
      <c r="P39" s="31"/>
      <c r="Q39" s="12">
        <f t="shared" si="2"/>
        <v>0</v>
      </c>
    </row>
    <row r="40" spans="1:17" s="13" customFormat="1" ht="15.75" x14ac:dyDescent="0.25">
      <c r="A40" s="10"/>
      <c r="B40" s="22" t="s">
        <v>39</v>
      </c>
      <c r="C40" s="1" t="s">
        <v>17</v>
      </c>
      <c r="D40" s="2"/>
      <c r="E40" s="3" t="s">
        <v>20</v>
      </c>
      <c r="F40" s="2" t="s">
        <v>269</v>
      </c>
      <c r="G40" s="11" t="s">
        <v>114</v>
      </c>
      <c r="H40" s="1"/>
      <c r="I40" s="49"/>
      <c r="J40" s="51"/>
      <c r="K40" s="40"/>
      <c r="L40" s="40"/>
      <c r="M40" s="38">
        <f t="shared" si="1"/>
        <v>0</v>
      </c>
      <c r="N40" s="41"/>
      <c r="O40" s="31"/>
      <c r="P40" s="31"/>
      <c r="Q40" s="12">
        <f t="shared" si="2"/>
        <v>0</v>
      </c>
    </row>
    <row r="41" spans="1:17" s="13" customFormat="1" ht="15.75" x14ac:dyDescent="0.25">
      <c r="A41" s="10">
        <v>16</v>
      </c>
      <c r="B41" s="27" t="s">
        <v>40</v>
      </c>
      <c r="C41" s="1" t="s">
        <v>17</v>
      </c>
      <c r="D41" s="2"/>
      <c r="E41" s="17" t="s">
        <v>41</v>
      </c>
      <c r="F41" s="73" t="s">
        <v>175</v>
      </c>
      <c r="G41" s="74" t="s">
        <v>112</v>
      </c>
      <c r="H41" s="75">
        <v>3</v>
      </c>
      <c r="I41" s="76"/>
      <c r="J41" s="96"/>
      <c r="K41" s="77"/>
      <c r="L41" s="77"/>
      <c r="M41" s="78">
        <f t="shared" si="1"/>
        <v>0</v>
      </c>
      <c r="N41" s="100">
        <f>3</f>
        <v>3</v>
      </c>
      <c r="O41" s="81"/>
      <c r="P41" s="81"/>
      <c r="Q41" s="79">
        <f t="shared" si="2"/>
        <v>0</v>
      </c>
    </row>
    <row r="42" spans="1:17" s="13" customFormat="1" ht="15.75" x14ac:dyDescent="0.25">
      <c r="A42" s="10"/>
      <c r="B42" s="25" t="s">
        <v>40</v>
      </c>
      <c r="C42" s="1" t="s">
        <v>17</v>
      </c>
      <c r="D42" s="2"/>
      <c r="E42" s="17" t="s">
        <v>41</v>
      </c>
      <c r="F42" s="2" t="s">
        <v>270</v>
      </c>
      <c r="G42" s="11" t="s">
        <v>114</v>
      </c>
      <c r="H42" s="1"/>
      <c r="I42" s="49"/>
      <c r="J42" s="51"/>
      <c r="K42" s="40"/>
      <c r="L42" s="40"/>
      <c r="M42" s="38">
        <f t="shared" si="1"/>
        <v>0</v>
      </c>
      <c r="N42" s="41"/>
      <c r="O42" s="31"/>
      <c r="P42" s="31"/>
      <c r="Q42" s="12">
        <f t="shared" si="2"/>
        <v>0</v>
      </c>
    </row>
    <row r="43" spans="1:17" s="13" customFormat="1" ht="15.75" x14ac:dyDescent="0.25">
      <c r="A43" s="10"/>
      <c r="B43" s="27" t="s">
        <v>148</v>
      </c>
      <c r="C43" s="1" t="s">
        <v>17</v>
      </c>
      <c r="D43" s="2"/>
      <c r="E43" s="3" t="s">
        <v>20</v>
      </c>
      <c r="F43" s="73" t="s">
        <v>303</v>
      </c>
      <c r="G43" s="74" t="s">
        <v>112</v>
      </c>
      <c r="H43" s="75">
        <v>1</v>
      </c>
      <c r="I43" s="82"/>
      <c r="J43" s="96"/>
      <c r="K43" s="77"/>
      <c r="L43" s="77"/>
      <c r="M43" s="78">
        <f t="shared" si="1"/>
        <v>0</v>
      </c>
      <c r="N43" s="100">
        <f>6</f>
        <v>6</v>
      </c>
      <c r="O43" s="81"/>
      <c r="P43" s="81"/>
      <c r="Q43" s="79">
        <f t="shared" si="2"/>
        <v>0</v>
      </c>
    </row>
    <row r="44" spans="1:17" s="13" customFormat="1" ht="15.75" x14ac:dyDescent="0.25">
      <c r="A44" s="10"/>
      <c r="B44" s="25" t="s">
        <v>148</v>
      </c>
      <c r="C44" s="1" t="s">
        <v>17</v>
      </c>
      <c r="D44" s="2"/>
      <c r="E44" s="17" t="s">
        <v>32</v>
      </c>
      <c r="F44" s="2" t="s">
        <v>261</v>
      </c>
      <c r="G44" s="11" t="s">
        <v>117</v>
      </c>
      <c r="H44" s="1"/>
      <c r="I44" s="49"/>
      <c r="J44" s="46"/>
      <c r="K44" s="40"/>
      <c r="L44" s="40"/>
      <c r="M44" s="38">
        <f t="shared" si="1"/>
        <v>0</v>
      </c>
      <c r="N44" s="41">
        <f>1</f>
        <v>1</v>
      </c>
      <c r="O44" s="31"/>
      <c r="P44" s="31"/>
      <c r="Q44" s="12">
        <f t="shared" si="2"/>
        <v>0</v>
      </c>
    </row>
    <row r="45" spans="1:17" s="13" customFormat="1" ht="15.75" x14ac:dyDescent="0.25">
      <c r="A45" s="10">
        <v>17</v>
      </c>
      <c r="B45" s="30" t="s">
        <v>42</v>
      </c>
      <c r="C45" s="1" t="s">
        <v>17</v>
      </c>
      <c r="D45" s="2"/>
      <c r="E45" s="3" t="s">
        <v>23</v>
      </c>
      <c r="F45" s="73" t="s">
        <v>176</v>
      </c>
      <c r="G45" s="74" t="s">
        <v>112</v>
      </c>
      <c r="H45" s="75">
        <v>1</v>
      </c>
      <c r="I45" s="76"/>
      <c r="J45" s="96"/>
      <c r="K45" s="77"/>
      <c r="L45" s="77"/>
      <c r="M45" s="78">
        <f t="shared" si="1"/>
        <v>0</v>
      </c>
      <c r="N45" s="100">
        <f>4</f>
        <v>4</v>
      </c>
      <c r="O45" s="81"/>
      <c r="P45" s="81"/>
      <c r="Q45" s="79">
        <f t="shared" si="2"/>
        <v>0</v>
      </c>
    </row>
    <row r="46" spans="1:17" s="13" customFormat="1" ht="15.75" x14ac:dyDescent="0.25">
      <c r="A46" s="10"/>
      <c r="B46" s="24" t="s">
        <v>42</v>
      </c>
      <c r="C46" s="1" t="s">
        <v>17</v>
      </c>
      <c r="D46" s="2"/>
      <c r="E46" s="3" t="s">
        <v>23</v>
      </c>
      <c r="F46" s="2" t="s">
        <v>234</v>
      </c>
      <c r="G46" s="11" t="s">
        <v>118</v>
      </c>
      <c r="H46" s="1"/>
      <c r="I46" s="49"/>
      <c r="J46" s="46"/>
      <c r="K46" s="40"/>
      <c r="L46" s="40"/>
      <c r="M46" s="38">
        <f t="shared" si="1"/>
        <v>0</v>
      </c>
      <c r="N46" s="41"/>
      <c r="O46" s="31"/>
      <c r="P46" s="31"/>
      <c r="Q46" s="12">
        <f t="shared" si="2"/>
        <v>0</v>
      </c>
    </row>
    <row r="47" spans="1:17" s="13" customFormat="1" ht="15.75" x14ac:dyDescent="0.25">
      <c r="A47" s="10"/>
      <c r="B47" s="30" t="s">
        <v>173</v>
      </c>
      <c r="C47" s="1" t="s">
        <v>17</v>
      </c>
      <c r="D47" s="2"/>
      <c r="E47" s="11" t="s">
        <v>118</v>
      </c>
      <c r="F47" s="73" t="s">
        <v>177</v>
      </c>
      <c r="G47" s="74" t="s">
        <v>112</v>
      </c>
      <c r="H47" s="75">
        <v>3</v>
      </c>
      <c r="I47" s="76"/>
      <c r="J47" s="96"/>
      <c r="K47" s="77"/>
      <c r="L47" s="77"/>
      <c r="M47" s="78">
        <f t="shared" si="1"/>
        <v>0</v>
      </c>
      <c r="N47" s="100">
        <f>4</f>
        <v>4</v>
      </c>
      <c r="O47" s="81"/>
      <c r="P47" s="81"/>
      <c r="Q47" s="79">
        <f t="shared" si="2"/>
        <v>0</v>
      </c>
    </row>
    <row r="48" spans="1:17" s="13" customFormat="1" ht="15.75" x14ac:dyDescent="0.25">
      <c r="A48" s="10">
        <v>91</v>
      </c>
      <c r="B48" s="62" t="s">
        <v>108</v>
      </c>
      <c r="C48" s="1" t="s">
        <v>17</v>
      </c>
      <c r="D48" s="2"/>
      <c r="E48" s="17" t="s">
        <v>74</v>
      </c>
      <c r="F48" s="73" t="s">
        <v>111</v>
      </c>
      <c r="G48" s="74" t="s">
        <v>112</v>
      </c>
      <c r="H48" s="75"/>
      <c r="I48" s="76"/>
      <c r="J48" s="96"/>
      <c r="K48" s="77"/>
      <c r="L48" s="77"/>
      <c r="M48" s="38">
        <f t="shared" si="1"/>
        <v>0</v>
      </c>
      <c r="N48" s="100"/>
      <c r="O48" s="81"/>
      <c r="P48" s="81"/>
      <c r="Q48" s="12">
        <f t="shared" si="2"/>
        <v>0</v>
      </c>
    </row>
    <row r="49" spans="1:17" s="13" customFormat="1" ht="15.75" x14ac:dyDescent="0.25">
      <c r="A49" s="10"/>
      <c r="B49" s="22" t="s">
        <v>143</v>
      </c>
      <c r="C49" s="1" t="s">
        <v>17</v>
      </c>
      <c r="D49" s="2"/>
      <c r="E49" s="3" t="s">
        <v>20</v>
      </c>
      <c r="F49" s="2" t="s">
        <v>274</v>
      </c>
      <c r="G49" s="11" t="s">
        <v>114</v>
      </c>
      <c r="H49" s="1">
        <v>3</v>
      </c>
      <c r="I49" s="47"/>
      <c r="J49" s="51"/>
      <c r="K49" s="37"/>
      <c r="L49" s="37"/>
      <c r="M49" s="78">
        <f t="shared" si="1"/>
        <v>0</v>
      </c>
      <c r="N49" s="39"/>
      <c r="O49" s="31"/>
      <c r="P49" s="31"/>
      <c r="Q49" s="79">
        <f t="shared" si="2"/>
        <v>0</v>
      </c>
    </row>
    <row r="50" spans="1:17" s="13" customFormat="1" ht="15.75" x14ac:dyDescent="0.25">
      <c r="A50" s="10"/>
      <c r="B50" s="24" t="s">
        <v>158</v>
      </c>
      <c r="C50" s="1" t="s">
        <v>17</v>
      </c>
      <c r="D50" s="2"/>
      <c r="E50" s="17" t="s">
        <v>32</v>
      </c>
      <c r="F50" s="2" t="s">
        <v>260</v>
      </c>
      <c r="G50" s="11" t="s">
        <v>117</v>
      </c>
      <c r="H50" s="1">
        <v>3</v>
      </c>
      <c r="I50" s="47"/>
      <c r="J50" s="51"/>
      <c r="K50" s="37"/>
      <c r="L50" s="37"/>
      <c r="M50" s="38">
        <f t="shared" si="1"/>
        <v>0</v>
      </c>
      <c r="N50" s="39">
        <f>2</f>
        <v>2</v>
      </c>
      <c r="O50" s="31"/>
      <c r="P50" s="31"/>
      <c r="Q50" s="12">
        <f t="shared" si="2"/>
        <v>0</v>
      </c>
    </row>
    <row r="51" spans="1:17" s="15" customFormat="1" ht="15.75" x14ac:dyDescent="0.25">
      <c r="A51" s="14">
        <v>19</v>
      </c>
      <c r="B51" s="80" t="s">
        <v>43</v>
      </c>
      <c r="C51" s="1" t="s">
        <v>17</v>
      </c>
      <c r="D51" s="2"/>
      <c r="E51" s="3" t="s">
        <v>18</v>
      </c>
      <c r="F51" s="73" t="s">
        <v>178</v>
      </c>
      <c r="G51" s="74" t="s">
        <v>112</v>
      </c>
      <c r="H51" s="75">
        <v>3</v>
      </c>
      <c r="I51" s="76"/>
      <c r="J51" s="96"/>
      <c r="K51" s="77"/>
      <c r="L51" s="77"/>
      <c r="M51" s="78">
        <f t="shared" si="1"/>
        <v>0</v>
      </c>
      <c r="N51" s="100">
        <f>1</f>
        <v>1</v>
      </c>
      <c r="O51" s="81"/>
      <c r="P51" s="81"/>
      <c r="Q51" s="79">
        <f t="shared" si="2"/>
        <v>0</v>
      </c>
    </row>
    <row r="52" spans="1:17" s="15" customFormat="1" ht="15.75" x14ac:dyDescent="0.25">
      <c r="A52" s="14"/>
      <c r="B52" s="22" t="s">
        <v>43</v>
      </c>
      <c r="C52" s="1" t="s">
        <v>17</v>
      </c>
      <c r="D52" s="2"/>
      <c r="E52" s="3" t="s">
        <v>18</v>
      </c>
      <c r="F52" s="2" t="s">
        <v>242</v>
      </c>
      <c r="G52" s="11" t="s">
        <v>113</v>
      </c>
      <c r="H52" s="1">
        <v>1</v>
      </c>
      <c r="I52" s="48"/>
      <c r="J52" s="45"/>
      <c r="K52" s="40"/>
      <c r="L52" s="40"/>
      <c r="M52" s="38">
        <f t="shared" si="1"/>
        <v>0</v>
      </c>
      <c r="N52" s="39"/>
      <c r="O52" s="31"/>
      <c r="P52" s="31"/>
      <c r="Q52" s="12">
        <f t="shared" si="2"/>
        <v>0</v>
      </c>
    </row>
    <row r="53" spans="1:17" s="13" customFormat="1" ht="15.75" x14ac:dyDescent="0.25">
      <c r="A53" s="10">
        <v>20</v>
      </c>
      <c r="B53" s="30" t="s">
        <v>44</v>
      </c>
      <c r="C53" s="1" t="s">
        <v>17</v>
      </c>
      <c r="D53" s="2"/>
      <c r="E53" s="3" t="s">
        <v>20</v>
      </c>
      <c r="F53" s="73" t="s">
        <v>179</v>
      </c>
      <c r="G53" s="74" t="s">
        <v>112</v>
      </c>
      <c r="H53" s="75">
        <v>4</v>
      </c>
      <c r="I53" s="76"/>
      <c r="J53" s="96"/>
      <c r="K53" s="77"/>
      <c r="L53" s="77"/>
      <c r="M53" s="78">
        <f t="shared" si="1"/>
        <v>0</v>
      </c>
      <c r="N53" s="100"/>
      <c r="O53" s="81"/>
      <c r="P53" s="81"/>
      <c r="Q53" s="79">
        <f t="shared" si="2"/>
        <v>0</v>
      </c>
    </row>
    <row r="54" spans="1:17" s="13" customFormat="1" ht="15.75" x14ac:dyDescent="0.25">
      <c r="A54" s="10"/>
      <c r="B54" s="24" t="s">
        <v>44</v>
      </c>
      <c r="C54" s="1" t="s">
        <v>17</v>
      </c>
      <c r="D54" s="2"/>
      <c r="E54" s="3" t="s">
        <v>20</v>
      </c>
      <c r="F54" s="2" t="s">
        <v>271</v>
      </c>
      <c r="G54" s="11" t="s">
        <v>114</v>
      </c>
      <c r="H54" s="1"/>
      <c r="I54" s="49"/>
      <c r="J54" s="51"/>
      <c r="K54" s="40"/>
      <c r="L54" s="40"/>
      <c r="M54" s="78">
        <f t="shared" si="1"/>
        <v>0</v>
      </c>
      <c r="N54" s="41"/>
      <c r="O54" s="31"/>
      <c r="P54" s="31"/>
      <c r="Q54" s="12">
        <f t="shared" si="2"/>
        <v>0</v>
      </c>
    </row>
    <row r="55" spans="1:17" s="13" customFormat="1" ht="15.75" x14ac:dyDescent="0.25">
      <c r="A55" s="10">
        <v>21</v>
      </c>
      <c r="B55" s="27" t="s">
        <v>45</v>
      </c>
      <c r="C55" s="1" t="s">
        <v>17</v>
      </c>
      <c r="D55" s="2"/>
      <c r="E55" s="3" t="s">
        <v>20</v>
      </c>
      <c r="F55" s="73" t="s">
        <v>180</v>
      </c>
      <c r="G55" s="74" t="s">
        <v>112</v>
      </c>
      <c r="H55" s="75"/>
      <c r="I55" s="76"/>
      <c r="J55" s="96"/>
      <c r="K55" s="77"/>
      <c r="L55" s="77"/>
      <c r="M55" s="38">
        <f t="shared" si="1"/>
        <v>0</v>
      </c>
      <c r="N55" s="100"/>
      <c r="O55" s="81"/>
      <c r="P55" s="81"/>
      <c r="Q55" s="79">
        <f t="shared" si="2"/>
        <v>0</v>
      </c>
    </row>
    <row r="56" spans="1:17" s="13" customFormat="1" ht="15.75" x14ac:dyDescent="0.25">
      <c r="A56" s="10"/>
      <c r="B56" s="25" t="s">
        <v>45</v>
      </c>
      <c r="C56" s="1" t="s">
        <v>17</v>
      </c>
      <c r="D56" s="2"/>
      <c r="E56" s="3" t="s">
        <v>20</v>
      </c>
      <c r="F56" s="2" t="s">
        <v>272</v>
      </c>
      <c r="G56" s="11" t="s">
        <v>114</v>
      </c>
      <c r="H56" s="1"/>
      <c r="I56" s="49"/>
      <c r="J56" s="51"/>
      <c r="K56" s="40"/>
      <c r="L56" s="40"/>
      <c r="M56" s="78">
        <f t="shared" si="1"/>
        <v>0</v>
      </c>
      <c r="N56" s="41"/>
      <c r="O56" s="31"/>
      <c r="P56" s="31"/>
      <c r="Q56" s="12">
        <f t="shared" si="2"/>
        <v>0</v>
      </c>
    </row>
    <row r="57" spans="1:17" s="15" customFormat="1" ht="15.75" x14ac:dyDescent="0.25">
      <c r="A57" s="14">
        <v>22</v>
      </c>
      <c r="B57" s="28" t="s">
        <v>46</v>
      </c>
      <c r="C57" s="1" t="s">
        <v>17</v>
      </c>
      <c r="D57" s="2"/>
      <c r="E57" s="3" t="s">
        <v>20</v>
      </c>
      <c r="F57" s="73" t="s">
        <v>181</v>
      </c>
      <c r="G57" s="74" t="s">
        <v>112</v>
      </c>
      <c r="H57" s="75">
        <v>1</v>
      </c>
      <c r="I57" s="76"/>
      <c r="J57" s="96"/>
      <c r="K57" s="77"/>
      <c r="L57" s="77"/>
      <c r="M57" s="38">
        <f t="shared" si="1"/>
        <v>0</v>
      </c>
      <c r="N57" s="100"/>
      <c r="O57" s="81"/>
      <c r="P57" s="81"/>
      <c r="Q57" s="79">
        <f t="shared" si="2"/>
        <v>0</v>
      </c>
    </row>
    <row r="58" spans="1:17" s="15" customFormat="1" ht="15.75" x14ac:dyDescent="0.25">
      <c r="A58" s="14"/>
      <c r="B58" s="26" t="s">
        <v>46</v>
      </c>
      <c r="C58" s="1" t="s">
        <v>17</v>
      </c>
      <c r="D58" s="2"/>
      <c r="E58" s="3" t="s">
        <v>20</v>
      </c>
      <c r="F58" s="2" t="s">
        <v>273</v>
      </c>
      <c r="G58" s="11" t="s">
        <v>114</v>
      </c>
      <c r="H58" s="1"/>
      <c r="I58" s="49"/>
      <c r="J58" s="51"/>
      <c r="K58" s="40"/>
      <c r="L58" s="40"/>
      <c r="M58" s="78">
        <f t="shared" si="1"/>
        <v>0</v>
      </c>
      <c r="N58" s="42"/>
      <c r="O58" s="31"/>
      <c r="P58" s="31"/>
      <c r="Q58" s="12">
        <f t="shared" si="2"/>
        <v>0</v>
      </c>
    </row>
    <row r="59" spans="1:17" s="13" customFormat="1" ht="15.75" x14ac:dyDescent="0.25">
      <c r="A59" s="10">
        <v>23</v>
      </c>
      <c r="B59" s="30" t="s">
        <v>47</v>
      </c>
      <c r="C59" s="1" t="s">
        <v>17</v>
      </c>
      <c r="D59" s="2"/>
      <c r="E59" s="3" t="s">
        <v>18</v>
      </c>
      <c r="F59" s="73" t="s">
        <v>182</v>
      </c>
      <c r="G59" s="74" t="s">
        <v>112</v>
      </c>
      <c r="H59" s="75">
        <v>4</v>
      </c>
      <c r="I59" s="76"/>
      <c r="J59" s="96"/>
      <c r="K59" s="77"/>
      <c r="L59" s="77"/>
      <c r="M59" s="38">
        <f t="shared" si="1"/>
        <v>0</v>
      </c>
      <c r="N59" s="100">
        <f>7</f>
        <v>7</v>
      </c>
      <c r="O59" s="81"/>
      <c r="P59" s="81"/>
      <c r="Q59" s="79">
        <f t="shared" si="2"/>
        <v>0</v>
      </c>
    </row>
    <row r="60" spans="1:17" s="13" customFormat="1" ht="15.75" x14ac:dyDescent="0.25">
      <c r="A60" s="10"/>
      <c r="B60" s="22" t="s">
        <v>120</v>
      </c>
      <c r="C60" s="1" t="s">
        <v>17</v>
      </c>
      <c r="D60" s="2"/>
      <c r="E60" s="3" t="s">
        <v>18</v>
      </c>
      <c r="F60" s="2" t="s">
        <v>243</v>
      </c>
      <c r="G60" s="11" t="s">
        <v>116</v>
      </c>
      <c r="H60" s="1">
        <v>4</v>
      </c>
      <c r="I60" s="49"/>
      <c r="J60" s="46"/>
      <c r="K60" s="40"/>
      <c r="L60" s="40"/>
      <c r="M60" s="78">
        <f t="shared" si="1"/>
        <v>0</v>
      </c>
      <c r="N60" s="41"/>
      <c r="O60" s="31"/>
      <c r="P60" s="31"/>
      <c r="Q60" s="12">
        <f t="shared" si="2"/>
        <v>0</v>
      </c>
    </row>
    <row r="61" spans="1:17" s="13" customFormat="1" ht="15.75" x14ac:dyDescent="0.25">
      <c r="A61" s="10">
        <v>68</v>
      </c>
      <c r="B61" s="30" t="s">
        <v>134</v>
      </c>
      <c r="C61" s="1" t="s">
        <v>17</v>
      </c>
      <c r="D61" s="2"/>
      <c r="E61" s="3" t="s">
        <v>20</v>
      </c>
      <c r="F61" s="73" t="s">
        <v>183</v>
      </c>
      <c r="G61" s="74" t="s">
        <v>112</v>
      </c>
      <c r="H61" s="75">
        <v>1</v>
      </c>
      <c r="I61" s="76"/>
      <c r="J61" s="96"/>
      <c r="K61" s="77"/>
      <c r="L61" s="77"/>
      <c r="M61" s="38">
        <f t="shared" si="1"/>
        <v>0</v>
      </c>
      <c r="N61" s="100"/>
      <c r="O61" s="81"/>
      <c r="P61" s="81"/>
      <c r="Q61" s="79">
        <f t="shared" si="2"/>
        <v>0</v>
      </c>
    </row>
    <row r="62" spans="1:17" s="13" customFormat="1" ht="15.75" x14ac:dyDescent="0.25">
      <c r="A62" s="10"/>
      <c r="B62" s="24" t="s">
        <v>134</v>
      </c>
      <c r="C62" s="1" t="s">
        <v>17</v>
      </c>
      <c r="D62" s="2"/>
      <c r="E62" s="3" t="s">
        <v>20</v>
      </c>
      <c r="F62" s="2" t="s">
        <v>275</v>
      </c>
      <c r="G62" s="11" t="s">
        <v>114</v>
      </c>
      <c r="H62" s="1"/>
      <c r="I62" s="49"/>
      <c r="J62" s="51"/>
      <c r="K62" s="40"/>
      <c r="L62" s="40"/>
      <c r="M62" s="78">
        <f t="shared" si="1"/>
        <v>0</v>
      </c>
      <c r="N62" s="41"/>
      <c r="O62" s="31"/>
      <c r="P62" s="31"/>
      <c r="Q62" s="12">
        <f t="shared" si="2"/>
        <v>0</v>
      </c>
    </row>
    <row r="63" spans="1:17" s="13" customFormat="1" ht="15.75" x14ac:dyDescent="0.25">
      <c r="A63" s="10">
        <v>24</v>
      </c>
      <c r="B63" s="62" t="s">
        <v>48</v>
      </c>
      <c r="C63" s="1" t="s">
        <v>17</v>
      </c>
      <c r="D63" s="2"/>
      <c r="E63" s="3" t="s">
        <v>20</v>
      </c>
      <c r="F63" s="73" t="s">
        <v>184</v>
      </c>
      <c r="G63" s="74" t="s">
        <v>112</v>
      </c>
      <c r="H63" s="75">
        <v>1</v>
      </c>
      <c r="I63" s="76"/>
      <c r="J63" s="96"/>
      <c r="K63" s="77"/>
      <c r="L63" s="77"/>
      <c r="M63" s="38">
        <f t="shared" si="1"/>
        <v>0</v>
      </c>
      <c r="N63" s="100"/>
      <c r="O63" s="81"/>
      <c r="P63" s="81"/>
      <c r="Q63" s="79">
        <f t="shared" si="2"/>
        <v>0</v>
      </c>
    </row>
    <row r="64" spans="1:17" s="13" customFormat="1" ht="15.75" x14ac:dyDescent="0.25">
      <c r="A64" s="10">
        <v>25</v>
      </c>
      <c r="B64" s="62" t="s">
        <v>49</v>
      </c>
      <c r="C64" s="1" t="s">
        <v>17</v>
      </c>
      <c r="D64" s="2"/>
      <c r="E64" s="3" t="s">
        <v>50</v>
      </c>
      <c r="F64" s="73" t="s">
        <v>185</v>
      </c>
      <c r="G64" s="74" t="s">
        <v>112</v>
      </c>
      <c r="H64" s="75">
        <v>1</v>
      </c>
      <c r="I64" s="76"/>
      <c r="J64" s="96"/>
      <c r="K64" s="77"/>
      <c r="L64" s="77"/>
      <c r="M64" s="78">
        <f t="shared" si="1"/>
        <v>0</v>
      </c>
      <c r="N64" s="100">
        <f>5</f>
        <v>5</v>
      </c>
      <c r="O64" s="81"/>
      <c r="P64" s="81"/>
      <c r="Q64" s="12">
        <f t="shared" si="2"/>
        <v>0</v>
      </c>
    </row>
    <row r="65" spans="1:17" s="13" customFormat="1" ht="15.75" x14ac:dyDescent="0.25">
      <c r="A65" s="10"/>
      <c r="B65" s="22" t="s">
        <v>49</v>
      </c>
      <c r="C65" s="1" t="s">
        <v>17</v>
      </c>
      <c r="D65" s="2"/>
      <c r="E65" s="3" t="s">
        <v>50</v>
      </c>
      <c r="F65" s="16" t="s">
        <v>249</v>
      </c>
      <c r="G65" s="11" t="s">
        <v>115</v>
      </c>
      <c r="H65" s="1"/>
      <c r="I65" s="49"/>
      <c r="J65" s="46"/>
      <c r="K65" s="40"/>
      <c r="L65" s="40"/>
      <c r="M65" s="38">
        <f t="shared" si="1"/>
        <v>0</v>
      </c>
      <c r="N65" s="41">
        <f>6</f>
        <v>6</v>
      </c>
      <c r="O65" s="31"/>
      <c r="P65" s="31"/>
      <c r="Q65" s="79">
        <f t="shared" si="2"/>
        <v>0</v>
      </c>
    </row>
    <row r="66" spans="1:17" s="13" customFormat="1" ht="15.75" x14ac:dyDescent="0.25">
      <c r="A66" s="10">
        <v>26</v>
      </c>
      <c r="B66" s="27" t="s">
        <v>51</v>
      </c>
      <c r="C66" s="1" t="s">
        <v>17</v>
      </c>
      <c r="D66" s="2"/>
      <c r="E66" s="3" t="s">
        <v>20</v>
      </c>
      <c r="F66" s="73" t="s">
        <v>186</v>
      </c>
      <c r="G66" s="74" t="s">
        <v>112</v>
      </c>
      <c r="H66" s="75"/>
      <c r="I66" s="76"/>
      <c r="J66" s="96"/>
      <c r="K66" s="77"/>
      <c r="L66" s="77"/>
      <c r="M66" s="78">
        <f t="shared" si="1"/>
        <v>0</v>
      </c>
      <c r="N66" s="100"/>
      <c r="O66" s="81"/>
      <c r="P66" s="81"/>
      <c r="Q66" s="12">
        <f t="shared" si="2"/>
        <v>0</v>
      </c>
    </row>
    <row r="67" spans="1:17" s="13" customFormat="1" ht="15.75" x14ac:dyDescent="0.25">
      <c r="A67" s="10"/>
      <c r="B67" s="27" t="s">
        <v>51</v>
      </c>
      <c r="C67" s="1" t="s">
        <v>17</v>
      </c>
      <c r="D67" s="2"/>
      <c r="E67" s="3" t="s">
        <v>20</v>
      </c>
      <c r="F67" s="2" t="s">
        <v>276</v>
      </c>
      <c r="G67" s="11" t="s">
        <v>114</v>
      </c>
      <c r="H67" s="1"/>
      <c r="I67" s="49"/>
      <c r="J67" s="51"/>
      <c r="K67" s="40"/>
      <c r="L67" s="40"/>
      <c r="M67" s="38">
        <f t="shared" si="1"/>
        <v>0</v>
      </c>
      <c r="N67" s="41"/>
      <c r="O67" s="31"/>
      <c r="P67" s="31"/>
      <c r="Q67" s="79">
        <f t="shared" si="2"/>
        <v>0</v>
      </c>
    </row>
    <row r="68" spans="1:17" s="13" customFormat="1" ht="15.75" x14ac:dyDescent="0.25">
      <c r="A68" s="10">
        <v>27</v>
      </c>
      <c r="B68" s="62" t="s">
        <v>52</v>
      </c>
      <c r="C68" s="1" t="s">
        <v>17</v>
      </c>
      <c r="D68" s="2"/>
      <c r="E68" s="3" t="s">
        <v>20</v>
      </c>
      <c r="F68" s="73" t="s">
        <v>139</v>
      </c>
      <c r="G68" s="74" t="s">
        <v>112</v>
      </c>
      <c r="H68" s="75">
        <v>2</v>
      </c>
      <c r="I68" s="76"/>
      <c r="J68" s="96"/>
      <c r="K68" s="77"/>
      <c r="L68" s="77"/>
      <c r="M68" s="78">
        <f t="shared" si="1"/>
        <v>0</v>
      </c>
      <c r="N68" s="100">
        <f>4</f>
        <v>4</v>
      </c>
      <c r="O68" s="81"/>
      <c r="P68" s="81"/>
      <c r="Q68" s="12">
        <f t="shared" si="2"/>
        <v>0</v>
      </c>
    </row>
    <row r="69" spans="1:17" s="13" customFormat="1" ht="15.75" x14ac:dyDescent="0.25">
      <c r="A69" s="10"/>
      <c r="B69" s="22" t="s">
        <v>52</v>
      </c>
      <c r="C69" s="1" t="s">
        <v>17</v>
      </c>
      <c r="D69" s="2"/>
      <c r="E69" s="3" t="s">
        <v>20</v>
      </c>
      <c r="F69" s="2" t="s">
        <v>277</v>
      </c>
      <c r="G69" s="11" t="s">
        <v>114</v>
      </c>
      <c r="H69" s="1">
        <v>1</v>
      </c>
      <c r="I69" s="49"/>
      <c r="J69" s="51"/>
      <c r="K69" s="40"/>
      <c r="L69" s="40"/>
      <c r="M69" s="38">
        <f t="shared" si="1"/>
        <v>0</v>
      </c>
      <c r="N69" s="41"/>
      <c r="O69" s="31"/>
      <c r="P69" s="31"/>
      <c r="Q69" s="79">
        <f t="shared" si="2"/>
        <v>0</v>
      </c>
    </row>
    <row r="70" spans="1:17" s="13" customFormat="1" ht="15.75" x14ac:dyDescent="0.25">
      <c r="A70" s="10">
        <v>28</v>
      </c>
      <c r="B70" s="27" t="s">
        <v>53</v>
      </c>
      <c r="C70" s="1" t="s">
        <v>17</v>
      </c>
      <c r="D70" s="2"/>
      <c r="E70" s="3" t="s">
        <v>20</v>
      </c>
      <c r="F70" s="73" t="s">
        <v>187</v>
      </c>
      <c r="G70" s="74" t="s">
        <v>112</v>
      </c>
      <c r="H70" s="75"/>
      <c r="I70" s="76"/>
      <c r="J70" s="96"/>
      <c r="K70" s="77"/>
      <c r="L70" s="77"/>
      <c r="M70" s="78">
        <f>K70-L70</f>
        <v>0</v>
      </c>
      <c r="N70" s="100">
        <f>1</f>
        <v>1</v>
      </c>
      <c r="O70" s="81"/>
      <c r="P70" s="81"/>
      <c r="Q70" s="12">
        <f t="shared" si="2"/>
        <v>0</v>
      </c>
    </row>
    <row r="71" spans="1:17" s="13" customFormat="1" ht="15.75" x14ac:dyDescent="0.25">
      <c r="A71" s="10"/>
      <c r="B71" s="27" t="s">
        <v>149</v>
      </c>
      <c r="C71" s="1"/>
      <c r="D71" s="2"/>
      <c r="E71" s="3"/>
      <c r="F71" s="73" t="s">
        <v>311</v>
      </c>
      <c r="G71" s="74" t="s">
        <v>112</v>
      </c>
      <c r="H71" s="75">
        <v>2</v>
      </c>
      <c r="I71" s="76"/>
      <c r="J71" s="96"/>
      <c r="K71" s="77"/>
      <c r="L71" s="77"/>
      <c r="M71" s="38">
        <f t="shared" si="1"/>
        <v>0</v>
      </c>
      <c r="N71" s="100"/>
      <c r="O71" s="81"/>
      <c r="P71" s="81"/>
      <c r="Q71" s="79">
        <f t="shared" si="2"/>
        <v>0</v>
      </c>
    </row>
    <row r="72" spans="1:17" s="13" customFormat="1" ht="15.75" x14ac:dyDescent="0.25">
      <c r="A72" s="10"/>
      <c r="B72" s="25" t="s">
        <v>149</v>
      </c>
      <c r="C72" s="1" t="s">
        <v>17</v>
      </c>
      <c r="D72" s="2"/>
      <c r="E72" s="3"/>
      <c r="F72" s="2" t="s">
        <v>235</v>
      </c>
      <c r="G72" s="11" t="s">
        <v>118</v>
      </c>
      <c r="H72" s="1"/>
      <c r="I72" s="47"/>
      <c r="J72" s="51"/>
      <c r="K72" s="37"/>
      <c r="L72" s="37"/>
      <c r="M72" s="78">
        <f t="shared" si="1"/>
        <v>0</v>
      </c>
      <c r="N72" s="39"/>
      <c r="O72" s="31"/>
      <c r="P72" s="31"/>
      <c r="Q72" s="12">
        <f t="shared" si="2"/>
        <v>0</v>
      </c>
    </row>
    <row r="73" spans="1:17" s="13" customFormat="1" ht="15.75" x14ac:dyDescent="0.25">
      <c r="A73" s="10">
        <v>90</v>
      </c>
      <c r="B73" s="62" t="s">
        <v>107</v>
      </c>
      <c r="C73" s="1" t="s">
        <v>17</v>
      </c>
      <c r="D73" s="2"/>
      <c r="E73" s="17" t="s">
        <v>20</v>
      </c>
      <c r="F73" s="73" t="s">
        <v>188</v>
      </c>
      <c r="G73" s="74" t="s">
        <v>112</v>
      </c>
      <c r="H73" s="75"/>
      <c r="I73" s="76"/>
      <c r="J73" s="96"/>
      <c r="K73" s="77"/>
      <c r="L73" s="77"/>
      <c r="M73" s="38">
        <f t="shared" si="1"/>
        <v>0</v>
      </c>
      <c r="N73" s="100">
        <f>2</f>
        <v>2</v>
      </c>
      <c r="O73" s="81"/>
      <c r="P73" s="81"/>
      <c r="Q73" s="79">
        <f t="shared" si="2"/>
        <v>0</v>
      </c>
    </row>
    <row r="74" spans="1:17" s="13" customFormat="1" ht="15.75" x14ac:dyDescent="0.25">
      <c r="A74" s="10"/>
      <c r="B74" s="22" t="s">
        <v>107</v>
      </c>
      <c r="C74" s="1" t="s">
        <v>17</v>
      </c>
      <c r="D74" s="2"/>
      <c r="E74" s="17" t="s">
        <v>20</v>
      </c>
      <c r="F74" s="2" t="s">
        <v>133</v>
      </c>
      <c r="G74" s="11" t="s">
        <v>114</v>
      </c>
      <c r="H74" s="1"/>
      <c r="I74" s="49"/>
      <c r="J74" s="51"/>
      <c r="K74" s="40"/>
      <c r="L74" s="40"/>
      <c r="M74" s="78">
        <f t="shared" si="1"/>
        <v>0</v>
      </c>
      <c r="N74" s="41"/>
      <c r="O74" s="31"/>
      <c r="P74" s="31"/>
      <c r="Q74" s="12">
        <f t="shared" si="2"/>
        <v>0</v>
      </c>
    </row>
    <row r="75" spans="1:17" s="13" customFormat="1" ht="15.75" x14ac:dyDescent="0.25">
      <c r="A75" s="10">
        <v>30</v>
      </c>
      <c r="B75" s="30" t="s">
        <v>54</v>
      </c>
      <c r="C75" s="1" t="s">
        <v>17</v>
      </c>
      <c r="D75" s="2"/>
      <c r="E75" s="17" t="s">
        <v>20</v>
      </c>
      <c r="F75" s="73" t="s">
        <v>189</v>
      </c>
      <c r="G75" s="74" t="s">
        <v>112</v>
      </c>
      <c r="H75" s="75"/>
      <c r="I75" s="76"/>
      <c r="J75" s="96"/>
      <c r="K75" s="77"/>
      <c r="L75" s="77"/>
      <c r="M75" s="38">
        <f t="shared" si="1"/>
        <v>0</v>
      </c>
      <c r="N75" s="100"/>
      <c r="O75" s="81"/>
      <c r="P75" s="81"/>
      <c r="Q75" s="79">
        <f t="shared" si="2"/>
        <v>0</v>
      </c>
    </row>
    <row r="76" spans="1:17" s="13" customFormat="1" ht="36" x14ac:dyDescent="0.25">
      <c r="A76" s="10">
        <v>31</v>
      </c>
      <c r="B76" s="27" t="s">
        <v>55</v>
      </c>
      <c r="C76" s="1" t="s">
        <v>304</v>
      </c>
      <c r="D76" s="18" t="s">
        <v>314</v>
      </c>
      <c r="E76" s="3" t="s">
        <v>20</v>
      </c>
      <c r="F76" s="73" t="s">
        <v>190</v>
      </c>
      <c r="G76" s="74" t="s">
        <v>112</v>
      </c>
      <c r="H76" s="75">
        <v>2</v>
      </c>
      <c r="I76" s="76"/>
      <c r="J76" s="96"/>
      <c r="K76" s="77"/>
      <c r="L76" s="77"/>
      <c r="M76" s="78">
        <f t="shared" si="1"/>
        <v>0</v>
      </c>
      <c r="N76" s="100">
        <f>2</f>
        <v>2</v>
      </c>
      <c r="O76" s="81"/>
      <c r="P76" s="81"/>
      <c r="Q76" s="12">
        <f t="shared" ref="Q76:Q142" si="3">O76-P76</f>
        <v>0</v>
      </c>
    </row>
    <row r="77" spans="1:17" s="13" customFormat="1" ht="15.75" x14ac:dyDescent="0.25">
      <c r="A77" s="10"/>
      <c r="B77" s="62" t="s">
        <v>56</v>
      </c>
      <c r="C77" s="1" t="s">
        <v>17</v>
      </c>
      <c r="D77" s="2"/>
      <c r="E77" s="3"/>
      <c r="F77" s="73" t="s">
        <v>119</v>
      </c>
      <c r="G77" s="74" t="s">
        <v>112</v>
      </c>
      <c r="H77" s="75"/>
      <c r="I77" s="76"/>
      <c r="J77" s="96"/>
      <c r="K77" s="77"/>
      <c r="L77" s="77"/>
      <c r="M77" s="38">
        <f t="shared" si="1"/>
        <v>0</v>
      </c>
      <c r="N77" s="100"/>
      <c r="O77" s="81"/>
      <c r="P77" s="81"/>
      <c r="Q77" s="79">
        <f t="shared" si="3"/>
        <v>0</v>
      </c>
    </row>
    <row r="78" spans="1:17" s="13" customFormat="1" ht="15.75" x14ac:dyDescent="0.25">
      <c r="A78" s="10"/>
      <c r="B78" s="22" t="s">
        <v>56</v>
      </c>
      <c r="C78" s="1" t="s">
        <v>17</v>
      </c>
      <c r="D78" s="2"/>
      <c r="E78" s="3" t="s">
        <v>18</v>
      </c>
      <c r="F78" s="2" t="s">
        <v>244</v>
      </c>
      <c r="G78" s="11" t="s">
        <v>113</v>
      </c>
      <c r="H78" s="1">
        <v>1</v>
      </c>
      <c r="I78" s="49"/>
      <c r="J78" s="46"/>
      <c r="K78" s="40"/>
      <c r="L78" s="40"/>
      <c r="M78" s="78">
        <f t="shared" si="1"/>
        <v>0</v>
      </c>
      <c r="N78" s="41"/>
      <c r="O78" s="31"/>
      <c r="P78" s="31"/>
      <c r="Q78" s="12">
        <f t="shared" si="3"/>
        <v>0</v>
      </c>
    </row>
    <row r="79" spans="1:17" s="13" customFormat="1" ht="15.75" x14ac:dyDescent="0.25">
      <c r="A79" s="10"/>
      <c r="B79" s="62" t="s">
        <v>156</v>
      </c>
      <c r="C79" s="1" t="s">
        <v>304</v>
      </c>
      <c r="D79" s="2"/>
      <c r="E79" s="3" t="s">
        <v>20</v>
      </c>
      <c r="F79" s="73" t="s">
        <v>191</v>
      </c>
      <c r="G79" s="74" t="s">
        <v>112</v>
      </c>
      <c r="H79" s="75">
        <v>1</v>
      </c>
      <c r="I79" s="76"/>
      <c r="J79" s="96"/>
      <c r="K79" s="77"/>
      <c r="L79" s="77"/>
      <c r="M79" s="38">
        <f t="shared" si="1"/>
        <v>0</v>
      </c>
      <c r="N79" s="100">
        <f>3</f>
        <v>3</v>
      </c>
      <c r="O79" s="81"/>
      <c r="P79" s="81"/>
      <c r="Q79" s="79">
        <f t="shared" si="3"/>
        <v>0</v>
      </c>
    </row>
    <row r="80" spans="1:17" s="15" customFormat="1" ht="15.75" x14ac:dyDescent="0.25">
      <c r="A80" s="14">
        <v>32</v>
      </c>
      <c r="B80" s="80" t="s">
        <v>57</v>
      </c>
      <c r="C80" s="1" t="s">
        <v>17</v>
      </c>
      <c r="D80" s="2"/>
      <c r="E80" s="3" t="s">
        <v>20</v>
      </c>
      <c r="F80" s="73" t="s">
        <v>192</v>
      </c>
      <c r="G80" s="74" t="s">
        <v>112</v>
      </c>
      <c r="H80" s="75">
        <v>1</v>
      </c>
      <c r="I80" s="76"/>
      <c r="J80" s="96"/>
      <c r="K80" s="77"/>
      <c r="L80" s="77"/>
      <c r="M80" s="78">
        <f t="shared" si="1"/>
        <v>0</v>
      </c>
      <c r="N80" s="100"/>
      <c r="O80" s="81"/>
      <c r="P80" s="81"/>
      <c r="Q80" s="12">
        <f t="shared" si="3"/>
        <v>0</v>
      </c>
    </row>
    <row r="81" spans="1:17" s="15" customFormat="1" ht="15.75" x14ac:dyDescent="0.25">
      <c r="A81" s="14"/>
      <c r="B81" s="23" t="s">
        <v>57</v>
      </c>
      <c r="C81" s="1" t="s">
        <v>17</v>
      </c>
      <c r="D81" s="2"/>
      <c r="E81" s="3" t="s">
        <v>20</v>
      </c>
      <c r="F81" s="2" t="s">
        <v>278</v>
      </c>
      <c r="G81" s="11" t="s">
        <v>114</v>
      </c>
      <c r="H81" s="1"/>
      <c r="I81" s="49"/>
      <c r="J81" s="51"/>
      <c r="K81" s="40"/>
      <c r="L81" s="40"/>
      <c r="M81" s="38">
        <f t="shared" si="1"/>
        <v>0</v>
      </c>
      <c r="N81" s="42"/>
      <c r="O81" s="31"/>
      <c r="P81" s="31"/>
      <c r="Q81" s="79">
        <f t="shared" si="3"/>
        <v>0</v>
      </c>
    </row>
    <row r="82" spans="1:17" s="13" customFormat="1" ht="15.75" x14ac:dyDescent="0.25">
      <c r="A82" s="10">
        <v>33</v>
      </c>
      <c r="B82" s="62" t="s">
        <v>58</v>
      </c>
      <c r="C82" s="1" t="s">
        <v>17</v>
      </c>
      <c r="D82" s="2"/>
      <c r="E82" s="3" t="s">
        <v>20</v>
      </c>
      <c r="F82" s="73" t="s">
        <v>193</v>
      </c>
      <c r="G82" s="74" t="s">
        <v>112</v>
      </c>
      <c r="H82" s="75">
        <v>1</v>
      </c>
      <c r="I82" s="76"/>
      <c r="J82" s="96"/>
      <c r="K82" s="77"/>
      <c r="L82" s="77"/>
      <c r="M82" s="78">
        <f t="shared" si="1"/>
        <v>0</v>
      </c>
      <c r="N82" s="100">
        <f>1</f>
        <v>1</v>
      </c>
      <c r="O82" s="81"/>
      <c r="P82" s="81"/>
      <c r="Q82" s="12">
        <f t="shared" si="3"/>
        <v>0</v>
      </c>
    </row>
    <row r="83" spans="1:17" s="13" customFormat="1" ht="15.75" x14ac:dyDescent="0.25">
      <c r="A83" s="10"/>
      <c r="B83" s="22" t="s">
        <v>58</v>
      </c>
      <c r="C83" s="1" t="s">
        <v>17</v>
      </c>
      <c r="D83" s="2"/>
      <c r="E83" s="3" t="s">
        <v>20</v>
      </c>
      <c r="F83" s="2" t="s">
        <v>279</v>
      </c>
      <c r="G83" s="11" t="s">
        <v>114</v>
      </c>
      <c r="H83" s="1"/>
      <c r="I83" s="49"/>
      <c r="J83" s="51"/>
      <c r="K83" s="40"/>
      <c r="L83" s="40"/>
      <c r="M83" s="38">
        <f t="shared" ref="M83:M151" si="4">K83-L83</f>
        <v>0</v>
      </c>
      <c r="N83" s="41"/>
      <c r="O83" s="31"/>
      <c r="P83" s="31"/>
      <c r="Q83" s="79">
        <f t="shared" si="3"/>
        <v>0</v>
      </c>
    </row>
    <row r="84" spans="1:17" s="13" customFormat="1" ht="15.75" x14ac:dyDescent="0.25">
      <c r="A84" s="10">
        <v>34</v>
      </c>
      <c r="B84" s="62" t="s">
        <v>59</v>
      </c>
      <c r="C84" s="1" t="s">
        <v>17</v>
      </c>
      <c r="D84" s="2"/>
      <c r="E84" s="3" t="s">
        <v>20</v>
      </c>
      <c r="F84" s="73" t="s">
        <v>308</v>
      </c>
      <c r="G84" s="74" t="s">
        <v>112</v>
      </c>
      <c r="H84" s="75">
        <v>2</v>
      </c>
      <c r="I84" s="76"/>
      <c r="J84" s="96"/>
      <c r="K84" s="77"/>
      <c r="L84" s="77"/>
      <c r="M84" s="78">
        <f t="shared" si="4"/>
        <v>0</v>
      </c>
      <c r="N84" s="100"/>
      <c r="O84" s="81"/>
      <c r="P84" s="81"/>
      <c r="Q84" s="12">
        <f t="shared" si="3"/>
        <v>0</v>
      </c>
    </row>
    <row r="85" spans="1:17" s="13" customFormat="1" ht="15.75" x14ac:dyDescent="0.25">
      <c r="A85" s="10"/>
      <c r="B85" s="22" t="s">
        <v>59</v>
      </c>
      <c r="C85" s="1" t="s">
        <v>17</v>
      </c>
      <c r="D85" s="2"/>
      <c r="E85" s="3" t="s">
        <v>20</v>
      </c>
      <c r="F85" s="2" t="s">
        <v>128</v>
      </c>
      <c r="G85" s="11" t="s">
        <v>114</v>
      </c>
      <c r="H85" s="1"/>
      <c r="I85" s="49"/>
      <c r="J85" s="51"/>
      <c r="K85" s="40"/>
      <c r="L85" s="40"/>
      <c r="M85" s="38">
        <f t="shared" si="4"/>
        <v>0</v>
      </c>
      <c r="N85" s="41"/>
      <c r="O85" s="31"/>
      <c r="P85" s="31"/>
      <c r="Q85" s="79">
        <f t="shared" si="3"/>
        <v>0</v>
      </c>
    </row>
    <row r="86" spans="1:17" s="13" customFormat="1" ht="15.75" x14ac:dyDescent="0.25">
      <c r="A86" s="10">
        <v>35</v>
      </c>
      <c r="B86" s="27" t="s">
        <v>60</v>
      </c>
      <c r="C86" s="1" t="s">
        <v>17</v>
      </c>
      <c r="D86" s="2"/>
      <c r="E86" s="3" t="s">
        <v>20</v>
      </c>
      <c r="F86" s="73" t="s">
        <v>194</v>
      </c>
      <c r="G86" s="74" t="s">
        <v>112</v>
      </c>
      <c r="H86" s="75">
        <v>1</v>
      </c>
      <c r="I86" s="76"/>
      <c r="J86" s="96"/>
      <c r="K86" s="77"/>
      <c r="L86" s="77"/>
      <c r="M86" s="78">
        <f t="shared" si="4"/>
        <v>0</v>
      </c>
      <c r="N86" s="100"/>
      <c r="O86" s="81"/>
      <c r="P86" s="81"/>
      <c r="Q86" s="12">
        <f t="shared" si="3"/>
        <v>0</v>
      </c>
    </row>
    <row r="87" spans="1:17" s="13" customFormat="1" ht="15.75" x14ac:dyDescent="0.25">
      <c r="A87" s="10"/>
      <c r="B87" s="25" t="s">
        <v>60</v>
      </c>
      <c r="C87" s="1" t="s">
        <v>17</v>
      </c>
      <c r="D87" s="2"/>
      <c r="E87" s="3" t="s">
        <v>20</v>
      </c>
      <c r="F87" s="2" t="s">
        <v>280</v>
      </c>
      <c r="G87" s="11" t="s">
        <v>114</v>
      </c>
      <c r="H87" s="1"/>
      <c r="I87" s="49"/>
      <c r="J87" s="51"/>
      <c r="K87" s="40"/>
      <c r="L87" s="40"/>
      <c r="M87" s="38">
        <f t="shared" si="4"/>
        <v>0</v>
      </c>
      <c r="N87" s="41"/>
      <c r="O87" s="31"/>
      <c r="P87" s="31"/>
      <c r="Q87" s="79">
        <f t="shared" si="3"/>
        <v>0</v>
      </c>
    </row>
    <row r="88" spans="1:17" s="15" customFormat="1" ht="15.75" x14ac:dyDescent="0.25">
      <c r="A88" s="14">
        <v>36</v>
      </c>
      <c r="B88" s="28" t="s">
        <v>61</v>
      </c>
      <c r="C88" s="1" t="s">
        <v>17</v>
      </c>
      <c r="D88" s="2"/>
      <c r="E88" s="3" t="s">
        <v>20</v>
      </c>
      <c r="F88" s="73" t="s">
        <v>109</v>
      </c>
      <c r="G88" s="74" t="s">
        <v>112</v>
      </c>
      <c r="H88" s="75"/>
      <c r="I88" s="76"/>
      <c r="J88" s="96"/>
      <c r="K88" s="77"/>
      <c r="L88" s="77"/>
      <c r="M88" s="78">
        <f t="shared" si="4"/>
        <v>0</v>
      </c>
      <c r="N88" s="100"/>
      <c r="O88" s="81"/>
      <c r="P88" s="81"/>
      <c r="Q88" s="12">
        <f t="shared" si="3"/>
        <v>0</v>
      </c>
    </row>
    <row r="89" spans="1:17" s="15" customFormat="1" ht="15.75" x14ac:dyDescent="0.25">
      <c r="A89" s="14"/>
      <c r="B89" s="26" t="s">
        <v>61</v>
      </c>
      <c r="C89" s="1" t="s">
        <v>17</v>
      </c>
      <c r="D89" s="2"/>
      <c r="E89" s="3" t="s">
        <v>20</v>
      </c>
      <c r="F89" s="2" t="s">
        <v>121</v>
      </c>
      <c r="G89" s="11" t="s">
        <v>114</v>
      </c>
      <c r="H89" s="1"/>
      <c r="I89" s="49"/>
      <c r="J89" s="51"/>
      <c r="K89" s="40"/>
      <c r="L89" s="40"/>
      <c r="M89" s="38">
        <f t="shared" si="4"/>
        <v>0</v>
      </c>
      <c r="N89" s="42"/>
      <c r="O89" s="31"/>
      <c r="P89" s="31"/>
      <c r="Q89" s="79">
        <f t="shared" si="3"/>
        <v>0</v>
      </c>
    </row>
    <row r="90" spans="1:17" s="15" customFormat="1" ht="15.75" x14ac:dyDescent="0.25">
      <c r="A90" s="14"/>
      <c r="B90" s="20" t="s">
        <v>306</v>
      </c>
      <c r="C90" s="1"/>
      <c r="D90" s="2"/>
      <c r="E90" s="3" t="s">
        <v>35</v>
      </c>
      <c r="F90" s="73" t="s">
        <v>307</v>
      </c>
      <c r="G90" s="11" t="s">
        <v>112</v>
      </c>
      <c r="H90" s="1">
        <v>4</v>
      </c>
      <c r="I90" s="58"/>
      <c r="J90" s="51"/>
      <c r="K90" s="40"/>
      <c r="L90" s="40"/>
      <c r="M90" s="78">
        <f t="shared" si="4"/>
        <v>0</v>
      </c>
      <c r="N90" s="39">
        <f>7</f>
        <v>7</v>
      </c>
      <c r="O90" s="31"/>
      <c r="P90" s="31"/>
      <c r="Q90" s="12">
        <f t="shared" si="3"/>
        <v>0</v>
      </c>
    </row>
    <row r="91" spans="1:17" s="13" customFormat="1" ht="15.75" x14ac:dyDescent="0.25">
      <c r="A91" s="10">
        <v>37</v>
      </c>
      <c r="B91" s="27" t="s">
        <v>62</v>
      </c>
      <c r="C91" s="1" t="s">
        <v>17</v>
      </c>
      <c r="D91" s="2"/>
      <c r="E91" s="3" t="s">
        <v>35</v>
      </c>
      <c r="F91" s="73" t="s">
        <v>300</v>
      </c>
      <c r="G91" s="74" t="s">
        <v>112</v>
      </c>
      <c r="H91" s="75">
        <v>2</v>
      </c>
      <c r="I91" s="76"/>
      <c r="J91" s="96"/>
      <c r="K91" s="77"/>
      <c r="L91" s="77"/>
      <c r="M91" s="38">
        <f t="shared" si="4"/>
        <v>0</v>
      </c>
      <c r="N91" s="100">
        <f>6</f>
        <v>6</v>
      </c>
      <c r="O91" s="81"/>
      <c r="P91" s="81"/>
      <c r="Q91" s="79">
        <f t="shared" si="3"/>
        <v>0</v>
      </c>
    </row>
    <row r="92" spans="1:17" s="13" customFormat="1" ht="15.75" x14ac:dyDescent="0.25">
      <c r="A92" s="10"/>
      <c r="B92" s="25" t="s">
        <v>62</v>
      </c>
      <c r="C92" s="1" t="s">
        <v>17</v>
      </c>
      <c r="D92" s="2"/>
      <c r="E92" s="3" t="s">
        <v>35</v>
      </c>
      <c r="F92" s="16" t="s">
        <v>250</v>
      </c>
      <c r="G92" s="11" t="s">
        <v>117</v>
      </c>
      <c r="H92" s="1"/>
      <c r="I92" s="49"/>
      <c r="J92" s="46"/>
      <c r="K92" s="40"/>
      <c r="L92" s="40"/>
      <c r="M92" s="78">
        <f t="shared" si="4"/>
        <v>0</v>
      </c>
      <c r="N92" s="41">
        <f>7</f>
        <v>7</v>
      </c>
      <c r="O92" s="31"/>
      <c r="P92" s="31"/>
      <c r="Q92" s="12">
        <f t="shared" si="3"/>
        <v>0</v>
      </c>
    </row>
    <row r="93" spans="1:17" s="13" customFormat="1" ht="15.75" x14ac:dyDescent="0.25">
      <c r="A93" s="10"/>
      <c r="B93" s="25" t="s">
        <v>63</v>
      </c>
      <c r="C93" s="1" t="s">
        <v>64</v>
      </c>
      <c r="D93" s="10" t="s">
        <v>65</v>
      </c>
      <c r="E93" s="3" t="s">
        <v>20</v>
      </c>
      <c r="F93" s="2" t="s">
        <v>122</v>
      </c>
      <c r="G93" s="11" t="s">
        <v>114</v>
      </c>
      <c r="H93" s="1"/>
      <c r="I93" s="49"/>
      <c r="J93" s="51"/>
      <c r="K93" s="40"/>
      <c r="L93" s="40"/>
      <c r="M93" s="38">
        <f t="shared" si="4"/>
        <v>0</v>
      </c>
      <c r="N93" s="41"/>
      <c r="O93" s="31"/>
      <c r="P93" s="31"/>
      <c r="Q93" s="79">
        <f t="shared" si="3"/>
        <v>0</v>
      </c>
    </row>
    <row r="94" spans="1:17" s="13" customFormat="1" ht="15.75" x14ac:dyDescent="0.25">
      <c r="A94" s="10"/>
      <c r="B94" s="27" t="s">
        <v>155</v>
      </c>
      <c r="C94" s="1" t="s">
        <v>17</v>
      </c>
      <c r="D94" s="10"/>
      <c r="E94" s="3" t="s">
        <v>20</v>
      </c>
      <c r="F94" s="73" t="s">
        <v>301</v>
      </c>
      <c r="G94" s="74" t="s">
        <v>112</v>
      </c>
      <c r="H94" s="75">
        <v>2</v>
      </c>
      <c r="I94" s="82"/>
      <c r="J94" s="96"/>
      <c r="K94" s="77"/>
      <c r="L94" s="77"/>
      <c r="M94" s="78">
        <f t="shared" si="4"/>
        <v>0</v>
      </c>
      <c r="N94" s="100"/>
      <c r="O94" s="81"/>
      <c r="P94" s="81"/>
      <c r="Q94" s="12">
        <f t="shared" si="3"/>
        <v>0</v>
      </c>
    </row>
    <row r="95" spans="1:17" s="13" customFormat="1" ht="15.75" x14ac:dyDescent="0.25">
      <c r="A95" s="10"/>
      <c r="B95" s="25" t="s">
        <v>155</v>
      </c>
      <c r="C95" s="1" t="s">
        <v>17</v>
      </c>
      <c r="D95" s="10"/>
      <c r="E95" s="3" t="s">
        <v>20</v>
      </c>
      <c r="F95" s="2"/>
      <c r="G95" s="11" t="s">
        <v>114</v>
      </c>
      <c r="H95" s="1">
        <v>2</v>
      </c>
      <c r="I95" s="49"/>
      <c r="J95" s="51"/>
      <c r="K95" s="40"/>
      <c r="L95" s="40"/>
      <c r="M95" s="38">
        <f t="shared" si="4"/>
        <v>0</v>
      </c>
      <c r="N95" s="41"/>
      <c r="O95" s="31"/>
      <c r="P95" s="31"/>
      <c r="Q95" s="79">
        <f t="shared" si="3"/>
        <v>0</v>
      </c>
    </row>
    <row r="96" spans="1:17" s="13" customFormat="1" ht="15.75" x14ac:dyDescent="0.25">
      <c r="A96" s="10">
        <v>39</v>
      </c>
      <c r="B96" s="30" t="s">
        <v>66</v>
      </c>
      <c r="C96" s="1" t="s">
        <v>17</v>
      </c>
      <c r="D96" s="2"/>
      <c r="E96" s="3" t="s">
        <v>21</v>
      </c>
      <c r="F96" s="73" t="s">
        <v>195</v>
      </c>
      <c r="G96" s="74" t="s">
        <v>112</v>
      </c>
      <c r="H96" s="75">
        <v>1</v>
      </c>
      <c r="I96" s="76"/>
      <c r="J96" s="96"/>
      <c r="K96" s="77"/>
      <c r="L96" s="77"/>
      <c r="M96" s="78">
        <f t="shared" si="4"/>
        <v>0</v>
      </c>
      <c r="N96" s="100">
        <f>6</f>
        <v>6</v>
      </c>
      <c r="O96" s="81"/>
      <c r="P96" s="81"/>
      <c r="Q96" s="12">
        <f t="shared" si="3"/>
        <v>0</v>
      </c>
    </row>
    <row r="97" spans="1:19" s="13" customFormat="1" ht="15.75" x14ac:dyDescent="0.25">
      <c r="A97" s="10"/>
      <c r="B97" s="24" t="s">
        <v>66</v>
      </c>
      <c r="C97" s="1" t="s">
        <v>17</v>
      </c>
      <c r="D97" s="2"/>
      <c r="E97" s="3" t="s">
        <v>21</v>
      </c>
      <c r="F97" s="2" t="s">
        <v>236</v>
      </c>
      <c r="G97" s="11" t="s">
        <v>118</v>
      </c>
      <c r="H97" s="1"/>
      <c r="I97" s="49"/>
      <c r="J97" s="46"/>
      <c r="K97" s="40"/>
      <c r="L97" s="40"/>
      <c r="M97" s="38">
        <f t="shared" si="4"/>
        <v>0</v>
      </c>
      <c r="N97" s="41">
        <v>1</v>
      </c>
      <c r="O97" s="31"/>
      <c r="P97" s="31"/>
      <c r="Q97" s="79">
        <f t="shared" si="3"/>
        <v>0</v>
      </c>
    </row>
    <row r="98" spans="1:19" s="13" customFormat="1" ht="15.75" x14ac:dyDescent="0.25">
      <c r="A98" s="10">
        <v>92</v>
      </c>
      <c r="B98" s="62" t="s">
        <v>137</v>
      </c>
      <c r="C98" s="1" t="s">
        <v>17</v>
      </c>
      <c r="D98" s="2"/>
      <c r="E98" s="17" t="s">
        <v>35</v>
      </c>
      <c r="F98" s="73" t="s">
        <v>196</v>
      </c>
      <c r="G98" s="74" t="s">
        <v>112</v>
      </c>
      <c r="H98" s="75">
        <v>2</v>
      </c>
      <c r="I98" s="76"/>
      <c r="J98" s="96"/>
      <c r="K98" s="77"/>
      <c r="L98" s="77"/>
      <c r="M98" s="78">
        <f t="shared" si="4"/>
        <v>0</v>
      </c>
      <c r="N98" s="100">
        <f>5</f>
        <v>5</v>
      </c>
      <c r="O98" s="81"/>
      <c r="P98" s="81"/>
      <c r="Q98" s="12">
        <f t="shared" si="3"/>
        <v>0</v>
      </c>
    </row>
    <row r="99" spans="1:19" s="13" customFormat="1" ht="15.75" x14ac:dyDescent="0.25">
      <c r="A99" s="10"/>
      <c r="B99" s="22" t="s">
        <v>137</v>
      </c>
      <c r="C99" s="1" t="s">
        <v>17</v>
      </c>
      <c r="D99" s="2"/>
      <c r="E99" s="17" t="s">
        <v>35</v>
      </c>
      <c r="F99" s="2" t="s">
        <v>251</v>
      </c>
      <c r="G99" s="11" t="s">
        <v>117</v>
      </c>
      <c r="H99" s="1"/>
      <c r="I99" s="49"/>
      <c r="J99" s="51"/>
      <c r="K99" s="37"/>
      <c r="L99" s="37"/>
      <c r="M99" s="78">
        <f t="shared" si="4"/>
        <v>0</v>
      </c>
      <c r="N99" s="39"/>
      <c r="O99" s="31"/>
      <c r="P99" s="31"/>
      <c r="Q99" s="79">
        <f t="shared" si="3"/>
        <v>0</v>
      </c>
    </row>
    <row r="100" spans="1:19" s="13" customFormat="1" ht="15.75" x14ac:dyDescent="0.25">
      <c r="A100" s="10">
        <v>41</v>
      </c>
      <c r="B100" s="30" t="s">
        <v>67</v>
      </c>
      <c r="C100" s="1" t="s">
        <v>17</v>
      </c>
      <c r="D100" s="2"/>
      <c r="E100" s="17" t="s">
        <v>21</v>
      </c>
      <c r="F100" s="73" t="s">
        <v>197</v>
      </c>
      <c r="G100" s="74" t="s">
        <v>112</v>
      </c>
      <c r="H100" s="75"/>
      <c r="I100" s="76"/>
      <c r="J100" s="96"/>
      <c r="K100" s="77"/>
      <c r="L100" s="77"/>
      <c r="M100" s="38">
        <f t="shared" si="4"/>
        <v>0</v>
      </c>
      <c r="N100" s="100">
        <f>4</f>
        <v>4</v>
      </c>
      <c r="O100" s="81"/>
      <c r="P100" s="81"/>
      <c r="Q100" s="12">
        <f t="shared" si="3"/>
        <v>0</v>
      </c>
    </row>
    <row r="101" spans="1:19" s="13" customFormat="1" ht="15.75" x14ac:dyDescent="0.25">
      <c r="A101" s="10"/>
      <c r="B101" s="24" t="s">
        <v>67</v>
      </c>
      <c r="C101" s="1" t="s">
        <v>17</v>
      </c>
      <c r="D101" s="2"/>
      <c r="E101" s="17" t="s">
        <v>21</v>
      </c>
      <c r="F101" s="2" t="s">
        <v>239</v>
      </c>
      <c r="G101" s="11" t="s">
        <v>118</v>
      </c>
      <c r="H101" s="1"/>
      <c r="I101" s="49"/>
      <c r="J101" s="46"/>
      <c r="K101" s="40"/>
      <c r="L101" s="40"/>
      <c r="M101" s="78">
        <f t="shared" si="4"/>
        <v>0</v>
      </c>
      <c r="N101" s="41">
        <v>1</v>
      </c>
      <c r="O101" s="31"/>
      <c r="P101" s="31"/>
      <c r="Q101" s="79">
        <f t="shared" si="3"/>
        <v>0</v>
      </c>
    </row>
    <row r="102" spans="1:19" s="13" customFormat="1" ht="15.75" x14ac:dyDescent="0.25">
      <c r="A102" s="10">
        <v>42</v>
      </c>
      <c r="B102" s="30" t="s">
        <v>68</v>
      </c>
      <c r="C102" s="1" t="s">
        <v>17</v>
      </c>
      <c r="D102" s="2"/>
      <c r="E102" s="17" t="s">
        <v>32</v>
      </c>
      <c r="F102" s="73" t="s">
        <v>198</v>
      </c>
      <c r="G102" s="74" t="s">
        <v>112</v>
      </c>
      <c r="H102" s="75">
        <v>2</v>
      </c>
      <c r="I102" s="76"/>
      <c r="J102" s="96"/>
      <c r="K102" s="77"/>
      <c r="L102" s="77"/>
      <c r="M102" s="38">
        <f t="shared" si="4"/>
        <v>0</v>
      </c>
      <c r="N102" s="100">
        <f>6</f>
        <v>6</v>
      </c>
      <c r="O102" s="81"/>
      <c r="P102" s="81"/>
      <c r="Q102" s="12">
        <f t="shared" si="3"/>
        <v>0</v>
      </c>
    </row>
    <row r="103" spans="1:19" s="13" customFormat="1" ht="15.75" x14ac:dyDescent="0.25">
      <c r="A103" s="10"/>
      <c r="B103" s="24" t="s">
        <v>68</v>
      </c>
      <c r="C103" s="1" t="s">
        <v>17</v>
      </c>
      <c r="D103" s="2"/>
      <c r="E103" s="17" t="s">
        <v>32</v>
      </c>
      <c r="F103" s="16" t="s">
        <v>252</v>
      </c>
      <c r="G103" s="8" t="s">
        <v>117</v>
      </c>
      <c r="H103" s="1"/>
      <c r="I103" s="49"/>
      <c r="J103" s="46"/>
      <c r="K103" s="40"/>
      <c r="L103" s="40"/>
      <c r="M103" s="78">
        <f t="shared" si="4"/>
        <v>0</v>
      </c>
      <c r="N103" s="41"/>
      <c r="O103" s="40"/>
      <c r="P103" s="40"/>
      <c r="Q103" s="79">
        <f t="shared" si="3"/>
        <v>0</v>
      </c>
    </row>
    <row r="104" spans="1:19" s="15" customFormat="1" ht="15.75" x14ac:dyDescent="0.25">
      <c r="A104" s="14">
        <v>43</v>
      </c>
      <c r="B104" s="28" t="s">
        <v>69</v>
      </c>
      <c r="C104" s="1" t="s">
        <v>17</v>
      </c>
      <c r="D104" s="2"/>
      <c r="E104" s="3" t="s">
        <v>20</v>
      </c>
      <c r="F104" s="73" t="s">
        <v>140</v>
      </c>
      <c r="G104" s="74" t="s">
        <v>112</v>
      </c>
      <c r="H104" s="75"/>
      <c r="I104" s="76"/>
      <c r="J104" s="96"/>
      <c r="K104" s="77"/>
      <c r="L104" s="77"/>
      <c r="M104" s="38">
        <f t="shared" si="4"/>
        <v>0</v>
      </c>
      <c r="N104" s="100">
        <f>3</f>
        <v>3</v>
      </c>
      <c r="O104" s="77"/>
      <c r="P104" s="77"/>
      <c r="Q104" s="12">
        <f t="shared" si="3"/>
        <v>0</v>
      </c>
    </row>
    <row r="105" spans="1:19" s="13" customFormat="1" ht="15.75" x14ac:dyDescent="0.25">
      <c r="A105" s="10">
        <v>45</v>
      </c>
      <c r="B105" s="62" t="s">
        <v>70</v>
      </c>
      <c r="C105" s="1" t="s">
        <v>17</v>
      </c>
      <c r="D105" s="2"/>
      <c r="E105" s="3" t="s">
        <v>20</v>
      </c>
      <c r="F105" s="73" t="s">
        <v>199</v>
      </c>
      <c r="G105" s="74" t="s">
        <v>112</v>
      </c>
      <c r="H105" s="75">
        <v>1</v>
      </c>
      <c r="I105" s="76"/>
      <c r="J105" s="96"/>
      <c r="K105" s="77"/>
      <c r="L105" s="77"/>
      <c r="M105" s="78">
        <f t="shared" si="4"/>
        <v>0</v>
      </c>
      <c r="N105" s="100">
        <f>2</f>
        <v>2</v>
      </c>
      <c r="O105" s="81"/>
      <c r="P105" s="81"/>
      <c r="Q105" s="79">
        <f t="shared" si="3"/>
        <v>0</v>
      </c>
      <c r="R105" s="35"/>
    </row>
    <row r="106" spans="1:19" s="13" customFormat="1" ht="15.75" x14ac:dyDescent="0.25">
      <c r="A106" s="10"/>
      <c r="B106" s="22" t="s">
        <v>70</v>
      </c>
      <c r="C106" s="1" t="s">
        <v>17</v>
      </c>
      <c r="D106" s="2"/>
      <c r="E106" s="3" t="s">
        <v>20</v>
      </c>
      <c r="F106" s="2" t="s">
        <v>281</v>
      </c>
      <c r="G106" s="11" t="s">
        <v>114</v>
      </c>
      <c r="H106" s="1">
        <v>4</v>
      </c>
      <c r="I106" s="49"/>
      <c r="J106" s="51"/>
      <c r="K106" s="40"/>
      <c r="L106" s="40"/>
      <c r="M106" s="38">
        <f t="shared" si="4"/>
        <v>0</v>
      </c>
      <c r="N106" s="41"/>
      <c r="O106" s="31"/>
      <c r="P106" s="31"/>
      <c r="Q106" s="12">
        <f t="shared" si="3"/>
        <v>0</v>
      </c>
    </row>
    <row r="107" spans="1:19" s="15" customFormat="1" ht="15.75" x14ac:dyDescent="0.25">
      <c r="A107" s="14">
        <v>46</v>
      </c>
      <c r="B107" s="80" t="s">
        <v>71</v>
      </c>
      <c r="C107" s="1" t="s">
        <v>17</v>
      </c>
      <c r="D107" s="2"/>
      <c r="E107" s="3" t="s">
        <v>32</v>
      </c>
      <c r="F107" s="73" t="s">
        <v>200</v>
      </c>
      <c r="G107" s="74" t="s">
        <v>112</v>
      </c>
      <c r="H107" s="75"/>
      <c r="I107" s="76"/>
      <c r="J107" s="96"/>
      <c r="K107" s="77"/>
      <c r="L107" s="77"/>
      <c r="M107" s="78">
        <f t="shared" si="4"/>
        <v>0</v>
      </c>
      <c r="N107" s="100">
        <f>3</f>
        <v>3</v>
      </c>
      <c r="O107" s="81"/>
      <c r="P107" s="81"/>
      <c r="Q107" s="79">
        <f t="shared" si="3"/>
        <v>0</v>
      </c>
      <c r="R107" s="36"/>
      <c r="S107" s="36"/>
    </row>
    <row r="108" spans="1:19" s="15" customFormat="1" ht="15.75" x14ac:dyDescent="0.25">
      <c r="A108" s="14"/>
      <c r="B108" s="23" t="s">
        <v>71</v>
      </c>
      <c r="C108" s="1" t="s">
        <v>17</v>
      </c>
      <c r="D108" s="2"/>
      <c r="E108" s="3" t="s">
        <v>32</v>
      </c>
      <c r="F108" s="16" t="s">
        <v>253</v>
      </c>
      <c r="G108" s="11" t="s">
        <v>115</v>
      </c>
      <c r="H108" s="1"/>
      <c r="I108" s="48"/>
      <c r="J108" s="45"/>
      <c r="K108" s="40"/>
      <c r="L108" s="40"/>
      <c r="M108" s="38">
        <f t="shared" si="4"/>
        <v>0</v>
      </c>
      <c r="N108" s="39">
        <f>5</f>
        <v>5</v>
      </c>
      <c r="O108" s="40"/>
      <c r="P108" s="40"/>
      <c r="Q108" s="12">
        <f t="shared" si="3"/>
        <v>0</v>
      </c>
    </row>
    <row r="109" spans="1:19" s="13" customFormat="1" ht="15.75" x14ac:dyDescent="0.25">
      <c r="A109" s="10">
        <v>15</v>
      </c>
      <c r="B109" s="62" t="s">
        <v>319</v>
      </c>
      <c r="C109" s="1" t="s">
        <v>17</v>
      </c>
      <c r="D109" s="2"/>
      <c r="E109" s="3" t="s">
        <v>20</v>
      </c>
      <c r="F109" s="73" t="s">
        <v>174</v>
      </c>
      <c r="G109" s="74" t="s">
        <v>112</v>
      </c>
      <c r="H109" s="75">
        <v>3</v>
      </c>
      <c r="I109" s="76"/>
      <c r="J109" s="96"/>
      <c r="K109" s="77"/>
      <c r="L109" s="77"/>
      <c r="M109" s="78">
        <f>K109-L109</f>
        <v>0</v>
      </c>
      <c r="N109" s="100">
        <f>3</f>
        <v>3</v>
      </c>
      <c r="O109" s="81"/>
      <c r="P109" s="81"/>
      <c r="Q109" s="79">
        <f>O109-P109</f>
        <v>0</v>
      </c>
    </row>
    <row r="110" spans="1:19" s="15" customFormat="1" ht="15.75" x14ac:dyDescent="0.25">
      <c r="A110" s="14"/>
      <c r="B110" s="62" t="s">
        <v>150</v>
      </c>
      <c r="C110" s="1" t="s">
        <v>17</v>
      </c>
      <c r="D110" s="2"/>
      <c r="E110" s="3" t="s">
        <v>35</v>
      </c>
      <c r="F110" s="83" t="s">
        <v>302</v>
      </c>
      <c r="G110" s="74" t="s">
        <v>112</v>
      </c>
      <c r="H110" s="75"/>
      <c r="I110" s="76"/>
      <c r="J110" s="97"/>
      <c r="K110" s="77"/>
      <c r="L110" s="77"/>
      <c r="M110" s="78">
        <f t="shared" si="4"/>
        <v>0</v>
      </c>
      <c r="N110" s="114">
        <f>8</f>
        <v>8</v>
      </c>
      <c r="O110" s="77"/>
      <c r="P110" s="81"/>
      <c r="Q110" s="79">
        <f t="shared" si="3"/>
        <v>0</v>
      </c>
    </row>
    <row r="111" spans="1:19" s="15" customFormat="1" ht="15.75" x14ac:dyDescent="0.25">
      <c r="A111" s="14"/>
      <c r="B111" s="50" t="s">
        <v>150</v>
      </c>
      <c r="C111" s="1"/>
      <c r="D111" s="2"/>
      <c r="E111" s="3"/>
      <c r="F111" s="16"/>
      <c r="G111" s="11" t="s">
        <v>117</v>
      </c>
      <c r="H111" s="1"/>
      <c r="I111" s="48"/>
      <c r="J111" s="45"/>
      <c r="K111" s="40"/>
      <c r="L111" s="37"/>
      <c r="M111" s="38">
        <f t="shared" si="4"/>
        <v>0</v>
      </c>
      <c r="N111" s="42"/>
      <c r="O111" s="40"/>
      <c r="P111" s="40"/>
      <c r="Q111" s="12">
        <f t="shared" si="3"/>
        <v>0</v>
      </c>
    </row>
    <row r="112" spans="1:19" s="13" customFormat="1" ht="15.75" x14ac:dyDescent="0.25">
      <c r="A112" s="10">
        <v>47</v>
      </c>
      <c r="B112" s="30" t="s">
        <v>72</v>
      </c>
      <c r="C112" s="1" t="s">
        <v>17</v>
      </c>
      <c r="D112" s="2"/>
      <c r="E112" s="3" t="s">
        <v>21</v>
      </c>
      <c r="F112" s="73" t="s">
        <v>201</v>
      </c>
      <c r="G112" s="74" t="s">
        <v>112</v>
      </c>
      <c r="H112" s="75">
        <v>1</v>
      </c>
      <c r="I112" s="76"/>
      <c r="J112" s="96"/>
      <c r="K112" s="77"/>
      <c r="L112" s="77"/>
      <c r="M112" s="78">
        <f t="shared" si="4"/>
        <v>0</v>
      </c>
      <c r="N112" s="100">
        <f>1</f>
        <v>1</v>
      </c>
      <c r="O112" s="81"/>
      <c r="P112" s="81"/>
      <c r="Q112" s="79">
        <f t="shared" si="3"/>
        <v>0</v>
      </c>
    </row>
    <row r="113" spans="1:17" s="13" customFormat="1" ht="15.75" x14ac:dyDescent="0.25">
      <c r="A113" s="10"/>
      <c r="B113" s="24" t="s">
        <v>72</v>
      </c>
      <c r="C113" s="1" t="s">
        <v>17</v>
      </c>
      <c r="D113" s="2"/>
      <c r="E113" s="3" t="s">
        <v>21</v>
      </c>
      <c r="F113" s="2" t="s">
        <v>237</v>
      </c>
      <c r="G113" s="11" t="s">
        <v>118</v>
      </c>
      <c r="H113" s="1"/>
      <c r="I113" s="49"/>
      <c r="J113" s="46"/>
      <c r="K113" s="40"/>
      <c r="L113" s="40"/>
      <c r="M113" s="38">
        <f t="shared" si="4"/>
        <v>0</v>
      </c>
      <c r="N113" s="41">
        <v>1</v>
      </c>
      <c r="O113" s="31"/>
      <c r="P113" s="31"/>
      <c r="Q113" s="12">
        <f t="shared" si="3"/>
        <v>0</v>
      </c>
    </row>
    <row r="114" spans="1:17" s="15" customFormat="1" ht="15.75" x14ac:dyDescent="0.25">
      <c r="A114" s="14">
        <v>48</v>
      </c>
      <c r="B114" s="84" t="s">
        <v>73</v>
      </c>
      <c r="C114" s="1" t="s">
        <v>17</v>
      </c>
      <c r="D114" s="2"/>
      <c r="E114" s="3" t="s">
        <v>74</v>
      </c>
      <c r="F114" s="73" t="s">
        <v>141</v>
      </c>
      <c r="G114" s="74" t="s">
        <v>112</v>
      </c>
      <c r="H114" s="75">
        <v>2</v>
      </c>
      <c r="I114" s="76"/>
      <c r="J114" s="96"/>
      <c r="K114" s="77"/>
      <c r="L114" s="77"/>
      <c r="M114" s="78">
        <f t="shared" si="4"/>
        <v>0</v>
      </c>
      <c r="N114" s="100"/>
      <c r="O114" s="81"/>
      <c r="P114" s="81"/>
      <c r="Q114" s="79">
        <f t="shared" si="3"/>
        <v>0</v>
      </c>
    </row>
    <row r="115" spans="1:17" s="15" customFormat="1" ht="15.75" x14ac:dyDescent="0.25">
      <c r="A115" s="14"/>
      <c r="B115" s="29" t="s">
        <v>73</v>
      </c>
      <c r="C115" s="1" t="s">
        <v>17</v>
      </c>
      <c r="D115" s="2"/>
      <c r="E115" s="3" t="s">
        <v>74</v>
      </c>
      <c r="F115" s="2" t="s">
        <v>282</v>
      </c>
      <c r="G115" s="11" t="s">
        <v>114</v>
      </c>
      <c r="H115" s="1"/>
      <c r="I115" s="49"/>
      <c r="J115" s="51"/>
      <c r="K115" s="40"/>
      <c r="L115" s="40"/>
      <c r="M115" s="38">
        <f t="shared" si="4"/>
        <v>0</v>
      </c>
      <c r="N115" s="42"/>
      <c r="O115" s="31"/>
      <c r="P115" s="31"/>
      <c r="Q115" s="12">
        <f t="shared" si="3"/>
        <v>0</v>
      </c>
    </row>
    <row r="116" spans="1:17" s="13" customFormat="1" ht="15.75" x14ac:dyDescent="0.25">
      <c r="A116" s="10"/>
      <c r="B116" s="24" t="s">
        <v>75</v>
      </c>
      <c r="C116" s="1" t="s">
        <v>17</v>
      </c>
      <c r="D116" s="10"/>
      <c r="E116" s="3" t="s">
        <v>20</v>
      </c>
      <c r="F116" s="2" t="s">
        <v>123</v>
      </c>
      <c r="G116" s="11" t="s">
        <v>114</v>
      </c>
      <c r="H116" s="1"/>
      <c r="I116" s="49"/>
      <c r="J116" s="51"/>
      <c r="K116" s="40"/>
      <c r="L116" s="40"/>
      <c r="M116" s="78">
        <f t="shared" si="4"/>
        <v>0</v>
      </c>
      <c r="N116" s="41"/>
      <c r="O116" s="31"/>
      <c r="P116" s="31"/>
      <c r="Q116" s="79">
        <f t="shared" si="3"/>
        <v>0</v>
      </c>
    </row>
    <row r="117" spans="1:17" s="13" customFormat="1" ht="15.75" x14ac:dyDescent="0.25">
      <c r="A117" s="10">
        <v>29</v>
      </c>
      <c r="B117" s="30" t="s">
        <v>135</v>
      </c>
      <c r="C117" s="1" t="s">
        <v>17</v>
      </c>
      <c r="D117" s="2"/>
      <c r="E117" s="17" t="s">
        <v>35</v>
      </c>
      <c r="F117" s="73" t="s">
        <v>202</v>
      </c>
      <c r="G117" s="74" t="s">
        <v>112</v>
      </c>
      <c r="H117" s="75">
        <v>2</v>
      </c>
      <c r="I117" s="76"/>
      <c r="J117" s="96"/>
      <c r="K117" s="77"/>
      <c r="L117" s="77"/>
      <c r="M117" s="38">
        <f t="shared" si="4"/>
        <v>0</v>
      </c>
      <c r="N117" s="100">
        <f>2</f>
        <v>2</v>
      </c>
      <c r="O117" s="81"/>
      <c r="P117" s="81"/>
      <c r="Q117" s="12">
        <f t="shared" si="3"/>
        <v>0</v>
      </c>
    </row>
    <row r="118" spans="1:17" s="13" customFormat="1" ht="15.75" x14ac:dyDescent="0.25">
      <c r="A118" s="10"/>
      <c r="B118" s="24" t="s">
        <v>135</v>
      </c>
      <c r="C118" s="1" t="s">
        <v>17</v>
      </c>
      <c r="D118" s="2"/>
      <c r="E118" s="17" t="s">
        <v>35</v>
      </c>
      <c r="F118" s="2" t="s">
        <v>254</v>
      </c>
      <c r="G118" s="11" t="s">
        <v>115</v>
      </c>
      <c r="H118" s="1"/>
      <c r="I118" s="49"/>
      <c r="J118" s="46"/>
      <c r="K118" s="40"/>
      <c r="L118" s="40"/>
      <c r="M118" s="78">
        <f t="shared" si="4"/>
        <v>0</v>
      </c>
      <c r="N118" s="41"/>
      <c r="O118" s="31"/>
      <c r="P118" s="31"/>
      <c r="Q118" s="79">
        <f t="shared" si="3"/>
        <v>0</v>
      </c>
    </row>
    <row r="119" spans="1:17" s="13" customFormat="1" ht="15.75" x14ac:dyDescent="0.25">
      <c r="A119" s="10"/>
      <c r="B119" s="30" t="s">
        <v>145</v>
      </c>
      <c r="C119" s="1" t="s">
        <v>17</v>
      </c>
      <c r="D119" s="2"/>
      <c r="E119" s="17" t="s">
        <v>20</v>
      </c>
      <c r="F119" s="73" t="s">
        <v>203</v>
      </c>
      <c r="G119" s="74" t="s">
        <v>112</v>
      </c>
      <c r="H119" s="75">
        <v>1</v>
      </c>
      <c r="I119" s="82"/>
      <c r="J119" s="96"/>
      <c r="K119" s="77"/>
      <c r="L119" s="77"/>
      <c r="M119" s="38">
        <f t="shared" si="4"/>
        <v>0</v>
      </c>
      <c r="N119" s="100">
        <f>1</f>
        <v>1</v>
      </c>
      <c r="O119" s="81"/>
      <c r="P119" s="81"/>
      <c r="Q119" s="12">
        <f t="shared" si="3"/>
        <v>0</v>
      </c>
    </row>
    <row r="120" spans="1:17" s="13" customFormat="1" ht="15.75" x14ac:dyDescent="0.25">
      <c r="A120" s="10"/>
      <c r="B120" s="24" t="s">
        <v>145</v>
      </c>
      <c r="C120" s="1" t="s">
        <v>17</v>
      </c>
      <c r="D120" s="2"/>
      <c r="E120" s="17" t="s">
        <v>20</v>
      </c>
      <c r="F120" s="2" t="s">
        <v>283</v>
      </c>
      <c r="G120" s="11" t="s">
        <v>114</v>
      </c>
      <c r="H120" s="1"/>
      <c r="I120" s="49"/>
      <c r="J120" s="51"/>
      <c r="K120" s="40"/>
      <c r="L120" s="40"/>
      <c r="M120" s="78">
        <f t="shared" si="4"/>
        <v>0</v>
      </c>
      <c r="N120" s="41"/>
      <c r="O120" s="31"/>
      <c r="P120" s="31"/>
      <c r="Q120" s="79">
        <f t="shared" si="3"/>
        <v>0</v>
      </c>
    </row>
    <row r="121" spans="1:17" s="13" customFormat="1" ht="15.75" x14ac:dyDescent="0.25">
      <c r="A121" s="10">
        <v>50</v>
      </c>
      <c r="B121" s="62" t="s">
        <v>76</v>
      </c>
      <c r="C121" s="1" t="s">
        <v>17</v>
      </c>
      <c r="D121" s="2"/>
      <c r="E121" s="3" t="s">
        <v>20</v>
      </c>
      <c r="F121" s="73" t="s">
        <v>204</v>
      </c>
      <c r="G121" s="74" t="s">
        <v>112</v>
      </c>
      <c r="H121" s="75">
        <v>5</v>
      </c>
      <c r="I121" s="76"/>
      <c r="J121" s="96"/>
      <c r="K121" s="77"/>
      <c r="L121" s="77"/>
      <c r="M121" s="38">
        <f t="shared" si="4"/>
        <v>0</v>
      </c>
      <c r="N121" s="100"/>
      <c r="O121" s="81"/>
      <c r="P121" s="81"/>
      <c r="Q121" s="12">
        <f t="shared" si="3"/>
        <v>0</v>
      </c>
    </row>
    <row r="122" spans="1:17" s="13" customFormat="1" ht="15.75" x14ac:dyDescent="0.25">
      <c r="A122" s="10"/>
      <c r="B122" s="22" t="s">
        <v>76</v>
      </c>
      <c r="C122" s="1" t="s">
        <v>17</v>
      </c>
      <c r="D122" s="2"/>
      <c r="E122" s="3" t="s">
        <v>20</v>
      </c>
      <c r="F122" s="2" t="s">
        <v>284</v>
      </c>
      <c r="G122" s="11" t="s">
        <v>114</v>
      </c>
      <c r="H122" s="1"/>
      <c r="I122" s="49"/>
      <c r="J122" s="51"/>
      <c r="K122" s="40"/>
      <c r="L122" s="40"/>
      <c r="M122" s="78">
        <f t="shared" si="4"/>
        <v>0</v>
      </c>
      <c r="N122" s="41"/>
      <c r="O122" s="31"/>
      <c r="P122" s="31"/>
      <c r="Q122" s="79">
        <f t="shared" si="3"/>
        <v>0</v>
      </c>
    </row>
    <row r="123" spans="1:17" s="13" customFormat="1" ht="15.75" x14ac:dyDescent="0.25">
      <c r="A123" s="10">
        <v>51</v>
      </c>
      <c r="B123" s="30" t="s">
        <v>77</v>
      </c>
      <c r="C123" s="1" t="s">
        <v>17</v>
      </c>
      <c r="D123" s="2"/>
      <c r="E123" s="3" t="s">
        <v>32</v>
      </c>
      <c r="F123" s="73" t="s">
        <v>205</v>
      </c>
      <c r="G123" s="74" t="s">
        <v>112</v>
      </c>
      <c r="H123" s="75"/>
      <c r="I123" s="76"/>
      <c r="J123" s="96"/>
      <c r="K123" s="77"/>
      <c r="L123" s="77"/>
      <c r="M123" s="38">
        <f t="shared" si="4"/>
        <v>0</v>
      </c>
      <c r="N123" s="100">
        <f>5</f>
        <v>5</v>
      </c>
      <c r="O123" s="81"/>
      <c r="P123" s="81"/>
      <c r="Q123" s="12">
        <f t="shared" si="3"/>
        <v>0</v>
      </c>
    </row>
    <row r="124" spans="1:17" s="13" customFormat="1" ht="15.75" x14ac:dyDescent="0.25">
      <c r="A124" s="10"/>
      <c r="B124" s="24" t="s">
        <v>77</v>
      </c>
      <c r="C124" s="1" t="s">
        <v>17</v>
      </c>
      <c r="D124" s="2"/>
      <c r="E124" s="3" t="s">
        <v>32</v>
      </c>
      <c r="F124" s="16" t="s">
        <v>255</v>
      </c>
      <c r="G124" s="11" t="s">
        <v>117</v>
      </c>
      <c r="H124" s="1"/>
      <c r="I124" s="49"/>
      <c r="J124" s="46"/>
      <c r="K124" s="40"/>
      <c r="L124" s="40"/>
      <c r="M124" s="78">
        <f t="shared" si="4"/>
        <v>0</v>
      </c>
      <c r="N124" s="41">
        <f>4</f>
        <v>4</v>
      </c>
      <c r="O124" s="31"/>
      <c r="P124" s="31"/>
      <c r="Q124" s="79">
        <f t="shared" si="3"/>
        <v>0</v>
      </c>
    </row>
    <row r="125" spans="1:17" s="13" customFormat="1" ht="15.75" x14ac:dyDescent="0.25">
      <c r="A125" s="10">
        <v>52</v>
      </c>
      <c r="B125" s="62" t="s">
        <v>79</v>
      </c>
      <c r="C125" s="1" t="s">
        <v>17</v>
      </c>
      <c r="D125" s="2"/>
      <c r="E125" s="3" t="s">
        <v>18</v>
      </c>
      <c r="F125" s="73" t="s">
        <v>206</v>
      </c>
      <c r="G125" s="74" t="s">
        <v>112</v>
      </c>
      <c r="H125" s="75">
        <v>1</v>
      </c>
      <c r="I125" s="76"/>
      <c r="J125" s="96"/>
      <c r="K125" s="77"/>
      <c r="L125" s="77"/>
      <c r="M125" s="38">
        <f t="shared" si="4"/>
        <v>0</v>
      </c>
      <c r="N125" s="100"/>
      <c r="O125" s="81"/>
      <c r="P125" s="81"/>
      <c r="Q125" s="12">
        <f t="shared" si="3"/>
        <v>0</v>
      </c>
    </row>
    <row r="126" spans="1:17" s="13" customFormat="1" ht="15.75" x14ac:dyDescent="0.25">
      <c r="A126" s="10"/>
      <c r="B126" s="22" t="s">
        <v>79</v>
      </c>
      <c r="C126" s="1" t="s">
        <v>17</v>
      </c>
      <c r="D126" s="2"/>
      <c r="E126" s="3" t="s">
        <v>18</v>
      </c>
      <c r="F126" s="2" t="s">
        <v>245</v>
      </c>
      <c r="G126" s="11" t="s">
        <v>113</v>
      </c>
      <c r="H126" s="1">
        <v>1</v>
      </c>
      <c r="I126" s="49"/>
      <c r="J126" s="46"/>
      <c r="K126" s="31"/>
      <c r="L126" s="31"/>
      <c r="M126" s="78">
        <f t="shared" si="4"/>
        <v>0</v>
      </c>
      <c r="N126" s="41"/>
      <c r="O126" s="31"/>
      <c r="P126" s="31"/>
      <c r="Q126" s="79">
        <f t="shared" si="3"/>
        <v>0</v>
      </c>
    </row>
    <row r="127" spans="1:17" s="13" customFormat="1" ht="15.75" x14ac:dyDescent="0.25">
      <c r="A127" s="10"/>
      <c r="B127" s="62" t="s">
        <v>151</v>
      </c>
      <c r="C127" s="1" t="s">
        <v>17</v>
      </c>
      <c r="D127" s="2"/>
      <c r="E127" s="3" t="s">
        <v>32</v>
      </c>
      <c r="F127" s="73" t="s">
        <v>207</v>
      </c>
      <c r="G127" s="74" t="s">
        <v>112</v>
      </c>
      <c r="H127" s="75">
        <v>3</v>
      </c>
      <c r="I127" s="82"/>
      <c r="J127" s="96"/>
      <c r="K127" s="81"/>
      <c r="L127" s="81"/>
      <c r="M127" s="38">
        <f t="shared" si="4"/>
        <v>0</v>
      </c>
      <c r="N127" s="100">
        <f>9</f>
        <v>9</v>
      </c>
      <c r="O127" s="81"/>
      <c r="P127" s="81"/>
      <c r="Q127" s="12">
        <f t="shared" si="3"/>
        <v>0</v>
      </c>
    </row>
    <row r="128" spans="1:17" s="13" customFormat="1" ht="15.75" x14ac:dyDescent="0.25">
      <c r="A128" s="10"/>
      <c r="B128" s="22" t="s">
        <v>151</v>
      </c>
      <c r="C128" s="1" t="s">
        <v>17</v>
      </c>
      <c r="D128" s="2"/>
      <c r="E128" s="3" t="s">
        <v>32</v>
      </c>
      <c r="F128" s="2" t="s">
        <v>259</v>
      </c>
      <c r="G128" s="11" t="s">
        <v>117</v>
      </c>
      <c r="H128" s="1">
        <v>4</v>
      </c>
      <c r="I128" s="49"/>
      <c r="J128" s="46"/>
      <c r="K128" s="40"/>
      <c r="L128" s="40"/>
      <c r="M128" s="78">
        <f t="shared" si="4"/>
        <v>0</v>
      </c>
      <c r="N128" s="41">
        <f>7</f>
        <v>7</v>
      </c>
      <c r="O128" s="31"/>
      <c r="P128" s="31"/>
      <c r="Q128" s="79">
        <f t="shared" si="3"/>
        <v>0</v>
      </c>
    </row>
    <row r="129" spans="1:17" s="13" customFormat="1" ht="15.75" x14ac:dyDescent="0.25">
      <c r="A129" s="10">
        <v>53</v>
      </c>
      <c r="B129" s="62" t="s">
        <v>80</v>
      </c>
      <c r="C129" s="1" t="s">
        <v>17</v>
      </c>
      <c r="D129" s="2"/>
      <c r="E129" s="3" t="s">
        <v>81</v>
      </c>
      <c r="F129" s="73" t="s">
        <v>208</v>
      </c>
      <c r="G129" s="74" t="s">
        <v>112</v>
      </c>
      <c r="H129" s="75"/>
      <c r="I129" s="76"/>
      <c r="J129" s="96"/>
      <c r="K129" s="77"/>
      <c r="L129" s="77"/>
      <c r="M129" s="38">
        <f t="shared" si="4"/>
        <v>0</v>
      </c>
      <c r="N129" s="100"/>
      <c r="O129" s="81"/>
      <c r="P129" s="81"/>
      <c r="Q129" s="12">
        <f t="shared" si="3"/>
        <v>0</v>
      </c>
    </row>
    <row r="130" spans="1:17" s="13" customFormat="1" ht="15.75" x14ac:dyDescent="0.25">
      <c r="A130" s="10"/>
      <c r="B130" s="22" t="s">
        <v>80</v>
      </c>
      <c r="C130" s="1" t="s">
        <v>17</v>
      </c>
      <c r="D130" s="2"/>
      <c r="E130" s="3" t="s">
        <v>81</v>
      </c>
      <c r="F130" s="2" t="s">
        <v>285</v>
      </c>
      <c r="G130" s="11" t="s">
        <v>114</v>
      </c>
      <c r="H130" s="1"/>
      <c r="I130" s="49"/>
      <c r="J130" s="51"/>
      <c r="K130" s="40"/>
      <c r="L130" s="40"/>
      <c r="M130" s="78">
        <f t="shared" si="4"/>
        <v>0</v>
      </c>
      <c r="N130" s="41"/>
      <c r="O130" s="31"/>
      <c r="P130" s="31"/>
      <c r="Q130" s="79">
        <f t="shared" si="3"/>
        <v>0</v>
      </c>
    </row>
    <row r="131" spans="1:17" s="13" customFormat="1" ht="15.75" x14ac:dyDescent="0.25">
      <c r="A131" s="10">
        <v>54</v>
      </c>
      <c r="B131" s="30" t="s">
        <v>82</v>
      </c>
      <c r="C131" s="1" t="s">
        <v>17</v>
      </c>
      <c r="D131" s="2"/>
      <c r="E131" s="3" t="s">
        <v>20</v>
      </c>
      <c r="F131" s="73" t="s">
        <v>209</v>
      </c>
      <c r="G131" s="74" t="s">
        <v>112</v>
      </c>
      <c r="H131" s="75">
        <v>1</v>
      </c>
      <c r="I131" s="76"/>
      <c r="J131" s="96"/>
      <c r="K131" s="77"/>
      <c r="L131" s="77"/>
      <c r="M131" s="38">
        <f t="shared" si="4"/>
        <v>0</v>
      </c>
      <c r="N131" s="100">
        <f>3</f>
        <v>3</v>
      </c>
      <c r="O131" s="81"/>
      <c r="P131" s="81"/>
      <c r="Q131" s="12">
        <f t="shared" si="3"/>
        <v>0</v>
      </c>
    </row>
    <row r="132" spans="1:17" s="13" customFormat="1" ht="15.75" x14ac:dyDescent="0.25">
      <c r="A132" s="10"/>
      <c r="B132" s="24" t="s">
        <v>82</v>
      </c>
      <c r="C132" s="1" t="s">
        <v>17</v>
      </c>
      <c r="D132" s="2"/>
      <c r="E132" s="3" t="s">
        <v>20</v>
      </c>
      <c r="F132" s="2" t="s">
        <v>124</v>
      </c>
      <c r="G132" s="11" t="s">
        <v>114</v>
      </c>
      <c r="H132" s="1">
        <v>1</v>
      </c>
      <c r="I132" s="49"/>
      <c r="J132" s="51"/>
      <c r="K132" s="40"/>
      <c r="L132" s="40"/>
      <c r="M132" s="78">
        <f t="shared" si="4"/>
        <v>0</v>
      </c>
      <c r="N132" s="41"/>
      <c r="O132" s="31"/>
      <c r="P132" s="31"/>
      <c r="Q132" s="79">
        <f t="shared" si="3"/>
        <v>0</v>
      </c>
    </row>
    <row r="133" spans="1:17" s="13" customFormat="1" ht="15.75" x14ac:dyDescent="0.25">
      <c r="A133" s="10"/>
      <c r="B133" s="24" t="s">
        <v>309</v>
      </c>
      <c r="C133" s="1"/>
      <c r="D133" s="2"/>
      <c r="E133" s="3" t="s">
        <v>20</v>
      </c>
      <c r="F133" s="2"/>
      <c r="G133" s="11" t="s">
        <v>112</v>
      </c>
      <c r="H133" s="1">
        <v>2</v>
      </c>
      <c r="I133" s="58"/>
      <c r="J133" s="51"/>
      <c r="K133" s="40"/>
      <c r="L133" s="40"/>
      <c r="M133" s="38">
        <f t="shared" si="4"/>
        <v>0</v>
      </c>
      <c r="N133" s="41">
        <f>1</f>
        <v>1</v>
      </c>
      <c r="O133" s="31"/>
      <c r="P133" s="31"/>
      <c r="Q133" s="79"/>
    </row>
    <row r="134" spans="1:17" s="13" customFormat="1" ht="15.75" x14ac:dyDescent="0.25">
      <c r="A134" s="10"/>
      <c r="B134" s="30" t="s">
        <v>152</v>
      </c>
      <c r="C134" s="1" t="s">
        <v>17</v>
      </c>
      <c r="D134" s="2"/>
      <c r="E134" s="3" t="s">
        <v>35</v>
      </c>
      <c r="F134" s="73" t="s">
        <v>210</v>
      </c>
      <c r="G134" s="74" t="s">
        <v>112</v>
      </c>
      <c r="H134" s="75">
        <v>1</v>
      </c>
      <c r="I134" s="76"/>
      <c r="J134" s="96"/>
      <c r="K134" s="77"/>
      <c r="L134" s="77"/>
      <c r="M134" s="38">
        <f t="shared" si="4"/>
        <v>0</v>
      </c>
      <c r="N134" s="100">
        <f>2</f>
        <v>2</v>
      </c>
      <c r="O134" s="81"/>
      <c r="P134" s="81"/>
      <c r="Q134" s="12">
        <f t="shared" si="3"/>
        <v>0</v>
      </c>
    </row>
    <row r="135" spans="1:17" s="13" customFormat="1" ht="15.75" x14ac:dyDescent="0.25">
      <c r="A135" s="10"/>
      <c r="B135" s="24" t="s">
        <v>152</v>
      </c>
      <c r="C135" s="1" t="s">
        <v>17</v>
      </c>
      <c r="D135" s="2"/>
      <c r="E135" s="3" t="s">
        <v>32</v>
      </c>
      <c r="F135" s="2"/>
      <c r="G135" s="11" t="s">
        <v>117</v>
      </c>
      <c r="H135" s="1"/>
      <c r="I135" s="49"/>
      <c r="J135" s="46"/>
      <c r="K135" s="40"/>
      <c r="L135" s="40"/>
      <c r="M135" s="78">
        <f t="shared" si="4"/>
        <v>0</v>
      </c>
      <c r="N135" s="41"/>
      <c r="O135" s="31"/>
      <c r="P135" s="31"/>
      <c r="Q135" s="79">
        <f t="shared" si="3"/>
        <v>0</v>
      </c>
    </row>
    <row r="136" spans="1:17" s="13" customFormat="1" ht="15.75" x14ac:dyDescent="0.25">
      <c r="A136" s="10">
        <v>55</v>
      </c>
      <c r="B136" s="30" t="s">
        <v>83</v>
      </c>
      <c r="C136" s="1" t="s">
        <v>17</v>
      </c>
      <c r="D136" s="2"/>
      <c r="E136" s="3" t="s">
        <v>20</v>
      </c>
      <c r="F136" s="73" t="s">
        <v>211</v>
      </c>
      <c r="G136" s="74" t="s">
        <v>112</v>
      </c>
      <c r="H136" s="75">
        <v>3</v>
      </c>
      <c r="I136" s="76"/>
      <c r="J136" s="96"/>
      <c r="K136" s="77"/>
      <c r="L136" s="77"/>
      <c r="M136" s="38">
        <f t="shared" si="4"/>
        <v>0</v>
      </c>
      <c r="N136" s="100"/>
      <c r="O136" s="81"/>
      <c r="P136" s="81"/>
      <c r="Q136" s="12">
        <f t="shared" si="3"/>
        <v>0</v>
      </c>
    </row>
    <row r="137" spans="1:17" s="13" customFormat="1" ht="15.75" x14ac:dyDescent="0.25">
      <c r="A137" s="10"/>
      <c r="B137" s="24" t="s">
        <v>83</v>
      </c>
      <c r="C137" s="1" t="s">
        <v>17</v>
      </c>
      <c r="D137" s="2"/>
      <c r="E137" s="3" t="s">
        <v>20</v>
      </c>
      <c r="F137" s="2" t="s">
        <v>286</v>
      </c>
      <c r="G137" s="11" t="s">
        <v>114</v>
      </c>
      <c r="H137" s="1">
        <v>1</v>
      </c>
      <c r="I137" s="49"/>
      <c r="J137" s="51"/>
      <c r="K137" s="40"/>
      <c r="L137" s="40"/>
      <c r="M137" s="78">
        <f t="shared" si="4"/>
        <v>0</v>
      </c>
      <c r="N137" s="41"/>
      <c r="O137" s="31"/>
      <c r="P137" s="31"/>
      <c r="Q137" s="79">
        <f t="shared" si="3"/>
        <v>0</v>
      </c>
    </row>
    <row r="138" spans="1:17" s="13" customFormat="1" ht="15.75" x14ac:dyDescent="0.25">
      <c r="A138" s="10"/>
      <c r="B138" s="24" t="s">
        <v>310</v>
      </c>
      <c r="C138" s="1"/>
      <c r="D138" s="2"/>
      <c r="E138" s="3" t="s">
        <v>20</v>
      </c>
      <c r="F138" s="2"/>
      <c r="G138" s="11" t="s">
        <v>114</v>
      </c>
      <c r="H138" s="1"/>
      <c r="I138" s="49"/>
      <c r="J138" s="51"/>
      <c r="K138" s="40"/>
      <c r="L138" s="40"/>
      <c r="M138" s="78"/>
      <c r="N138" s="41"/>
      <c r="O138" s="31"/>
      <c r="P138" s="31"/>
      <c r="Q138" s="79"/>
    </row>
    <row r="139" spans="1:17" s="13" customFormat="1" ht="15.75" x14ac:dyDescent="0.25">
      <c r="A139" s="10"/>
      <c r="B139" s="30" t="s">
        <v>84</v>
      </c>
      <c r="C139" s="1"/>
      <c r="D139" s="2"/>
      <c r="E139" s="3" t="s">
        <v>20</v>
      </c>
      <c r="F139" s="2" t="s">
        <v>287</v>
      </c>
      <c r="G139" s="11" t="s">
        <v>114</v>
      </c>
      <c r="H139" s="1"/>
      <c r="I139" s="49"/>
      <c r="J139" s="51"/>
      <c r="K139" s="40"/>
      <c r="L139" s="40"/>
      <c r="M139" s="38">
        <f t="shared" si="4"/>
        <v>0</v>
      </c>
      <c r="N139" s="41"/>
      <c r="O139" s="31"/>
      <c r="P139" s="31"/>
      <c r="Q139" s="12">
        <f t="shared" si="3"/>
        <v>0</v>
      </c>
    </row>
    <row r="140" spans="1:17" s="13" customFormat="1" ht="36" x14ac:dyDescent="0.25">
      <c r="A140" s="10">
        <v>57</v>
      </c>
      <c r="B140" s="30" t="s">
        <v>85</v>
      </c>
      <c r="C140" s="1" t="s">
        <v>304</v>
      </c>
      <c r="D140" s="18" t="s">
        <v>110</v>
      </c>
      <c r="E140" s="3" t="s">
        <v>20</v>
      </c>
      <c r="F140" s="73" t="s">
        <v>212</v>
      </c>
      <c r="G140" s="74" t="s">
        <v>112</v>
      </c>
      <c r="H140" s="75"/>
      <c r="I140" s="76"/>
      <c r="J140" s="96"/>
      <c r="K140" s="77"/>
      <c r="L140" s="77"/>
      <c r="M140" s="38">
        <f t="shared" si="4"/>
        <v>0</v>
      </c>
      <c r="N140" s="100"/>
      <c r="O140" s="81"/>
      <c r="P140" s="81"/>
      <c r="Q140" s="79">
        <f t="shared" si="3"/>
        <v>0</v>
      </c>
    </row>
    <row r="141" spans="1:17" s="13" customFormat="1" ht="15.75" x14ac:dyDescent="0.25">
      <c r="A141" s="10">
        <v>69</v>
      </c>
      <c r="B141" s="27" t="s">
        <v>86</v>
      </c>
      <c r="C141" s="1" t="s">
        <v>17</v>
      </c>
      <c r="D141" s="2"/>
      <c r="E141" s="17" t="s">
        <v>20</v>
      </c>
      <c r="F141" s="73" t="s">
        <v>213</v>
      </c>
      <c r="G141" s="74" t="s">
        <v>112</v>
      </c>
      <c r="H141" s="75">
        <v>1</v>
      </c>
      <c r="I141" s="76"/>
      <c r="J141" s="96"/>
      <c r="K141" s="77"/>
      <c r="L141" s="77"/>
      <c r="M141" s="38">
        <f t="shared" si="4"/>
        <v>0</v>
      </c>
      <c r="N141" s="100">
        <f>15</f>
        <v>15</v>
      </c>
      <c r="O141" s="81"/>
      <c r="P141" s="81"/>
      <c r="Q141" s="12">
        <f t="shared" si="3"/>
        <v>0</v>
      </c>
    </row>
    <row r="142" spans="1:17" s="13" customFormat="1" ht="15.75" x14ac:dyDescent="0.25">
      <c r="A142" s="10"/>
      <c r="B142" s="25" t="s">
        <v>86</v>
      </c>
      <c r="C142" s="1" t="s">
        <v>17</v>
      </c>
      <c r="D142" s="2"/>
      <c r="E142" s="17" t="s">
        <v>20</v>
      </c>
      <c r="F142" s="2" t="s">
        <v>288</v>
      </c>
      <c r="G142" s="11" t="s">
        <v>114</v>
      </c>
      <c r="H142" s="1"/>
      <c r="I142" s="49"/>
      <c r="J142" s="51"/>
      <c r="K142" s="40"/>
      <c r="L142" s="40"/>
      <c r="M142" s="78">
        <f t="shared" si="4"/>
        <v>0</v>
      </c>
      <c r="N142" s="41"/>
      <c r="O142" s="31"/>
      <c r="P142" s="31"/>
      <c r="Q142" s="79">
        <f t="shared" si="3"/>
        <v>0</v>
      </c>
    </row>
    <row r="143" spans="1:17" s="13" customFormat="1" ht="15.75" x14ac:dyDescent="0.25">
      <c r="A143" s="10">
        <v>70</v>
      </c>
      <c r="B143" s="62" t="s">
        <v>87</v>
      </c>
      <c r="C143" s="1" t="s">
        <v>17</v>
      </c>
      <c r="D143" s="2"/>
      <c r="E143" s="17" t="s">
        <v>78</v>
      </c>
      <c r="F143" s="73" t="s">
        <v>142</v>
      </c>
      <c r="G143" s="74" t="s">
        <v>112</v>
      </c>
      <c r="H143" s="75"/>
      <c r="I143" s="76"/>
      <c r="J143" s="96"/>
      <c r="K143" s="77"/>
      <c r="L143" s="77"/>
      <c r="M143" s="38">
        <f t="shared" si="4"/>
        <v>0</v>
      </c>
      <c r="N143" s="100"/>
      <c r="O143" s="81"/>
      <c r="P143" s="81"/>
      <c r="Q143" s="12">
        <f t="shared" ref="Q143:Q183" si="5">O143-P143</f>
        <v>0</v>
      </c>
    </row>
    <row r="144" spans="1:17" s="13" customFormat="1" ht="15.75" x14ac:dyDescent="0.25">
      <c r="A144" s="10"/>
      <c r="B144" s="62" t="s">
        <v>312</v>
      </c>
      <c r="C144" s="1"/>
      <c r="D144" s="2"/>
      <c r="E144" s="17"/>
      <c r="F144" s="73"/>
      <c r="G144" s="74" t="s">
        <v>112</v>
      </c>
      <c r="H144" s="75">
        <v>3</v>
      </c>
      <c r="I144" s="76"/>
      <c r="J144" s="96"/>
      <c r="K144" s="77"/>
      <c r="L144" s="77"/>
      <c r="M144" s="38"/>
      <c r="N144" s="100">
        <f>5</f>
        <v>5</v>
      </c>
      <c r="O144" s="81"/>
      <c r="P144" s="81"/>
      <c r="Q144" s="12"/>
    </row>
    <row r="145" spans="1:17" s="13" customFormat="1" ht="15.75" x14ac:dyDescent="0.25">
      <c r="A145" s="10">
        <v>71</v>
      </c>
      <c r="B145" s="30" t="s">
        <v>88</v>
      </c>
      <c r="C145" s="1" t="s">
        <v>17</v>
      </c>
      <c r="D145" s="2"/>
      <c r="E145" s="3" t="s">
        <v>89</v>
      </c>
      <c r="F145" s="73" t="s">
        <v>214</v>
      </c>
      <c r="G145" s="74" t="s">
        <v>112</v>
      </c>
      <c r="H145" s="75"/>
      <c r="I145" s="76"/>
      <c r="J145" s="96"/>
      <c r="K145" s="77"/>
      <c r="L145" s="77"/>
      <c r="M145" s="38">
        <f t="shared" si="4"/>
        <v>0</v>
      </c>
      <c r="N145" s="100">
        <f>4</f>
        <v>4</v>
      </c>
      <c r="O145" s="81"/>
      <c r="P145" s="81"/>
      <c r="Q145" s="79">
        <f t="shared" si="5"/>
        <v>0</v>
      </c>
    </row>
    <row r="146" spans="1:17" s="13" customFormat="1" ht="15.75" x14ac:dyDescent="0.25">
      <c r="A146" s="10">
        <v>4907</v>
      </c>
      <c r="B146" s="24" t="s">
        <v>88</v>
      </c>
      <c r="C146" s="1" t="s">
        <v>17</v>
      </c>
      <c r="D146" s="2"/>
      <c r="E146" s="3" t="s">
        <v>89</v>
      </c>
      <c r="F146" s="2" t="s">
        <v>238</v>
      </c>
      <c r="G146" s="11" t="s">
        <v>118</v>
      </c>
      <c r="H146" s="1"/>
      <c r="I146" s="49"/>
      <c r="J146" s="46"/>
      <c r="K146" s="40"/>
      <c r="L146" s="40"/>
      <c r="M146" s="38">
        <f t="shared" si="4"/>
        <v>0</v>
      </c>
      <c r="N146" s="41"/>
      <c r="O146" s="31"/>
      <c r="P146" s="31"/>
      <c r="Q146" s="12">
        <f t="shared" si="5"/>
        <v>0</v>
      </c>
    </row>
    <row r="147" spans="1:17" s="13" customFormat="1" ht="15.75" x14ac:dyDescent="0.25">
      <c r="A147" s="10">
        <v>72</v>
      </c>
      <c r="B147" s="30" t="s">
        <v>90</v>
      </c>
      <c r="C147" s="1" t="s">
        <v>17</v>
      </c>
      <c r="D147" s="2"/>
      <c r="E147" s="17" t="s">
        <v>20</v>
      </c>
      <c r="F147" s="73" t="s">
        <v>215</v>
      </c>
      <c r="G147" s="74" t="s">
        <v>112</v>
      </c>
      <c r="H147" s="75">
        <v>1</v>
      </c>
      <c r="I147" s="76"/>
      <c r="J147" s="96"/>
      <c r="K147" s="77"/>
      <c r="L147" s="77"/>
      <c r="M147" s="38">
        <f t="shared" si="4"/>
        <v>0</v>
      </c>
      <c r="N147" s="100"/>
      <c r="O147" s="81"/>
      <c r="P147" s="81"/>
      <c r="Q147" s="79">
        <f t="shared" si="5"/>
        <v>0</v>
      </c>
    </row>
    <row r="148" spans="1:17" s="13" customFormat="1" ht="15.75" x14ac:dyDescent="0.25">
      <c r="A148" s="10"/>
      <c r="B148" s="24" t="s">
        <v>90</v>
      </c>
      <c r="C148" s="1" t="s">
        <v>17</v>
      </c>
      <c r="D148" s="2"/>
      <c r="E148" s="17" t="s">
        <v>20</v>
      </c>
      <c r="F148" s="2" t="s">
        <v>289</v>
      </c>
      <c r="G148" s="11" t="s">
        <v>114</v>
      </c>
      <c r="H148" s="1">
        <v>1</v>
      </c>
      <c r="I148" s="49"/>
      <c r="J148" s="51"/>
      <c r="K148" s="40"/>
      <c r="L148" s="40"/>
      <c r="M148" s="78">
        <f t="shared" si="4"/>
        <v>0</v>
      </c>
      <c r="N148" s="41"/>
      <c r="O148" s="31"/>
      <c r="P148" s="31"/>
      <c r="Q148" s="12">
        <f t="shared" si="5"/>
        <v>0</v>
      </c>
    </row>
    <row r="149" spans="1:17" s="13" customFormat="1" ht="15.75" x14ac:dyDescent="0.25">
      <c r="A149" s="10">
        <v>75</v>
      </c>
      <c r="B149" s="30" t="s">
        <v>91</v>
      </c>
      <c r="C149" s="1" t="s">
        <v>17</v>
      </c>
      <c r="D149" s="2"/>
      <c r="E149" s="17" t="s">
        <v>20</v>
      </c>
      <c r="F149" s="73" t="s">
        <v>216</v>
      </c>
      <c r="G149" s="74" t="s">
        <v>112</v>
      </c>
      <c r="H149" s="75"/>
      <c r="I149" s="76"/>
      <c r="J149" s="96"/>
      <c r="K149" s="77"/>
      <c r="L149" s="77"/>
      <c r="M149" s="38">
        <f t="shared" si="4"/>
        <v>0</v>
      </c>
      <c r="N149" s="100"/>
      <c r="O149" s="81"/>
      <c r="P149" s="81"/>
      <c r="Q149" s="79">
        <f t="shared" si="5"/>
        <v>0</v>
      </c>
    </row>
    <row r="150" spans="1:17" s="13" customFormat="1" ht="15.75" x14ac:dyDescent="0.25">
      <c r="A150" s="10">
        <v>93</v>
      </c>
      <c r="B150" s="22" t="s">
        <v>138</v>
      </c>
      <c r="C150" s="1" t="s">
        <v>17</v>
      </c>
      <c r="D150" s="2"/>
      <c r="E150" s="17" t="s">
        <v>20</v>
      </c>
      <c r="F150" s="2" t="s">
        <v>290</v>
      </c>
      <c r="G150" s="11" t="s">
        <v>114</v>
      </c>
      <c r="H150" s="1">
        <v>1</v>
      </c>
      <c r="I150" s="49"/>
      <c r="J150" s="51"/>
      <c r="K150" s="37"/>
      <c r="L150" s="37"/>
      <c r="M150" s="78">
        <f t="shared" si="4"/>
        <v>0</v>
      </c>
      <c r="N150" s="39"/>
      <c r="O150" s="31"/>
      <c r="P150" s="31"/>
      <c r="Q150" s="12">
        <f t="shared" si="5"/>
        <v>0</v>
      </c>
    </row>
    <row r="151" spans="1:17" s="13" customFormat="1" ht="15.75" x14ac:dyDescent="0.25">
      <c r="A151" s="10"/>
      <c r="B151" s="62" t="s">
        <v>138</v>
      </c>
      <c r="C151" s="1" t="s">
        <v>17</v>
      </c>
      <c r="D151" s="2"/>
      <c r="E151" s="17" t="s">
        <v>20</v>
      </c>
      <c r="F151" s="73" t="s">
        <v>217</v>
      </c>
      <c r="G151" s="74" t="s">
        <v>112</v>
      </c>
      <c r="H151" s="75">
        <v>1</v>
      </c>
      <c r="I151" s="82"/>
      <c r="J151" s="96"/>
      <c r="K151" s="77"/>
      <c r="L151" s="77"/>
      <c r="M151" s="38">
        <f t="shared" si="4"/>
        <v>0</v>
      </c>
      <c r="N151" s="100"/>
      <c r="O151" s="81"/>
      <c r="P151" s="81"/>
      <c r="Q151" s="79">
        <f t="shared" si="5"/>
        <v>0</v>
      </c>
    </row>
    <row r="152" spans="1:17" s="13" customFormat="1" ht="15.75" x14ac:dyDescent="0.25">
      <c r="A152" s="10"/>
      <c r="B152" s="62" t="s">
        <v>157</v>
      </c>
      <c r="C152" s="1" t="s">
        <v>17</v>
      </c>
      <c r="D152" s="2"/>
      <c r="E152" s="17" t="s">
        <v>20</v>
      </c>
      <c r="F152" s="73" t="s">
        <v>218</v>
      </c>
      <c r="G152" s="74" t="s">
        <v>112</v>
      </c>
      <c r="H152" s="75">
        <v>1</v>
      </c>
      <c r="I152" s="82"/>
      <c r="J152" s="96"/>
      <c r="K152" s="77"/>
      <c r="L152" s="77"/>
      <c r="M152" s="38">
        <f t="shared" ref="M152:M182" si="6">K152-L152</f>
        <v>0</v>
      </c>
      <c r="N152" s="100"/>
      <c r="O152" s="81"/>
      <c r="P152" s="81"/>
      <c r="Q152" s="12">
        <f t="shared" si="5"/>
        <v>0</v>
      </c>
    </row>
    <row r="153" spans="1:17" s="13" customFormat="1" ht="15.75" x14ac:dyDescent="0.25">
      <c r="A153" s="10"/>
      <c r="B153" s="22" t="s">
        <v>157</v>
      </c>
      <c r="C153" s="1" t="s">
        <v>17</v>
      </c>
      <c r="D153" s="2"/>
      <c r="E153" s="17" t="s">
        <v>20</v>
      </c>
      <c r="F153" s="2"/>
      <c r="G153" s="11" t="s">
        <v>114</v>
      </c>
      <c r="H153" s="1"/>
      <c r="I153" s="49"/>
      <c r="J153" s="51"/>
      <c r="K153" s="37"/>
      <c r="L153" s="37"/>
      <c r="M153" s="38">
        <f t="shared" si="6"/>
        <v>0</v>
      </c>
      <c r="N153" s="39"/>
      <c r="O153" s="31"/>
      <c r="P153" s="31"/>
      <c r="Q153" s="79">
        <f t="shared" si="5"/>
        <v>0</v>
      </c>
    </row>
    <row r="154" spans="1:17" s="15" customFormat="1" ht="15.75" x14ac:dyDescent="0.25">
      <c r="A154" s="14">
        <v>76</v>
      </c>
      <c r="B154" s="80" t="s">
        <v>92</v>
      </c>
      <c r="C154" s="1" t="s">
        <v>17</v>
      </c>
      <c r="D154" s="2"/>
      <c r="E154" s="17" t="s">
        <v>20</v>
      </c>
      <c r="F154" s="73" t="s">
        <v>219</v>
      </c>
      <c r="G154" s="74" t="s">
        <v>112</v>
      </c>
      <c r="H154" s="75">
        <v>1</v>
      </c>
      <c r="I154" s="76"/>
      <c r="J154" s="96"/>
      <c r="K154" s="77"/>
      <c r="L154" s="77"/>
      <c r="M154" s="38">
        <f t="shared" si="6"/>
        <v>0</v>
      </c>
      <c r="N154" s="100">
        <f>4</f>
        <v>4</v>
      </c>
      <c r="O154" s="81"/>
      <c r="P154" s="81"/>
      <c r="Q154" s="12">
        <f t="shared" si="5"/>
        <v>0</v>
      </c>
    </row>
    <row r="155" spans="1:17" s="15" customFormat="1" ht="15.75" x14ac:dyDescent="0.25">
      <c r="A155" s="14"/>
      <c r="B155" s="23" t="s">
        <v>92</v>
      </c>
      <c r="C155" s="1" t="s">
        <v>17</v>
      </c>
      <c r="D155" s="2"/>
      <c r="E155" s="17" t="s">
        <v>20</v>
      </c>
      <c r="F155" s="2" t="s">
        <v>129</v>
      </c>
      <c r="G155" s="11" t="s">
        <v>114</v>
      </c>
      <c r="H155" s="1"/>
      <c r="I155" s="49"/>
      <c r="J155" s="51"/>
      <c r="K155" s="40"/>
      <c r="L155" s="40"/>
      <c r="M155" s="38">
        <f t="shared" si="6"/>
        <v>0</v>
      </c>
      <c r="N155" s="39"/>
      <c r="O155" s="31"/>
      <c r="P155" s="31"/>
      <c r="Q155" s="79">
        <f t="shared" si="5"/>
        <v>0</v>
      </c>
    </row>
    <row r="156" spans="1:17" s="13" customFormat="1" ht="15.75" x14ac:dyDescent="0.25">
      <c r="A156" s="10">
        <v>77</v>
      </c>
      <c r="B156" s="30" t="s">
        <v>93</v>
      </c>
      <c r="C156" s="1" t="s">
        <v>17</v>
      </c>
      <c r="D156" s="2"/>
      <c r="E156" s="3" t="s">
        <v>94</v>
      </c>
      <c r="F156" s="73" t="s">
        <v>220</v>
      </c>
      <c r="G156" s="74" t="s">
        <v>112</v>
      </c>
      <c r="H156" s="75">
        <v>6</v>
      </c>
      <c r="I156" s="76"/>
      <c r="J156" s="96"/>
      <c r="K156" s="77"/>
      <c r="L156" s="77"/>
      <c r="M156" s="38">
        <f t="shared" si="6"/>
        <v>0</v>
      </c>
      <c r="N156" s="100"/>
      <c r="O156" s="81"/>
      <c r="P156" s="81"/>
      <c r="Q156" s="12">
        <f t="shared" si="5"/>
        <v>0</v>
      </c>
    </row>
    <row r="157" spans="1:17" s="13" customFormat="1" ht="15.75" x14ac:dyDescent="0.25">
      <c r="A157" s="10"/>
      <c r="B157" s="24" t="s">
        <v>93</v>
      </c>
      <c r="C157" s="1" t="s">
        <v>17</v>
      </c>
      <c r="D157" s="2"/>
      <c r="E157" s="3" t="s">
        <v>94</v>
      </c>
      <c r="F157" s="2" t="s">
        <v>130</v>
      </c>
      <c r="G157" s="11" t="s">
        <v>114</v>
      </c>
      <c r="H157" s="1"/>
      <c r="I157" s="49"/>
      <c r="J157" s="51"/>
      <c r="K157" s="40"/>
      <c r="L157" s="77"/>
      <c r="M157" s="38">
        <f t="shared" si="6"/>
        <v>0</v>
      </c>
      <c r="N157" s="41"/>
      <c r="O157" s="31"/>
      <c r="P157" s="31"/>
      <c r="Q157" s="79">
        <f t="shared" si="5"/>
        <v>0</v>
      </c>
    </row>
    <row r="158" spans="1:17" s="13" customFormat="1" ht="15.75" x14ac:dyDescent="0.25">
      <c r="A158" s="10"/>
      <c r="B158" s="24" t="s">
        <v>93</v>
      </c>
      <c r="C158" s="1" t="s">
        <v>17</v>
      </c>
      <c r="D158" s="2"/>
      <c r="E158" s="3" t="s">
        <v>94</v>
      </c>
      <c r="F158" s="2" t="s">
        <v>240</v>
      </c>
      <c r="G158" s="11" t="s">
        <v>118</v>
      </c>
      <c r="H158" s="1"/>
      <c r="I158" s="49"/>
      <c r="J158" s="46"/>
      <c r="K158" s="40"/>
      <c r="L158" s="40"/>
      <c r="M158" s="78">
        <f t="shared" si="6"/>
        <v>0</v>
      </c>
      <c r="N158" s="41"/>
      <c r="O158" s="31"/>
      <c r="P158" s="31"/>
      <c r="Q158" s="12">
        <f t="shared" si="5"/>
        <v>0</v>
      </c>
    </row>
    <row r="159" spans="1:17" s="13" customFormat="1" ht="15.75" x14ac:dyDescent="0.25">
      <c r="A159" s="10">
        <v>78</v>
      </c>
      <c r="B159" s="30" t="s">
        <v>95</v>
      </c>
      <c r="C159" s="1" t="s">
        <v>17</v>
      </c>
      <c r="D159" s="2"/>
      <c r="E159" s="17" t="s">
        <v>20</v>
      </c>
      <c r="F159" s="73" t="s">
        <v>221</v>
      </c>
      <c r="G159" s="74" t="s">
        <v>112</v>
      </c>
      <c r="H159" s="75">
        <v>1</v>
      </c>
      <c r="I159" s="76"/>
      <c r="J159" s="96"/>
      <c r="K159" s="77"/>
      <c r="L159" s="77"/>
      <c r="M159" s="38">
        <f t="shared" si="6"/>
        <v>0</v>
      </c>
      <c r="N159" s="100">
        <f>1</f>
        <v>1</v>
      </c>
      <c r="O159" s="81"/>
      <c r="P159" s="81"/>
      <c r="Q159" s="79">
        <f t="shared" si="5"/>
        <v>0</v>
      </c>
    </row>
    <row r="160" spans="1:17" s="13" customFormat="1" ht="15.75" x14ac:dyDescent="0.25">
      <c r="A160" s="10"/>
      <c r="B160" s="24" t="s">
        <v>95</v>
      </c>
      <c r="C160" s="1" t="s">
        <v>17</v>
      </c>
      <c r="D160" s="2"/>
      <c r="E160" s="17" t="s">
        <v>20</v>
      </c>
      <c r="F160" s="2" t="s">
        <v>291</v>
      </c>
      <c r="G160" s="11" t="s">
        <v>114</v>
      </c>
      <c r="H160" s="1"/>
      <c r="I160" s="49"/>
      <c r="J160" s="51"/>
      <c r="K160" s="40"/>
      <c r="L160" s="40"/>
      <c r="M160" s="78">
        <f t="shared" si="6"/>
        <v>0</v>
      </c>
      <c r="N160" s="41"/>
      <c r="O160" s="31"/>
      <c r="P160" s="31"/>
      <c r="Q160" s="12">
        <f t="shared" si="5"/>
        <v>0</v>
      </c>
    </row>
    <row r="161" spans="1:17" s="13" customFormat="1" ht="15.75" x14ac:dyDescent="0.25">
      <c r="A161" s="10">
        <v>79</v>
      </c>
      <c r="B161" s="30" t="s">
        <v>96</v>
      </c>
      <c r="C161" s="1" t="s">
        <v>17</v>
      </c>
      <c r="D161" s="2"/>
      <c r="E161" s="17" t="s">
        <v>97</v>
      </c>
      <c r="F161" s="73" t="s">
        <v>222</v>
      </c>
      <c r="G161" s="74" t="s">
        <v>112</v>
      </c>
      <c r="H161" s="75"/>
      <c r="I161" s="76"/>
      <c r="J161" s="96"/>
      <c r="K161" s="77"/>
      <c r="L161" s="77"/>
      <c r="M161" s="38">
        <f t="shared" si="6"/>
        <v>0</v>
      </c>
      <c r="N161" s="103"/>
      <c r="O161" s="77"/>
      <c r="P161" s="77"/>
      <c r="Q161" s="79">
        <f t="shared" si="5"/>
        <v>0</v>
      </c>
    </row>
    <row r="162" spans="1:17" s="13" customFormat="1" ht="15.75" x14ac:dyDescent="0.25">
      <c r="A162" s="10"/>
      <c r="B162" s="24" t="s">
        <v>96</v>
      </c>
      <c r="C162" s="1" t="s">
        <v>17</v>
      </c>
      <c r="D162" s="2"/>
      <c r="E162" s="17" t="s">
        <v>97</v>
      </c>
      <c r="F162" s="2" t="s">
        <v>292</v>
      </c>
      <c r="G162" s="11" t="s">
        <v>114</v>
      </c>
      <c r="H162" s="1"/>
      <c r="I162" s="49"/>
      <c r="J162" s="51"/>
      <c r="K162" s="40"/>
      <c r="L162" s="40"/>
      <c r="M162" s="78">
        <f t="shared" si="6"/>
        <v>0</v>
      </c>
      <c r="N162" s="41"/>
      <c r="O162" s="31"/>
      <c r="P162" s="31"/>
      <c r="Q162" s="12">
        <f t="shared" si="5"/>
        <v>0</v>
      </c>
    </row>
    <row r="163" spans="1:17" s="13" customFormat="1" ht="15.75" x14ac:dyDescent="0.25">
      <c r="A163" s="10">
        <v>80</v>
      </c>
      <c r="B163" s="30" t="s">
        <v>98</v>
      </c>
      <c r="C163" s="1" t="s">
        <v>17</v>
      </c>
      <c r="D163" s="2"/>
      <c r="E163" s="17" t="s">
        <v>35</v>
      </c>
      <c r="F163" s="73" t="s">
        <v>223</v>
      </c>
      <c r="G163" s="74" t="s">
        <v>112</v>
      </c>
      <c r="H163" s="75">
        <v>1</v>
      </c>
      <c r="I163" s="76"/>
      <c r="J163" s="96"/>
      <c r="K163" s="77"/>
      <c r="L163" s="77"/>
      <c r="M163" s="38">
        <f t="shared" si="6"/>
        <v>0</v>
      </c>
      <c r="N163" s="100">
        <f>9</f>
        <v>9</v>
      </c>
      <c r="O163" s="81"/>
      <c r="P163" s="81"/>
      <c r="Q163" s="79">
        <f t="shared" si="5"/>
        <v>0</v>
      </c>
    </row>
    <row r="164" spans="1:17" s="13" customFormat="1" ht="15.75" x14ac:dyDescent="0.25">
      <c r="A164" s="10"/>
      <c r="B164" s="24" t="s">
        <v>98</v>
      </c>
      <c r="C164" s="1" t="s">
        <v>17</v>
      </c>
      <c r="D164" s="2"/>
      <c r="E164" s="17" t="s">
        <v>35</v>
      </c>
      <c r="F164" s="16" t="s">
        <v>256</v>
      </c>
      <c r="G164" s="8" t="s">
        <v>117</v>
      </c>
      <c r="H164" s="1"/>
      <c r="I164" s="49"/>
      <c r="J164" s="46"/>
      <c r="K164" s="40"/>
      <c r="L164" s="40"/>
      <c r="M164" s="78">
        <f t="shared" si="6"/>
        <v>0</v>
      </c>
      <c r="N164" s="41">
        <f>4</f>
        <v>4</v>
      </c>
      <c r="O164" s="40"/>
      <c r="P164" s="40"/>
      <c r="Q164" s="12">
        <f t="shared" si="5"/>
        <v>0</v>
      </c>
    </row>
    <row r="165" spans="1:17" s="15" customFormat="1" ht="15.75" x14ac:dyDescent="0.25">
      <c r="A165" s="14">
        <v>81</v>
      </c>
      <c r="B165" s="84" t="s">
        <v>99</v>
      </c>
      <c r="C165" s="1" t="s">
        <v>17</v>
      </c>
      <c r="D165" s="2"/>
      <c r="E165" s="3" t="s">
        <v>32</v>
      </c>
      <c r="F165" s="73" t="s">
        <v>224</v>
      </c>
      <c r="G165" s="74" t="s">
        <v>112</v>
      </c>
      <c r="H165" s="75"/>
      <c r="I165" s="76"/>
      <c r="J165" s="96"/>
      <c r="K165" s="77"/>
      <c r="L165" s="77"/>
      <c r="M165" s="38">
        <f t="shared" si="6"/>
        <v>0</v>
      </c>
      <c r="N165" s="100"/>
      <c r="O165" s="81"/>
      <c r="P165" s="81"/>
      <c r="Q165" s="79">
        <f t="shared" si="5"/>
        <v>0</v>
      </c>
    </row>
    <row r="166" spans="1:17" s="15" customFormat="1" ht="15.75" x14ac:dyDescent="0.25">
      <c r="A166" s="14"/>
      <c r="B166" s="29" t="s">
        <v>99</v>
      </c>
      <c r="C166" s="1" t="s">
        <v>17</v>
      </c>
      <c r="D166" s="2"/>
      <c r="E166" s="3" t="s">
        <v>32</v>
      </c>
      <c r="F166" s="16" t="s">
        <v>257</v>
      </c>
      <c r="G166" s="8" t="s">
        <v>117</v>
      </c>
      <c r="H166" s="1"/>
      <c r="I166" s="49"/>
      <c r="J166" s="51"/>
      <c r="K166" s="40"/>
      <c r="L166" s="40"/>
      <c r="M166" s="78">
        <f t="shared" si="6"/>
        <v>0</v>
      </c>
      <c r="N166" s="39"/>
      <c r="O166" s="40"/>
      <c r="P166" s="40"/>
      <c r="Q166" s="12">
        <f t="shared" si="5"/>
        <v>0</v>
      </c>
    </row>
    <row r="167" spans="1:17" s="15" customFormat="1" ht="24" x14ac:dyDescent="0.25">
      <c r="A167" s="14"/>
      <c r="B167" s="30" t="s">
        <v>144</v>
      </c>
      <c r="C167" s="1" t="s">
        <v>304</v>
      </c>
      <c r="D167" s="18" t="s">
        <v>313</v>
      </c>
      <c r="E167" s="3"/>
      <c r="F167" s="83" t="s">
        <v>225</v>
      </c>
      <c r="G167" s="66" t="s">
        <v>112</v>
      </c>
      <c r="H167" s="75">
        <v>2</v>
      </c>
      <c r="I167" s="76"/>
      <c r="J167" s="96"/>
      <c r="K167" s="77"/>
      <c r="L167" s="77"/>
      <c r="M167" s="38">
        <f t="shared" si="6"/>
        <v>0</v>
      </c>
      <c r="N167" s="100">
        <f>3</f>
        <v>3</v>
      </c>
      <c r="O167" s="77"/>
      <c r="P167" s="77"/>
      <c r="Q167" s="79">
        <f t="shared" si="5"/>
        <v>0</v>
      </c>
    </row>
    <row r="168" spans="1:17" s="15" customFormat="1" ht="15.75" x14ac:dyDescent="0.25">
      <c r="A168" s="14"/>
      <c r="B168" s="34" t="s">
        <v>144</v>
      </c>
      <c r="C168" s="1" t="s">
        <v>17</v>
      </c>
      <c r="D168" s="2"/>
      <c r="E168" s="3" t="s">
        <v>20</v>
      </c>
      <c r="F168" s="16" t="s">
        <v>293</v>
      </c>
      <c r="G168" s="8" t="s">
        <v>114</v>
      </c>
      <c r="H168" s="1">
        <v>2</v>
      </c>
      <c r="I168" s="49"/>
      <c r="J168" s="51"/>
      <c r="K168" s="40"/>
      <c r="L168" s="40"/>
      <c r="M168" s="78">
        <f t="shared" si="6"/>
        <v>0</v>
      </c>
      <c r="N168" s="42"/>
      <c r="O168" s="31"/>
      <c r="P168" s="31"/>
      <c r="Q168" s="12">
        <f t="shared" si="5"/>
        <v>0</v>
      </c>
    </row>
    <row r="169" spans="1:17" s="21" customFormat="1" ht="36" x14ac:dyDescent="0.25">
      <c r="A169" s="1">
        <v>82</v>
      </c>
      <c r="B169" s="30" t="s">
        <v>100</v>
      </c>
      <c r="C169" s="1" t="s">
        <v>304</v>
      </c>
      <c r="D169" s="18" t="s">
        <v>126</v>
      </c>
      <c r="E169" s="17" t="s">
        <v>20</v>
      </c>
      <c r="F169" s="85" t="s">
        <v>226</v>
      </c>
      <c r="G169" s="27" t="s">
        <v>112</v>
      </c>
      <c r="H169" s="75">
        <v>1</v>
      </c>
      <c r="I169" s="76"/>
      <c r="J169" s="98"/>
      <c r="K169" s="86"/>
      <c r="L169" s="86"/>
      <c r="M169" s="38">
        <f t="shared" si="6"/>
        <v>0</v>
      </c>
      <c r="N169" s="100"/>
      <c r="O169" s="87"/>
      <c r="P169" s="87"/>
      <c r="Q169" s="79">
        <f t="shared" si="5"/>
        <v>0</v>
      </c>
    </row>
    <row r="170" spans="1:17" s="21" customFormat="1" ht="36" x14ac:dyDescent="0.25">
      <c r="A170" s="1"/>
      <c r="B170" s="24" t="s">
        <v>100</v>
      </c>
      <c r="C170" s="18" t="s">
        <v>125</v>
      </c>
      <c r="D170" s="18" t="s">
        <v>126</v>
      </c>
      <c r="E170" s="17" t="s">
        <v>20</v>
      </c>
      <c r="F170" s="17" t="s">
        <v>294</v>
      </c>
      <c r="G170" s="20" t="s">
        <v>114</v>
      </c>
      <c r="H170" s="1">
        <v>1</v>
      </c>
      <c r="I170" s="53"/>
      <c r="J170" s="52"/>
      <c r="K170" s="55"/>
      <c r="L170" s="55"/>
      <c r="M170" s="78">
        <f t="shared" si="6"/>
        <v>0</v>
      </c>
      <c r="N170" s="41"/>
      <c r="O170" s="54"/>
      <c r="P170" s="54"/>
      <c r="Q170" s="12">
        <f t="shared" si="5"/>
        <v>0</v>
      </c>
    </row>
    <row r="171" spans="1:17" s="13" customFormat="1" ht="15.75" x14ac:dyDescent="0.25">
      <c r="A171" s="10">
        <v>83</v>
      </c>
      <c r="B171" s="62" t="s">
        <v>101</v>
      </c>
      <c r="C171" s="1" t="s">
        <v>17</v>
      </c>
      <c r="D171" s="2"/>
      <c r="E171" s="17" t="s">
        <v>20</v>
      </c>
      <c r="F171" s="73" t="s">
        <v>227</v>
      </c>
      <c r="G171" s="74" t="s">
        <v>112</v>
      </c>
      <c r="H171" s="75">
        <v>1</v>
      </c>
      <c r="I171" s="76"/>
      <c r="J171" s="96"/>
      <c r="K171" s="77"/>
      <c r="L171" s="77"/>
      <c r="M171" s="38">
        <f t="shared" si="6"/>
        <v>0</v>
      </c>
      <c r="N171" s="100"/>
      <c r="O171" s="81"/>
      <c r="P171" s="81"/>
      <c r="Q171" s="79">
        <f t="shared" si="5"/>
        <v>0</v>
      </c>
    </row>
    <row r="172" spans="1:17" s="13" customFormat="1" ht="15.75" x14ac:dyDescent="0.25">
      <c r="A172" s="10">
        <v>84</v>
      </c>
      <c r="B172" s="62" t="s">
        <v>146</v>
      </c>
      <c r="C172" s="1" t="s">
        <v>17</v>
      </c>
      <c r="D172" s="2"/>
      <c r="E172" s="17" t="s">
        <v>20</v>
      </c>
      <c r="F172" s="73" t="s">
        <v>228</v>
      </c>
      <c r="G172" s="74" t="s">
        <v>112</v>
      </c>
      <c r="H172" s="75"/>
      <c r="I172" s="76"/>
      <c r="J172" s="96"/>
      <c r="K172" s="77"/>
      <c r="L172" s="77"/>
      <c r="M172" s="38">
        <f t="shared" si="6"/>
        <v>0</v>
      </c>
      <c r="N172" s="100">
        <f>5</f>
        <v>5</v>
      </c>
      <c r="O172" s="81"/>
      <c r="P172" s="81"/>
      <c r="Q172" s="12">
        <f t="shared" si="5"/>
        <v>0</v>
      </c>
    </row>
    <row r="173" spans="1:17" s="13" customFormat="1" ht="15.75" x14ac:dyDescent="0.25">
      <c r="A173" s="10"/>
      <c r="B173" s="22" t="s">
        <v>146</v>
      </c>
      <c r="C173" s="1" t="s">
        <v>17</v>
      </c>
      <c r="D173" s="2"/>
      <c r="E173" s="17"/>
      <c r="F173" s="2" t="s">
        <v>235</v>
      </c>
      <c r="G173" s="11" t="s">
        <v>118</v>
      </c>
      <c r="H173" s="1"/>
      <c r="I173" s="47"/>
      <c r="J173" s="51"/>
      <c r="K173" s="37"/>
      <c r="L173" s="37"/>
      <c r="M173" s="38">
        <f t="shared" si="6"/>
        <v>0</v>
      </c>
      <c r="N173" s="39">
        <v>3</v>
      </c>
      <c r="O173" s="31"/>
      <c r="P173" s="31"/>
      <c r="Q173" s="79">
        <f t="shared" si="5"/>
        <v>0</v>
      </c>
    </row>
    <row r="174" spans="1:17" s="13" customFormat="1" ht="15.75" x14ac:dyDescent="0.25">
      <c r="A174" s="10">
        <v>85</v>
      </c>
      <c r="B174" s="27" t="s">
        <v>102</v>
      </c>
      <c r="C174" s="1" t="s">
        <v>17</v>
      </c>
      <c r="D174" s="2"/>
      <c r="E174" s="17" t="s">
        <v>20</v>
      </c>
      <c r="F174" s="73" t="s">
        <v>229</v>
      </c>
      <c r="G174" s="74" t="s">
        <v>112</v>
      </c>
      <c r="H174" s="75">
        <v>1</v>
      </c>
      <c r="I174" s="76"/>
      <c r="J174" s="96"/>
      <c r="K174" s="77"/>
      <c r="L174" s="77"/>
      <c r="M174" s="38">
        <f t="shared" si="6"/>
        <v>0</v>
      </c>
      <c r="N174" s="100"/>
      <c r="O174" s="81"/>
      <c r="P174" s="81"/>
      <c r="Q174" s="12">
        <f t="shared" si="5"/>
        <v>0</v>
      </c>
    </row>
    <row r="175" spans="1:17" s="13" customFormat="1" ht="15.75" x14ac:dyDescent="0.25">
      <c r="A175" s="10"/>
      <c r="B175" s="25" t="s">
        <v>102</v>
      </c>
      <c r="C175" s="1" t="s">
        <v>17</v>
      </c>
      <c r="D175" s="2"/>
      <c r="E175" s="17" t="s">
        <v>20</v>
      </c>
      <c r="F175" s="2" t="s">
        <v>295</v>
      </c>
      <c r="G175" s="11" t="s">
        <v>114</v>
      </c>
      <c r="H175" s="1"/>
      <c r="I175" s="58"/>
      <c r="J175" s="51"/>
      <c r="K175" s="40"/>
      <c r="L175" s="40"/>
      <c r="M175" s="38">
        <f t="shared" si="6"/>
        <v>0</v>
      </c>
      <c r="N175" s="41"/>
      <c r="O175" s="31"/>
      <c r="P175" s="31"/>
      <c r="Q175" s="79">
        <f t="shared" si="5"/>
        <v>0</v>
      </c>
    </row>
    <row r="176" spans="1:17" s="13" customFormat="1" ht="15.75" x14ac:dyDescent="0.25">
      <c r="A176" s="10">
        <v>27</v>
      </c>
      <c r="B176" s="27" t="s">
        <v>103</v>
      </c>
      <c r="C176" s="1" t="s">
        <v>17</v>
      </c>
      <c r="D176" s="2"/>
      <c r="E176" s="3" t="s">
        <v>20</v>
      </c>
      <c r="F176" s="73" t="s">
        <v>230</v>
      </c>
      <c r="G176" s="74" t="s">
        <v>112</v>
      </c>
      <c r="H176" s="75">
        <v>1</v>
      </c>
      <c r="I176" s="76"/>
      <c r="J176" s="96"/>
      <c r="K176" s="77"/>
      <c r="L176" s="77"/>
      <c r="M176" s="38">
        <f t="shared" si="6"/>
        <v>0</v>
      </c>
      <c r="N176" s="100"/>
      <c r="O176" s="81"/>
      <c r="P176" s="81"/>
      <c r="Q176" s="12">
        <f t="shared" si="5"/>
        <v>0</v>
      </c>
    </row>
    <row r="177" spans="1:17" s="13" customFormat="1" ht="15.75" x14ac:dyDescent="0.25">
      <c r="A177" s="10"/>
      <c r="B177" s="25" t="s">
        <v>103</v>
      </c>
      <c r="C177" s="1" t="s">
        <v>17</v>
      </c>
      <c r="D177" s="2"/>
      <c r="E177" s="3" t="s">
        <v>20</v>
      </c>
      <c r="F177" s="2" t="s">
        <v>127</v>
      </c>
      <c r="G177" s="11" t="s">
        <v>114</v>
      </c>
      <c r="H177" s="1"/>
      <c r="I177" s="49"/>
      <c r="J177" s="51"/>
      <c r="K177" s="40"/>
      <c r="L177" s="40"/>
      <c r="M177" s="38">
        <f t="shared" si="6"/>
        <v>0</v>
      </c>
      <c r="N177" s="41"/>
      <c r="O177" s="31"/>
      <c r="P177" s="31"/>
      <c r="Q177" s="79">
        <f t="shared" si="5"/>
        <v>0</v>
      </c>
    </row>
    <row r="178" spans="1:17" s="15" customFormat="1" ht="15.75" x14ac:dyDescent="0.25">
      <c r="A178" s="14">
        <v>87</v>
      </c>
      <c r="B178" s="28" t="s">
        <v>104</v>
      </c>
      <c r="C178" s="1" t="s">
        <v>17</v>
      </c>
      <c r="D178" s="2"/>
      <c r="E178" s="3" t="s">
        <v>20</v>
      </c>
      <c r="F178" s="73" t="s">
        <v>231</v>
      </c>
      <c r="G178" s="74" t="s">
        <v>112</v>
      </c>
      <c r="H178" s="75">
        <v>1</v>
      </c>
      <c r="I178" s="76"/>
      <c r="J178" s="96"/>
      <c r="K178" s="77"/>
      <c r="L178" s="77"/>
      <c r="M178" s="38">
        <f t="shared" si="6"/>
        <v>0</v>
      </c>
      <c r="N178" s="100">
        <f>4</f>
        <v>4</v>
      </c>
      <c r="O178" s="81"/>
      <c r="P178" s="81"/>
      <c r="Q178" s="12">
        <f t="shared" si="5"/>
        <v>0</v>
      </c>
    </row>
    <row r="179" spans="1:17" s="15" customFormat="1" ht="15.75" x14ac:dyDescent="0.25">
      <c r="A179" s="14"/>
      <c r="B179" s="26" t="s">
        <v>104</v>
      </c>
      <c r="C179" s="1" t="s">
        <v>17</v>
      </c>
      <c r="D179" s="2"/>
      <c r="E179" s="3" t="s">
        <v>20</v>
      </c>
      <c r="F179" s="2" t="s">
        <v>296</v>
      </c>
      <c r="G179" s="11" t="s">
        <v>114</v>
      </c>
      <c r="H179" s="1">
        <v>2</v>
      </c>
      <c r="I179" s="49"/>
      <c r="J179" s="51"/>
      <c r="K179" s="40"/>
      <c r="L179" s="40"/>
      <c r="M179" s="38">
        <f t="shared" si="6"/>
        <v>0</v>
      </c>
      <c r="N179" s="39"/>
      <c r="O179" s="31"/>
      <c r="P179" s="31"/>
      <c r="Q179" s="79">
        <f t="shared" si="5"/>
        <v>0</v>
      </c>
    </row>
    <row r="180" spans="1:17" s="13" customFormat="1" ht="15.75" x14ac:dyDescent="0.25">
      <c r="A180" s="10">
        <v>88</v>
      </c>
      <c r="B180" s="30" t="s">
        <v>105</v>
      </c>
      <c r="C180" s="1" t="s">
        <v>17</v>
      </c>
      <c r="D180" s="2"/>
      <c r="E180" s="17" t="s">
        <v>35</v>
      </c>
      <c r="F180" s="73" t="s">
        <v>232</v>
      </c>
      <c r="G180" s="74" t="s">
        <v>112</v>
      </c>
      <c r="H180" s="75">
        <v>2</v>
      </c>
      <c r="I180" s="76"/>
      <c r="J180" s="96"/>
      <c r="K180" s="77"/>
      <c r="L180" s="77"/>
      <c r="M180" s="38">
        <f t="shared" si="6"/>
        <v>0</v>
      </c>
      <c r="N180" s="100"/>
      <c r="O180" s="81"/>
      <c r="P180" s="81"/>
      <c r="Q180" s="12">
        <f t="shared" si="5"/>
        <v>0</v>
      </c>
    </row>
    <row r="181" spans="1:17" s="13" customFormat="1" ht="15.75" x14ac:dyDescent="0.25">
      <c r="A181" s="10"/>
      <c r="B181" s="24" t="s">
        <v>105</v>
      </c>
      <c r="C181" s="1" t="s">
        <v>17</v>
      </c>
      <c r="D181" s="2"/>
      <c r="E181" s="17" t="s">
        <v>35</v>
      </c>
      <c r="F181" s="16" t="s">
        <v>258</v>
      </c>
      <c r="G181" s="11" t="s">
        <v>117</v>
      </c>
      <c r="H181" s="1"/>
      <c r="I181" s="47"/>
      <c r="J181" s="46"/>
      <c r="K181" s="40"/>
      <c r="L181" s="40"/>
      <c r="M181" s="38">
        <f t="shared" si="6"/>
        <v>0</v>
      </c>
      <c r="N181" s="41"/>
      <c r="O181" s="31"/>
      <c r="P181" s="31"/>
      <c r="Q181" s="79">
        <f t="shared" si="5"/>
        <v>0</v>
      </c>
    </row>
    <row r="182" spans="1:17" s="13" customFormat="1" ht="15.75" x14ac:dyDescent="0.25">
      <c r="A182" s="10">
        <v>89</v>
      </c>
      <c r="B182" s="62" t="s">
        <v>106</v>
      </c>
      <c r="C182" s="1" t="s">
        <v>17</v>
      </c>
      <c r="D182" s="2"/>
      <c r="E182" s="17" t="s">
        <v>20</v>
      </c>
      <c r="F182" s="73" t="s">
        <v>233</v>
      </c>
      <c r="G182" s="74" t="s">
        <v>112</v>
      </c>
      <c r="H182" s="75">
        <v>1</v>
      </c>
      <c r="I182" s="76"/>
      <c r="J182" s="96"/>
      <c r="K182" s="77"/>
      <c r="L182" s="77"/>
      <c r="M182" s="38">
        <f t="shared" si="6"/>
        <v>0</v>
      </c>
      <c r="N182" s="100"/>
      <c r="O182" s="81"/>
      <c r="P182" s="81"/>
      <c r="Q182" s="12">
        <f t="shared" si="5"/>
        <v>0</v>
      </c>
    </row>
    <row r="183" spans="1:17" ht="15.75" x14ac:dyDescent="0.25">
      <c r="A183" s="7"/>
      <c r="B183" s="32"/>
      <c r="C183" s="107"/>
      <c r="D183" s="33"/>
      <c r="E183" s="33"/>
      <c r="F183" s="8"/>
      <c r="G183" s="8" t="s">
        <v>131</v>
      </c>
      <c r="H183" s="106">
        <f t="shared" ref="H183:P183" si="7">SUM(H10:H182)</f>
        <v>158</v>
      </c>
      <c r="I183" s="59">
        <f t="shared" si="7"/>
        <v>0</v>
      </c>
      <c r="J183" s="43">
        <f t="shared" si="7"/>
        <v>0</v>
      </c>
      <c r="K183" s="56">
        <f t="shared" si="7"/>
        <v>0</v>
      </c>
      <c r="L183" s="56">
        <f t="shared" si="7"/>
        <v>0</v>
      </c>
      <c r="M183" s="44">
        <f>K183-L183</f>
        <v>0</v>
      </c>
      <c r="N183" s="43">
        <f t="shared" si="7"/>
        <v>252</v>
      </c>
      <c r="O183" s="57">
        <f t="shared" si="7"/>
        <v>0</v>
      </c>
      <c r="P183" s="57">
        <f t="shared" si="7"/>
        <v>0</v>
      </c>
      <c r="Q183" s="79">
        <f t="shared" si="5"/>
        <v>0</v>
      </c>
    </row>
    <row r="184" spans="1:17" x14ac:dyDescent="0.25">
      <c r="K184" s="91" t="s">
        <v>305</v>
      </c>
    </row>
    <row r="185" spans="1:17" ht="45" x14ac:dyDescent="0.25">
      <c r="B185" s="89" t="s">
        <v>316</v>
      </c>
      <c r="F185" s="104" t="s">
        <v>317</v>
      </c>
    </row>
  </sheetData>
  <mergeCells count="7">
    <mergeCell ref="O1:Q1"/>
    <mergeCell ref="A3:Q3"/>
    <mergeCell ref="A4:Q4"/>
    <mergeCell ref="A5:Q5"/>
    <mergeCell ref="B7:G7"/>
    <mergeCell ref="H7:M7"/>
    <mergeCell ref="N7:Q7"/>
  </mergeCells>
  <pageMargins left="0.7" right="0.7" top="0.75" bottom="0.75" header="0.3" footer="0.3"/>
  <pageSetup paperSize="9" orientation="portrait" verticalDpi="0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92"/>
  <sheetViews>
    <sheetView workbookViewId="0">
      <selection sqref="A1:XFD1048576"/>
    </sheetView>
  </sheetViews>
  <sheetFormatPr defaultRowHeight="15" x14ac:dyDescent="0.25"/>
  <cols>
    <col min="1" max="1" width="1.85546875" style="6" customWidth="1"/>
    <col min="2" max="2" width="38.28515625" style="88" customWidth="1"/>
    <col min="3" max="3" width="6.5703125" style="19" customWidth="1"/>
    <col min="4" max="4" width="17.42578125" style="19" customWidth="1"/>
    <col min="5" max="5" width="19" style="19" customWidth="1"/>
    <col min="6" max="6" width="19" style="89" customWidth="1"/>
    <col min="7" max="7" width="20.140625" style="89" customWidth="1"/>
    <col min="8" max="9" width="15.7109375" style="90" customWidth="1"/>
    <col min="10" max="10" width="15.7109375" style="99" customWidth="1"/>
    <col min="11" max="13" width="15.7109375" style="91" customWidth="1"/>
    <col min="14" max="14" width="15.7109375" style="99" customWidth="1"/>
    <col min="15" max="17" width="15.7109375" style="92" customWidth="1"/>
    <col min="18" max="18" width="11.7109375" style="6" customWidth="1"/>
    <col min="19" max="19" width="9.42578125" style="6" customWidth="1"/>
    <col min="20" max="21" width="9.140625" style="6" customWidth="1"/>
    <col min="22" max="16384" width="9.140625" style="6"/>
  </cols>
  <sheetData>
    <row r="1" spans="1:18" s="105" customFormat="1" x14ac:dyDescent="0.25">
      <c r="A1" s="60"/>
      <c r="B1" s="60"/>
      <c r="C1" s="225"/>
      <c r="D1" s="225"/>
      <c r="E1" s="225"/>
      <c r="F1" s="63"/>
      <c r="G1" s="63"/>
      <c r="H1" s="64"/>
      <c r="I1" s="64"/>
      <c r="J1" s="93"/>
      <c r="K1" s="65"/>
      <c r="L1" s="65"/>
      <c r="M1" s="65"/>
      <c r="N1" s="93"/>
      <c r="O1" s="362" t="s">
        <v>15</v>
      </c>
      <c r="P1" s="362"/>
      <c r="Q1" s="362"/>
    </row>
    <row r="2" spans="1:18" s="105" customFormat="1" x14ac:dyDescent="0.25">
      <c r="A2" s="246"/>
      <c r="B2" s="246"/>
      <c r="C2" s="247"/>
      <c r="D2" s="247"/>
      <c r="E2" s="247"/>
      <c r="F2" s="66"/>
      <c r="G2" s="66"/>
      <c r="H2" s="245"/>
      <c r="I2" s="245"/>
      <c r="J2" s="94"/>
      <c r="K2" s="67"/>
      <c r="L2" s="67"/>
      <c r="M2" s="67"/>
      <c r="N2" s="94"/>
      <c r="O2" s="68"/>
      <c r="P2" s="68"/>
      <c r="Q2" s="68"/>
    </row>
    <row r="3" spans="1:18" s="105" customFormat="1" x14ac:dyDescent="0.25">
      <c r="A3" s="380" t="s">
        <v>318</v>
      </c>
      <c r="B3" s="367"/>
      <c r="C3" s="380"/>
      <c r="D3" s="380"/>
      <c r="E3" s="380"/>
      <c r="F3" s="367"/>
      <c r="G3" s="367"/>
      <c r="H3" s="366"/>
      <c r="I3" s="366"/>
      <c r="J3" s="367"/>
      <c r="K3" s="367"/>
      <c r="L3" s="367"/>
      <c r="M3" s="367"/>
      <c r="N3" s="367"/>
      <c r="O3" s="367"/>
      <c r="P3" s="367"/>
      <c r="Q3" s="367"/>
    </row>
    <row r="4" spans="1:18" s="105" customFormat="1" x14ac:dyDescent="0.25">
      <c r="A4" s="381">
        <v>43682</v>
      </c>
      <c r="B4" s="373"/>
      <c r="C4" s="382"/>
      <c r="D4" s="382"/>
      <c r="E4" s="382"/>
      <c r="F4" s="373"/>
      <c r="G4" s="373"/>
      <c r="H4" s="372"/>
      <c r="I4" s="372"/>
      <c r="J4" s="373"/>
      <c r="K4" s="373"/>
      <c r="L4" s="373"/>
      <c r="M4" s="373"/>
      <c r="N4" s="373"/>
      <c r="O4" s="373"/>
      <c r="P4" s="373"/>
      <c r="Q4" s="373"/>
    </row>
    <row r="5" spans="1:18" s="105" customFormat="1" x14ac:dyDescent="0.25">
      <c r="A5" s="367" t="s">
        <v>14</v>
      </c>
      <c r="B5" s="367"/>
      <c r="C5" s="367"/>
      <c r="D5" s="367"/>
      <c r="E5" s="367"/>
      <c r="F5" s="367"/>
      <c r="G5" s="367"/>
      <c r="H5" s="366"/>
      <c r="I5" s="366"/>
      <c r="J5" s="367"/>
      <c r="K5" s="367"/>
      <c r="L5" s="367"/>
      <c r="M5" s="367"/>
      <c r="N5" s="367"/>
      <c r="O5" s="367"/>
      <c r="P5" s="367"/>
      <c r="Q5" s="367"/>
    </row>
    <row r="6" spans="1:18" s="105" customFormat="1" x14ac:dyDescent="0.25">
      <c r="A6" s="246"/>
      <c r="B6" s="246"/>
      <c r="C6" s="247"/>
      <c r="D6" s="247"/>
      <c r="E6" s="247"/>
      <c r="F6" s="66"/>
      <c r="G6" s="66"/>
      <c r="H6" s="245"/>
      <c r="I6" s="245"/>
      <c r="J6" s="94"/>
      <c r="K6" s="67"/>
      <c r="L6" s="67"/>
      <c r="M6" s="67"/>
      <c r="N6" s="94"/>
      <c r="O6" s="68"/>
      <c r="P6" s="68"/>
      <c r="Q6" s="68"/>
    </row>
    <row r="7" spans="1:18" x14ac:dyDescent="0.25">
      <c r="A7" s="227" t="s">
        <v>0</v>
      </c>
      <c r="B7" s="367" t="s">
        <v>10</v>
      </c>
      <c r="C7" s="380"/>
      <c r="D7" s="380"/>
      <c r="E7" s="380"/>
      <c r="F7" s="367"/>
      <c r="G7" s="367"/>
      <c r="H7" s="366" t="s">
        <v>472</v>
      </c>
      <c r="I7" s="366"/>
      <c r="J7" s="367"/>
      <c r="K7" s="367"/>
      <c r="L7" s="367"/>
      <c r="M7" s="367"/>
      <c r="N7" s="367" t="s">
        <v>132</v>
      </c>
      <c r="O7" s="367"/>
      <c r="P7" s="367"/>
      <c r="Q7" s="367"/>
    </row>
    <row r="8" spans="1:18" ht="195" x14ac:dyDescent="0.25">
      <c r="A8" s="227"/>
      <c r="B8" s="246" t="s">
        <v>4</v>
      </c>
      <c r="C8" s="247" t="s">
        <v>1</v>
      </c>
      <c r="D8" s="247" t="s">
        <v>3</v>
      </c>
      <c r="E8" s="247" t="s">
        <v>2</v>
      </c>
      <c r="F8" s="246" t="s">
        <v>6</v>
      </c>
      <c r="G8" s="66" t="s">
        <v>5</v>
      </c>
      <c r="H8" s="246" t="s">
        <v>7</v>
      </c>
      <c r="I8" s="246" t="s">
        <v>8</v>
      </c>
      <c r="J8" s="94" t="s">
        <v>9</v>
      </c>
      <c r="K8" s="67" t="s">
        <v>11</v>
      </c>
      <c r="L8" s="67" t="s">
        <v>12</v>
      </c>
      <c r="M8" s="67" t="s">
        <v>13</v>
      </c>
      <c r="N8" s="94" t="s">
        <v>9</v>
      </c>
      <c r="O8" s="68" t="s">
        <v>11</v>
      </c>
      <c r="P8" s="68" t="s">
        <v>12</v>
      </c>
      <c r="Q8" s="68" t="s">
        <v>13</v>
      </c>
    </row>
    <row r="9" spans="1:18" x14ac:dyDescent="0.25">
      <c r="A9" s="228">
        <v>1</v>
      </c>
      <c r="B9" s="61">
        <f>A9+1</f>
        <v>2</v>
      </c>
      <c r="C9" s="228">
        <f t="shared" ref="C9:Q9" si="0">B9+1</f>
        <v>3</v>
      </c>
      <c r="D9" s="228">
        <f t="shared" si="0"/>
        <v>4</v>
      </c>
      <c r="E9" s="228">
        <f t="shared" si="0"/>
        <v>5</v>
      </c>
      <c r="F9" s="69">
        <f t="shared" si="0"/>
        <v>6</v>
      </c>
      <c r="G9" s="69">
        <f t="shared" si="0"/>
        <v>7</v>
      </c>
      <c r="H9" s="70">
        <f t="shared" si="0"/>
        <v>8</v>
      </c>
      <c r="I9" s="70">
        <f t="shared" si="0"/>
        <v>9</v>
      </c>
      <c r="J9" s="95">
        <f t="shared" si="0"/>
        <v>10</v>
      </c>
      <c r="K9" s="71">
        <f t="shared" si="0"/>
        <v>11</v>
      </c>
      <c r="L9" s="71">
        <f t="shared" si="0"/>
        <v>12</v>
      </c>
      <c r="M9" s="71">
        <f t="shared" si="0"/>
        <v>13</v>
      </c>
      <c r="N9" s="95">
        <f t="shared" si="0"/>
        <v>14</v>
      </c>
      <c r="O9" s="72">
        <f t="shared" si="0"/>
        <v>15</v>
      </c>
      <c r="P9" s="72">
        <f t="shared" si="0"/>
        <v>16</v>
      </c>
      <c r="Q9" s="72">
        <f t="shared" si="0"/>
        <v>17</v>
      </c>
    </row>
    <row r="10" spans="1:18" s="13" customFormat="1" ht="30" x14ac:dyDescent="0.25">
      <c r="A10" s="229"/>
      <c r="B10" s="62" t="s">
        <v>16</v>
      </c>
      <c r="C10" s="181" t="s">
        <v>304</v>
      </c>
      <c r="D10" s="182" t="s">
        <v>315</v>
      </c>
      <c r="E10" s="183" t="s">
        <v>18</v>
      </c>
      <c r="F10" s="73" t="s">
        <v>322</v>
      </c>
      <c r="G10" s="74" t="s">
        <v>112</v>
      </c>
      <c r="H10" s="75">
        <v>12</v>
      </c>
      <c r="I10" s="76">
        <v>10</v>
      </c>
      <c r="J10" s="98">
        <f>2+1+3+3+1</f>
        <v>10</v>
      </c>
      <c r="K10" s="77">
        <f>4792.51+1138.19+504.26+11366.06+4859.68+3954.5</f>
        <v>26615.200000000001</v>
      </c>
      <c r="L10" s="77">
        <f>4792.51+1138.19+504.26+11366.06+4859.68+3954.5</f>
        <v>26615.200000000001</v>
      </c>
      <c r="M10" s="78">
        <f>K10-L10</f>
        <v>0</v>
      </c>
      <c r="N10" s="100">
        <f>2+5+1+2+1</f>
        <v>11</v>
      </c>
      <c r="O10" s="77">
        <f>9108.77+6924.32+22366.06+8197.52</f>
        <v>46596.67</v>
      </c>
      <c r="P10" s="77">
        <f>9108.77+6924.32+12366.06+8197.52</f>
        <v>36596.67</v>
      </c>
      <c r="Q10" s="79">
        <f>O10-P10</f>
        <v>10000</v>
      </c>
      <c r="R10" s="141"/>
    </row>
    <row r="11" spans="1:18" s="13" customFormat="1" ht="30" x14ac:dyDescent="0.25">
      <c r="A11" s="229"/>
      <c r="B11" s="62" t="s">
        <v>16</v>
      </c>
      <c r="C11" s="181" t="s">
        <v>304</v>
      </c>
      <c r="D11" s="182" t="s">
        <v>315</v>
      </c>
      <c r="E11" s="183" t="s">
        <v>18</v>
      </c>
      <c r="F11" s="73" t="s">
        <v>322</v>
      </c>
      <c r="G11" s="230" t="s">
        <v>116</v>
      </c>
      <c r="H11" s="181">
        <v>10</v>
      </c>
      <c r="I11" s="231">
        <v>4</v>
      </c>
      <c r="J11" s="96">
        <v>4</v>
      </c>
      <c r="K11" s="224">
        <v>7070</v>
      </c>
      <c r="L11" s="224">
        <v>7070</v>
      </c>
      <c r="M11" s="187">
        <f t="shared" ref="M11:M90" si="1">K11-L11</f>
        <v>0</v>
      </c>
      <c r="N11" s="100">
        <v>0</v>
      </c>
      <c r="O11" s="224">
        <v>2945</v>
      </c>
      <c r="P11" s="224">
        <v>2945</v>
      </c>
      <c r="Q11" s="232">
        <f t="shared" ref="Q11:Q80" si="2">O11-P11</f>
        <v>0</v>
      </c>
    </row>
    <row r="12" spans="1:18" s="13" customFormat="1" x14ac:dyDescent="0.25">
      <c r="A12" s="229"/>
      <c r="B12" s="62" t="s">
        <v>490</v>
      </c>
      <c r="C12" s="181" t="s">
        <v>304</v>
      </c>
      <c r="D12" s="182"/>
      <c r="E12" s="183"/>
      <c r="F12" s="189" t="s">
        <v>501</v>
      </c>
      <c r="G12" s="230" t="s">
        <v>112</v>
      </c>
      <c r="H12" s="181">
        <v>12</v>
      </c>
      <c r="I12" s="231">
        <v>8</v>
      </c>
      <c r="J12" s="96">
        <f>5+1+3+1+1</f>
        <v>11</v>
      </c>
      <c r="K12" s="224">
        <f>8352.39+384.2+1463.8+3720.67</f>
        <v>13921.06</v>
      </c>
      <c r="L12" s="224">
        <f>8352.39+384.2+1463.8+3720.67</f>
        <v>13921.06</v>
      </c>
      <c r="M12" s="78">
        <f t="shared" si="1"/>
        <v>0</v>
      </c>
      <c r="N12" s="100"/>
      <c r="O12" s="224"/>
      <c r="P12" s="224"/>
      <c r="Q12" s="79">
        <f t="shared" si="2"/>
        <v>0</v>
      </c>
    </row>
    <row r="13" spans="1:18" s="15" customFormat="1" x14ac:dyDescent="0.25">
      <c r="A13" s="229"/>
      <c r="B13" s="62" t="s">
        <v>19</v>
      </c>
      <c r="C13" s="181" t="s">
        <v>17</v>
      </c>
      <c r="D13" s="182"/>
      <c r="E13" s="183" t="s">
        <v>20</v>
      </c>
      <c r="F13" s="73" t="s">
        <v>323</v>
      </c>
      <c r="G13" s="74" t="s">
        <v>112</v>
      </c>
      <c r="H13" s="75">
        <v>11</v>
      </c>
      <c r="I13" s="76">
        <v>8</v>
      </c>
      <c r="J13" s="96">
        <f>1+2+5+2+1</f>
        <v>11</v>
      </c>
      <c r="K13" s="77">
        <f>422.62+4792.51+1796.14+1373.52</f>
        <v>8384.7900000000009</v>
      </c>
      <c r="L13" s="77">
        <f>422.62+4792.51+1796.14+1373.52</f>
        <v>8384.7900000000009</v>
      </c>
      <c r="M13" s="78">
        <f t="shared" si="1"/>
        <v>0</v>
      </c>
      <c r="N13" s="100">
        <f>8+3+1</f>
        <v>12</v>
      </c>
      <c r="O13" s="81">
        <f>6459.36+7124.45</f>
        <v>13583.81</v>
      </c>
      <c r="P13" s="81">
        <f>6459.36+7124.45</f>
        <v>13583.81</v>
      </c>
      <c r="Q13" s="79">
        <f t="shared" si="2"/>
        <v>0</v>
      </c>
      <c r="R13" s="141"/>
    </row>
    <row r="14" spans="1:18" s="15" customFormat="1" x14ac:dyDescent="0.25">
      <c r="A14" s="229"/>
      <c r="B14" s="62" t="s">
        <v>19</v>
      </c>
      <c r="C14" s="181" t="s">
        <v>17</v>
      </c>
      <c r="D14" s="182"/>
      <c r="E14" s="183" t="s">
        <v>20</v>
      </c>
      <c r="F14" s="73" t="s">
        <v>451</v>
      </c>
      <c r="G14" s="230" t="s">
        <v>114</v>
      </c>
      <c r="H14" s="181">
        <v>8</v>
      </c>
      <c r="I14" s="231">
        <v>1</v>
      </c>
      <c r="J14" s="190">
        <v>1</v>
      </c>
      <c r="K14" s="77">
        <v>1267.68</v>
      </c>
      <c r="L14" s="77">
        <v>1267.68</v>
      </c>
      <c r="M14" s="187">
        <f t="shared" si="1"/>
        <v>0</v>
      </c>
      <c r="N14" s="100">
        <v>9</v>
      </c>
      <c r="O14" s="224">
        <v>16688.7</v>
      </c>
      <c r="P14" s="224">
        <v>16688.7</v>
      </c>
      <c r="Q14" s="232">
        <f t="shared" si="2"/>
        <v>0</v>
      </c>
    </row>
    <row r="15" spans="1:18" s="15" customFormat="1" x14ac:dyDescent="0.25">
      <c r="A15" s="229"/>
      <c r="B15" s="62" t="s">
        <v>153</v>
      </c>
      <c r="C15" s="181" t="s">
        <v>17</v>
      </c>
      <c r="D15" s="182"/>
      <c r="E15" s="183" t="s">
        <v>20</v>
      </c>
      <c r="F15" s="73" t="s">
        <v>324</v>
      </c>
      <c r="G15" s="74" t="s">
        <v>112</v>
      </c>
      <c r="H15" s="75">
        <v>10</v>
      </c>
      <c r="I15" s="82">
        <v>6</v>
      </c>
      <c r="J15" s="96">
        <f>1+1+2+1+1+2+1</f>
        <v>9</v>
      </c>
      <c r="K15" s="77">
        <f>950.9+2451.87+3074.57+845.24+1977.86+1284.48</f>
        <v>10584.92</v>
      </c>
      <c r="L15" s="77">
        <f>950.9+2451.87+3074.57+845.24+1977.86</f>
        <v>9300.44</v>
      </c>
      <c r="M15" s="78">
        <f>K15-L15</f>
        <v>1284.4799999999996</v>
      </c>
      <c r="N15" s="114">
        <f>1+2+1+2+1+1</f>
        <v>8</v>
      </c>
      <c r="O15" s="81">
        <f>422.62+945.61+2484.69+7964.81+1536.8+2498.17</f>
        <v>15852.699999999999</v>
      </c>
      <c r="P15" s="81">
        <f>422.62+945.61+2484.69+7964.81+1536.8</f>
        <v>13354.529999999999</v>
      </c>
      <c r="Q15" s="79">
        <f t="shared" si="2"/>
        <v>2498.17</v>
      </c>
      <c r="R15" s="141"/>
    </row>
    <row r="16" spans="1:18" s="15" customFormat="1" x14ac:dyDescent="0.25">
      <c r="A16" s="229"/>
      <c r="B16" s="233" t="s">
        <v>153</v>
      </c>
      <c r="C16" s="181" t="s">
        <v>17</v>
      </c>
      <c r="D16" s="182"/>
      <c r="E16" s="183" t="s">
        <v>20</v>
      </c>
      <c r="F16" s="73" t="s">
        <v>452</v>
      </c>
      <c r="G16" s="230" t="s">
        <v>114</v>
      </c>
      <c r="H16" s="181">
        <v>15</v>
      </c>
      <c r="I16" s="231">
        <v>3</v>
      </c>
      <c r="J16" s="190">
        <v>3</v>
      </c>
      <c r="K16" s="77">
        <v>3957.08</v>
      </c>
      <c r="L16" s="77">
        <v>3957.08</v>
      </c>
      <c r="M16" s="187">
        <f t="shared" si="1"/>
        <v>0</v>
      </c>
      <c r="N16" s="100">
        <v>9</v>
      </c>
      <c r="O16" s="224">
        <v>31921.279999999999</v>
      </c>
      <c r="P16" s="224">
        <v>23692.58</v>
      </c>
      <c r="Q16" s="232">
        <f t="shared" si="2"/>
        <v>8228.6999999999971</v>
      </c>
    </row>
    <row r="17" spans="1:18" s="13" customFormat="1" x14ac:dyDescent="0.25">
      <c r="A17" s="229"/>
      <c r="B17" s="30" t="s">
        <v>22</v>
      </c>
      <c r="C17" s="181" t="s">
        <v>17</v>
      </c>
      <c r="D17" s="182"/>
      <c r="E17" s="183" t="s">
        <v>23</v>
      </c>
      <c r="F17" s="73" t="s">
        <v>325</v>
      </c>
      <c r="G17" s="74" t="s">
        <v>112</v>
      </c>
      <c r="H17" s="75">
        <v>31</v>
      </c>
      <c r="I17" s="76">
        <v>10</v>
      </c>
      <c r="J17" s="96">
        <f>1+2+1+9</f>
        <v>13</v>
      </c>
      <c r="K17" s="77">
        <f>2698.64+1402.33+11601.84</f>
        <v>15702.81</v>
      </c>
      <c r="L17" s="77">
        <f>2698.64+1402.33+11601.84</f>
        <v>15702.81</v>
      </c>
      <c r="M17" s="78">
        <f>K17-L17</f>
        <v>0</v>
      </c>
      <c r="N17" s="100">
        <f>14+3+7+1+1</f>
        <v>26</v>
      </c>
      <c r="O17" s="81">
        <f>22716.4+4171.06+18768.39+8172.47</f>
        <v>53828.320000000007</v>
      </c>
      <c r="P17" s="81">
        <f>22716.4+4171.06+18768.39+8172.47</f>
        <v>53828.320000000007</v>
      </c>
      <c r="Q17" s="79">
        <f t="shared" si="2"/>
        <v>0</v>
      </c>
      <c r="R17" s="141"/>
    </row>
    <row r="18" spans="1:18" s="13" customFormat="1" x14ac:dyDescent="0.25">
      <c r="A18" s="229"/>
      <c r="B18" s="30" t="s">
        <v>154</v>
      </c>
      <c r="C18" s="181" t="s">
        <v>17</v>
      </c>
      <c r="D18" s="182"/>
      <c r="E18" s="183" t="s">
        <v>20</v>
      </c>
      <c r="F18" s="73" t="s">
        <v>453</v>
      </c>
      <c r="G18" s="230" t="s">
        <v>114</v>
      </c>
      <c r="H18" s="181">
        <v>23</v>
      </c>
      <c r="I18" s="234">
        <v>2</v>
      </c>
      <c r="J18" s="190">
        <v>2</v>
      </c>
      <c r="K18" s="193">
        <v>2938.2</v>
      </c>
      <c r="L18" s="193">
        <v>2938.2</v>
      </c>
      <c r="M18" s="187">
        <f t="shared" si="1"/>
        <v>0</v>
      </c>
      <c r="N18" s="114">
        <v>16</v>
      </c>
      <c r="O18" s="224">
        <v>34624.39</v>
      </c>
      <c r="P18" s="224">
        <v>34624.39</v>
      </c>
      <c r="Q18" s="232">
        <f t="shared" si="2"/>
        <v>0</v>
      </c>
    </row>
    <row r="19" spans="1:18" s="13" customFormat="1" x14ac:dyDescent="0.25">
      <c r="A19" s="229"/>
      <c r="B19" s="30" t="s">
        <v>154</v>
      </c>
      <c r="C19" s="181" t="s">
        <v>17</v>
      </c>
      <c r="D19" s="182"/>
      <c r="E19" s="183" t="s">
        <v>20</v>
      </c>
      <c r="F19" s="73" t="s">
        <v>326</v>
      </c>
      <c r="G19" s="74" t="s">
        <v>112</v>
      </c>
      <c r="H19" s="75">
        <v>19</v>
      </c>
      <c r="I19" s="76">
        <v>15</v>
      </c>
      <c r="J19" s="96">
        <f>1+1+2+2+2+6+1+4+1</f>
        <v>20</v>
      </c>
      <c r="K19" s="77">
        <f>950.9+864.46+845.24+405.02+739.59+6850.57+12952.58</f>
        <v>23608.36</v>
      </c>
      <c r="L19" s="77">
        <f>950.9+864.46+845.24+405.02+739.59</f>
        <v>3805.2100000000005</v>
      </c>
      <c r="M19" s="78">
        <f t="shared" si="1"/>
        <v>19803.150000000001</v>
      </c>
      <c r="N19" s="100">
        <f>6+3+1+1+1+2+1+1</f>
        <v>16</v>
      </c>
      <c r="O19" s="81">
        <f>6681.33+7017+1523.5+9094.74+3532.32</f>
        <v>27848.89</v>
      </c>
      <c r="P19" s="81">
        <f>6681.33+7017+1523.5+9094.74</f>
        <v>24316.57</v>
      </c>
      <c r="Q19" s="79">
        <f t="shared" si="2"/>
        <v>3532.3199999999997</v>
      </c>
      <c r="R19" s="141"/>
    </row>
    <row r="20" spans="1:18" s="13" customFormat="1" x14ac:dyDescent="0.25">
      <c r="A20" s="229"/>
      <c r="B20" s="62" t="s">
        <v>24</v>
      </c>
      <c r="C20" s="181" t="s">
        <v>17</v>
      </c>
      <c r="D20" s="182"/>
      <c r="E20" s="183" t="s">
        <v>20</v>
      </c>
      <c r="F20" s="73" t="s">
        <v>327</v>
      </c>
      <c r="G20" s="74" t="s">
        <v>112</v>
      </c>
      <c r="H20" s="75">
        <v>7</v>
      </c>
      <c r="I20" s="76">
        <v>4</v>
      </c>
      <c r="J20" s="96">
        <f>3+1+1</f>
        <v>5</v>
      </c>
      <c r="K20" s="77">
        <f>1191.02</f>
        <v>1191.02</v>
      </c>
      <c r="L20" s="77">
        <f>1191.02</f>
        <v>1191.02</v>
      </c>
      <c r="M20" s="78">
        <f t="shared" si="1"/>
        <v>0</v>
      </c>
      <c r="N20" s="100">
        <f>1+1</f>
        <v>2</v>
      </c>
      <c r="O20" s="81">
        <f>576.3+1810.93</f>
        <v>2387.23</v>
      </c>
      <c r="P20" s="81">
        <f>576.3+1810.93</f>
        <v>2387.23</v>
      </c>
      <c r="Q20" s="232">
        <f t="shared" si="2"/>
        <v>0</v>
      </c>
      <c r="R20" s="141"/>
    </row>
    <row r="21" spans="1:18" s="13" customFormat="1" x14ac:dyDescent="0.25">
      <c r="A21" s="229"/>
      <c r="B21" s="62" t="s">
        <v>24</v>
      </c>
      <c r="C21" s="181" t="s">
        <v>17</v>
      </c>
      <c r="D21" s="182"/>
      <c r="E21" s="183" t="s">
        <v>20</v>
      </c>
      <c r="F21" s="73" t="s">
        <v>454</v>
      </c>
      <c r="G21" s="230" t="s">
        <v>114</v>
      </c>
      <c r="H21" s="181">
        <v>12</v>
      </c>
      <c r="I21" s="231"/>
      <c r="J21" s="190"/>
      <c r="K21" s="77"/>
      <c r="L21" s="77"/>
      <c r="M21" s="187">
        <f t="shared" si="1"/>
        <v>0</v>
      </c>
      <c r="N21" s="100">
        <v>16</v>
      </c>
      <c r="O21" s="224">
        <v>14635.6</v>
      </c>
      <c r="P21" s="224">
        <v>14635.6</v>
      </c>
      <c r="Q21" s="232">
        <f t="shared" si="2"/>
        <v>0</v>
      </c>
    </row>
    <row r="22" spans="1:18" s="13" customFormat="1" x14ac:dyDescent="0.25">
      <c r="A22" s="229"/>
      <c r="B22" s="62" t="s">
        <v>25</v>
      </c>
      <c r="C22" s="181" t="s">
        <v>17</v>
      </c>
      <c r="D22" s="182"/>
      <c r="E22" s="183" t="s">
        <v>20</v>
      </c>
      <c r="F22" s="73" t="s">
        <v>328</v>
      </c>
      <c r="G22" s="74" t="s">
        <v>112</v>
      </c>
      <c r="H22" s="75">
        <v>9</v>
      </c>
      <c r="I22" s="76">
        <v>5</v>
      </c>
      <c r="J22" s="96">
        <f>1+1+1+1+1</f>
        <v>5</v>
      </c>
      <c r="K22" s="173">
        <f>403.41+1605.6+3697.9</f>
        <v>5706.91</v>
      </c>
      <c r="L22" s="173">
        <v>403.41</v>
      </c>
      <c r="M22" s="78">
        <f>K22-L22</f>
        <v>5303.5</v>
      </c>
      <c r="N22" s="100">
        <f>6+1+2+2+1</f>
        <v>12</v>
      </c>
      <c r="O22" s="81">
        <f>14526.7+5595.3+2440.62+2839.24</f>
        <v>25401.86</v>
      </c>
      <c r="P22" s="81">
        <f>14526.7+5595.3+2440.62+2839.24</f>
        <v>25401.86</v>
      </c>
      <c r="Q22" s="232">
        <f t="shared" si="2"/>
        <v>0</v>
      </c>
      <c r="R22" s="141"/>
    </row>
    <row r="23" spans="1:18" s="13" customFormat="1" x14ac:dyDescent="0.25">
      <c r="A23" s="229"/>
      <c r="B23" s="62" t="s">
        <v>25</v>
      </c>
      <c r="C23" s="181" t="s">
        <v>17</v>
      </c>
      <c r="D23" s="182"/>
      <c r="E23" s="183" t="s">
        <v>20</v>
      </c>
      <c r="F23" s="73" t="s">
        <v>455</v>
      </c>
      <c r="G23" s="230" t="s">
        <v>114</v>
      </c>
      <c r="H23" s="181">
        <v>5</v>
      </c>
      <c r="I23" s="231"/>
      <c r="J23" s="190"/>
      <c r="K23" s="77"/>
      <c r="L23" s="77"/>
      <c r="M23" s="187">
        <f t="shared" si="1"/>
        <v>0</v>
      </c>
      <c r="N23" s="100">
        <v>3</v>
      </c>
      <c r="O23" s="224">
        <v>4146.2</v>
      </c>
      <c r="P23" s="224">
        <f>4146.2</f>
        <v>4146.2</v>
      </c>
      <c r="Q23" s="232">
        <f t="shared" si="2"/>
        <v>0</v>
      </c>
    </row>
    <row r="24" spans="1:18" s="13" customFormat="1" x14ac:dyDescent="0.25">
      <c r="A24" s="229"/>
      <c r="B24" s="62" t="s">
        <v>26</v>
      </c>
      <c r="C24" s="181" t="s">
        <v>17</v>
      </c>
      <c r="D24" s="182"/>
      <c r="E24" s="183" t="s">
        <v>27</v>
      </c>
      <c r="F24" s="73" t="s">
        <v>329</v>
      </c>
      <c r="G24" s="74" t="s">
        <v>112</v>
      </c>
      <c r="H24" s="75">
        <v>15</v>
      </c>
      <c r="I24" s="76">
        <v>8</v>
      </c>
      <c r="J24" s="96">
        <f>2+2+4+1+4</f>
        <v>13</v>
      </c>
      <c r="K24" s="77">
        <f>845.24+1056.55+5121.1+26225.35+422.62</f>
        <v>33670.86</v>
      </c>
      <c r="L24" s="77">
        <f>845.24+1056.55+5121.1+26225.35</f>
        <v>33248.239999999998</v>
      </c>
      <c r="M24" s="78">
        <f t="shared" si="1"/>
        <v>422.62000000000262</v>
      </c>
      <c r="N24" s="100">
        <f>6+1+1+2+1</f>
        <v>11</v>
      </c>
      <c r="O24" s="81">
        <f>17838.53+2535.75+7238.9</f>
        <v>27613.18</v>
      </c>
      <c r="P24" s="81">
        <f>17838.53+2535.75+7238.9</f>
        <v>27613.18</v>
      </c>
      <c r="Q24" s="232">
        <f t="shared" si="2"/>
        <v>0</v>
      </c>
      <c r="R24" s="141"/>
    </row>
    <row r="25" spans="1:18" s="15" customFormat="1" x14ac:dyDescent="0.25">
      <c r="A25" s="229"/>
      <c r="B25" s="62" t="s">
        <v>28</v>
      </c>
      <c r="C25" s="181" t="s">
        <v>17</v>
      </c>
      <c r="D25" s="182"/>
      <c r="E25" s="194" t="s">
        <v>29</v>
      </c>
      <c r="F25" s="73" t="s">
        <v>330</v>
      </c>
      <c r="G25" s="74" t="s">
        <v>112</v>
      </c>
      <c r="H25" s="75">
        <v>7</v>
      </c>
      <c r="I25" s="76">
        <v>6</v>
      </c>
      <c r="J25" s="96">
        <f>2+1+2+1+1</f>
        <v>7</v>
      </c>
      <c r="K25" s="77">
        <f>6135.14+2440.63+9722.07</f>
        <v>18297.84</v>
      </c>
      <c r="L25" s="77">
        <f>6135.14+2440.63+9722.07</f>
        <v>18297.84</v>
      </c>
      <c r="M25" s="78">
        <f t="shared" si="1"/>
        <v>0</v>
      </c>
      <c r="N25" s="100">
        <f>3+2+4+3+1</f>
        <v>13</v>
      </c>
      <c r="O25" s="81">
        <f>5310.83+4630.52+14679.01+36087.29+8956.5</f>
        <v>69664.149999999994</v>
      </c>
      <c r="P25" s="81">
        <f>5310.83+4630.52+14679.01+36087.29</f>
        <v>60707.65</v>
      </c>
      <c r="Q25" s="232">
        <f t="shared" si="2"/>
        <v>8956.4999999999927</v>
      </c>
      <c r="R25" s="141"/>
    </row>
    <row r="26" spans="1:18" s="15" customFormat="1" x14ac:dyDescent="0.25">
      <c r="A26" s="229"/>
      <c r="B26" s="62" t="s">
        <v>28</v>
      </c>
      <c r="C26" s="181" t="s">
        <v>17</v>
      </c>
      <c r="D26" s="182"/>
      <c r="E26" s="194" t="s">
        <v>29</v>
      </c>
      <c r="F26" s="73" t="s">
        <v>420</v>
      </c>
      <c r="G26" s="235" t="s">
        <v>117</v>
      </c>
      <c r="H26" s="181">
        <v>2</v>
      </c>
      <c r="I26" s="231"/>
      <c r="J26" s="96"/>
      <c r="K26" s="77"/>
      <c r="L26" s="77"/>
      <c r="M26" s="78">
        <f t="shared" si="1"/>
        <v>0</v>
      </c>
      <c r="N26" s="100">
        <v>2</v>
      </c>
      <c r="O26" s="224">
        <v>2766.24</v>
      </c>
      <c r="P26" s="224">
        <v>2766.24</v>
      </c>
      <c r="Q26" s="79">
        <f t="shared" si="2"/>
        <v>0</v>
      </c>
    </row>
    <row r="27" spans="1:18" s="15" customFormat="1" x14ac:dyDescent="0.25">
      <c r="A27" s="229"/>
      <c r="B27" s="233" t="s">
        <v>500</v>
      </c>
      <c r="C27" s="181" t="s">
        <v>17</v>
      </c>
      <c r="D27" s="182"/>
      <c r="E27" s="194"/>
      <c r="F27" s="73" t="s">
        <v>503</v>
      </c>
      <c r="G27" s="235" t="s">
        <v>112</v>
      </c>
      <c r="H27" s="181">
        <v>18</v>
      </c>
      <c r="I27" s="231">
        <v>5</v>
      </c>
      <c r="J27" s="96">
        <f>2+2+2</f>
        <v>6</v>
      </c>
      <c r="K27" s="77">
        <f>1202.51+3555.1</f>
        <v>4757.6099999999997</v>
      </c>
      <c r="L27" s="77">
        <v>1202.51</v>
      </c>
      <c r="M27" s="78">
        <f t="shared" si="1"/>
        <v>3555.0999999999995</v>
      </c>
      <c r="N27" s="100"/>
      <c r="O27" s="224"/>
      <c r="P27" s="224"/>
      <c r="Q27" s="79">
        <f t="shared" si="2"/>
        <v>0</v>
      </c>
    </row>
    <row r="28" spans="1:18" s="13" customFormat="1" x14ac:dyDescent="0.25">
      <c r="A28" s="229"/>
      <c r="B28" s="27" t="s">
        <v>30</v>
      </c>
      <c r="C28" s="181" t="s">
        <v>17</v>
      </c>
      <c r="D28" s="182"/>
      <c r="E28" s="194" t="s">
        <v>21</v>
      </c>
      <c r="F28" s="73" t="s">
        <v>333</v>
      </c>
      <c r="G28" s="74" t="s">
        <v>112</v>
      </c>
      <c r="H28" s="75">
        <v>17</v>
      </c>
      <c r="I28" s="76">
        <v>11</v>
      </c>
      <c r="J28" s="96">
        <f>3+1+3+1+4+1+1</f>
        <v>14</v>
      </c>
      <c r="K28" s="77">
        <f>16637.24+1045.98</f>
        <v>17683.22</v>
      </c>
      <c r="L28" s="77">
        <f>16637.24+1045.98-1465.72</f>
        <v>16217.500000000002</v>
      </c>
      <c r="M28" s="78">
        <f t="shared" si="1"/>
        <v>1465.7199999999993</v>
      </c>
      <c r="N28" s="100">
        <f>9+1+3+1+1+1+2+1+1+2</f>
        <v>22</v>
      </c>
      <c r="O28" s="81">
        <f>77047.8+15703.07+7288.94</f>
        <v>100039.81</v>
      </c>
      <c r="P28" s="81">
        <f>77047.8+15703.07</f>
        <v>92750.87</v>
      </c>
      <c r="Q28" s="79">
        <f t="shared" si="2"/>
        <v>7288.9400000000023</v>
      </c>
      <c r="R28" s="141"/>
    </row>
    <row r="29" spans="1:18" s="13" customFormat="1" x14ac:dyDescent="0.25">
      <c r="A29" s="229"/>
      <c r="B29" s="27" t="s">
        <v>491</v>
      </c>
      <c r="C29" s="181" t="s">
        <v>17</v>
      </c>
      <c r="D29" s="182"/>
      <c r="E29" s="183" t="s">
        <v>20</v>
      </c>
      <c r="F29" s="73" t="s">
        <v>495</v>
      </c>
      <c r="G29" s="74" t="s">
        <v>112</v>
      </c>
      <c r="H29" s="75">
        <v>8</v>
      </c>
      <c r="I29" s="76">
        <v>6</v>
      </c>
      <c r="J29" s="96">
        <f>2+2+1+1</f>
        <v>6</v>
      </c>
      <c r="K29" s="77">
        <f>1727.9+2093.89+728.54</f>
        <v>4550.33</v>
      </c>
      <c r="L29" s="77">
        <f>1727.9+2093.89</f>
        <v>3821.79</v>
      </c>
      <c r="M29" s="78">
        <f t="shared" si="1"/>
        <v>728.54</v>
      </c>
      <c r="N29" s="100"/>
      <c r="O29" s="81"/>
      <c r="P29" s="81"/>
      <c r="Q29" s="79">
        <f t="shared" si="2"/>
        <v>0</v>
      </c>
      <c r="R29" s="141"/>
    </row>
    <row r="30" spans="1:18" s="13" customFormat="1" x14ac:dyDescent="0.25">
      <c r="A30" s="229"/>
      <c r="B30" s="27" t="s">
        <v>491</v>
      </c>
      <c r="C30" s="181" t="s">
        <v>17</v>
      </c>
      <c r="D30" s="182"/>
      <c r="E30" s="183" t="s">
        <v>20</v>
      </c>
      <c r="F30" s="73" t="s">
        <v>504</v>
      </c>
      <c r="G30" s="74" t="s">
        <v>114</v>
      </c>
      <c r="H30" s="75">
        <v>7</v>
      </c>
      <c r="I30" s="76">
        <v>1</v>
      </c>
      <c r="J30" s="96">
        <v>1</v>
      </c>
      <c r="K30" s="77">
        <v>1267.8599999999999</v>
      </c>
      <c r="L30" s="77"/>
      <c r="M30" s="187">
        <f t="shared" si="1"/>
        <v>1267.8599999999999</v>
      </c>
      <c r="N30" s="100"/>
      <c r="O30" s="81"/>
      <c r="P30" s="81"/>
      <c r="Q30" s="232">
        <f t="shared" si="2"/>
        <v>0</v>
      </c>
      <c r="R30" s="141"/>
    </row>
    <row r="31" spans="1:18" s="13" customFormat="1" x14ac:dyDescent="0.25">
      <c r="A31" s="229"/>
      <c r="B31" s="27" t="s">
        <v>491</v>
      </c>
      <c r="C31" s="181" t="s">
        <v>17</v>
      </c>
      <c r="D31" s="182"/>
      <c r="E31" s="183"/>
      <c r="F31" s="73" t="s">
        <v>510</v>
      </c>
      <c r="G31" s="235" t="s">
        <v>117</v>
      </c>
      <c r="H31" s="75">
        <v>1</v>
      </c>
      <c r="I31" s="76"/>
      <c r="J31" s="96"/>
      <c r="K31" s="77"/>
      <c r="L31" s="77"/>
      <c r="M31" s="187">
        <f t="shared" si="1"/>
        <v>0</v>
      </c>
      <c r="N31" s="100"/>
      <c r="O31" s="81"/>
      <c r="P31" s="81"/>
      <c r="Q31" s="232">
        <f t="shared" si="2"/>
        <v>0</v>
      </c>
      <c r="R31" s="141"/>
    </row>
    <row r="32" spans="1:18" s="13" customFormat="1" x14ac:dyDescent="0.25">
      <c r="A32" s="229"/>
      <c r="B32" s="30" t="s">
        <v>31</v>
      </c>
      <c r="C32" s="181" t="s">
        <v>17</v>
      </c>
      <c r="D32" s="182"/>
      <c r="E32" s="183" t="s">
        <v>32</v>
      </c>
      <c r="F32" s="73" t="s">
        <v>331</v>
      </c>
      <c r="G32" s="74" t="s">
        <v>112</v>
      </c>
      <c r="H32" s="75">
        <v>11</v>
      </c>
      <c r="I32" s="76">
        <v>10</v>
      </c>
      <c r="J32" s="96">
        <f>1+2+3+1+4+3</f>
        <v>14</v>
      </c>
      <c r="K32" s="77">
        <f>633.93+1045.98+5377.62+950.9+6004.09+4598.82+8410.14</f>
        <v>27021.48</v>
      </c>
      <c r="L32" s="77">
        <f>633.93+1045.98+5377.62+950.9+6004.09</f>
        <v>14012.52</v>
      </c>
      <c r="M32" s="187">
        <f t="shared" si="1"/>
        <v>13008.96</v>
      </c>
      <c r="N32" s="100">
        <f>1+3+3+1+1+2+1</f>
        <v>12</v>
      </c>
      <c r="O32" s="81">
        <f>2299.8+15239.58+6152.75+2720.49+1483.38+7043.49+11175.04</f>
        <v>46114.530000000006</v>
      </c>
      <c r="P32" s="81">
        <f>2299.8+15239.58+6152.75+2720.49+1483.38+7043.49+11175.04</f>
        <v>46114.530000000006</v>
      </c>
      <c r="Q32" s="232">
        <f t="shared" si="2"/>
        <v>0</v>
      </c>
      <c r="R32" s="141"/>
    </row>
    <row r="33" spans="1:18" s="13" customFormat="1" x14ac:dyDescent="0.25">
      <c r="A33" s="229"/>
      <c r="B33" s="30" t="s">
        <v>31</v>
      </c>
      <c r="C33" s="181" t="s">
        <v>17</v>
      </c>
      <c r="D33" s="182"/>
      <c r="E33" s="183" t="s">
        <v>32</v>
      </c>
      <c r="F33" s="73" t="s">
        <v>422</v>
      </c>
      <c r="G33" s="235" t="s">
        <v>117</v>
      </c>
      <c r="H33" s="181">
        <v>9</v>
      </c>
      <c r="I33" s="231">
        <v>3</v>
      </c>
      <c r="J33" s="96">
        <v>3</v>
      </c>
      <c r="K33" s="77">
        <v>4073.2</v>
      </c>
      <c r="L33" s="77">
        <v>4073.2</v>
      </c>
      <c r="M33" s="187">
        <f t="shared" si="1"/>
        <v>0</v>
      </c>
      <c r="N33" s="100">
        <v>8</v>
      </c>
      <c r="O33" s="77">
        <v>13695.79</v>
      </c>
      <c r="P33" s="77">
        <v>13695.79</v>
      </c>
      <c r="Q33" s="232">
        <f t="shared" si="2"/>
        <v>0</v>
      </c>
    </row>
    <row r="34" spans="1:18" s="15" customFormat="1" x14ac:dyDescent="0.25">
      <c r="A34" s="229"/>
      <c r="B34" s="62" t="s">
        <v>33</v>
      </c>
      <c r="C34" s="181" t="s">
        <v>17</v>
      </c>
      <c r="D34" s="182"/>
      <c r="E34" s="183" t="s">
        <v>20</v>
      </c>
      <c r="F34" s="73" t="s">
        <v>332</v>
      </c>
      <c r="G34" s="74" t="s">
        <v>112</v>
      </c>
      <c r="H34" s="75">
        <v>9</v>
      </c>
      <c r="I34" s="76">
        <v>7</v>
      </c>
      <c r="J34" s="96">
        <f>1+1+1+1+1+2+1</f>
        <v>8</v>
      </c>
      <c r="K34" s="77">
        <f>845.245+5363.43+5912.72+845.24+12887.16+2852.15+6514.08</f>
        <v>35220.025000000001</v>
      </c>
      <c r="L34" s="77">
        <f>845.245+5363.43+5912.72+845.24</f>
        <v>12966.635</v>
      </c>
      <c r="M34" s="78">
        <f>K34-L34</f>
        <v>22253.39</v>
      </c>
      <c r="N34" s="100">
        <f>2+1+1+1+1+2+1+1</f>
        <v>10</v>
      </c>
      <c r="O34" s="81">
        <f>845.24+1613.64+3380.96+3639.33+1152.6</f>
        <v>10631.77</v>
      </c>
      <c r="P34" s="81">
        <f>845.24+1613.64+3380.96+3639.33+1152.6</f>
        <v>10631.77</v>
      </c>
      <c r="Q34" s="79">
        <f t="shared" si="2"/>
        <v>0</v>
      </c>
      <c r="R34" s="141"/>
    </row>
    <row r="35" spans="1:18" s="15" customFormat="1" x14ac:dyDescent="0.25">
      <c r="A35" s="229"/>
      <c r="B35" s="62" t="s">
        <v>33</v>
      </c>
      <c r="C35" s="181" t="s">
        <v>17</v>
      </c>
      <c r="D35" s="182"/>
      <c r="E35" s="183" t="s">
        <v>20</v>
      </c>
      <c r="F35" s="73" t="s">
        <v>481</v>
      </c>
      <c r="G35" s="230" t="s">
        <v>114</v>
      </c>
      <c r="H35" s="181">
        <v>7</v>
      </c>
      <c r="I35" s="231"/>
      <c r="J35" s="190"/>
      <c r="K35" s="77"/>
      <c r="L35" s="77"/>
      <c r="M35" s="187">
        <f t="shared" si="1"/>
        <v>0</v>
      </c>
      <c r="N35" s="100">
        <v>15</v>
      </c>
      <c r="O35" s="224">
        <v>39969.440000000002</v>
      </c>
      <c r="P35" s="224">
        <v>32944.949999999997</v>
      </c>
      <c r="Q35" s="232">
        <f t="shared" si="2"/>
        <v>7024.4900000000052</v>
      </c>
    </row>
    <row r="36" spans="1:18" s="15" customFormat="1" x14ac:dyDescent="0.25">
      <c r="A36" s="229"/>
      <c r="B36" s="62" t="s">
        <v>147</v>
      </c>
      <c r="C36" s="181" t="s">
        <v>17</v>
      </c>
      <c r="D36" s="182"/>
      <c r="E36" s="183" t="s">
        <v>29</v>
      </c>
      <c r="F36" s="73" t="s">
        <v>334</v>
      </c>
      <c r="G36" s="74" t="s">
        <v>112</v>
      </c>
      <c r="H36" s="75">
        <v>8</v>
      </c>
      <c r="I36" s="234">
        <v>3</v>
      </c>
      <c r="J36" s="96">
        <f>1+1+2+1</f>
        <v>5</v>
      </c>
      <c r="K36" s="77">
        <f>1854.88+2824.48</f>
        <v>4679.3600000000006</v>
      </c>
      <c r="L36" s="77">
        <f>1854.88+2824.48</f>
        <v>4679.3600000000006</v>
      </c>
      <c r="M36" s="78">
        <f>K36-L36</f>
        <v>0</v>
      </c>
      <c r="N36" s="114">
        <f>1+1+1</f>
        <v>3</v>
      </c>
      <c r="O36" s="81">
        <f>1394.65+2473.17+1961.49</f>
        <v>5829.31</v>
      </c>
      <c r="P36" s="81">
        <f>1394.65+2473.17+1961.49</f>
        <v>5829.31</v>
      </c>
      <c r="Q36" s="79">
        <f t="shared" si="2"/>
        <v>0</v>
      </c>
      <c r="R36" s="141"/>
    </row>
    <row r="37" spans="1:18" s="15" customFormat="1" x14ac:dyDescent="0.25">
      <c r="A37" s="229"/>
      <c r="B37" s="233" t="s">
        <v>147</v>
      </c>
      <c r="C37" s="181" t="s">
        <v>17</v>
      </c>
      <c r="D37" s="182"/>
      <c r="E37" s="183" t="s">
        <v>29</v>
      </c>
      <c r="F37" s="73" t="s">
        <v>423</v>
      </c>
      <c r="G37" s="230" t="s">
        <v>117</v>
      </c>
      <c r="H37" s="181">
        <v>5</v>
      </c>
      <c r="I37" s="231">
        <v>4</v>
      </c>
      <c r="J37" s="96">
        <v>4</v>
      </c>
      <c r="K37" s="77">
        <v>6847.1</v>
      </c>
      <c r="L37" s="77">
        <v>6847.1</v>
      </c>
      <c r="M37" s="187">
        <f t="shared" si="1"/>
        <v>0</v>
      </c>
      <c r="N37" s="100">
        <v>4</v>
      </c>
      <c r="O37" s="224">
        <v>4706.45</v>
      </c>
      <c r="P37" s="224">
        <v>4706.45</v>
      </c>
      <c r="Q37" s="232">
        <f t="shared" si="2"/>
        <v>0</v>
      </c>
    </row>
    <row r="38" spans="1:18" s="13" customFormat="1" x14ac:dyDescent="0.25">
      <c r="A38" s="229"/>
      <c r="B38" s="62" t="s">
        <v>34</v>
      </c>
      <c r="C38" s="181" t="s">
        <v>17</v>
      </c>
      <c r="D38" s="182"/>
      <c r="E38" s="194" t="s">
        <v>35</v>
      </c>
      <c r="F38" s="73" t="s">
        <v>335</v>
      </c>
      <c r="G38" s="74" t="s">
        <v>112</v>
      </c>
      <c r="H38" s="75">
        <v>23</v>
      </c>
      <c r="I38" s="76">
        <v>12</v>
      </c>
      <c r="J38" s="96">
        <f>4+2+2+7</f>
        <v>15</v>
      </c>
      <c r="K38" s="77">
        <f>8288.4+1267.86+845.24+13964.6+11418.26</f>
        <v>35784.36</v>
      </c>
      <c r="L38" s="77">
        <f>8288.4+1267.86+845.24+13964.6+11418.26</f>
        <v>35784.36</v>
      </c>
      <c r="M38" s="78">
        <f>K38-L38</f>
        <v>0</v>
      </c>
      <c r="N38" s="100">
        <f>4+4+6+1+3+1+3+1</f>
        <v>23</v>
      </c>
      <c r="O38" s="81">
        <f>23915.04+21171.88+6399.1+11460.81+1501.24</f>
        <v>64448.069999999992</v>
      </c>
      <c r="P38" s="81">
        <f>23915.04+21171.88+6399.1+11460.81</f>
        <v>62946.829999999994</v>
      </c>
      <c r="Q38" s="79">
        <f t="shared" si="2"/>
        <v>1501.239999999998</v>
      </c>
      <c r="R38" s="141"/>
    </row>
    <row r="39" spans="1:18" s="13" customFormat="1" x14ac:dyDescent="0.25">
      <c r="A39" s="229"/>
      <c r="B39" s="62" t="s">
        <v>34</v>
      </c>
      <c r="C39" s="181" t="s">
        <v>17</v>
      </c>
      <c r="D39" s="182"/>
      <c r="E39" s="194" t="s">
        <v>35</v>
      </c>
      <c r="F39" s="73" t="s">
        <v>424</v>
      </c>
      <c r="G39" s="235" t="s">
        <v>117</v>
      </c>
      <c r="H39" s="181">
        <v>2</v>
      </c>
      <c r="I39" s="231">
        <v>1</v>
      </c>
      <c r="J39" s="96">
        <v>2</v>
      </c>
      <c r="K39" s="77">
        <v>3842</v>
      </c>
      <c r="L39" s="77">
        <v>3842</v>
      </c>
      <c r="M39" s="187">
        <f t="shared" si="1"/>
        <v>0</v>
      </c>
      <c r="N39" s="100">
        <v>3</v>
      </c>
      <c r="O39" s="224">
        <v>9220.7999999999993</v>
      </c>
      <c r="P39" s="224">
        <v>9220.7999999999993</v>
      </c>
      <c r="Q39" s="232">
        <f t="shared" si="2"/>
        <v>0</v>
      </c>
    </row>
    <row r="40" spans="1:18" s="13" customFormat="1" x14ac:dyDescent="0.25">
      <c r="A40" s="229"/>
      <c r="B40" s="27" t="s">
        <v>36</v>
      </c>
      <c r="C40" s="181" t="s">
        <v>17</v>
      </c>
      <c r="D40" s="182"/>
      <c r="E40" s="194" t="s">
        <v>32</v>
      </c>
      <c r="F40" s="73" t="s">
        <v>336</v>
      </c>
      <c r="G40" s="74" t="s">
        <v>112</v>
      </c>
      <c r="H40" s="75">
        <v>21</v>
      </c>
      <c r="I40" s="76">
        <v>10</v>
      </c>
      <c r="J40" s="96">
        <f>1+3+4+2+2</f>
        <v>12</v>
      </c>
      <c r="K40" s="77">
        <f>2091.97+4201.22+3643.94+998.92</f>
        <v>10936.050000000001</v>
      </c>
      <c r="L40" s="77">
        <f>2091.97+4201.22+3643.94+998.92</f>
        <v>10936.050000000001</v>
      </c>
      <c r="M40" s="78">
        <f t="shared" si="1"/>
        <v>0</v>
      </c>
      <c r="N40" s="100">
        <f>4+2+5+1+1+4+1</f>
        <v>18</v>
      </c>
      <c r="O40" s="81">
        <f>26828.22+3116.2+14162+4691+13237.22+22342.31</f>
        <v>84376.95</v>
      </c>
      <c r="P40" s="81">
        <f>26828.22+3116.2+14162+4691+13237.22</f>
        <v>62034.64</v>
      </c>
      <c r="Q40" s="79">
        <f t="shared" si="2"/>
        <v>22342.309999999998</v>
      </c>
      <c r="R40" s="141"/>
    </row>
    <row r="41" spans="1:18" s="13" customFormat="1" x14ac:dyDescent="0.25">
      <c r="A41" s="229"/>
      <c r="B41" s="27" t="s">
        <v>38</v>
      </c>
      <c r="C41" s="181" t="s">
        <v>17</v>
      </c>
      <c r="D41" s="182"/>
      <c r="E41" s="183" t="s">
        <v>20</v>
      </c>
      <c r="F41" s="73" t="s">
        <v>338</v>
      </c>
      <c r="G41" s="74" t="s">
        <v>112</v>
      </c>
      <c r="H41" s="75">
        <v>37</v>
      </c>
      <c r="I41" s="76">
        <v>31</v>
      </c>
      <c r="J41" s="96">
        <f>5+9+3+4+4+2+3+3+11</f>
        <v>44</v>
      </c>
      <c r="K41" s="77">
        <f>4427.07+14262.52+23391.74+11108.38+9141.17+3923.07</f>
        <v>66253.95</v>
      </c>
      <c r="L41" s="77">
        <f>4427.07+14262.52+23391.74+11108.38+9141.17+3923.07</f>
        <v>66253.95</v>
      </c>
      <c r="M41" s="78">
        <f t="shared" si="1"/>
        <v>0</v>
      </c>
      <c r="N41" s="100">
        <f>1+14+2+2+2+3+1</f>
        <v>25</v>
      </c>
      <c r="O41" s="81">
        <f>34449.99+27363.78+23604.86+16739.26+15240.34+16003.48</f>
        <v>133401.71</v>
      </c>
      <c r="P41" s="81">
        <f>34449.99+27363.78+23604.86+16739.26+15240.34+16003.48</f>
        <v>133401.71</v>
      </c>
      <c r="Q41" s="79">
        <f t="shared" si="2"/>
        <v>0</v>
      </c>
      <c r="R41" s="141"/>
    </row>
    <row r="42" spans="1:18" s="13" customFormat="1" x14ac:dyDescent="0.25">
      <c r="A42" s="229"/>
      <c r="B42" s="27" t="s">
        <v>38</v>
      </c>
      <c r="C42" s="181" t="s">
        <v>17</v>
      </c>
      <c r="D42" s="182"/>
      <c r="E42" s="183" t="s">
        <v>20</v>
      </c>
      <c r="F42" s="73" t="s">
        <v>268</v>
      </c>
      <c r="G42" s="230" t="s">
        <v>114</v>
      </c>
      <c r="H42" s="181"/>
      <c r="I42" s="231"/>
      <c r="J42" s="190"/>
      <c r="K42" s="77"/>
      <c r="L42" s="77"/>
      <c r="M42" s="187">
        <f t="shared" si="1"/>
        <v>0</v>
      </c>
      <c r="N42" s="100"/>
      <c r="O42" s="224"/>
      <c r="P42" s="224"/>
      <c r="Q42" s="232">
        <f t="shared" si="2"/>
        <v>0</v>
      </c>
    </row>
    <row r="43" spans="1:18" s="13" customFormat="1" x14ac:dyDescent="0.25">
      <c r="A43" s="229"/>
      <c r="B43" s="27" t="s">
        <v>38</v>
      </c>
      <c r="C43" s="181" t="s">
        <v>17</v>
      </c>
      <c r="D43" s="182"/>
      <c r="E43" s="183" t="s">
        <v>18</v>
      </c>
      <c r="F43" s="73" t="s">
        <v>324</v>
      </c>
      <c r="G43" s="230" t="s">
        <v>116</v>
      </c>
      <c r="H43" s="181">
        <v>3</v>
      </c>
      <c r="I43" s="231"/>
      <c r="J43" s="190"/>
      <c r="K43" s="77"/>
      <c r="L43" s="77"/>
      <c r="M43" s="187">
        <f t="shared" si="1"/>
        <v>0</v>
      </c>
      <c r="N43" s="100"/>
      <c r="O43" s="224"/>
      <c r="P43" s="224"/>
      <c r="Q43" s="232">
        <f t="shared" si="2"/>
        <v>0</v>
      </c>
    </row>
    <row r="44" spans="1:18" s="13" customFormat="1" x14ac:dyDescent="0.25">
      <c r="A44" s="229"/>
      <c r="B44" s="62" t="s">
        <v>39</v>
      </c>
      <c r="C44" s="181" t="s">
        <v>17</v>
      </c>
      <c r="D44" s="182"/>
      <c r="E44" s="183" t="s">
        <v>20</v>
      </c>
      <c r="F44" s="73" t="s">
        <v>269</v>
      </c>
      <c r="G44" s="230" t="s">
        <v>114</v>
      </c>
      <c r="H44" s="181"/>
      <c r="I44" s="231"/>
      <c r="J44" s="190"/>
      <c r="K44" s="77"/>
      <c r="L44" s="77"/>
      <c r="M44" s="187">
        <f t="shared" si="1"/>
        <v>0</v>
      </c>
      <c r="N44" s="100"/>
      <c r="O44" s="224"/>
      <c r="P44" s="224"/>
      <c r="Q44" s="232">
        <f t="shared" si="2"/>
        <v>0</v>
      </c>
    </row>
    <row r="45" spans="1:18" s="13" customFormat="1" x14ac:dyDescent="0.25">
      <c r="A45" s="229"/>
      <c r="B45" s="27" t="s">
        <v>40</v>
      </c>
      <c r="C45" s="181" t="s">
        <v>17</v>
      </c>
      <c r="D45" s="182"/>
      <c r="E45" s="194" t="s">
        <v>41</v>
      </c>
      <c r="F45" s="73" t="s">
        <v>339</v>
      </c>
      <c r="G45" s="74" t="s">
        <v>112</v>
      </c>
      <c r="H45" s="75">
        <v>18</v>
      </c>
      <c r="I45" s="76">
        <v>16</v>
      </c>
      <c r="J45" s="96">
        <f>1+1+3+9+4+4+3+2+1</f>
        <v>28</v>
      </c>
      <c r="K45" s="77">
        <f>1045.98+3271.86+15658.52+8166.35+6035.99+8024.36</f>
        <v>42203.06</v>
      </c>
      <c r="L45" s="77">
        <f>1045.98+3271.86+15658.52+8166.35+6035.99</f>
        <v>34178.699999999997</v>
      </c>
      <c r="M45" s="78">
        <f>K45-L45</f>
        <v>8024.3600000000006</v>
      </c>
      <c r="N45" s="100">
        <f>3+13+6+5+4+2+1</f>
        <v>34</v>
      </c>
      <c r="O45" s="81">
        <f>17269.31+39990.78+16582.12+23492.44+7068.31+4243.84</f>
        <v>108646.79999999999</v>
      </c>
      <c r="P45" s="81">
        <f>17269.31+39990.78+16582.12+23492.44+7068.31+4243.84</f>
        <v>108646.79999999999</v>
      </c>
      <c r="Q45" s="79">
        <f t="shared" si="2"/>
        <v>0</v>
      </c>
      <c r="R45" s="141"/>
    </row>
    <row r="46" spans="1:18" s="13" customFormat="1" x14ac:dyDescent="0.25">
      <c r="A46" s="229"/>
      <c r="B46" s="27" t="s">
        <v>40</v>
      </c>
      <c r="C46" s="181" t="s">
        <v>17</v>
      </c>
      <c r="D46" s="182"/>
      <c r="E46" s="194" t="s">
        <v>41</v>
      </c>
      <c r="F46" s="73" t="s">
        <v>482</v>
      </c>
      <c r="G46" s="230" t="s">
        <v>114</v>
      </c>
      <c r="H46" s="181"/>
      <c r="I46" s="231"/>
      <c r="J46" s="190"/>
      <c r="K46" s="77"/>
      <c r="L46" s="77"/>
      <c r="M46" s="187">
        <f t="shared" si="1"/>
        <v>0</v>
      </c>
      <c r="N46" s="100">
        <v>1</v>
      </c>
      <c r="O46" s="224">
        <v>3073.6</v>
      </c>
      <c r="P46" s="224">
        <f>3073.6</f>
        <v>3073.6</v>
      </c>
      <c r="Q46" s="232">
        <f t="shared" si="2"/>
        <v>0</v>
      </c>
    </row>
    <row r="47" spans="1:18" s="13" customFormat="1" x14ac:dyDescent="0.25">
      <c r="A47" s="229"/>
      <c r="B47" s="27" t="s">
        <v>148</v>
      </c>
      <c r="C47" s="181" t="s">
        <v>17</v>
      </c>
      <c r="D47" s="182"/>
      <c r="E47" s="183" t="s">
        <v>20</v>
      </c>
      <c r="F47" s="73" t="s">
        <v>340</v>
      </c>
      <c r="G47" s="74" t="s">
        <v>112</v>
      </c>
      <c r="H47" s="75">
        <v>16</v>
      </c>
      <c r="I47" s="82">
        <v>16</v>
      </c>
      <c r="J47" s="96">
        <f>1+2+1+4+4</f>
        <v>12</v>
      </c>
      <c r="K47" s="77">
        <f>537.88+2110.03+6723.98+8914.21</f>
        <v>18286.099999999999</v>
      </c>
      <c r="L47" s="77">
        <f>537.88+2110.03+6723.98</f>
        <v>9371.89</v>
      </c>
      <c r="M47" s="78">
        <f>K47-L47</f>
        <v>8914.2099999999991</v>
      </c>
      <c r="N47" s="100">
        <f>6+5+3+1+1+1+1</f>
        <v>18</v>
      </c>
      <c r="O47" s="81">
        <f>9370.6+9456.38+8868.69+5367.27+11572.62</f>
        <v>44635.560000000005</v>
      </c>
      <c r="P47" s="81">
        <f>9370.6+9456.38+8868.69+5367.27+11572.62</f>
        <v>44635.560000000005</v>
      </c>
      <c r="Q47" s="79">
        <f t="shared" si="2"/>
        <v>0</v>
      </c>
      <c r="R47" s="141"/>
    </row>
    <row r="48" spans="1:18" s="13" customFormat="1" x14ac:dyDescent="0.25">
      <c r="A48" s="229"/>
      <c r="B48" s="27" t="s">
        <v>148</v>
      </c>
      <c r="C48" s="181" t="s">
        <v>17</v>
      </c>
      <c r="D48" s="182"/>
      <c r="E48" s="194" t="s">
        <v>32</v>
      </c>
      <c r="F48" s="73" t="s">
        <v>425</v>
      </c>
      <c r="G48" s="230" t="s">
        <v>117</v>
      </c>
      <c r="H48" s="181">
        <v>8</v>
      </c>
      <c r="I48" s="231">
        <v>1</v>
      </c>
      <c r="J48" s="96">
        <v>1</v>
      </c>
      <c r="K48" s="77">
        <v>1344.7</v>
      </c>
      <c r="L48" s="77">
        <v>1344.7</v>
      </c>
      <c r="M48" s="187">
        <f t="shared" si="1"/>
        <v>0</v>
      </c>
      <c r="N48" s="100">
        <v>4</v>
      </c>
      <c r="O48" s="224">
        <v>12851.49</v>
      </c>
      <c r="P48" s="224">
        <v>12851.49</v>
      </c>
      <c r="Q48" s="232">
        <f t="shared" si="2"/>
        <v>0</v>
      </c>
    </row>
    <row r="49" spans="1:18" s="13" customFormat="1" x14ac:dyDescent="0.25">
      <c r="A49" s="229"/>
      <c r="B49" s="30" t="s">
        <v>42</v>
      </c>
      <c r="C49" s="181" t="s">
        <v>17</v>
      </c>
      <c r="D49" s="182"/>
      <c r="E49" s="183" t="s">
        <v>23</v>
      </c>
      <c r="F49" s="73" t="s">
        <v>341</v>
      </c>
      <c r="G49" s="74" t="s">
        <v>112</v>
      </c>
      <c r="H49" s="75">
        <v>36</v>
      </c>
      <c r="I49" s="76">
        <v>30</v>
      </c>
      <c r="J49" s="96">
        <f>5+3+5+3+8+3+8+5</f>
        <v>40</v>
      </c>
      <c r="K49" s="77">
        <f>7156.22+3849.11+8154.25+4149.36+15912.38+18649.91</f>
        <v>57871.229999999996</v>
      </c>
      <c r="L49" s="77">
        <f>7156.22+3849.11+8154.25+4149.36+15912.38</f>
        <v>39221.32</v>
      </c>
      <c r="M49" s="78">
        <f>K49-L49</f>
        <v>18649.909999999996</v>
      </c>
      <c r="N49" s="100">
        <f>4+6+9+2+4+2+2+3+3+2</f>
        <v>37</v>
      </c>
      <c r="O49" s="81">
        <f>5364.2+26170.88+2849.25+18965.6+9565.56+9423.5+18214.56</f>
        <v>90553.549999999988</v>
      </c>
      <c r="P49" s="81">
        <f>5364.2+26170.88+2849.25+18965.6+9565.56+9423.5</f>
        <v>72338.989999999991</v>
      </c>
      <c r="Q49" s="79">
        <f t="shared" si="2"/>
        <v>18214.559999999998</v>
      </c>
      <c r="R49" s="141"/>
    </row>
    <row r="50" spans="1:18" s="13" customFormat="1" x14ac:dyDescent="0.25">
      <c r="A50" s="229"/>
      <c r="B50" s="30" t="s">
        <v>42</v>
      </c>
      <c r="C50" s="181" t="s">
        <v>17</v>
      </c>
      <c r="D50" s="182"/>
      <c r="E50" s="183" t="s">
        <v>23</v>
      </c>
      <c r="F50" s="73" t="s">
        <v>437</v>
      </c>
      <c r="G50" s="230" t="s">
        <v>118</v>
      </c>
      <c r="H50" s="181">
        <v>2</v>
      </c>
      <c r="I50" s="231"/>
      <c r="J50" s="96"/>
      <c r="K50" s="77"/>
      <c r="L50" s="77"/>
      <c r="M50" s="187">
        <f t="shared" si="1"/>
        <v>0</v>
      </c>
      <c r="N50" s="100">
        <v>1</v>
      </c>
      <c r="O50" s="224">
        <v>7766.4</v>
      </c>
      <c r="P50" s="224">
        <v>7766.4</v>
      </c>
      <c r="Q50" s="232">
        <f t="shared" si="2"/>
        <v>0</v>
      </c>
    </row>
    <row r="51" spans="1:18" s="13" customFormat="1" x14ac:dyDescent="0.25">
      <c r="A51" s="229"/>
      <c r="B51" s="30" t="s">
        <v>173</v>
      </c>
      <c r="C51" s="181" t="s">
        <v>17</v>
      </c>
      <c r="D51" s="182"/>
      <c r="E51" s="230" t="s">
        <v>118</v>
      </c>
      <c r="F51" s="73" t="s">
        <v>342</v>
      </c>
      <c r="G51" s="74" t="s">
        <v>112</v>
      </c>
      <c r="H51" s="75">
        <v>4</v>
      </c>
      <c r="I51" s="76">
        <v>4</v>
      </c>
      <c r="J51" s="96">
        <f>1+2+1</f>
        <v>4</v>
      </c>
      <c r="K51" s="77">
        <f>6833.76+696.36</f>
        <v>7530.12</v>
      </c>
      <c r="L51" s="77">
        <f>6833.76+696.36</f>
        <v>7530.12</v>
      </c>
      <c r="M51" s="78">
        <f>K51-L51</f>
        <v>0</v>
      </c>
      <c r="N51" s="100">
        <f>4+2</f>
        <v>6</v>
      </c>
      <c r="O51" s="81">
        <f>5931.9+4183.92+3158.95</f>
        <v>13274.77</v>
      </c>
      <c r="P51" s="81">
        <f>5931.9+4183.92+3158.95</f>
        <v>13274.77</v>
      </c>
      <c r="Q51" s="79">
        <f t="shared" si="2"/>
        <v>0</v>
      </c>
      <c r="R51" s="141"/>
    </row>
    <row r="52" spans="1:18" s="13" customFormat="1" x14ac:dyDescent="0.25">
      <c r="A52" s="229"/>
      <c r="B52" s="62" t="s">
        <v>143</v>
      </c>
      <c r="C52" s="181" t="s">
        <v>64</v>
      </c>
      <c r="D52" s="182" t="s">
        <v>444</v>
      </c>
      <c r="E52" s="183" t="s">
        <v>20</v>
      </c>
      <c r="F52" s="73" t="s">
        <v>445</v>
      </c>
      <c r="G52" s="230" t="s">
        <v>114</v>
      </c>
      <c r="H52" s="181">
        <v>17</v>
      </c>
      <c r="I52" s="234">
        <v>3</v>
      </c>
      <c r="J52" s="190">
        <v>3</v>
      </c>
      <c r="K52" s="193">
        <v>4802.5</v>
      </c>
      <c r="L52" s="193">
        <v>4802.5</v>
      </c>
      <c r="M52" s="187">
        <f t="shared" si="1"/>
        <v>0</v>
      </c>
      <c r="N52" s="114">
        <v>18</v>
      </c>
      <c r="O52" s="224">
        <v>27390.400000000001</v>
      </c>
      <c r="P52" s="224">
        <v>27390.400000000001</v>
      </c>
      <c r="Q52" s="232">
        <f t="shared" si="2"/>
        <v>0</v>
      </c>
    </row>
    <row r="53" spans="1:18" s="13" customFormat="1" x14ac:dyDescent="0.25">
      <c r="A53" s="229"/>
      <c r="B53" s="30" t="s">
        <v>158</v>
      </c>
      <c r="C53" s="181" t="s">
        <v>17</v>
      </c>
      <c r="D53" s="182"/>
      <c r="E53" s="194" t="s">
        <v>32</v>
      </c>
      <c r="F53" s="73" t="s">
        <v>426</v>
      </c>
      <c r="G53" s="230" t="s">
        <v>117</v>
      </c>
      <c r="H53" s="181">
        <v>7</v>
      </c>
      <c r="I53" s="234">
        <v>4</v>
      </c>
      <c r="J53" s="190">
        <v>5</v>
      </c>
      <c r="K53" s="193">
        <v>9666.64</v>
      </c>
      <c r="L53" s="193">
        <v>9666.64</v>
      </c>
      <c r="M53" s="187">
        <f t="shared" si="1"/>
        <v>0</v>
      </c>
      <c r="N53" s="114">
        <v>4</v>
      </c>
      <c r="O53" s="224">
        <v>9789.2000000000007</v>
      </c>
      <c r="P53" s="224">
        <v>9789.2000000000007</v>
      </c>
      <c r="Q53" s="232">
        <f t="shared" si="2"/>
        <v>0</v>
      </c>
    </row>
    <row r="54" spans="1:18" s="15" customFormat="1" x14ac:dyDescent="0.25">
      <c r="A54" s="229"/>
      <c r="B54" s="62" t="s">
        <v>43</v>
      </c>
      <c r="C54" s="181" t="s">
        <v>17</v>
      </c>
      <c r="D54" s="182"/>
      <c r="E54" s="183" t="s">
        <v>18</v>
      </c>
      <c r="F54" s="73" t="s">
        <v>344</v>
      </c>
      <c r="G54" s="74" t="s">
        <v>112</v>
      </c>
      <c r="H54" s="75">
        <v>21</v>
      </c>
      <c r="I54" s="76">
        <v>16</v>
      </c>
      <c r="J54" s="96">
        <f>1+2+2+5+2+3+2+3</f>
        <v>20</v>
      </c>
      <c r="K54" s="77">
        <f>1776.93+926.88+3328.29+3172.19</f>
        <v>9204.2900000000009</v>
      </c>
      <c r="L54" s="77">
        <f>1776.93+926.88+3328.29+3172.19</f>
        <v>9204.2900000000009</v>
      </c>
      <c r="M54" s="78">
        <f>K54-L54</f>
        <v>0</v>
      </c>
      <c r="N54" s="100">
        <f>1+5+4+1+1+1+1</f>
        <v>14</v>
      </c>
      <c r="O54" s="81">
        <f>1223.8+3810.29+4959.02+10043.87+2769.48+2146.91+11926.24-1465.64</f>
        <v>35413.97</v>
      </c>
      <c r="P54" s="81">
        <f>1223.8+3810.29+4959.02+10043.87+2769.48+2146.91+11926.24-1465.64</f>
        <v>35413.97</v>
      </c>
      <c r="Q54" s="79">
        <f t="shared" si="2"/>
        <v>0</v>
      </c>
      <c r="R54" s="141"/>
    </row>
    <row r="55" spans="1:18" s="15" customFormat="1" ht="30" x14ac:dyDescent="0.25">
      <c r="A55" s="229"/>
      <c r="B55" s="62" t="s">
        <v>43</v>
      </c>
      <c r="C55" s="181" t="s">
        <v>304</v>
      </c>
      <c r="D55" s="182" t="s">
        <v>473</v>
      </c>
      <c r="E55" s="183" t="s">
        <v>18</v>
      </c>
      <c r="F55" s="73" t="s">
        <v>323</v>
      </c>
      <c r="G55" s="230" t="s">
        <v>113</v>
      </c>
      <c r="H55" s="181">
        <v>21</v>
      </c>
      <c r="I55" s="234">
        <v>14</v>
      </c>
      <c r="J55" s="98">
        <v>14</v>
      </c>
      <c r="K55" s="77">
        <v>19054</v>
      </c>
      <c r="L55" s="77">
        <v>16405</v>
      </c>
      <c r="M55" s="187">
        <f t="shared" si="1"/>
        <v>2649</v>
      </c>
      <c r="N55" s="114">
        <v>17</v>
      </c>
      <c r="O55" s="224">
        <v>56922</v>
      </c>
      <c r="P55" s="224">
        <v>31359</v>
      </c>
      <c r="Q55" s="232">
        <f t="shared" si="2"/>
        <v>25563</v>
      </c>
    </row>
    <row r="56" spans="1:18" s="13" customFormat="1" x14ac:dyDescent="0.25">
      <c r="A56" s="229"/>
      <c r="B56" s="30" t="s">
        <v>44</v>
      </c>
      <c r="C56" s="181" t="s">
        <v>17</v>
      </c>
      <c r="D56" s="182"/>
      <c r="E56" s="183" t="s">
        <v>20</v>
      </c>
      <c r="F56" s="73" t="s">
        <v>345</v>
      </c>
      <c r="G56" s="74" t="s">
        <v>112</v>
      </c>
      <c r="H56" s="75">
        <v>10</v>
      </c>
      <c r="I56" s="76">
        <v>6</v>
      </c>
      <c r="J56" s="96">
        <f>1+1+1+4</f>
        <v>7</v>
      </c>
      <c r="K56" s="77">
        <f>2422.38+1267.86+15410.58</f>
        <v>19100.82</v>
      </c>
      <c r="L56" s="77">
        <f>2422.38+1267.86+15410.58</f>
        <v>19100.82</v>
      </c>
      <c r="M56" s="78">
        <f>K56-L56</f>
        <v>0</v>
      </c>
      <c r="N56" s="100">
        <f>1+11</f>
        <v>12</v>
      </c>
      <c r="O56" s="81">
        <f>421.62+4603.39+10559.77+72902.04</f>
        <v>88486.819999999992</v>
      </c>
      <c r="P56" s="81">
        <f>421.62+4603.39+10559.77+72902.04</f>
        <v>88486.819999999992</v>
      </c>
      <c r="Q56" s="79">
        <f t="shared" si="2"/>
        <v>0</v>
      </c>
      <c r="R56" s="141"/>
    </row>
    <row r="57" spans="1:18" s="13" customFormat="1" x14ac:dyDescent="0.25">
      <c r="A57" s="229"/>
      <c r="B57" s="30" t="s">
        <v>44</v>
      </c>
      <c r="C57" s="181" t="s">
        <v>17</v>
      </c>
      <c r="D57" s="182"/>
      <c r="E57" s="183" t="s">
        <v>20</v>
      </c>
      <c r="F57" s="73" t="s">
        <v>483</v>
      </c>
      <c r="G57" s="230" t="s">
        <v>114</v>
      </c>
      <c r="H57" s="181"/>
      <c r="I57" s="231"/>
      <c r="J57" s="190"/>
      <c r="K57" s="77"/>
      <c r="L57" s="77"/>
      <c r="M57" s="187">
        <f t="shared" si="1"/>
        <v>0</v>
      </c>
      <c r="N57" s="100">
        <v>2</v>
      </c>
      <c r="O57" s="224">
        <v>6723.5</v>
      </c>
      <c r="P57" s="224">
        <v>6723.5</v>
      </c>
      <c r="Q57" s="232">
        <f t="shared" si="2"/>
        <v>0</v>
      </c>
    </row>
    <row r="58" spans="1:18" s="13" customFormat="1" x14ac:dyDescent="0.25">
      <c r="A58" s="229"/>
      <c r="B58" s="30" t="s">
        <v>492</v>
      </c>
      <c r="C58" s="181" t="s">
        <v>17</v>
      </c>
      <c r="D58" s="182"/>
      <c r="E58" s="183" t="s">
        <v>20</v>
      </c>
      <c r="F58" s="73" t="s">
        <v>499</v>
      </c>
      <c r="G58" s="230" t="s">
        <v>112</v>
      </c>
      <c r="H58" s="181">
        <v>9</v>
      </c>
      <c r="I58" s="231">
        <v>1</v>
      </c>
      <c r="J58" s="190">
        <f>1</f>
        <v>1</v>
      </c>
      <c r="K58" s="77">
        <f>1044.98</f>
        <v>1044.98</v>
      </c>
      <c r="L58" s="77">
        <f>1044.98</f>
        <v>1044.98</v>
      </c>
      <c r="M58" s="78">
        <f t="shared" si="1"/>
        <v>0</v>
      </c>
      <c r="N58" s="100"/>
      <c r="O58" s="224"/>
      <c r="P58" s="224"/>
      <c r="Q58" s="79">
        <f t="shared" si="2"/>
        <v>0</v>
      </c>
    </row>
    <row r="59" spans="1:18" s="13" customFormat="1" x14ac:dyDescent="0.25">
      <c r="A59" s="229"/>
      <c r="B59" s="27" t="s">
        <v>45</v>
      </c>
      <c r="C59" s="181" t="s">
        <v>17</v>
      </c>
      <c r="D59" s="182"/>
      <c r="E59" s="183" t="s">
        <v>20</v>
      </c>
      <c r="F59" s="73" t="s">
        <v>346</v>
      </c>
      <c r="G59" s="74" t="s">
        <v>112</v>
      </c>
      <c r="H59" s="75"/>
      <c r="I59" s="76"/>
      <c r="J59" s="96"/>
      <c r="K59" s="77"/>
      <c r="L59" s="77"/>
      <c r="M59" s="78">
        <f t="shared" si="1"/>
        <v>0</v>
      </c>
      <c r="N59" s="100">
        <f>1</f>
        <v>1</v>
      </c>
      <c r="O59" s="81">
        <f>17995.91+2729.8</f>
        <v>20725.71</v>
      </c>
      <c r="P59" s="81">
        <f>17995.91+2729.8</f>
        <v>20725.71</v>
      </c>
      <c r="Q59" s="79">
        <f t="shared" si="2"/>
        <v>0</v>
      </c>
      <c r="R59" s="141"/>
    </row>
    <row r="60" spans="1:18" s="13" customFormat="1" x14ac:dyDescent="0.25">
      <c r="A60" s="229"/>
      <c r="B60" s="27" t="s">
        <v>45</v>
      </c>
      <c r="C60" s="181" t="s">
        <v>17</v>
      </c>
      <c r="D60" s="182"/>
      <c r="E60" s="183" t="s">
        <v>20</v>
      </c>
      <c r="F60" s="73" t="s">
        <v>484</v>
      </c>
      <c r="G60" s="230" t="s">
        <v>114</v>
      </c>
      <c r="H60" s="181"/>
      <c r="I60" s="231"/>
      <c r="J60" s="190"/>
      <c r="K60" s="77"/>
      <c r="L60" s="77"/>
      <c r="M60" s="187">
        <f t="shared" si="1"/>
        <v>0</v>
      </c>
      <c r="N60" s="100"/>
      <c r="O60" s="224"/>
      <c r="P60" s="224"/>
      <c r="Q60" s="232">
        <f t="shared" si="2"/>
        <v>0</v>
      </c>
    </row>
    <row r="61" spans="1:18" s="15" customFormat="1" x14ac:dyDescent="0.25">
      <c r="A61" s="229"/>
      <c r="B61" s="27" t="s">
        <v>46</v>
      </c>
      <c r="C61" s="181" t="s">
        <v>17</v>
      </c>
      <c r="D61" s="182"/>
      <c r="E61" s="183" t="s">
        <v>20</v>
      </c>
      <c r="F61" s="73" t="s">
        <v>347</v>
      </c>
      <c r="G61" s="74" t="s">
        <v>112</v>
      </c>
      <c r="H61" s="75">
        <v>15</v>
      </c>
      <c r="I61" s="76">
        <v>12</v>
      </c>
      <c r="J61" s="96">
        <f>1+2+3+2+4+1+4+2+1</f>
        <v>20</v>
      </c>
      <c r="K61" s="77">
        <f>1045.98+1068.08+8157.32+1778.85+9152.67+11156.63+11271.63</f>
        <v>43631.159999999996</v>
      </c>
      <c r="L61" s="77">
        <f>1045.98+1068.08+8157.32+1778.85+9152.67</f>
        <v>21202.9</v>
      </c>
      <c r="M61" s="78">
        <f>K61-L61</f>
        <v>22428.259999999995</v>
      </c>
      <c r="N61" s="100">
        <f>4+4+1+1+1</f>
        <v>11</v>
      </c>
      <c r="O61" s="81">
        <f>10759.2+10685.34+7362.04</f>
        <v>28806.58</v>
      </c>
      <c r="P61" s="81">
        <f>10759.2+10685.34+7362.04</f>
        <v>28806.58</v>
      </c>
      <c r="Q61" s="79">
        <f t="shared" si="2"/>
        <v>0</v>
      </c>
      <c r="R61" s="141"/>
    </row>
    <row r="62" spans="1:18" s="15" customFormat="1" x14ac:dyDescent="0.25">
      <c r="A62" s="229"/>
      <c r="B62" s="27" t="s">
        <v>46</v>
      </c>
      <c r="C62" s="181" t="s">
        <v>17</v>
      </c>
      <c r="D62" s="182"/>
      <c r="E62" s="183" t="s">
        <v>20</v>
      </c>
      <c r="F62" s="73" t="s">
        <v>273</v>
      </c>
      <c r="G62" s="230" t="s">
        <v>114</v>
      </c>
      <c r="H62" s="181">
        <v>4</v>
      </c>
      <c r="I62" s="231">
        <v>1</v>
      </c>
      <c r="J62" s="190">
        <v>1</v>
      </c>
      <c r="K62" s="77">
        <v>576.29999999999995</v>
      </c>
      <c r="L62" s="77">
        <v>576.29999999999995</v>
      </c>
      <c r="M62" s="187">
        <f t="shared" si="1"/>
        <v>0</v>
      </c>
      <c r="N62" s="100">
        <v>3</v>
      </c>
      <c r="O62" s="224">
        <v>9356.9</v>
      </c>
      <c r="P62" s="224">
        <v>9356.9</v>
      </c>
      <c r="Q62" s="232">
        <f t="shared" si="2"/>
        <v>0</v>
      </c>
    </row>
    <row r="63" spans="1:18" s="13" customFormat="1" ht="45" x14ac:dyDescent="0.25">
      <c r="A63" s="229"/>
      <c r="B63" s="30" t="s">
        <v>47</v>
      </c>
      <c r="C63" s="181" t="s">
        <v>304</v>
      </c>
      <c r="D63" s="182" t="s">
        <v>474</v>
      </c>
      <c r="E63" s="183" t="s">
        <v>18</v>
      </c>
      <c r="F63" s="73" t="s">
        <v>348</v>
      </c>
      <c r="G63" s="74" t="s">
        <v>112</v>
      </c>
      <c r="H63" s="75">
        <v>44</v>
      </c>
      <c r="I63" s="76">
        <v>32</v>
      </c>
      <c r="J63" s="98">
        <f>1+1+3+21+7+2+5+2+7+15</f>
        <v>64</v>
      </c>
      <c r="K63" s="77">
        <f>30728.27+19236.99+22614.7</f>
        <v>72579.960000000006</v>
      </c>
      <c r="L63" s="77">
        <f>30728.27+19236.99</f>
        <v>49965.26</v>
      </c>
      <c r="M63" s="78">
        <f>K63-L63</f>
        <v>22614.700000000004</v>
      </c>
      <c r="N63" s="100">
        <f>7+3+4+10+6+1+2+1+3</f>
        <v>37</v>
      </c>
      <c r="O63" s="81">
        <f>8477.51+15159.83+14079.46+15414.2+17995.91+2065.56+1859.53+9543.86+1728.53+14526.84</f>
        <v>100851.23</v>
      </c>
      <c r="P63" s="81">
        <f>8477.51+15159.83+14079.46+15414.2+17995.91+2065.56+1859.53+9543.86+1728.53+14526.84</f>
        <v>100851.23</v>
      </c>
      <c r="Q63" s="79">
        <f t="shared" si="2"/>
        <v>0</v>
      </c>
      <c r="R63" s="141"/>
    </row>
    <row r="64" spans="1:18" s="13" customFormat="1" ht="45" x14ac:dyDescent="0.25">
      <c r="A64" s="229"/>
      <c r="B64" s="62" t="s">
        <v>120</v>
      </c>
      <c r="C64" s="181" t="s">
        <v>304</v>
      </c>
      <c r="D64" s="182" t="s">
        <v>474</v>
      </c>
      <c r="E64" s="183" t="s">
        <v>18</v>
      </c>
      <c r="F64" s="73" t="s">
        <v>334</v>
      </c>
      <c r="G64" s="230" t="s">
        <v>116</v>
      </c>
      <c r="H64" s="181">
        <v>26</v>
      </c>
      <c r="I64" s="234">
        <v>16</v>
      </c>
      <c r="J64" s="98">
        <v>17</v>
      </c>
      <c r="K64" s="77">
        <v>16095</v>
      </c>
      <c r="L64" s="77">
        <v>12884</v>
      </c>
      <c r="M64" s="78">
        <f t="shared" si="1"/>
        <v>3211</v>
      </c>
      <c r="N64" s="100">
        <v>13</v>
      </c>
      <c r="O64" s="224">
        <v>48545</v>
      </c>
      <c r="P64" s="224">
        <v>47383</v>
      </c>
      <c r="Q64" s="232">
        <f t="shared" si="2"/>
        <v>1162</v>
      </c>
    </row>
    <row r="65" spans="1:18" s="13" customFormat="1" x14ac:dyDescent="0.25">
      <c r="A65" s="229"/>
      <c r="B65" s="30" t="s">
        <v>134</v>
      </c>
      <c r="C65" s="181" t="s">
        <v>17</v>
      </c>
      <c r="D65" s="182"/>
      <c r="E65" s="183" t="s">
        <v>20</v>
      </c>
      <c r="F65" s="73" t="s">
        <v>349</v>
      </c>
      <c r="G65" s="74" t="s">
        <v>112</v>
      </c>
      <c r="H65" s="75">
        <v>12</v>
      </c>
      <c r="I65" s="76">
        <v>11</v>
      </c>
      <c r="J65" s="96">
        <f>1+4+1+1+2+1+1</f>
        <v>11</v>
      </c>
      <c r="K65" s="77">
        <f>7301.48+1473.89+1911.09+1690.48+845.24+6268.51</f>
        <v>19490.689999999999</v>
      </c>
      <c r="L65" s="77">
        <f>7301.48+1473.89+1911.09+1690.48+845.24</f>
        <v>13222.179999999998</v>
      </c>
      <c r="M65" s="78">
        <f>K65-L65</f>
        <v>6268.51</v>
      </c>
      <c r="N65" s="100">
        <f>4+1+1+1+1</f>
        <v>8</v>
      </c>
      <c r="O65" s="81">
        <f>5020.05+3215.31+12312.39+4648.82+32425.98+7889.42</f>
        <v>65511.97</v>
      </c>
      <c r="P65" s="81">
        <f>5020.05+3215.31+12312.39+4648.82+32425.98+7889.42</f>
        <v>65511.97</v>
      </c>
      <c r="Q65" s="79">
        <f t="shared" si="2"/>
        <v>0</v>
      </c>
      <c r="R65" s="141"/>
    </row>
    <row r="66" spans="1:18" s="13" customFormat="1" x14ac:dyDescent="0.25">
      <c r="A66" s="229"/>
      <c r="B66" s="30" t="s">
        <v>134</v>
      </c>
      <c r="C66" s="181" t="s">
        <v>17</v>
      </c>
      <c r="D66" s="182"/>
      <c r="E66" s="183" t="s">
        <v>20</v>
      </c>
      <c r="F66" s="73" t="s">
        <v>456</v>
      </c>
      <c r="G66" s="230" t="s">
        <v>114</v>
      </c>
      <c r="H66" s="181">
        <v>17</v>
      </c>
      <c r="I66" s="231">
        <v>5</v>
      </c>
      <c r="J66" s="190">
        <v>5</v>
      </c>
      <c r="K66" s="77">
        <v>11641.8</v>
      </c>
      <c r="L66" s="77">
        <v>11641.8</v>
      </c>
      <c r="M66" s="187">
        <f t="shared" si="1"/>
        <v>0</v>
      </c>
      <c r="N66" s="100">
        <v>27</v>
      </c>
      <c r="O66" s="224">
        <v>60089.9</v>
      </c>
      <c r="P66" s="224">
        <v>60089.9</v>
      </c>
      <c r="Q66" s="232">
        <f t="shared" si="2"/>
        <v>0</v>
      </c>
    </row>
    <row r="67" spans="1:18" s="13" customFormat="1" x14ac:dyDescent="0.25">
      <c r="A67" s="229"/>
      <c r="B67" s="62" t="s">
        <v>48</v>
      </c>
      <c r="C67" s="181" t="s">
        <v>17</v>
      </c>
      <c r="D67" s="182"/>
      <c r="E67" s="183" t="s">
        <v>20</v>
      </c>
      <c r="F67" s="73" t="s">
        <v>350</v>
      </c>
      <c r="G67" s="74" t="s">
        <v>112</v>
      </c>
      <c r="H67" s="75">
        <v>14</v>
      </c>
      <c r="I67" s="76">
        <v>7</v>
      </c>
      <c r="J67" s="96">
        <f>1+1+2+1+3</f>
        <v>8</v>
      </c>
      <c r="K67" s="77">
        <f>4805.96+2585.78+3065.92+2588.55+14407.5</f>
        <v>27453.71</v>
      </c>
      <c r="L67" s="77">
        <f>4805.96+2585.78+3065.92+2588.55</f>
        <v>13046.21</v>
      </c>
      <c r="M67" s="78">
        <f t="shared" si="1"/>
        <v>14407.5</v>
      </c>
      <c r="N67" s="100">
        <f>2+1+2+1</f>
        <v>6</v>
      </c>
      <c r="O67" s="81">
        <f>23174.33+2535.72+11633.02+6993.42+20756.4</f>
        <v>65092.890000000007</v>
      </c>
      <c r="P67" s="81">
        <f>23174.33+2535.72+11633.02+6993.42+20756.4</f>
        <v>65092.890000000007</v>
      </c>
      <c r="Q67" s="79">
        <f t="shared" si="2"/>
        <v>0</v>
      </c>
      <c r="R67" s="141"/>
    </row>
    <row r="68" spans="1:18" s="13" customFormat="1" x14ac:dyDescent="0.25">
      <c r="A68" s="229"/>
      <c r="B68" s="62" t="s">
        <v>49</v>
      </c>
      <c r="C68" s="181" t="s">
        <v>17</v>
      </c>
      <c r="D68" s="182"/>
      <c r="E68" s="183" t="s">
        <v>50</v>
      </c>
      <c r="F68" s="73" t="s">
        <v>351</v>
      </c>
      <c r="G68" s="74" t="s">
        <v>112</v>
      </c>
      <c r="H68" s="75">
        <v>26</v>
      </c>
      <c r="I68" s="76">
        <v>15</v>
      </c>
      <c r="J68" s="96">
        <f>1+4+8+6</f>
        <v>19</v>
      </c>
      <c r="K68" s="77">
        <f>525.65+1267.86+6544.72+13939.57+1896.54+9712.48</f>
        <v>33886.82</v>
      </c>
      <c r="L68" s="77">
        <f>525.65+1267.86+6544.72+13939.57</f>
        <v>22277.8</v>
      </c>
      <c r="M68" s="78">
        <f t="shared" si="1"/>
        <v>11609.02</v>
      </c>
      <c r="N68" s="100">
        <f>5+1+3+1</f>
        <v>10</v>
      </c>
      <c r="O68" s="81">
        <f>7374+1806.93+7275.53+4666.9+2684.03+6682.03</f>
        <v>30489.42</v>
      </c>
      <c r="P68" s="81">
        <f>7374+1806.93+7275.53+4666.9+2684.03</f>
        <v>23807.39</v>
      </c>
      <c r="Q68" s="232">
        <f t="shared" si="2"/>
        <v>6682.0299999999988</v>
      </c>
      <c r="R68" s="141"/>
    </row>
    <row r="69" spans="1:18" s="13" customFormat="1" x14ac:dyDescent="0.25">
      <c r="A69" s="229"/>
      <c r="B69" s="62" t="s">
        <v>49</v>
      </c>
      <c r="C69" s="181" t="s">
        <v>17</v>
      </c>
      <c r="D69" s="182"/>
      <c r="E69" s="183" t="s">
        <v>50</v>
      </c>
      <c r="F69" s="73" t="s">
        <v>427</v>
      </c>
      <c r="G69" s="230" t="s">
        <v>115</v>
      </c>
      <c r="H69" s="181">
        <v>12</v>
      </c>
      <c r="I69" s="231">
        <v>4</v>
      </c>
      <c r="J69" s="96">
        <v>4</v>
      </c>
      <c r="K69" s="77">
        <v>7514.63</v>
      </c>
      <c r="L69" s="77">
        <v>7514.63</v>
      </c>
      <c r="M69" s="187">
        <f t="shared" si="1"/>
        <v>0</v>
      </c>
      <c r="N69" s="100">
        <v>8</v>
      </c>
      <c r="O69" s="224">
        <v>11237.9</v>
      </c>
      <c r="P69" s="224">
        <v>11237.9</v>
      </c>
      <c r="Q69" s="79">
        <f t="shared" si="2"/>
        <v>0</v>
      </c>
    </row>
    <row r="70" spans="1:18" s="13" customFormat="1" x14ac:dyDescent="0.25">
      <c r="A70" s="229"/>
      <c r="B70" s="27" t="s">
        <v>51</v>
      </c>
      <c r="C70" s="181" t="s">
        <v>17</v>
      </c>
      <c r="D70" s="182"/>
      <c r="E70" s="183" t="s">
        <v>20</v>
      </c>
      <c r="F70" s="73" t="s">
        <v>186</v>
      </c>
      <c r="G70" s="74" t="s">
        <v>112</v>
      </c>
      <c r="H70" s="75"/>
      <c r="I70" s="76"/>
      <c r="J70" s="96"/>
      <c r="K70" s="77"/>
      <c r="L70" s="77"/>
      <c r="M70" s="78">
        <f>K70-L70</f>
        <v>0</v>
      </c>
      <c r="N70" s="100">
        <f>1</f>
        <v>1</v>
      </c>
      <c r="O70" s="81">
        <v>2451.87</v>
      </c>
      <c r="P70" s="81">
        <v>2451.87</v>
      </c>
      <c r="Q70" s="232">
        <f t="shared" si="2"/>
        <v>0</v>
      </c>
      <c r="R70" s="141"/>
    </row>
    <row r="71" spans="1:18" s="13" customFormat="1" x14ac:dyDescent="0.25">
      <c r="A71" s="229"/>
      <c r="B71" s="27" t="s">
        <v>51</v>
      </c>
      <c r="C71" s="181" t="s">
        <v>17</v>
      </c>
      <c r="D71" s="182"/>
      <c r="E71" s="183" t="s">
        <v>20</v>
      </c>
      <c r="F71" s="73" t="s">
        <v>276</v>
      </c>
      <c r="G71" s="230" t="s">
        <v>114</v>
      </c>
      <c r="H71" s="181"/>
      <c r="I71" s="231"/>
      <c r="J71" s="190"/>
      <c r="K71" s="77"/>
      <c r="L71" s="77"/>
      <c r="M71" s="187">
        <f t="shared" si="1"/>
        <v>0</v>
      </c>
      <c r="N71" s="100">
        <v>3</v>
      </c>
      <c r="O71" s="224">
        <v>6763.6</v>
      </c>
      <c r="P71" s="224">
        <v>6763.6</v>
      </c>
      <c r="Q71" s="232">
        <f t="shared" si="2"/>
        <v>0</v>
      </c>
    </row>
    <row r="72" spans="1:18" s="13" customFormat="1" x14ac:dyDescent="0.25">
      <c r="A72" s="229"/>
      <c r="B72" s="62" t="s">
        <v>52</v>
      </c>
      <c r="C72" s="181" t="s">
        <v>17</v>
      </c>
      <c r="D72" s="182"/>
      <c r="E72" s="183" t="s">
        <v>20</v>
      </c>
      <c r="F72" s="73" t="s">
        <v>352</v>
      </c>
      <c r="G72" s="74" t="s">
        <v>112</v>
      </c>
      <c r="H72" s="75">
        <v>12</v>
      </c>
      <c r="I72" s="76">
        <v>5</v>
      </c>
      <c r="J72" s="96">
        <f>1+1+1+1+2+3</f>
        <v>9</v>
      </c>
      <c r="K72" s="77">
        <f>10714.2+2747.14+2138.07+6709.4</f>
        <v>22308.809999999998</v>
      </c>
      <c r="L72" s="77">
        <f>10714.2+2747.14+2138.07</f>
        <v>15599.41</v>
      </c>
      <c r="M72" s="78">
        <f>K72-L72</f>
        <v>6709.3999999999978</v>
      </c>
      <c r="N72" s="100">
        <f>4+3+1+1+2+3+1+1</f>
        <v>16</v>
      </c>
      <c r="O72" s="81">
        <f>5977.15+48296.91+7596.86+1061.83+8902.9+6856.31+2935.36</f>
        <v>81627.320000000007</v>
      </c>
      <c r="P72" s="81">
        <f>5977.15+48296.91+7596.86+1061.83+8902.9+6856.31</f>
        <v>78691.960000000006</v>
      </c>
      <c r="Q72" s="232">
        <f t="shared" si="2"/>
        <v>2935.3600000000006</v>
      </c>
      <c r="R72" s="141"/>
    </row>
    <row r="73" spans="1:18" s="13" customFormat="1" x14ac:dyDescent="0.25">
      <c r="A73" s="229"/>
      <c r="B73" s="62" t="s">
        <v>52</v>
      </c>
      <c r="C73" s="181" t="s">
        <v>17</v>
      </c>
      <c r="D73" s="182"/>
      <c r="E73" s="183" t="s">
        <v>20</v>
      </c>
      <c r="F73" s="73" t="s">
        <v>457</v>
      </c>
      <c r="G73" s="230" t="s">
        <v>114</v>
      </c>
      <c r="H73" s="181">
        <v>11</v>
      </c>
      <c r="I73" s="231">
        <v>4</v>
      </c>
      <c r="J73" s="190">
        <v>4</v>
      </c>
      <c r="K73" s="77">
        <v>4418.3</v>
      </c>
      <c r="L73" s="77">
        <v>1152.5999999999999</v>
      </c>
      <c r="M73" s="187">
        <f t="shared" si="1"/>
        <v>3265.7000000000003</v>
      </c>
      <c r="N73" s="100">
        <v>20</v>
      </c>
      <c r="O73" s="224">
        <v>42410.5</v>
      </c>
      <c r="P73" s="224">
        <v>27349.86</v>
      </c>
      <c r="Q73" s="232">
        <f t="shared" si="2"/>
        <v>15060.64</v>
      </c>
    </row>
    <row r="74" spans="1:18" s="13" customFormat="1" x14ac:dyDescent="0.25">
      <c r="A74" s="229"/>
      <c r="B74" s="27" t="s">
        <v>53</v>
      </c>
      <c r="C74" s="181" t="s">
        <v>17</v>
      </c>
      <c r="D74" s="182"/>
      <c r="E74" s="183" t="s">
        <v>20</v>
      </c>
      <c r="F74" s="73" t="s">
        <v>353</v>
      </c>
      <c r="G74" s="74" t="s">
        <v>112</v>
      </c>
      <c r="H74" s="75">
        <v>10</v>
      </c>
      <c r="I74" s="76">
        <v>6</v>
      </c>
      <c r="J74" s="96">
        <f>2+2+2</f>
        <v>6</v>
      </c>
      <c r="K74" s="77">
        <f>3655.66+6862.24+2535.72</f>
        <v>13053.619999999999</v>
      </c>
      <c r="L74" s="77">
        <f>3655.66+6862.24+2535.72</f>
        <v>13053.619999999999</v>
      </c>
      <c r="M74" s="78">
        <f t="shared" si="1"/>
        <v>0</v>
      </c>
      <c r="N74" s="100">
        <f>1+2+2+1+1</f>
        <v>7</v>
      </c>
      <c r="O74" s="81">
        <f>1743.3+3921.71+422.62+5626.45</f>
        <v>11714.08</v>
      </c>
      <c r="P74" s="81">
        <f>1743.3+3921.71+422.62+5626.45</f>
        <v>11714.08</v>
      </c>
      <c r="Q74" s="232">
        <f t="shared" si="2"/>
        <v>0</v>
      </c>
      <c r="R74" s="141"/>
    </row>
    <row r="75" spans="1:18" s="13" customFormat="1" x14ac:dyDescent="0.25">
      <c r="A75" s="229"/>
      <c r="B75" s="27" t="s">
        <v>149</v>
      </c>
      <c r="C75" s="181" t="s">
        <v>17</v>
      </c>
      <c r="D75" s="182"/>
      <c r="E75" s="183" t="s">
        <v>383</v>
      </c>
      <c r="F75" s="73" t="s">
        <v>354</v>
      </c>
      <c r="G75" s="74" t="s">
        <v>112</v>
      </c>
      <c r="H75" s="75">
        <v>35</v>
      </c>
      <c r="I75" s="76">
        <v>6</v>
      </c>
      <c r="J75" s="96">
        <f>7</f>
        <v>7</v>
      </c>
      <c r="K75" s="77">
        <f>7743.07</f>
        <v>7743.07</v>
      </c>
      <c r="L75" s="77"/>
      <c r="M75" s="78">
        <f t="shared" si="1"/>
        <v>7743.07</v>
      </c>
      <c r="N75" s="100">
        <f>2+2+2</f>
        <v>6</v>
      </c>
      <c r="O75" s="81">
        <f>3676.8+3431.65+6320.35</f>
        <v>13428.800000000001</v>
      </c>
      <c r="P75" s="81">
        <f>3676.8+3431.65</f>
        <v>7108.4500000000007</v>
      </c>
      <c r="Q75" s="79">
        <f t="shared" si="2"/>
        <v>6320.35</v>
      </c>
      <c r="R75" s="141"/>
    </row>
    <row r="76" spans="1:18" s="13" customFormat="1" x14ac:dyDescent="0.25">
      <c r="A76" s="229"/>
      <c r="B76" s="27" t="s">
        <v>149</v>
      </c>
      <c r="C76" s="181" t="s">
        <v>17</v>
      </c>
      <c r="D76" s="182"/>
      <c r="E76" s="183" t="s">
        <v>383</v>
      </c>
      <c r="F76" s="73" t="s">
        <v>438</v>
      </c>
      <c r="G76" s="230" t="s">
        <v>118</v>
      </c>
      <c r="H76" s="181">
        <v>10</v>
      </c>
      <c r="I76" s="234">
        <v>1</v>
      </c>
      <c r="J76" s="190">
        <v>1</v>
      </c>
      <c r="K76" s="193">
        <v>576.29999999999995</v>
      </c>
      <c r="L76" s="193">
        <v>576.29999999999995</v>
      </c>
      <c r="M76" s="78">
        <f t="shared" si="1"/>
        <v>0</v>
      </c>
      <c r="N76" s="114">
        <v>7</v>
      </c>
      <c r="O76" s="224">
        <v>9835.52</v>
      </c>
      <c r="P76" s="224">
        <v>9835.52</v>
      </c>
      <c r="Q76" s="232">
        <f t="shared" si="2"/>
        <v>0</v>
      </c>
    </row>
    <row r="77" spans="1:18" s="13" customFormat="1" x14ac:dyDescent="0.25">
      <c r="A77" s="229"/>
      <c r="B77" s="62" t="s">
        <v>107</v>
      </c>
      <c r="C77" s="181" t="s">
        <v>17</v>
      </c>
      <c r="D77" s="182"/>
      <c r="E77" s="194" t="s">
        <v>20</v>
      </c>
      <c r="F77" s="73" t="s">
        <v>355</v>
      </c>
      <c r="G77" s="74" t="s">
        <v>112</v>
      </c>
      <c r="H77" s="75">
        <v>11</v>
      </c>
      <c r="I77" s="76">
        <v>5</v>
      </c>
      <c r="J77" s="96">
        <f>1+3+3+2</f>
        <v>9</v>
      </c>
      <c r="K77" s="77">
        <f>666.63+7071.2+5333.38+13316.37+23091.24</f>
        <v>49478.820000000007</v>
      </c>
      <c r="L77" s="77">
        <f>666.63+7071.2+5333.38+13316.37</f>
        <v>26387.58</v>
      </c>
      <c r="M77" s="78">
        <f t="shared" si="1"/>
        <v>23091.240000000005</v>
      </c>
      <c r="N77" s="100">
        <f>2+6+1+1+2</f>
        <v>12</v>
      </c>
      <c r="O77" s="81">
        <f>7612.92+18804.48+9163.33+3260.98+6297.63</f>
        <v>45139.340000000004</v>
      </c>
      <c r="P77" s="81">
        <f>7612.92+18804.48+9163.33+3260.98+6297.63</f>
        <v>45139.340000000004</v>
      </c>
      <c r="Q77" s="79">
        <f t="shared" si="2"/>
        <v>0</v>
      </c>
      <c r="R77" s="141"/>
    </row>
    <row r="78" spans="1:18" s="13" customFormat="1" x14ac:dyDescent="0.25">
      <c r="A78" s="229"/>
      <c r="B78" s="30" t="s">
        <v>54</v>
      </c>
      <c r="C78" s="181" t="s">
        <v>17</v>
      </c>
      <c r="D78" s="182"/>
      <c r="E78" s="194" t="s">
        <v>20</v>
      </c>
      <c r="F78" s="73" t="s">
        <v>356</v>
      </c>
      <c r="G78" s="74" t="s">
        <v>112</v>
      </c>
      <c r="H78" s="75"/>
      <c r="I78" s="76"/>
      <c r="J78" s="96"/>
      <c r="K78" s="77">
        <f>9075.37</f>
        <v>9075.3700000000008</v>
      </c>
      <c r="L78" s="77"/>
      <c r="M78" s="78">
        <f t="shared" si="1"/>
        <v>9075.3700000000008</v>
      </c>
      <c r="N78" s="100">
        <f>4+1+1+2</f>
        <v>8</v>
      </c>
      <c r="O78" s="81">
        <f>17895.28+17443.73+5473.41</f>
        <v>40812.42</v>
      </c>
      <c r="P78" s="81">
        <f>17895.28+17443.73+5473.41</f>
        <v>40812.42</v>
      </c>
      <c r="Q78" s="79">
        <f t="shared" si="2"/>
        <v>0</v>
      </c>
      <c r="R78" s="141"/>
    </row>
    <row r="79" spans="1:18" s="13" customFormat="1" ht="30" x14ac:dyDescent="0.25">
      <c r="A79" s="229"/>
      <c r="B79" s="27" t="s">
        <v>55</v>
      </c>
      <c r="C79" s="181" t="s">
        <v>304</v>
      </c>
      <c r="D79" s="182" t="s">
        <v>387</v>
      </c>
      <c r="E79" s="183" t="s">
        <v>20</v>
      </c>
      <c r="F79" s="73" t="s">
        <v>357</v>
      </c>
      <c r="G79" s="74" t="s">
        <v>112</v>
      </c>
      <c r="H79" s="75">
        <v>17</v>
      </c>
      <c r="I79" s="76">
        <v>12</v>
      </c>
      <c r="J79" s="96">
        <f>3+1+1+2+1+1</f>
        <v>9</v>
      </c>
      <c r="K79" s="77">
        <f>1267.86+6667.8+5756.15+1180.38+4780.37+4352.43</f>
        <v>24004.989999999998</v>
      </c>
      <c r="L79" s="77">
        <f>1267.86+6667.8+5756.15+1180.38</f>
        <v>14872.189999999999</v>
      </c>
      <c r="M79" s="78">
        <f t="shared" si="1"/>
        <v>9132.7999999999993</v>
      </c>
      <c r="N79" s="100">
        <f>2+1+2+2+2+1+2+1</f>
        <v>13</v>
      </c>
      <c r="O79" s="81">
        <f>34854.19+2113.1+6430.67+5463.42+39145.22+2535.72+5132.44+12985.86</f>
        <v>108660.62000000001</v>
      </c>
      <c r="P79" s="81">
        <f>34854.19+2113.1+6430.67+5463.42+39145.22+2535.72+5132.44</f>
        <v>95674.760000000009</v>
      </c>
      <c r="Q79" s="232">
        <f t="shared" si="2"/>
        <v>12985.86</v>
      </c>
      <c r="R79" s="141"/>
    </row>
    <row r="80" spans="1:18" s="13" customFormat="1" ht="30" x14ac:dyDescent="0.25">
      <c r="A80" s="229"/>
      <c r="B80" s="62" t="s">
        <v>56</v>
      </c>
      <c r="C80" s="181" t="s">
        <v>17</v>
      </c>
      <c r="D80" s="182" t="s">
        <v>386</v>
      </c>
      <c r="E80" s="183" t="s">
        <v>18</v>
      </c>
      <c r="F80" s="73" t="s">
        <v>358</v>
      </c>
      <c r="G80" s="74" t="s">
        <v>112</v>
      </c>
      <c r="H80" s="75">
        <v>9</v>
      </c>
      <c r="I80" s="76">
        <v>4</v>
      </c>
      <c r="J80" s="96">
        <f>1+1+2</f>
        <v>4</v>
      </c>
      <c r="K80" s="77">
        <f>678.11+678.11+4865.7</f>
        <v>6221.92</v>
      </c>
      <c r="L80" s="77">
        <f>678.11+678.11+4865.7</f>
        <v>6221.92</v>
      </c>
      <c r="M80" s="78">
        <f t="shared" si="1"/>
        <v>0</v>
      </c>
      <c r="N80" s="100">
        <f>1</f>
        <v>1</v>
      </c>
      <c r="O80" s="81">
        <f>4395.5</f>
        <v>4395.5</v>
      </c>
      <c r="P80" s="81">
        <f>4395.5</f>
        <v>4395.5</v>
      </c>
      <c r="Q80" s="79">
        <f t="shared" si="2"/>
        <v>0</v>
      </c>
      <c r="R80" s="141"/>
    </row>
    <row r="81" spans="1:18" s="13" customFormat="1" ht="30" x14ac:dyDescent="0.25">
      <c r="A81" s="229"/>
      <c r="B81" s="62" t="s">
        <v>56</v>
      </c>
      <c r="C81" s="181" t="s">
        <v>304</v>
      </c>
      <c r="D81" s="182" t="s">
        <v>386</v>
      </c>
      <c r="E81" s="183" t="s">
        <v>18</v>
      </c>
      <c r="F81" s="73" t="s">
        <v>476</v>
      </c>
      <c r="G81" s="230" t="s">
        <v>113</v>
      </c>
      <c r="H81" s="181">
        <v>8</v>
      </c>
      <c r="I81" s="231">
        <v>6</v>
      </c>
      <c r="J81" s="96">
        <v>6</v>
      </c>
      <c r="K81" s="77">
        <v>7475</v>
      </c>
      <c r="L81" s="77">
        <v>5512</v>
      </c>
      <c r="M81" s="78">
        <f t="shared" si="1"/>
        <v>1963</v>
      </c>
      <c r="N81" s="100"/>
      <c r="O81" s="224">
        <v>7612</v>
      </c>
      <c r="P81" s="224">
        <v>7612</v>
      </c>
      <c r="Q81" s="232">
        <f t="shared" ref="Q81:Q146" si="3">O81-P81</f>
        <v>0</v>
      </c>
    </row>
    <row r="82" spans="1:18" s="13" customFormat="1" x14ac:dyDescent="0.25">
      <c r="A82" s="229"/>
      <c r="B82" s="62" t="s">
        <v>156</v>
      </c>
      <c r="C82" s="181" t="s">
        <v>304</v>
      </c>
      <c r="D82" s="182"/>
      <c r="E82" s="183" t="s">
        <v>20</v>
      </c>
      <c r="F82" s="73" t="s">
        <v>359</v>
      </c>
      <c r="G82" s="74" t="s">
        <v>112</v>
      </c>
      <c r="H82" s="75">
        <v>4</v>
      </c>
      <c r="I82" s="76">
        <v>2</v>
      </c>
      <c r="J82" s="96">
        <f>2</f>
        <v>2</v>
      </c>
      <c r="K82" s="77">
        <f>1690.48+993.47</f>
        <v>2683.95</v>
      </c>
      <c r="L82" s="77">
        <f>1690.48+993.47</f>
        <v>2683.95</v>
      </c>
      <c r="M82" s="78">
        <f t="shared" si="1"/>
        <v>0</v>
      </c>
      <c r="N82" s="100">
        <f>3+1+1</f>
        <v>5</v>
      </c>
      <c r="O82" s="81">
        <f>5488.54+2398.37+422.62+1605.6</f>
        <v>9915.130000000001</v>
      </c>
      <c r="P82" s="81">
        <f>5488.54+2398.37+422.62</f>
        <v>8309.5300000000007</v>
      </c>
      <c r="Q82" s="79">
        <f t="shared" si="3"/>
        <v>1605.6000000000004</v>
      </c>
      <c r="R82" s="141"/>
    </row>
    <row r="83" spans="1:18" s="15" customFormat="1" x14ac:dyDescent="0.25">
      <c r="A83" s="229"/>
      <c r="B83" s="62" t="s">
        <v>57</v>
      </c>
      <c r="C83" s="181" t="s">
        <v>17</v>
      </c>
      <c r="D83" s="182"/>
      <c r="E83" s="183" t="s">
        <v>20</v>
      </c>
      <c r="F83" s="73" t="s">
        <v>360</v>
      </c>
      <c r="G83" s="74" t="s">
        <v>112</v>
      </c>
      <c r="H83" s="75">
        <v>7</v>
      </c>
      <c r="I83" s="76">
        <v>6</v>
      </c>
      <c r="J83" s="96">
        <f>2+1+1+2</f>
        <v>6</v>
      </c>
      <c r="K83" s="77">
        <f>806.82+1728.9+422.62+2958.34</f>
        <v>5916.68</v>
      </c>
      <c r="L83" s="77">
        <f>806.82+1728.9+422.62+2958.34</f>
        <v>5916.68</v>
      </c>
      <c r="M83" s="78">
        <f t="shared" si="1"/>
        <v>0</v>
      </c>
      <c r="N83" s="100">
        <f>2+1</f>
        <v>3</v>
      </c>
      <c r="O83" s="81">
        <f>2745.3</f>
        <v>2745.3</v>
      </c>
      <c r="P83" s="81">
        <f>2745.3</f>
        <v>2745.3</v>
      </c>
      <c r="Q83" s="232">
        <f t="shared" si="3"/>
        <v>0</v>
      </c>
      <c r="R83" s="141"/>
    </row>
    <row r="84" spans="1:18" s="15" customFormat="1" x14ac:dyDescent="0.25">
      <c r="A84" s="229"/>
      <c r="B84" s="62" t="s">
        <v>57</v>
      </c>
      <c r="C84" s="181" t="s">
        <v>17</v>
      </c>
      <c r="D84" s="182"/>
      <c r="E84" s="183" t="s">
        <v>20</v>
      </c>
      <c r="F84" s="73" t="s">
        <v>458</v>
      </c>
      <c r="G84" s="230" t="s">
        <v>114</v>
      </c>
      <c r="H84" s="181">
        <v>31</v>
      </c>
      <c r="I84" s="231">
        <v>7</v>
      </c>
      <c r="J84" s="190">
        <v>7</v>
      </c>
      <c r="K84" s="77">
        <v>8068.2</v>
      </c>
      <c r="L84" s="77">
        <v>8068.2</v>
      </c>
      <c r="M84" s="187">
        <f t="shared" si="1"/>
        <v>0</v>
      </c>
      <c r="N84" s="100">
        <v>19</v>
      </c>
      <c r="O84" s="224">
        <v>38071.1</v>
      </c>
      <c r="P84" s="224">
        <v>38071.1</v>
      </c>
      <c r="Q84" s="232">
        <f t="shared" si="3"/>
        <v>0</v>
      </c>
    </row>
    <row r="85" spans="1:18" s="13" customFormat="1" x14ac:dyDescent="0.25">
      <c r="A85" s="229"/>
      <c r="B85" s="62" t="s">
        <v>58</v>
      </c>
      <c r="C85" s="181" t="s">
        <v>17</v>
      </c>
      <c r="D85" s="182"/>
      <c r="E85" s="183" t="s">
        <v>20</v>
      </c>
      <c r="F85" s="73" t="s">
        <v>361</v>
      </c>
      <c r="G85" s="74" t="s">
        <v>112</v>
      </c>
      <c r="H85" s="75">
        <v>8</v>
      </c>
      <c r="I85" s="76">
        <v>4</v>
      </c>
      <c r="J85" s="96">
        <f>1+2+1</f>
        <v>4</v>
      </c>
      <c r="K85" s="77">
        <f>1892.47+3118.94+422.62</f>
        <v>5434.03</v>
      </c>
      <c r="L85" s="77">
        <f>1892.47+3118.94+422.62</f>
        <v>5434.03</v>
      </c>
      <c r="M85" s="78">
        <f>K85-L85</f>
        <v>0</v>
      </c>
      <c r="N85" s="100">
        <f>1+1+3</f>
        <v>5</v>
      </c>
      <c r="O85" s="81">
        <f>9196.24+2480.78+2954.11+15214.32</f>
        <v>29845.45</v>
      </c>
      <c r="P85" s="81">
        <f>9196.24+2480.78+2954.11+15214.32</f>
        <v>29845.45</v>
      </c>
      <c r="Q85" s="232">
        <f t="shared" si="3"/>
        <v>0</v>
      </c>
      <c r="R85" s="141"/>
    </row>
    <row r="86" spans="1:18" s="13" customFormat="1" x14ac:dyDescent="0.25">
      <c r="A86" s="229"/>
      <c r="B86" s="62" t="s">
        <v>58</v>
      </c>
      <c r="C86" s="181" t="s">
        <v>17</v>
      </c>
      <c r="D86" s="182"/>
      <c r="E86" s="183" t="s">
        <v>20</v>
      </c>
      <c r="F86" s="73" t="s">
        <v>478</v>
      </c>
      <c r="G86" s="230" t="s">
        <v>114</v>
      </c>
      <c r="H86" s="181">
        <v>15</v>
      </c>
      <c r="I86" s="231">
        <v>2</v>
      </c>
      <c r="J86" s="190">
        <v>2</v>
      </c>
      <c r="K86" s="77">
        <v>3765.16</v>
      </c>
      <c r="L86" s="77">
        <v>3765.16</v>
      </c>
      <c r="M86" s="187">
        <f t="shared" si="1"/>
        <v>0</v>
      </c>
      <c r="N86" s="100">
        <v>21</v>
      </c>
      <c r="O86" s="224">
        <v>54215.77</v>
      </c>
      <c r="P86" s="224">
        <v>54215.77</v>
      </c>
      <c r="Q86" s="232">
        <f t="shared" si="3"/>
        <v>0</v>
      </c>
    </row>
    <row r="87" spans="1:18" s="13" customFormat="1" x14ac:dyDescent="0.25">
      <c r="A87" s="229"/>
      <c r="B87" s="62" t="s">
        <v>59</v>
      </c>
      <c r="C87" s="181" t="s">
        <v>17</v>
      </c>
      <c r="D87" s="182"/>
      <c r="E87" s="183" t="s">
        <v>20</v>
      </c>
      <c r="F87" s="73" t="s">
        <v>362</v>
      </c>
      <c r="G87" s="74" t="s">
        <v>112</v>
      </c>
      <c r="H87" s="75">
        <v>11</v>
      </c>
      <c r="I87" s="76">
        <v>8</v>
      </c>
      <c r="J87" s="96">
        <f>1+1+1+3+1+1</f>
        <v>8</v>
      </c>
      <c r="K87" s="77">
        <f>403.41+1431.16+845.24+998.92</f>
        <v>3678.7300000000005</v>
      </c>
      <c r="L87" s="77">
        <f>403.41+1431.16+845.24+998.92</f>
        <v>3678.7300000000005</v>
      </c>
      <c r="M87" s="78">
        <f>K87-L87</f>
        <v>0</v>
      </c>
      <c r="N87" s="100">
        <f>1+2+2+1+1+1+1</f>
        <v>9</v>
      </c>
      <c r="O87" s="81">
        <f>6646.05+1267.86+979.71</f>
        <v>8893.619999999999</v>
      </c>
      <c r="P87" s="81">
        <f>2353.23+5561.68+978.71</f>
        <v>8893.619999999999</v>
      </c>
      <c r="Q87" s="232">
        <f t="shared" si="3"/>
        <v>0</v>
      </c>
      <c r="R87" s="141"/>
    </row>
    <row r="88" spans="1:18" s="13" customFormat="1" x14ac:dyDescent="0.25">
      <c r="A88" s="229"/>
      <c r="B88" s="62" t="s">
        <v>59</v>
      </c>
      <c r="C88" s="181" t="s">
        <v>17</v>
      </c>
      <c r="D88" s="182"/>
      <c r="E88" s="183" t="s">
        <v>20</v>
      </c>
      <c r="F88" s="73" t="s">
        <v>128</v>
      </c>
      <c r="G88" s="230" t="s">
        <v>114</v>
      </c>
      <c r="H88" s="181"/>
      <c r="I88" s="231"/>
      <c r="J88" s="190"/>
      <c r="K88" s="77"/>
      <c r="L88" s="77"/>
      <c r="M88" s="187">
        <f t="shared" si="1"/>
        <v>0</v>
      </c>
      <c r="N88" s="100"/>
      <c r="O88" s="224"/>
      <c r="P88" s="224"/>
      <c r="Q88" s="232">
        <f t="shared" si="3"/>
        <v>0</v>
      </c>
    </row>
    <row r="89" spans="1:18" s="13" customFormat="1" x14ac:dyDescent="0.25">
      <c r="A89" s="229"/>
      <c r="B89" s="27" t="s">
        <v>60</v>
      </c>
      <c r="C89" s="181" t="s">
        <v>17</v>
      </c>
      <c r="D89" s="182"/>
      <c r="E89" s="183" t="s">
        <v>20</v>
      </c>
      <c r="F89" s="73" t="s">
        <v>364</v>
      </c>
      <c r="G89" s="74" t="s">
        <v>112</v>
      </c>
      <c r="H89" s="75">
        <v>16</v>
      </c>
      <c r="I89" s="76">
        <v>7</v>
      </c>
      <c r="J89" s="96">
        <f>1+1+1+4+4</f>
        <v>11</v>
      </c>
      <c r="K89" s="77">
        <f>634.93+893.27+2930.22</f>
        <v>4458.42</v>
      </c>
      <c r="L89" s="77">
        <f>634.93+893.27</f>
        <v>1528.1999999999998</v>
      </c>
      <c r="M89" s="78">
        <f>K89-L89</f>
        <v>2930.2200000000003</v>
      </c>
      <c r="N89" s="100">
        <f>4+1+3+1</f>
        <v>9</v>
      </c>
      <c r="O89" s="81">
        <f>15124.53+2065.75+8492.52</f>
        <v>25682.799999999999</v>
      </c>
      <c r="P89" s="81">
        <f>15124.53+2065.75+8492.52</f>
        <v>25682.799999999999</v>
      </c>
      <c r="Q89" s="232">
        <f t="shared" si="3"/>
        <v>0</v>
      </c>
      <c r="R89" s="141"/>
    </row>
    <row r="90" spans="1:18" s="13" customFormat="1" x14ac:dyDescent="0.25">
      <c r="A90" s="229"/>
      <c r="B90" s="27" t="s">
        <v>60</v>
      </c>
      <c r="C90" s="181" t="s">
        <v>17</v>
      </c>
      <c r="D90" s="182"/>
      <c r="E90" s="183" t="s">
        <v>20</v>
      </c>
      <c r="F90" s="73" t="s">
        <v>479</v>
      </c>
      <c r="G90" s="230" t="s">
        <v>114</v>
      </c>
      <c r="H90" s="181">
        <v>11</v>
      </c>
      <c r="I90" s="231">
        <v>2</v>
      </c>
      <c r="J90" s="190">
        <v>2</v>
      </c>
      <c r="K90" s="77">
        <v>5186.7</v>
      </c>
      <c r="L90" s="77">
        <v>5186.7</v>
      </c>
      <c r="M90" s="187">
        <f t="shared" si="1"/>
        <v>0</v>
      </c>
      <c r="N90" s="100">
        <v>12</v>
      </c>
      <c r="O90" s="224">
        <v>41121.599999999999</v>
      </c>
      <c r="P90" s="224">
        <v>20666.900000000001</v>
      </c>
      <c r="Q90" s="232">
        <f t="shared" si="3"/>
        <v>20454.699999999997</v>
      </c>
    </row>
    <row r="91" spans="1:18" s="13" customFormat="1" x14ac:dyDescent="0.25">
      <c r="A91" s="229"/>
      <c r="B91" s="27" t="s">
        <v>493</v>
      </c>
      <c r="C91" s="181" t="s">
        <v>17</v>
      </c>
      <c r="D91" s="182"/>
      <c r="E91" s="183" t="s">
        <v>20</v>
      </c>
      <c r="F91" s="73" t="s">
        <v>496</v>
      </c>
      <c r="G91" s="230" t="s">
        <v>112</v>
      </c>
      <c r="H91" s="181">
        <v>12</v>
      </c>
      <c r="I91" s="231">
        <v>7</v>
      </c>
      <c r="J91" s="190">
        <f>3+2+1+3+1+2</f>
        <v>12</v>
      </c>
      <c r="K91" s="77">
        <f>3387.04+3467.41+1267.86</f>
        <v>8122.3099999999995</v>
      </c>
      <c r="L91" s="77">
        <f>3387.04+3467.41+1267.86</f>
        <v>8122.3099999999995</v>
      </c>
      <c r="M91" s="78">
        <f t="shared" ref="M91:M156" si="4">K91-L91</f>
        <v>0</v>
      </c>
      <c r="N91" s="100"/>
      <c r="O91" s="224"/>
      <c r="P91" s="224"/>
      <c r="Q91" s="232">
        <f t="shared" si="3"/>
        <v>0</v>
      </c>
    </row>
    <row r="92" spans="1:18" s="15" customFormat="1" x14ac:dyDescent="0.25">
      <c r="A92" s="229"/>
      <c r="B92" s="27" t="s">
        <v>61</v>
      </c>
      <c r="C92" s="181" t="s">
        <v>17</v>
      </c>
      <c r="D92" s="182"/>
      <c r="E92" s="183" t="s">
        <v>20</v>
      </c>
      <c r="F92" s="73" t="s">
        <v>363</v>
      </c>
      <c r="G92" s="74" t="s">
        <v>112</v>
      </c>
      <c r="H92" s="75"/>
      <c r="I92" s="76"/>
      <c r="J92" s="96"/>
      <c r="K92" s="77"/>
      <c r="L92" s="77"/>
      <c r="M92" s="78">
        <f t="shared" si="4"/>
        <v>0</v>
      </c>
      <c r="N92" s="100"/>
      <c r="O92" s="81"/>
      <c r="P92" s="81"/>
      <c r="Q92" s="232">
        <f t="shared" si="3"/>
        <v>0</v>
      </c>
      <c r="R92" s="141"/>
    </row>
    <row r="93" spans="1:18" s="15" customFormat="1" x14ac:dyDescent="0.25">
      <c r="A93" s="229"/>
      <c r="B93" s="236" t="s">
        <v>306</v>
      </c>
      <c r="C93" s="181" t="s">
        <v>17</v>
      </c>
      <c r="D93" s="182"/>
      <c r="E93" s="183" t="s">
        <v>35</v>
      </c>
      <c r="F93" s="73" t="s">
        <v>365</v>
      </c>
      <c r="G93" s="230" t="s">
        <v>112</v>
      </c>
      <c r="H93" s="181">
        <v>27</v>
      </c>
      <c r="I93" s="231">
        <v>16</v>
      </c>
      <c r="J93" s="190">
        <f>1+2+1+3+3+2+3+1+2</f>
        <v>18</v>
      </c>
      <c r="K93" s="77">
        <f>1045.98+2658.7+35696.14+4892.46+1024.04+2384.53+10793.24+5320.79+2075.24</f>
        <v>65891.12</v>
      </c>
      <c r="L93" s="77">
        <f>1045.98+2658.7+35696.14+4892.46+1024.04+2384.53+10793.24+5320.79</f>
        <v>63815.88</v>
      </c>
      <c r="M93" s="78">
        <f>K93-L93</f>
        <v>2075.239999999998</v>
      </c>
      <c r="N93" s="114">
        <f>7+2+2+2+1+1</f>
        <v>15</v>
      </c>
      <c r="O93" s="224">
        <f>2313.84+6162.57+2330.32+1690.48+3706.14+3107.65</f>
        <v>19311</v>
      </c>
      <c r="P93" s="224">
        <f>2313.84+6162.57+2330.32+1690.48+3706.14+3107.65</f>
        <v>19311</v>
      </c>
      <c r="Q93" s="232">
        <f t="shared" si="3"/>
        <v>0</v>
      </c>
      <c r="R93" s="141"/>
    </row>
    <row r="94" spans="1:18" s="13" customFormat="1" x14ac:dyDescent="0.25">
      <c r="A94" s="229"/>
      <c r="B94" s="62" t="s">
        <v>306</v>
      </c>
      <c r="C94" s="181" t="s">
        <v>17</v>
      </c>
      <c r="D94" s="182"/>
      <c r="E94" s="183" t="s">
        <v>27</v>
      </c>
      <c r="F94" s="73" t="s">
        <v>421</v>
      </c>
      <c r="G94" s="230" t="s">
        <v>117</v>
      </c>
      <c r="H94" s="181">
        <v>2</v>
      </c>
      <c r="I94" s="231"/>
      <c r="J94" s="96"/>
      <c r="K94" s="77"/>
      <c r="L94" s="77"/>
      <c r="M94" s="78">
        <f>K94-L94</f>
        <v>0</v>
      </c>
      <c r="N94" s="100"/>
      <c r="O94" s="77"/>
      <c r="P94" s="77"/>
      <c r="Q94" s="79">
        <f>O94-P94</f>
        <v>0</v>
      </c>
    </row>
    <row r="95" spans="1:18" s="13" customFormat="1" x14ac:dyDescent="0.25">
      <c r="A95" s="229"/>
      <c r="B95" s="27" t="s">
        <v>62</v>
      </c>
      <c r="C95" s="181" t="s">
        <v>17</v>
      </c>
      <c r="D95" s="182"/>
      <c r="E95" s="183" t="s">
        <v>35</v>
      </c>
      <c r="F95" s="73" t="s">
        <v>366</v>
      </c>
      <c r="G95" s="74" t="s">
        <v>112</v>
      </c>
      <c r="H95" s="75">
        <v>24</v>
      </c>
      <c r="I95" s="76">
        <v>12</v>
      </c>
      <c r="J95" s="96">
        <f>1+3+1+1+2+4</f>
        <v>12</v>
      </c>
      <c r="K95" s="77">
        <f>3613.4+1872.01+1394.65+3518.32+15902.72</f>
        <v>26301.1</v>
      </c>
      <c r="L95" s="77">
        <f>3613.4+1872.01+1394.65+3518.32</f>
        <v>10398.379999999999</v>
      </c>
      <c r="M95" s="78">
        <f>K95-L95</f>
        <v>15902.72</v>
      </c>
      <c r="N95" s="100">
        <f>6+2+1+2+1+3</f>
        <v>15</v>
      </c>
      <c r="O95" s="81">
        <f>19511.33+1270.93+3979.74+2500.85+8530.18+845.24+12787.47</f>
        <v>49425.74</v>
      </c>
      <c r="P95" s="81">
        <f>19511.33+1270.93+3979.74+2500.85+8530.18+845.24+12787.47</f>
        <v>49425.74</v>
      </c>
      <c r="Q95" s="79">
        <f t="shared" si="3"/>
        <v>0</v>
      </c>
      <c r="R95" s="141"/>
    </row>
    <row r="96" spans="1:18" s="13" customFormat="1" x14ac:dyDescent="0.25">
      <c r="A96" s="229"/>
      <c r="B96" s="27" t="s">
        <v>62</v>
      </c>
      <c r="C96" s="181" t="s">
        <v>17</v>
      </c>
      <c r="D96" s="182"/>
      <c r="E96" s="183" t="s">
        <v>35</v>
      </c>
      <c r="F96" s="73" t="s">
        <v>428</v>
      </c>
      <c r="G96" s="230" t="s">
        <v>117</v>
      </c>
      <c r="H96" s="181">
        <v>2</v>
      </c>
      <c r="I96" s="231"/>
      <c r="J96" s="96"/>
      <c r="K96" s="77"/>
      <c r="L96" s="77"/>
      <c r="M96" s="78">
        <f t="shared" si="4"/>
        <v>0</v>
      </c>
      <c r="N96" s="100">
        <v>9</v>
      </c>
      <c r="O96" s="224">
        <v>22788.1</v>
      </c>
      <c r="P96" s="224">
        <v>22788.1</v>
      </c>
      <c r="Q96" s="232">
        <f t="shared" si="3"/>
        <v>0</v>
      </c>
    </row>
    <row r="97" spans="1:19" s="13" customFormat="1" x14ac:dyDescent="0.25">
      <c r="A97" s="229"/>
      <c r="B97" s="27" t="s">
        <v>155</v>
      </c>
      <c r="C97" s="181" t="s">
        <v>17</v>
      </c>
      <c r="D97" s="182"/>
      <c r="E97" s="183" t="s">
        <v>20</v>
      </c>
      <c r="F97" s="73" t="s">
        <v>367</v>
      </c>
      <c r="G97" s="74" t="s">
        <v>112</v>
      </c>
      <c r="H97" s="75">
        <v>9</v>
      </c>
      <c r="I97" s="82">
        <v>6</v>
      </c>
      <c r="J97" s="96">
        <f>1+2+3+1</f>
        <v>7</v>
      </c>
      <c r="K97" s="77">
        <f>3117.56+2266.78+5307.72</f>
        <v>10692.060000000001</v>
      </c>
      <c r="L97" s="77">
        <f>3117.56+2266.78+5307.72</f>
        <v>10692.060000000001</v>
      </c>
      <c r="M97" s="78">
        <f>K97-L97</f>
        <v>0</v>
      </c>
      <c r="N97" s="100">
        <f>1+1+1</f>
        <v>3</v>
      </c>
      <c r="O97" s="81">
        <f>1798.06+2123.67</f>
        <v>3921.73</v>
      </c>
      <c r="P97" s="81">
        <f>1798.06+2123.67</f>
        <v>3921.73</v>
      </c>
      <c r="Q97" s="232">
        <f t="shared" si="3"/>
        <v>0</v>
      </c>
      <c r="R97" s="141"/>
    </row>
    <row r="98" spans="1:19" s="13" customFormat="1" x14ac:dyDescent="0.25">
      <c r="A98" s="229"/>
      <c r="B98" s="27" t="s">
        <v>155</v>
      </c>
      <c r="C98" s="181" t="s">
        <v>17</v>
      </c>
      <c r="D98" s="182"/>
      <c r="E98" s="183" t="s">
        <v>20</v>
      </c>
      <c r="F98" s="73" t="s">
        <v>459</v>
      </c>
      <c r="G98" s="230" t="s">
        <v>114</v>
      </c>
      <c r="H98" s="181">
        <v>11</v>
      </c>
      <c r="I98" s="231">
        <v>4</v>
      </c>
      <c r="J98" s="190">
        <v>4</v>
      </c>
      <c r="K98" s="77">
        <v>6147.2</v>
      </c>
      <c r="L98" s="77">
        <v>6147.2</v>
      </c>
      <c r="M98" s="187">
        <f t="shared" ref="M98" si="5">K98-L98</f>
        <v>0</v>
      </c>
      <c r="N98" s="100">
        <v>15</v>
      </c>
      <c r="O98" s="224">
        <v>33202.26</v>
      </c>
      <c r="P98" s="224">
        <v>33202.26</v>
      </c>
      <c r="Q98" s="232">
        <f t="shared" si="3"/>
        <v>0</v>
      </c>
    </row>
    <row r="99" spans="1:19" s="13" customFormat="1" x14ac:dyDescent="0.25">
      <c r="A99" s="229"/>
      <c r="B99" s="30" t="s">
        <v>66</v>
      </c>
      <c r="C99" s="181" t="s">
        <v>17</v>
      </c>
      <c r="D99" s="182"/>
      <c r="E99" s="183" t="s">
        <v>21</v>
      </c>
      <c r="F99" s="73" t="s">
        <v>368</v>
      </c>
      <c r="G99" s="74" t="s">
        <v>112</v>
      </c>
      <c r="H99" s="75">
        <v>23</v>
      </c>
      <c r="I99" s="76">
        <v>19</v>
      </c>
      <c r="J99" s="96">
        <f>1+3+2+3+2+1+2+1+3+7</f>
        <v>25</v>
      </c>
      <c r="K99" s="77">
        <f>1045.98+4309.04+3820.12+1872.01+4253.49+3044.79+1191.19+4942.84+9299.2+9796.16</f>
        <v>43574.820000000007</v>
      </c>
      <c r="L99" s="77">
        <f>1045.98+4309.04+3820.12+1872.01+4253.49+3044.79+1191.19+4942.84</f>
        <v>24479.46</v>
      </c>
      <c r="M99" s="78">
        <f>K99-L99</f>
        <v>19095.360000000008</v>
      </c>
      <c r="N99" s="100">
        <f>6+3+8+7+1+1+1+2+1+1+1+1+1</f>
        <v>34</v>
      </c>
      <c r="O99" s="81">
        <f>11911.17+23136+18060.17+1977.84+2091.97+19535.65+19124.11+3199.71+4430.07+5418.9</f>
        <v>108885.59</v>
      </c>
      <c r="P99" s="81">
        <f>11911.17+23136+18060.17+1977.84+2091.97+19535.65+19124.11+3199.71+4430.07</f>
        <v>103466.69</v>
      </c>
      <c r="Q99" s="232">
        <f t="shared" si="3"/>
        <v>5418.8999999999942</v>
      </c>
      <c r="R99" s="141"/>
    </row>
    <row r="100" spans="1:19" s="13" customFormat="1" x14ac:dyDescent="0.25">
      <c r="A100" s="229"/>
      <c r="B100" s="30" t="s">
        <v>66</v>
      </c>
      <c r="C100" s="181" t="s">
        <v>17</v>
      </c>
      <c r="D100" s="182"/>
      <c r="E100" s="183" t="s">
        <v>21</v>
      </c>
      <c r="F100" s="73" t="s">
        <v>439</v>
      </c>
      <c r="G100" s="230" t="s">
        <v>118</v>
      </c>
      <c r="H100" s="181">
        <v>6</v>
      </c>
      <c r="I100" s="231">
        <v>2</v>
      </c>
      <c r="J100" s="96">
        <v>2</v>
      </c>
      <c r="K100" s="77">
        <v>2958.9</v>
      </c>
      <c r="L100" s="77">
        <v>2958.9</v>
      </c>
      <c r="M100" s="187">
        <f t="shared" si="4"/>
        <v>0</v>
      </c>
      <c r="N100" s="100">
        <v>16</v>
      </c>
      <c r="O100" s="224">
        <v>66871.69</v>
      </c>
      <c r="P100" s="224">
        <v>66871.69</v>
      </c>
      <c r="Q100" s="79">
        <f t="shared" si="3"/>
        <v>0</v>
      </c>
    </row>
    <row r="101" spans="1:19" s="13" customFormat="1" x14ac:dyDescent="0.25">
      <c r="A101" s="229"/>
      <c r="B101" s="62" t="s">
        <v>137</v>
      </c>
      <c r="C101" s="181" t="s">
        <v>17</v>
      </c>
      <c r="D101" s="182"/>
      <c r="E101" s="194" t="s">
        <v>35</v>
      </c>
      <c r="F101" s="73" t="s">
        <v>369</v>
      </c>
      <c r="G101" s="74" t="s">
        <v>112</v>
      </c>
      <c r="H101" s="75">
        <v>30</v>
      </c>
      <c r="I101" s="76">
        <v>15</v>
      </c>
      <c r="J101" s="96">
        <f>3+3+1+4+1+3</f>
        <v>15</v>
      </c>
      <c r="K101" s="77">
        <f>504.26+845.24+3380.96+422.62+2535.72+6256.62</f>
        <v>13945.419999999998</v>
      </c>
      <c r="L101" s="77">
        <f>504.26+845.24+3380.96+422.62+2535.72</f>
        <v>7688.7999999999993</v>
      </c>
      <c r="M101" s="78">
        <f>K101-L101</f>
        <v>6256.619999999999</v>
      </c>
      <c r="N101" s="100">
        <f>5+1+1+2+1</f>
        <v>10</v>
      </c>
      <c r="O101" s="81">
        <f>2617.36+422.62+3852.18+3380.96+422.62</f>
        <v>10695.74</v>
      </c>
      <c r="P101" s="81">
        <f>2617.36+422.62+3852.18+3380.96+422.62</f>
        <v>10695.74</v>
      </c>
      <c r="Q101" s="232">
        <f t="shared" si="3"/>
        <v>0</v>
      </c>
      <c r="R101" s="141"/>
    </row>
    <row r="102" spans="1:19" s="13" customFormat="1" x14ac:dyDescent="0.25">
      <c r="A102" s="229"/>
      <c r="B102" s="62" t="s">
        <v>137</v>
      </c>
      <c r="C102" s="181" t="s">
        <v>17</v>
      </c>
      <c r="D102" s="182"/>
      <c r="E102" s="194" t="s">
        <v>35</v>
      </c>
      <c r="F102" s="73" t="s">
        <v>429</v>
      </c>
      <c r="G102" s="230" t="s">
        <v>117</v>
      </c>
      <c r="H102" s="181">
        <v>2</v>
      </c>
      <c r="I102" s="231">
        <v>1</v>
      </c>
      <c r="J102" s="190">
        <v>1</v>
      </c>
      <c r="K102" s="193">
        <v>1921</v>
      </c>
      <c r="L102" s="193">
        <v>1921</v>
      </c>
      <c r="M102" s="78">
        <f t="shared" si="4"/>
        <v>0</v>
      </c>
      <c r="N102" s="114">
        <v>2</v>
      </c>
      <c r="O102" s="224">
        <v>10565.5</v>
      </c>
      <c r="P102" s="224">
        <v>10565.5</v>
      </c>
      <c r="Q102" s="79">
        <f t="shared" si="3"/>
        <v>0</v>
      </c>
    </row>
    <row r="103" spans="1:19" s="13" customFormat="1" x14ac:dyDescent="0.25">
      <c r="A103" s="229"/>
      <c r="B103" s="30" t="s">
        <v>67</v>
      </c>
      <c r="C103" s="181" t="s">
        <v>17</v>
      </c>
      <c r="D103" s="182"/>
      <c r="E103" s="194" t="s">
        <v>21</v>
      </c>
      <c r="F103" s="73" t="s">
        <v>370</v>
      </c>
      <c r="G103" s="74" t="s">
        <v>112</v>
      </c>
      <c r="H103" s="75">
        <v>26</v>
      </c>
      <c r="I103" s="76">
        <v>16</v>
      </c>
      <c r="J103" s="96">
        <f>2+1+1+2+1+1+2+2+1+2+5</f>
        <v>20</v>
      </c>
      <c r="K103" s="77">
        <f>3319.85+1198.9+864.45+7235.32+1947.89+5377.75+8701.73+3581.7+8737.54</f>
        <v>40965.130000000005</v>
      </c>
      <c r="L103" s="77">
        <f>3319.85+1198.9+864.45+7235.32+1947.89+5377.75+8701.73</f>
        <v>28645.89</v>
      </c>
      <c r="M103" s="78">
        <f>K103-L103</f>
        <v>12319.240000000005</v>
      </c>
      <c r="N103" s="100">
        <f>4+9+4+4+1+3+1+3+1+1+1+1</f>
        <v>33</v>
      </c>
      <c r="O103" s="81">
        <f>29696.65+38129.03+13567.9+20687.05+2022.79+8145.77+17250.05+1233.28+5568.04</f>
        <v>136300.56</v>
      </c>
      <c r="P103" s="81">
        <f>29696.65+38129.03+13567.9+20687.05+2022.79+8145.77+17250.05+1233.28</f>
        <v>130732.51999999999</v>
      </c>
      <c r="Q103" s="232">
        <f t="shared" si="3"/>
        <v>5568.0400000000081</v>
      </c>
      <c r="R103" s="141"/>
    </row>
    <row r="104" spans="1:19" s="13" customFormat="1" x14ac:dyDescent="0.25">
      <c r="A104" s="229"/>
      <c r="B104" s="30" t="s">
        <v>67</v>
      </c>
      <c r="C104" s="181" t="s">
        <v>17</v>
      </c>
      <c r="D104" s="182"/>
      <c r="E104" s="194" t="s">
        <v>21</v>
      </c>
      <c r="F104" s="73" t="s">
        <v>440</v>
      </c>
      <c r="G104" s="230" t="s">
        <v>118</v>
      </c>
      <c r="H104" s="181">
        <v>13</v>
      </c>
      <c r="I104" s="231">
        <v>2</v>
      </c>
      <c r="J104" s="96">
        <v>2</v>
      </c>
      <c r="K104" s="77">
        <v>5282.54</v>
      </c>
      <c r="L104" s="77">
        <v>5282.54</v>
      </c>
      <c r="M104" s="78">
        <f t="shared" si="4"/>
        <v>0</v>
      </c>
      <c r="N104" s="100">
        <v>19</v>
      </c>
      <c r="O104" s="224">
        <v>58475.09</v>
      </c>
      <c r="P104" s="224">
        <v>58475.09</v>
      </c>
      <c r="Q104" s="79">
        <f t="shared" si="3"/>
        <v>0</v>
      </c>
    </row>
    <row r="105" spans="1:19" s="13" customFormat="1" x14ac:dyDescent="0.25">
      <c r="A105" s="229"/>
      <c r="B105" s="30" t="s">
        <v>68</v>
      </c>
      <c r="C105" s="181" t="s">
        <v>17</v>
      </c>
      <c r="D105" s="182"/>
      <c r="E105" s="194" t="s">
        <v>32</v>
      </c>
      <c r="F105" s="73" t="s">
        <v>371</v>
      </c>
      <c r="G105" s="74" t="s">
        <v>112</v>
      </c>
      <c r="H105" s="75">
        <v>17</v>
      </c>
      <c r="I105" s="76">
        <v>14</v>
      </c>
      <c r="J105" s="96">
        <f>2+1+2+5+5+3</f>
        <v>18</v>
      </c>
      <c r="K105" s="77">
        <f>1128.59+422.62+1152.6+4557.81+10981.59+5362.88+4996.85</f>
        <v>28602.940000000002</v>
      </c>
      <c r="L105" s="77">
        <f>1128.59+422.62+1152.6+4557.81+10981.59</f>
        <v>18243.21</v>
      </c>
      <c r="M105" s="78">
        <f>K105-L105</f>
        <v>10359.730000000003</v>
      </c>
      <c r="N105" s="100">
        <f>6+5+1+4+2+2</f>
        <v>20</v>
      </c>
      <c r="O105" s="81">
        <f>7813.73+8523.5+1452.28+12582.19+18077.76+4987.46</f>
        <v>53436.919999999991</v>
      </c>
      <c r="P105" s="81">
        <f>7813.73+8523.5+1452.28+12582.19+18077.76</f>
        <v>48449.459999999992</v>
      </c>
      <c r="Q105" s="232">
        <f t="shared" si="3"/>
        <v>4987.4599999999991</v>
      </c>
      <c r="R105" s="141"/>
    </row>
    <row r="106" spans="1:19" s="13" customFormat="1" x14ac:dyDescent="0.25">
      <c r="A106" s="229"/>
      <c r="B106" s="30" t="s">
        <v>68</v>
      </c>
      <c r="C106" s="181" t="s">
        <v>17</v>
      </c>
      <c r="D106" s="182"/>
      <c r="E106" s="194" t="s">
        <v>32</v>
      </c>
      <c r="F106" s="73" t="s">
        <v>430</v>
      </c>
      <c r="G106" s="235" t="s">
        <v>117</v>
      </c>
      <c r="H106" s="181">
        <v>2</v>
      </c>
      <c r="I106" s="231"/>
      <c r="J106" s="96"/>
      <c r="K106" s="77"/>
      <c r="L106" s="77"/>
      <c r="M106" s="78">
        <f t="shared" si="4"/>
        <v>0</v>
      </c>
      <c r="N106" s="100"/>
      <c r="O106" s="77"/>
      <c r="P106" s="77"/>
      <c r="Q106" s="79">
        <f t="shared" si="3"/>
        <v>0</v>
      </c>
    </row>
    <row r="107" spans="1:19" s="15" customFormat="1" x14ac:dyDescent="0.25">
      <c r="A107" s="229"/>
      <c r="B107" s="27" t="s">
        <v>69</v>
      </c>
      <c r="C107" s="181" t="s">
        <v>17</v>
      </c>
      <c r="D107" s="182"/>
      <c r="E107" s="183" t="s">
        <v>20</v>
      </c>
      <c r="F107" s="73" t="s">
        <v>372</v>
      </c>
      <c r="G107" s="74" t="s">
        <v>112</v>
      </c>
      <c r="H107" s="75">
        <v>6</v>
      </c>
      <c r="I107" s="76">
        <v>3</v>
      </c>
      <c r="J107" s="96">
        <f>1+1+1+1</f>
        <v>4</v>
      </c>
      <c r="K107" s="77">
        <f>422.62+17390.69+3114.71+475.45</f>
        <v>21403.469999999998</v>
      </c>
      <c r="L107" s="77">
        <f>422.62+17390.69+3114.71+475.45</f>
        <v>21403.469999999998</v>
      </c>
      <c r="M107" s="78">
        <f t="shared" si="4"/>
        <v>0</v>
      </c>
      <c r="N107" s="100">
        <f>3+2+1+1+1</f>
        <v>8</v>
      </c>
      <c r="O107" s="77">
        <f>7210.31+3647.96+1306.28+1267.86+2697.06</f>
        <v>16129.470000000001</v>
      </c>
      <c r="P107" s="77">
        <f>7210.31+3647.96+1306.28+1267.86+2697.06</f>
        <v>16129.470000000001</v>
      </c>
      <c r="Q107" s="232">
        <f t="shared" si="3"/>
        <v>0</v>
      </c>
      <c r="R107" s="141"/>
    </row>
    <row r="108" spans="1:19" s="15" customFormat="1" x14ac:dyDescent="0.25">
      <c r="A108" s="229"/>
      <c r="B108" s="236" t="s">
        <v>502</v>
      </c>
      <c r="C108" s="181"/>
      <c r="D108" s="182"/>
      <c r="E108" s="183"/>
      <c r="F108" s="73" t="s">
        <v>508</v>
      </c>
      <c r="G108" s="74" t="s">
        <v>112</v>
      </c>
      <c r="H108" s="75">
        <v>8</v>
      </c>
      <c r="I108" s="76">
        <v>4</v>
      </c>
      <c r="J108" s="96">
        <f>4+1</f>
        <v>5</v>
      </c>
      <c r="K108" s="77">
        <f>6145.3</f>
        <v>6145.3</v>
      </c>
      <c r="L108" s="77"/>
      <c r="M108" s="78">
        <f t="shared" si="4"/>
        <v>6145.3</v>
      </c>
      <c r="N108" s="100"/>
      <c r="O108" s="77"/>
      <c r="P108" s="77"/>
      <c r="Q108" s="232">
        <f t="shared" si="3"/>
        <v>0</v>
      </c>
      <c r="R108" s="141"/>
    </row>
    <row r="109" spans="1:19" s="15" customFormat="1" x14ac:dyDescent="0.25">
      <c r="A109" s="229"/>
      <c r="B109" s="236" t="s">
        <v>502</v>
      </c>
      <c r="C109" s="181"/>
      <c r="D109" s="182"/>
      <c r="E109" s="183"/>
      <c r="F109" s="73" t="s">
        <v>511</v>
      </c>
      <c r="G109" s="235" t="s">
        <v>117</v>
      </c>
      <c r="H109" s="75">
        <v>3</v>
      </c>
      <c r="I109" s="76"/>
      <c r="J109" s="96"/>
      <c r="K109" s="77"/>
      <c r="L109" s="77"/>
      <c r="M109" s="78">
        <f t="shared" si="4"/>
        <v>0</v>
      </c>
      <c r="N109" s="100"/>
      <c r="O109" s="77"/>
      <c r="P109" s="77"/>
      <c r="Q109" s="232">
        <f t="shared" si="3"/>
        <v>0</v>
      </c>
      <c r="R109" s="141"/>
    </row>
    <row r="110" spans="1:19" s="13" customFormat="1" x14ac:dyDescent="0.25">
      <c r="A110" s="229"/>
      <c r="B110" s="62" t="s">
        <v>70</v>
      </c>
      <c r="C110" s="181" t="s">
        <v>17</v>
      </c>
      <c r="D110" s="182"/>
      <c r="E110" s="183" t="s">
        <v>20</v>
      </c>
      <c r="F110" s="73" t="s">
        <v>373</v>
      </c>
      <c r="G110" s="74" t="s">
        <v>112</v>
      </c>
      <c r="H110" s="75">
        <v>11</v>
      </c>
      <c r="I110" s="76">
        <v>8</v>
      </c>
      <c r="J110" s="96">
        <f>2+2+2+3</f>
        <v>9</v>
      </c>
      <c r="K110" s="77">
        <f>19498+3011.17+8156.45</f>
        <v>30665.62</v>
      </c>
      <c r="L110" s="77">
        <f>19498+3011.17</f>
        <v>22509.17</v>
      </c>
      <c r="M110" s="78">
        <f>K110-L110</f>
        <v>8156.4500000000007</v>
      </c>
      <c r="N110" s="100">
        <f>2+3+4+2</f>
        <v>11</v>
      </c>
      <c r="O110" s="81">
        <f>7606.2+16795.84</f>
        <v>24402.04</v>
      </c>
      <c r="P110" s="81">
        <f>7606.2+16795.84</f>
        <v>24402.04</v>
      </c>
      <c r="Q110" s="79">
        <f t="shared" si="3"/>
        <v>0</v>
      </c>
      <c r="R110" s="141"/>
    </row>
    <row r="111" spans="1:19" s="13" customFormat="1" x14ac:dyDescent="0.25">
      <c r="A111" s="229"/>
      <c r="B111" s="62" t="s">
        <v>70</v>
      </c>
      <c r="C111" s="181" t="s">
        <v>17</v>
      </c>
      <c r="D111" s="182"/>
      <c r="E111" s="183" t="s">
        <v>20</v>
      </c>
      <c r="F111" s="73" t="s">
        <v>460</v>
      </c>
      <c r="G111" s="230" t="s">
        <v>114</v>
      </c>
      <c r="H111" s="181">
        <v>31</v>
      </c>
      <c r="I111" s="231">
        <v>11</v>
      </c>
      <c r="J111" s="190">
        <v>11</v>
      </c>
      <c r="K111" s="77">
        <v>14541.97</v>
      </c>
      <c r="L111" s="77">
        <v>14541.97</v>
      </c>
      <c r="M111" s="187">
        <f t="shared" ref="M111" si="6">K111-L111</f>
        <v>0</v>
      </c>
      <c r="N111" s="100">
        <v>31</v>
      </c>
      <c r="O111" s="224">
        <v>67328.240000000005</v>
      </c>
      <c r="P111" s="224">
        <v>67328.240000000005</v>
      </c>
      <c r="Q111" s="232">
        <f t="shared" si="3"/>
        <v>0</v>
      </c>
    </row>
    <row r="112" spans="1:19" s="15" customFormat="1" x14ac:dyDescent="0.25">
      <c r="A112" s="229"/>
      <c r="B112" s="62" t="s">
        <v>71</v>
      </c>
      <c r="C112" s="181" t="s">
        <v>17</v>
      </c>
      <c r="D112" s="182"/>
      <c r="E112" s="183" t="s">
        <v>32</v>
      </c>
      <c r="F112" s="73" t="s">
        <v>374</v>
      </c>
      <c r="G112" s="74" t="s">
        <v>112</v>
      </c>
      <c r="H112" s="75">
        <v>16</v>
      </c>
      <c r="I112" s="76">
        <v>10</v>
      </c>
      <c r="J112" s="96">
        <f>3+1+2+1+1+3</f>
        <v>11</v>
      </c>
      <c r="K112" s="77">
        <f>1536.8+461.04+1748.88+633.93+3169.65+2435.83</f>
        <v>9986.130000000001</v>
      </c>
      <c r="L112" s="77">
        <f>1536.8+461.04+1748.88+633.93+3169.65</f>
        <v>7550.3000000000011</v>
      </c>
      <c r="M112" s="78">
        <f>K112-L112</f>
        <v>2435.83</v>
      </c>
      <c r="N112" s="100">
        <f>3+2+1+1+2+1</f>
        <v>10</v>
      </c>
      <c r="O112" s="81">
        <f>9567.93+3616.67+403.41+14275.52+10922.18+12907.41</f>
        <v>51693.119999999995</v>
      </c>
      <c r="P112" s="81">
        <f>9567.93+3616.67+403.41+14275.52+10922.18</f>
        <v>38785.71</v>
      </c>
      <c r="Q112" s="79">
        <f t="shared" si="3"/>
        <v>12907.409999999996</v>
      </c>
      <c r="R112" s="141"/>
      <c r="S112" s="36"/>
    </row>
    <row r="113" spans="1:18" s="15" customFormat="1" x14ac:dyDescent="0.25">
      <c r="A113" s="229"/>
      <c r="B113" s="62" t="s">
        <v>71</v>
      </c>
      <c r="C113" s="181" t="s">
        <v>17</v>
      </c>
      <c r="D113" s="182"/>
      <c r="E113" s="183" t="s">
        <v>32</v>
      </c>
      <c r="F113" s="73" t="s">
        <v>431</v>
      </c>
      <c r="G113" s="230" t="s">
        <v>115</v>
      </c>
      <c r="H113" s="181">
        <v>6</v>
      </c>
      <c r="I113" s="231">
        <v>4</v>
      </c>
      <c r="J113" s="96">
        <v>4</v>
      </c>
      <c r="K113" s="237">
        <v>6627.45</v>
      </c>
      <c r="L113" s="237">
        <v>6627.45</v>
      </c>
      <c r="M113" s="187">
        <f t="shared" si="4"/>
        <v>0</v>
      </c>
      <c r="N113" s="114">
        <f>5</f>
        <v>5</v>
      </c>
      <c r="O113" s="77">
        <v>6595.5</v>
      </c>
      <c r="P113" s="77">
        <v>6595.5</v>
      </c>
      <c r="Q113" s="232">
        <f t="shared" si="3"/>
        <v>0</v>
      </c>
    </row>
    <row r="114" spans="1:18" s="13" customFormat="1" x14ac:dyDescent="0.25">
      <c r="A114" s="229"/>
      <c r="B114" s="62" t="s">
        <v>319</v>
      </c>
      <c r="C114" s="181" t="s">
        <v>17</v>
      </c>
      <c r="D114" s="182"/>
      <c r="E114" s="183" t="s">
        <v>20</v>
      </c>
      <c r="F114" s="73" t="s">
        <v>375</v>
      </c>
      <c r="G114" s="74" t="s">
        <v>112</v>
      </c>
      <c r="H114" s="75">
        <v>27</v>
      </c>
      <c r="I114" s="76">
        <v>21</v>
      </c>
      <c r="J114" s="96">
        <f>2+1+4+3+6+2+7</f>
        <v>25</v>
      </c>
      <c r="K114" s="77">
        <f>710.77+1523.35+6753.23+7215.52+1437.48+28056.52+6091.99</f>
        <v>51788.859999999993</v>
      </c>
      <c r="L114" s="77">
        <f>710.77+1523.35+6753.23+7215.52+1437.48</f>
        <v>17640.349999999999</v>
      </c>
      <c r="M114" s="78">
        <f t="shared" si="4"/>
        <v>34148.509999999995</v>
      </c>
      <c r="N114" s="100">
        <f>3+1+2+1+2</f>
        <v>9</v>
      </c>
      <c r="O114" s="77">
        <f>13419.94+726.71+2846.77+3770.56+4653.31</f>
        <v>25417.290000000005</v>
      </c>
      <c r="P114" s="77">
        <f>13419.94+726.71+2846.77+3770.56</f>
        <v>20763.980000000003</v>
      </c>
      <c r="Q114" s="79">
        <f>O114-P114</f>
        <v>4653.3100000000013</v>
      </c>
      <c r="R114" s="141"/>
    </row>
    <row r="115" spans="1:18" s="15" customFormat="1" x14ac:dyDescent="0.25">
      <c r="A115" s="229"/>
      <c r="B115" s="62" t="s">
        <v>150</v>
      </c>
      <c r="C115" s="181" t="s">
        <v>17</v>
      </c>
      <c r="D115" s="182"/>
      <c r="E115" s="183" t="s">
        <v>35</v>
      </c>
      <c r="F115" s="73" t="s">
        <v>376</v>
      </c>
      <c r="G115" s="74" t="s">
        <v>112</v>
      </c>
      <c r="H115" s="75">
        <v>21</v>
      </c>
      <c r="I115" s="76">
        <v>7</v>
      </c>
      <c r="J115" s="96">
        <f>1+1+2+2+1</f>
        <v>7</v>
      </c>
      <c r="K115" s="77">
        <f>1343.65+384.2+1690.4+4889.84</f>
        <v>8308.09</v>
      </c>
      <c r="L115" s="77">
        <f>1343.65+384.2+1690.4+4889.84</f>
        <v>8308.09</v>
      </c>
      <c r="M115" s="78">
        <f t="shared" si="4"/>
        <v>0</v>
      </c>
      <c r="N115" s="114">
        <f>8+1+1+2+3+1+1+1</f>
        <v>18</v>
      </c>
      <c r="O115" s="77">
        <f>5997.32+3719.39+3054.34+13138.17+6578.46+6198.68</f>
        <v>38686.36</v>
      </c>
      <c r="P115" s="77">
        <f>5997.32+3719.39+3054.34+13138.17+6578.46+6198.68</f>
        <v>38686.36</v>
      </c>
      <c r="Q115" s="79">
        <f t="shared" si="3"/>
        <v>0</v>
      </c>
      <c r="R115" s="141"/>
    </row>
    <row r="116" spans="1:18" s="15" customFormat="1" x14ac:dyDescent="0.25">
      <c r="A116" s="229"/>
      <c r="B116" s="233" t="s">
        <v>150</v>
      </c>
      <c r="C116" s="181" t="s">
        <v>17</v>
      </c>
      <c r="D116" s="182"/>
      <c r="E116" s="183" t="s">
        <v>32</v>
      </c>
      <c r="F116" s="73" t="s">
        <v>487</v>
      </c>
      <c r="G116" s="230" t="s">
        <v>117</v>
      </c>
      <c r="H116" s="181">
        <v>2</v>
      </c>
      <c r="I116" s="231">
        <v>2</v>
      </c>
      <c r="J116" s="96">
        <v>2</v>
      </c>
      <c r="K116" s="77">
        <v>6823.8</v>
      </c>
      <c r="L116" s="77">
        <v>6823.8</v>
      </c>
      <c r="M116" s="187">
        <f t="shared" si="4"/>
        <v>0</v>
      </c>
      <c r="N116" s="100">
        <v>2</v>
      </c>
      <c r="O116" s="77">
        <v>8240.2000000000007</v>
      </c>
      <c r="P116" s="77">
        <v>8240.2000000000007</v>
      </c>
      <c r="Q116" s="232">
        <f t="shared" si="3"/>
        <v>0</v>
      </c>
    </row>
    <row r="117" spans="1:18" s="13" customFormat="1" x14ac:dyDescent="0.25">
      <c r="A117" s="229"/>
      <c r="B117" s="30" t="s">
        <v>72</v>
      </c>
      <c r="C117" s="181" t="s">
        <v>17</v>
      </c>
      <c r="D117" s="182"/>
      <c r="E117" s="183" t="s">
        <v>21</v>
      </c>
      <c r="F117" s="73" t="s">
        <v>377</v>
      </c>
      <c r="G117" s="74" t="s">
        <v>112</v>
      </c>
      <c r="H117" s="75">
        <v>19</v>
      </c>
      <c r="I117" s="76">
        <v>9</v>
      </c>
      <c r="J117" s="96">
        <f>1+1+1+1+6+2</f>
        <v>12</v>
      </c>
      <c r="K117" s="77">
        <f>633.93+1415.78+1610.18+1394.65+18140.86+2440.63</f>
        <v>25636.030000000002</v>
      </c>
      <c r="L117" s="77">
        <f>633.93+1415.78+1610.18+1394.65+18140.86</f>
        <v>23195.4</v>
      </c>
      <c r="M117" s="78">
        <f>K117-L117</f>
        <v>2440.630000000001</v>
      </c>
      <c r="N117" s="100">
        <f>1+3+1+1+1+3+1+3</f>
        <v>14</v>
      </c>
      <c r="O117" s="81">
        <f>1950.74+10237.13+6595.95+3861.21+1348.53+10328.94+50451.86-19567+15859.78</f>
        <v>81067.14</v>
      </c>
      <c r="P117" s="81">
        <f>1950.74+10237.13+6595.95+3861.21+1348.53+10328.94+50451.86-19567+15859.78</f>
        <v>81067.14</v>
      </c>
      <c r="Q117" s="79">
        <f t="shared" si="3"/>
        <v>0</v>
      </c>
      <c r="R117" s="141"/>
    </row>
    <row r="118" spans="1:18" s="13" customFormat="1" x14ac:dyDescent="0.25">
      <c r="A118" s="229"/>
      <c r="B118" s="30" t="s">
        <v>72</v>
      </c>
      <c r="C118" s="181" t="s">
        <v>17</v>
      </c>
      <c r="D118" s="182"/>
      <c r="E118" s="183" t="s">
        <v>21</v>
      </c>
      <c r="F118" s="73" t="s">
        <v>441</v>
      </c>
      <c r="G118" s="230" t="s">
        <v>118</v>
      </c>
      <c r="H118" s="181">
        <v>6</v>
      </c>
      <c r="I118" s="231">
        <v>1</v>
      </c>
      <c r="J118" s="96">
        <v>1</v>
      </c>
      <c r="K118" s="77">
        <v>1728.9</v>
      </c>
      <c r="L118" s="77">
        <v>1728.9</v>
      </c>
      <c r="M118" s="187">
        <f t="shared" si="4"/>
        <v>0</v>
      </c>
      <c r="N118" s="100">
        <v>13</v>
      </c>
      <c r="O118" s="224">
        <v>45577.03</v>
      </c>
      <c r="P118" s="224">
        <v>45577.03</v>
      </c>
      <c r="Q118" s="232">
        <f t="shared" si="3"/>
        <v>0</v>
      </c>
    </row>
    <row r="119" spans="1:18" s="15" customFormat="1" x14ac:dyDescent="0.25">
      <c r="A119" s="229"/>
      <c r="B119" s="30" t="s">
        <v>73</v>
      </c>
      <c r="C119" s="181" t="s">
        <v>17</v>
      </c>
      <c r="D119" s="182"/>
      <c r="E119" s="183" t="s">
        <v>74</v>
      </c>
      <c r="F119" s="73" t="s">
        <v>378</v>
      </c>
      <c r="G119" s="74" t="s">
        <v>112</v>
      </c>
      <c r="H119" s="75">
        <v>28</v>
      </c>
      <c r="I119" s="76">
        <v>23</v>
      </c>
      <c r="J119" s="96">
        <f>9+8+2+2+10+1+6</f>
        <v>38</v>
      </c>
      <c r="K119" s="77">
        <f>6305.33+12574.83+14899.84+13657.06</f>
        <v>47437.06</v>
      </c>
      <c r="L119" s="77">
        <f>6305.33+12574.83+14899.84</f>
        <v>33780</v>
      </c>
      <c r="M119" s="78">
        <f>K119-L119</f>
        <v>13657.059999999998</v>
      </c>
      <c r="N119" s="100">
        <f>5+3+3+1+1+2</f>
        <v>15</v>
      </c>
      <c r="O119" s="81">
        <f>5416.39+9506.99+12269.39+7610.68+1928.68</f>
        <v>36732.129999999997</v>
      </c>
      <c r="P119" s="81">
        <f>5416.39+9506.99+12269.39+7610.68+1928.68</f>
        <v>36732.129999999997</v>
      </c>
      <c r="Q119" s="79">
        <f t="shared" si="3"/>
        <v>0</v>
      </c>
      <c r="R119" s="141"/>
    </row>
    <row r="120" spans="1:18" s="15" customFormat="1" x14ac:dyDescent="0.25">
      <c r="A120" s="229"/>
      <c r="B120" s="30" t="s">
        <v>73</v>
      </c>
      <c r="C120" s="181" t="s">
        <v>17</v>
      </c>
      <c r="D120" s="182"/>
      <c r="E120" s="183" t="s">
        <v>74</v>
      </c>
      <c r="F120" s="73" t="s">
        <v>282</v>
      </c>
      <c r="G120" s="230" t="s">
        <v>114</v>
      </c>
      <c r="H120" s="181"/>
      <c r="I120" s="231"/>
      <c r="J120" s="190"/>
      <c r="K120" s="77"/>
      <c r="L120" s="77"/>
      <c r="M120" s="187">
        <f t="shared" ref="M120" si="7">K120-L120</f>
        <v>0</v>
      </c>
      <c r="N120" s="100">
        <v>1</v>
      </c>
      <c r="O120" s="224">
        <v>1728.9</v>
      </c>
      <c r="P120" s="224">
        <v>1728.9</v>
      </c>
      <c r="Q120" s="232">
        <f t="shared" si="3"/>
        <v>0</v>
      </c>
    </row>
    <row r="121" spans="1:18" s="13" customFormat="1" x14ac:dyDescent="0.25">
      <c r="A121" s="229"/>
      <c r="B121" s="30" t="s">
        <v>135</v>
      </c>
      <c r="C121" s="181" t="s">
        <v>17</v>
      </c>
      <c r="D121" s="182"/>
      <c r="E121" s="194" t="s">
        <v>35</v>
      </c>
      <c r="F121" s="73" t="s">
        <v>379</v>
      </c>
      <c r="G121" s="74" t="s">
        <v>112</v>
      </c>
      <c r="H121" s="75">
        <v>27</v>
      </c>
      <c r="I121" s="76">
        <v>17</v>
      </c>
      <c r="J121" s="96">
        <f>1+6+5+3+3</f>
        <v>18</v>
      </c>
      <c r="K121" s="77">
        <f>697.32+4374.12+5747.44+4426.94+15712.05</f>
        <v>30957.87</v>
      </c>
      <c r="L121" s="77">
        <f>697.32+4374.12+5747.44+1891.22</f>
        <v>12710.099999999999</v>
      </c>
      <c r="M121" s="78">
        <f>K121-L121</f>
        <v>18247.77</v>
      </c>
      <c r="N121" s="100">
        <f>2+5+1+2+2+2</f>
        <v>14</v>
      </c>
      <c r="O121" s="81">
        <f>6432.89+2283.68+4932.13</f>
        <v>13648.7</v>
      </c>
      <c r="P121" s="81">
        <f>6432.89+2283.68+4932.13</f>
        <v>13648.7</v>
      </c>
      <c r="Q121" s="232">
        <f t="shared" si="3"/>
        <v>0</v>
      </c>
      <c r="R121" s="141"/>
    </row>
    <row r="122" spans="1:18" s="13" customFormat="1" x14ac:dyDescent="0.25">
      <c r="A122" s="229"/>
      <c r="B122" s="30" t="s">
        <v>135</v>
      </c>
      <c r="C122" s="181" t="s">
        <v>17</v>
      </c>
      <c r="D122" s="182"/>
      <c r="E122" s="194" t="s">
        <v>35</v>
      </c>
      <c r="F122" s="73" t="s">
        <v>432</v>
      </c>
      <c r="G122" s="230" t="s">
        <v>115</v>
      </c>
      <c r="H122" s="181"/>
      <c r="I122" s="231"/>
      <c r="J122" s="96"/>
      <c r="K122" s="77"/>
      <c r="L122" s="77"/>
      <c r="M122" s="78">
        <f t="shared" si="4"/>
        <v>0</v>
      </c>
      <c r="N122" s="100">
        <v>1</v>
      </c>
      <c r="O122" s="224">
        <v>2689.4</v>
      </c>
      <c r="P122" s="224">
        <v>2689.4</v>
      </c>
      <c r="Q122" s="79">
        <f t="shared" si="3"/>
        <v>0</v>
      </c>
    </row>
    <row r="123" spans="1:18" s="13" customFormat="1" x14ac:dyDescent="0.25">
      <c r="A123" s="229"/>
      <c r="B123" s="30" t="s">
        <v>145</v>
      </c>
      <c r="C123" s="181" t="s">
        <v>17</v>
      </c>
      <c r="D123" s="182"/>
      <c r="E123" s="194" t="s">
        <v>20</v>
      </c>
      <c r="F123" s="73" t="s">
        <v>380</v>
      </c>
      <c r="G123" s="74" t="s">
        <v>112</v>
      </c>
      <c r="H123" s="75">
        <v>14</v>
      </c>
      <c r="I123" s="82">
        <v>11</v>
      </c>
      <c r="J123" s="96">
        <f>2+1+1+2+2+5+3</f>
        <v>16</v>
      </c>
      <c r="K123" s="77">
        <f>5169.72+1100+538.84+4293.82+3949.22+3361.76</f>
        <v>18413.36</v>
      </c>
      <c r="L123" s="77">
        <f>5169.72+1100+538.84+4293.82+3949.22+3361.76</f>
        <v>18413.36</v>
      </c>
      <c r="M123" s="78">
        <f>K123-L123</f>
        <v>0</v>
      </c>
      <c r="N123" s="100">
        <f>1+1+2+1+2</f>
        <v>7</v>
      </c>
      <c r="O123" s="81">
        <f>5120.23+3915.15+1114.12</f>
        <v>10149.5</v>
      </c>
      <c r="P123" s="81">
        <f>5120.23+3915.15+1114.12</f>
        <v>10149.5</v>
      </c>
      <c r="Q123" s="232">
        <f t="shared" si="3"/>
        <v>0</v>
      </c>
      <c r="R123" s="141"/>
    </row>
    <row r="124" spans="1:18" s="13" customFormat="1" x14ac:dyDescent="0.25">
      <c r="A124" s="229"/>
      <c r="B124" s="30" t="s">
        <v>145</v>
      </c>
      <c r="C124" s="181" t="s">
        <v>17</v>
      </c>
      <c r="D124" s="182"/>
      <c r="E124" s="194" t="s">
        <v>20</v>
      </c>
      <c r="F124" s="73" t="s">
        <v>461</v>
      </c>
      <c r="G124" s="230" t="s">
        <v>114</v>
      </c>
      <c r="H124" s="181">
        <v>5</v>
      </c>
      <c r="I124" s="231">
        <v>1</v>
      </c>
      <c r="J124" s="190">
        <v>1</v>
      </c>
      <c r="K124" s="77">
        <v>1921</v>
      </c>
      <c r="L124" s="77"/>
      <c r="M124" s="187">
        <f t="shared" ref="M124" si="8">K124-L124</f>
        <v>1921</v>
      </c>
      <c r="N124" s="100">
        <v>10</v>
      </c>
      <c r="O124" s="224">
        <v>21300.400000000001</v>
      </c>
      <c r="P124" s="224">
        <v>19379.400000000001</v>
      </c>
      <c r="Q124" s="232">
        <f t="shared" si="3"/>
        <v>1921</v>
      </c>
    </row>
    <row r="125" spans="1:18" s="13" customFormat="1" x14ac:dyDescent="0.25">
      <c r="A125" s="229"/>
      <c r="B125" s="62" t="s">
        <v>76</v>
      </c>
      <c r="C125" s="181" t="s">
        <v>17</v>
      </c>
      <c r="D125" s="182"/>
      <c r="E125" s="183" t="s">
        <v>20</v>
      </c>
      <c r="F125" s="73" t="s">
        <v>381</v>
      </c>
      <c r="G125" s="74" t="s">
        <v>112</v>
      </c>
      <c r="H125" s="75">
        <v>21</v>
      </c>
      <c r="I125" s="76">
        <v>15</v>
      </c>
      <c r="J125" s="96">
        <f>1+6+3+1+3+1+2+2</f>
        <v>19</v>
      </c>
      <c r="K125" s="77">
        <f>6556.06+2806.39+2697.06+1267.86+11775.51+1557.35+2113.1</f>
        <v>28773.329999999998</v>
      </c>
      <c r="L125" s="77">
        <f>6556.06+2806.39+2697.06+1267.86+11775.51+1557.35+2113.1</f>
        <v>28773.329999999998</v>
      </c>
      <c r="M125" s="78">
        <f>K125-L125</f>
        <v>0</v>
      </c>
      <c r="N125" s="100">
        <f>5+6+2+1+1+1</f>
        <v>16</v>
      </c>
      <c r="O125" s="81">
        <f>11527.9+19846.52+1011.91+9641+2451.87+10072.83+11307.66+2243.83</f>
        <v>68103.520000000004</v>
      </c>
      <c r="P125" s="81">
        <f>11527.9+19846.52+1011.91+9641+2451.87+10072.83+11307.66+2243.83</f>
        <v>68103.520000000004</v>
      </c>
      <c r="Q125" s="232">
        <f t="shared" si="3"/>
        <v>0</v>
      </c>
      <c r="R125" s="141"/>
    </row>
    <row r="126" spans="1:18" s="13" customFormat="1" x14ac:dyDescent="0.25">
      <c r="A126" s="229"/>
      <c r="B126" s="62" t="s">
        <v>76</v>
      </c>
      <c r="C126" s="181" t="s">
        <v>17</v>
      </c>
      <c r="D126" s="182"/>
      <c r="E126" s="183" t="s">
        <v>20</v>
      </c>
      <c r="F126" s="73" t="s">
        <v>462</v>
      </c>
      <c r="G126" s="230" t="s">
        <v>114</v>
      </c>
      <c r="H126" s="181">
        <v>11</v>
      </c>
      <c r="I126" s="231">
        <v>1</v>
      </c>
      <c r="J126" s="190">
        <v>1</v>
      </c>
      <c r="K126" s="77">
        <v>2113.1</v>
      </c>
      <c r="L126" s="77">
        <v>2113.1</v>
      </c>
      <c r="M126" s="187">
        <f t="shared" ref="M126" si="9">K126-L126</f>
        <v>0</v>
      </c>
      <c r="N126" s="100">
        <v>8</v>
      </c>
      <c r="O126" s="224">
        <v>27398.29</v>
      </c>
      <c r="P126" s="224">
        <v>27398.29</v>
      </c>
      <c r="Q126" s="232">
        <f t="shared" si="3"/>
        <v>0</v>
      </c>
    </row>
    <row r="127" spans="1:18" s="13" customFormat="1" x14ac:dyDescent="0.25">
      <c r="A127" s="229"/>
      <c r="B127" s="30" t="s">
        <v>77</v>
      </c>
      <c r="C127" s="181" t="s">
        <v>17</v>
      </c>
      <c r="D127" s="182"/>
      <c r="E127" s="183" t="s">
        <v>32</v>
      </c>
      <c r="F127" s="73" t="s">
        <v>388</v>
      </c>
      <c r="G127" s="74" t="s">
        <v>112</v>
      </c>
      <c r="H127" s="75">
        <v>15</v>
      </c>
      <c r="I127" s="76">
        <v>8</v>
      </c>
      <c r="J127" s="96">
        <f>2+2+2+6+1+1</f>
        <v>14</v>
      </c>
      <c r="K127" s="77">
        <f>2440.63+1507.02+2101.48+13625.7</f>
        <v>19674.830000000002</v>
      </c>
      <c r="L127" s="77">
        <f>2440.63+1507.02+2101.48+13625.7</f>
        <v>19674.830000000002</v>
      </c>
      <c r="M127" s="78">
        <f>K127-L127</f>
        <v>0</v>
      </c>
      <c r="N127" s="100">
        <f>5+2+3+3+1+1</f>
        <v>15</v>
      </c>
      <c r="O127" s="81">
        <f>11716.73+6848.82+4046.18+11166.34+8845.95</f>
        <v>42624.020000000004</v>
      </c>
      <c r="P127" s="81">
        <f>11716.73+6848.82+4046.18+11166.34+8845.95</f>
        <v>42624.020000000004</v>
      </c>
      <c r="Q127" s="232">
        <f t="shared" si="3"/>
        <v>0</v>
      </c>
      <c r="R127" s="141"/>
    </row>
    <row r="128" spans="1:18" s="13" customFormat="1" x14ac:dyDescent="0.25">
      <c r="A128" s="229"/>
      <c r="B128" s="30" t="s">
        <v>77</v>
      </c>
      <c r="C128" s="181" t="s">
        <v>17</v>
      </c>
      <c r="D128" s="182"/>
      <c r="E128" s="183" t="s">
        <v>32</v>
      </c>
      <c r="F128" s="73" t="s">
        <v>433</v>
      </c>
      <c r="G128" s="230" t="s">
        <v>117</v>
      </c>
      <c r="H128" s="181">
        <v>1</v>
      </c>
      <c r="I128" s="231">
        <v>1</v>
      </c>
      <c r="J128" s="96">
        <v>1</v>
      </c>
      <c r="K128" s="77">
        <v>1921</v>
      </c>
      <c r="L128" s="77">
        <v>1921</v>
      </c>
      <c r="M128" s="78">
        <f t="shared" si="4"/>
        <v>0</v>
      </c>
      <c r="N128" s="100">
        <v>6</v>
      </c>
      <c r="O128" s="224">
        <v>18164.11</v>
      </c>
      <c r="P128" s="224">
        <v>18164.11</v>
      </c>
      <c r="Q128" s="79">
        <f t="shared" si="3"/>
        <v>0</v>
      </c>
    </row>
    <row r="129" spans="1:18" s="13" customFormat="1" x14ac:dyDescent="0.25">
      <c r="A129" s="229"/>
      <c r="B129" s="30" t="s">
        <v>321</v>
      </c>
      <c r="C129" s="181" t="s">
        <v>17</v>
      </c>
      <c r="D129" s="182"/>
      <c r="E129" s="183" t="s">
        <v>21</v>
      </c>
      <c r="F129" s="73" t="s">
        <v>489</v>
      </c>
      <c r="G129" s="230" t="s">
        <v>112</v>
      </c>
      <c r="H129" s="181">
        <v>5</v>
      </c>
      <c r="I129" s="231">
        <v>1</v>
      </c>
      <c r="J129" s="96">
        <f>1</f>
        <v>1</v>
      </c>
      <c r="K129" s="77">
        <f>2547.89</f>
        <v>2547.89</v>
      </c>
      <c r="L129" s="77"/>
      <c r="M129" s="78">
        <f t="shared" si="4"/>
        <v>2547.89</v>
      </c>
      <c r="N129" s="100"/>
      <c r="O129" s="224"/>
      <c r="P129" s="224"/>
      <c r="Q129" s="79">
        <f t="shared" si="3"/>
        <v>0</v>
      </c>
      <c r="R129" s="141"/>
    </row>
    <row r="130" spans="1:18" s="13" customFormat="1" ht="30" x14ac:dyDescent="0.25">
      <c r="A130" s="229"/>
      <c r="B130" s="62" t="s">
        <v>79</v>
      </c>
      <c r="C130" s="181" t="s">
        <v>304</v>
      </c>
      <c r="D130" s="182" t="s">
        <v>385</v>
      </c>
      <c r="E130" s="183" t="s">
        <v>18</v>
      </c>
      <c r="F130" s="73" t="s">
        <v>389</v>
      </c>
      <c r="G130" s="74" t="s">
        <v>112</v>
      </c>
      <c r="H130" s="75">
        <v>14</v>
      </c>
      <c r="I130" s="76">
        <v>11</v>
      </c>
      <c r="J130" s="96">
        <f>2+5+2+3+2</f>
        <v>14</v>
      </c>
      <c r="K130" s="77">
        <f>2091.97+3190.2+5703.08+6368.88+4029.68</f>
        <v>21383.81</v>
      </c>
      <c r="L130" s="77">
        <f>2091.97+3190.2+5703.08+6368.88+4029.68</f>
        <v>21383.81</v>
      </c>
      <c r="M130" s="78">
        <f t="shared" si="4"/>
        <v>0</v>
      </c>
      <c r="N130" s="100">
        <f>2+2+1+2+1+1</f>
        <v>9</v>
      </c>
      <c r="O130" s="81">
        <f>1547.4+4166.12+7835.61+1675.01+4717.63+6039.62+18829.39</f>
        <v>44810.78</v>
      </c>
      <c r="P130" s="81">
        <f>1547.4+4166.12+7835.61+1675.01+4717.63+6039.62+18829.39</f>
        <v>44810.78</v>
      </c>
      <c r="Q130" s="232">
        <f t="shared" si="3"/>
        <v>0</v>
      </c>
      <c r="R130" s="141"/>
    </row>
    <row r="131" spans="1:18" s="13" customFormat="1" ht="30" x14ac:dyDescent="0.25">
      <c r="A131" s="229"/>
      <c r="B131" s="62" t="s">
        <v>79</v>
      </c>
      <c r="C131" s="181" t="s">
        <v>304</v>
      </c>
      <c r="D131" s="182" t="s">
        <v>475</v>
      </c>
      <c r="E131" s="183" t="s">
        <v>18</v>
      </c>
      <c r="F131" s="73" t="s">
        <v>329</v>
      </c>
      <c r="G131" s="230" t="s">
        <v>113</v>
      </c>
      <c r="H131" s="181">
        <v>39</v>
      </c>
      <c r="I131" s="234">
        <v>15</v>
      </c>
      <c r="J131" s="98">
        <v>17</v>
      </c>
      <c r="K131" s="224">
        <v>27151</v>
      </c>
      <c r="L131" s="224">
        <v>21353</v>
      </c>
      <c r="M131" s="78">
        <f t="shared" si="4"/>
        <v>5798</v>
      </c>
      <c r="N131" s="100">
        <v>15</v>
      </c>
      <c r="O131" s="224">
        <v>54906</v>
      </c>
      <c r="P131" s="224">
        <v>54906</v>
      </c>
      <c r="Q131" s="79">
        <f t="shared" si="3"/>
        <v>0</v>
      </c>
    </row>
    <row r="132" spans="1:18" s="13" customFormat="1" x14ac:dyDescent="0.25">
      <c r="A132" s="229"/>
      <c r="B132" s="62" t="s">
        <v>151</v>
      </c>
      <c r="C132" s="181" t="s">
        <v>17</v>
      </c>
      <c r="D132" s="182"/>
      <c r="E132" s="183" t="s">
        <v>32</v>
      </c>
      <c r="F132" s="73" t="s">
        <v>390</v>
      </c>
      <c r="G132" s="74" t="s">
        <v>112</v>
      </c>
      <c r="H132" s="75">
        <v>46</v>
      </c>
      <c r="I132" s="82">
        <v>27</v>
      </c>
      <c r="J132" s="96">
        <f>1+3+3+5+3+9+4+6+3</f>
        <v>37</v>
      </c>
      <c r="K132" s="81">
        <f>2317+4640.19+5864.19+10765+12519.53+4514.35+14486.46</f>
        <v>55106.719999999994</v>
      </c>
      <c r="L132" s="81">
        <f>2317+4640.19+5864.19+10765+12519.53</f>
        <v>36105.909999999996</v>
      </c>
      <c r="M132" s="78">
        <f>K132-L132</f>
        <v>19000.809999999998</v>
      </c>
      <c r="N132" s="100">
        <f>9+3+5+1+4+4</f>
        <v>26</v>
      </c>
      <c r="O132" s="81">
        <f>10726.94+18822.65+5703.53+12846.53+1320.36+4050.1+22728.38</f>
        <v>76198.490000000005</v>
      </c>
      <c r="P132" s="81">
        <f>10726.94+18822.65+5703.53+12846.53+1320.36+4050.1+22728.38</f>
        <v>76198.490000000005</v>
      </c>
      <c r="Q132" s="232">
        <f t="shared" si="3"/>
        <v>0</v>
      </c>
      <c r="R132" s="141"/>
    </row>
    <row r="133" spans="1:18" s="13" customFormat="1" x14ac:dyDescent="0.25">
      <c r="A133" s="229"/>
      <c r="B133" s="62" t="s">
        <v>151</v>
      </c>
      <c r="C133" s="181" t="s">
        <v>17</v>
      </c>
      <c r="D133" s="182"/>
      <c r="E133" s="183" t="s">
        <v>32</v>
      </c>
      <c r="F133" s="73" t="s">
        <v>434</v>
      </c>
      <c r="G133" s="230" t="s">
        <v>117</v>
      </c>
      <c r="H133" s="181">
        <v>11</v>
      </c>
      <c r="I133" s="231">
        <v>1</v>
      </c>
      <c r="J133" s="96">
        <v>1</v>
      </c>
      <c r="K133" s="77"/>
      <c r="L133" s="77"/>
      <c r="M133" s="78">
        <f t="shared" si="4"/>
        <v>0</v>
      </c>
      <c r="N133" s="100">
        <v>13</v>
      </c>
      <c r="O133" s="224">
        <v>24537.7</v>
      </c>
      <c r="P133" s="224">
        <v>24537.7</v>
      </c>
      <c r="Q133" s="79">
        <f t="shared" si="3"/>
        <v>0</v>
      </c>
    </row>
    <row r="134" spans="1:18" s="13" customFormat="1" x14ac:dyDescent="0.25">
      <c r="A134" s="229"/>
      <c r="B134" s="62" t="s">
        <v>80</v>
      </c>
      <c r="C134" s="181" t="s">
        <v>17</v>
      </c>
      <c r="D134" s="182"/>
      <c r="E134" s="183" t="s">
        <v>81</v>
      </c>
      <c r="F134" s="73" t="s">
        <v>417</v>
      </c>
      <c r="G134" s="74" t="s">
        <v>112</v>
      </c>
      <c r="H134" s="75"/>
      <c r="I134" s="76"/>
      <c r="J134" s="96"/>
      <c r="K134" s="77">
        <f>749.19+8649.27</f>
        <v>9398.4600000000009</v>
      </c>
      <c r="L134" s="77">
        <f>749.19+8649.27</f>
        <v>9398.4600000000009</v>
      </c>
      <c r="M134" s="78">
        <f>K134-L134</f>
        <v>0</v>
      </c>
      <c r="N134" s="100">
        <f>2+2</f>
        <v>4</v>
      </c>
      <c r="O134" s="81">
        <f>3040.94</f>
        <v>3040.94</v>
      </c>
      <c r="P134" s="81">
        <f>3040.94</f>
        <v>3040.94</v>
      </c>
      <c r="Q134" s="232">
        <f t="shared" si="3"/>
        <v>0</v>
      </c>
      <c r="R134" s="141"/>
    </row>
    <row r="135" spans="1:18" s="13" customFormat="1" x14ac:dyDescent="0.25">
      <c r="A135" s="229"/>
      <c r="B135" s="62" t="s">
        <v>80</v>
      </c>
      <c r="C135" s="181" t="s">
        <v>17</v>
      </c>
      <c r="D135" s="182"/>
      <c r="E135" s="183" t="s">
        <v>81</v>
      </c>
      <c r="F135" s="73" t="s">
        <v>285</v>
      </c>
      <c r="G135" s="230" t="s">
        <v>114</v>
      </c>
      <c r="H135" s="181"/>
      <c r="I135" s="231"/>
      <c r="J135" s="190"/>
      <c r="K135" s="77"/>
      <c r="L135" s="77"/>
      <c r="M135" s="187">
        <f t="shared" ref="M135" si="10">K135-L135</f>
        <v>0</v>
      </c>
      <c r="N135" s="100">
        <v>23</v>
      </c>
      <c r="O135" s="224">
        <v>47615.74</v>
      </c>
      <c r="P135" s="224">
        <v>47615.74</v>
      </c>
      <c r="Q135" s="232">
        <f t="shared" si="3"/>
        <v>0</v>
      </c>
    </row>
    <row r="136" spans="1:18" s="13" customFormat="1" x14ac:dyDescent="0.25">
      <c r="A136" s="229"/>
      <c r="B136" s="30" t="s">
        <v>82</v>
      </c>
      <c r="C136" s="181" t="s">
        <v>17</v>
      </c>
      <c r="D136" s="182"/>
      <c r="E136" s="183" t="s">
        <v>20</v>
      </c>
      <c r="F136" s="73" t="s">
        <v>394</v>
      </c>
      <c r="G136" s="74" t="s">
        <v>112</v>
      </c>
      <c r="H136" s="75">
        <v>12</v>
      </c>
      <c r="I136" s="76">
        <v>10</v>
      </c>
      <c r="J136" s="96">
        <f>4+3+2+2+1</f>
        <v>12</v>
      </c>
      <c r="K136" s="77">
        <f>7750.47+2207.69</f>
        <v>9958.16</v>
      </c>
      <c r="L136" s="77">
        <f>7750.47</f>
        <v>7750.47</v>
      </c>
      <c r="M136" s="78">
        <f>K136-L136</f>
        <v>2207.6899999999996</v>
      </c>
      <c r="N136" s="100">
        <f>3+5+1+1+1</f>
        <v>11</v>
      </c>
      <c r="O136" s="81">
        <f>5975.84+23579.15+1426.34</f>
        <v>30981.33</v>
      </c>
      <c r="P136" s="81">
        <f>5975.84+23579.15+1426.34</f>
        <v>30981.33</v>
      </c>
      <c r="Q136" s="232">
        <f t="shared" si="3"/>
        <v>0</v>
      </c>
      <c r="R136" s="141"/>
    </row>
    <row r="137" spans="1:18" s="13" customFormat="1" x14ac:dyDescent="0.25">
      <c r="A137" s="229"/>
      <c r="B137" s="30" t="s">
        <v>82</v>
      </c>
      <c r="C137" s="181" t="s">
        <v>17</v>
      </c>
      <c r="D137" s="182"/>
      <c r="E137" s="183" t="s">
        <v>20</v>
      </c>
      <c r="F137" s="73" t="s">
        <v>463</v>
      </c>
      <c r="G137" s="230" t="s">
        <v>114</v>
      </c>
      <c r="H137" s="181">
        <v>18</v>
      </c>
      <c r="I137" s="231">
        <v>5</v>
      </c>
      <c r="J137" s="190">
        <v>5</v>
      </c>
      <c r="K137" s="77">
        <v>10181.299999999999</v>
      </c>
      <c r="L137" s="77">
        <v>10181.299999999999</v>
      </c>
      <c r="M137" s="187">
        <f t="shared" ref="M137" si="11">K137-L137</f>
        <v>0</v>
      </c>
      <c r="N137" s="100">
        <v>14</v>
      </c>
      <c r="O137" s="224">
        <v>48620.71</v>
      </c>
      <c r="P137" s="224">
        <v>48620.71</v>
      </c>
      <c r="Q137" s="232">
        <f t="shared" si="3"/>
        <v>0</v>
      </c>
    </row>
    <row r="138" spans="1:18" s="13" customFormat="1" x14ac:dyDescent="0.25">
      <c r="A138" s="229"/>
      <c r="B138" s="30" t="s">
        <v>309</v>
      </c>
      <c r="C138" s="181"/>
      <c r="D138" s="182"/>
      <c r="E138" s="183" t="s">
        <v>20</v>
      </c>
      <c r="F138" s="73" t="s">
        <v>391</v>
      </c>
      <c r="G138" s="230" t="s">
        <v>112</v>
      </c>
      <c r="H138" s="181">
        <v>13</v>
      </c>
      <c r="I138" s="231">
        <v>7</v>
      </c>
      <c r="J138" s="190">
        <f>1+5+2</f>
        <v>8</v>
      </c>
      <c r="K138" s="77">
        <f>3606.1+3402.77</f>
        <v>7008.87</v>
      </c>
      <c r="L138" s="77">
        <f>3606.1+3402.77</f>
        <v>7008.87</v>
      </c>
      <c r="M138" s="78">
        <f t="shared" si="4"/>
        <v>0</v>
      </c>
      <c r="N138" s="100">
        <f>1+5+1+3</f>
        <v>10</v>
      </c>
      <c r="O138" s="224">
        <f>3088.97+13147.65+1267.86+5955.71</f>
        <v>23460.19</v>
      </c>
      <c r="P138" s="224">
        <f>3088.97+13147.65+1267.86+5955.71</f>
        <v>23460.19</v>
      </c>
      <c r="Q138" s="232">
        <f t="shared" si="3"/>
        <v>0</v>
      </c>
      <c r="R138" s="141"/>
    </row>
    <row r="139" spans="1:18" s="13" customFormat="1" x14ac:dyDescent="0.25">
      <c r="A139" s="229"/>
      <c r="B139" s="30" t="s">
        <v>152</v>
      </c>
      <c r="C139" s="181" t="s">
        <v>17</v>
      </c>
      <c r="D139" s="182"/>
      <c r="E139" s="183" t="s">
        <v>35</v>
      </c>
      <c r="F139" s="73" t="s">
        <v>392</v>
      </c>
      <c r="G139" s="74" t="s">
        <v>112</v>
      </c>
      <c r="H139" s="75">
        <v>7</v>
      </c>
      <c r="I139" s="76">
        <v>6</v>
      </c>
      <c r="J139" s="96">
        <f>1+1+2+1+1+1</f>
        <v>7</v>
      </c>
      <c r="K139" s="77">
        <f>403.41+845.24+2113.1</f>
        <v>3361.75</v>
      </c>
      <c r="L139" s="77">
        <f>403.41+845.24+2113.1</f>
        <v>3361.75</v>
      </c>
      <c r="M139" s="78">
        <f t="shared" si="4"/>
        <v>0</v>
      </c>
      <c r="N139" s="100">
        <f>2+2+2+1+1+1+2</f>
        <v>11</v>
      </c>
      <c r="O139" s="81">
        <f>1690.48+3050.26+3661.61+4648.82+1267.86+1690.48+9282.42+4052.53</f>
        <v>29344.46</v>
      </c>
      <c r="P139" s="81">
        <f>1690.48+3050.26+3661.61+4648.82+1267.86+1690.48+9282.42+4052.53</f>
        <v>29344.46</v>
      </c>
      <c r="Q139" s="232">
        <f t="shared" si="3"/>
        <v>0</v>
      </c>
      <c r="R139" s="141"/>
    </row>
    <row r="140" spans="1:18" s="13" customFormat="1" x14ac:dyDescent="0.25">
      <c r="A140" s="229"/>
      <c r="B140" s="30" t="s">
        <v>83</v>
      </c>
      <c r="C140" s="181" t="s">
        <v>17</v>
      </c>
      <c r="D140" s="182"/>
      <c r="E140" s="183" t="s">
        <v>20</v>
      </c>
      <c r="F140" s="73" t="s">
        <v>393</v>
      </c>
      <c r="G140" s="74" t="s">
        <v>112</v>
      </c>
      <c r="H140" s="75">
        <v>12</v>
      </c>
      <c r="I140" s="76">
        <v>8</v>
      </c>
      <c r="J140" s="96">
        <f>1+1+2+1+1+1+1+1</f>
        <v>9</v>
      </c>
      <c r="K140" s="77">
        <f>768.4+2535.72+845.24+14407.5+883.08</f>
        <v>19439.940000000002</v>
      </c>
      <c r="L140" s="77">
        <f>768.4+2535.72+845.24+14407.5</f>
        <v>18556.86</v>
      </c>
      <c r="M140" s="78">
        <f>K140-L140</f>
        <v>883.08000000000175</v>
      </c>
      <c r="N140" s="100">
        <f>1+2+1+1+1+2</f>
        <v>8</v>
      </c>
      <c r="O140" s="81">
        <f>5837.09+1922.92+4288.54+1686.25</f>
        <v>13734.8</v>
      </c>
      <c r="P140" s="81">
        <f>5837.09+1922.92+4288.54+1686.25</f>
        <v>13734.8</v>
      </c>
      <c r="Q140" s="232">
        <f t="shared" si="3"/>
        <v>0</v>
      </c>
      <c r="R140" s="141"/>
    </row>
    <row r="141" spans="1:18" s="13" customFormat="1" x14ac:dyDescent="0.25">
      <c r="A141" s="229"/>
      <c r="B141" s="30" t="s">
        <v>83</v>
      </c>
      <c r="C141" s="181" t="s">
        <v>17</v>
      </c>
      <c r="D141" s="182"/>
      <c r="E141" s="183" t="s">
        <v>20</v>
      </c>
      <c r="F141" s="73" t="s">
        <v>464</v>
      </c>
      <c r="G141" s="230" t="s">
        <v>114</v>
      </c>
      <c r="H141" s="181">
        <v>28</v>
      </c>
      <c r="I141" s="231">
        <v>7</v>
      </c>
      <c r="J141" s="190">
        <v>7</v>
      </c>
      <c r="K141" s="77">
        <v>7818.27</v>
      </c>
      <c r="L141" s="77">
        <v>7818.27</v>
      </c>
      <c r="M141" s="187">
        <f t="shared" ref="M141:M142" si="12">K141-L141</f>
        <v>0</v>
      </c>
      <c r="N141" s="100">
        <v>28</v>
      </c>
      <c r="O141" s="224">
        <v>83770.47</v>
      </c>
      <c r="P141" s="224">
        <v>83770.47</v>
      </c>
      <c r="Q141" s="232">
        <f t="shared" si="3"/>
        <v>0</v>
      </c>
    </row>
    <row r="142" spans="1:18" s="13" customFormat="1" x14ac:dyDescent="0.25">
      <c r="A142" s="229"/>
      <c r="B142" s="30" t="s">
        <v>84</v>
      </c>
      <c r="C142" s="181" t="s">
        <v>17</v>
      </c>
      <c r="D142" s="182"/>
      <c r="E142" s="183" t="s">
        <v>20</v>
      </c>
      <c r="F142" s="73" t="s">
        <v>287</v>
      </c>
      <c r="G142" s="230" t="s">
        <v>114</v>
      </c>
      <c r="H142" s="181"/>
      <c r="I142" s="231"/>
      <c r="J142" s="190"/>
      <c r="K142" s="77"/>
      <c r="L142" s="77"/>
      <c r="M142" s="187">
        <f t="shared" si="12"/>
        <v>0</v>
      </c>
      <c r="N142" s="100"/>
      <c r="O142" s="224"/>
      <c r="P142" s="224"/>
      <c r="Q142" s="232">
        <f t="shared" si="3"/>
        <v>0</v>
      </c>
    </row>
    <row r="143" spans="1:18" s="13" customFormat="1" ht="45" x14ac:dyDescent="0.25">
      <c r="A143" s="229"/>
      <c r="B143" s="30" t="s">
        <v>85</v>
      </c>
      <c r="C143" s="181" t="s">
        <v>304</v>
      </c>
      <c r="D143" s="182" t="s">
        <v>415</v>
      </c>
      <c r="E143" s="183" t="s">
        <v>20</v>
      </c>
      <c r="F143" s="73" t="s">
        <v>395</v>
      </c>
      <c r="G143" s="74" t="s">
        <v>112</v>
      </c>
      <c r="H143" s="75">
        <v>17</v>
      </c>
      <c r="I143" s="76">
        <v>6</v>
      </c>
      <c r="J143" s="96">
        <f>2</f>
        <v>2</v>
      </c>
      <c r="K143" s="77">
        <f>4800.58+2591.84</f>
        <v>7392.42</v>
      </c>
      <c r="L143" s="77">
        <f>4800.58</f>
        <v>4800.58</v>
      </c>
      <c r="M143" s="78">
        <f t="shared" si="4"/>
        <v>2591.84</v>
      </c>
      <c r="N143" s="100">
        <f>2+1</f>
        <v>3</v>
      </c>
      <c r="O143" s="81">
        <f>3917.73+8936.21+5669.37+31185.72</f>
        <v>49709.03</v>
      </c>
      <c r="P143" s="81">
        <f>3917.73+8936.21</f>
        <v>12853.939999999999</v>
      </c>
      <c r="Q143" s="79">
        <f t="shared" si="3"/>
        <v>36855.089999999997</v>
      </c>
      <c r="R143" s="141"/>
    </row>
    <row r="144" spans="1:18" s="13" customFormat="1" x14ac:dyDescent="0.25">
      <c r="A144" s="229"/>
      <c r="B144" s="27" t="s">
        <v>86</v>
      </c>
      <c r="C144" s="181" t="s">
        <v>17</v>
      </c>
      <c r="D144" s="182"/>
      <c r="E144" s="194" t="s">
        <v>20</v>
      </c>
      <c r="F144" s="73" t="s">
        <v>396</v>
      </c>
      <c r="G144" s="74" t="s">
        <v>112</v>
      </c>
      <c r="H144" s="75">
        <v>11</v>
      </c>
      <c r="I144" s="76">
        <v>10</v>
      </c>
      <c r="J144" s="96">
        <f>1+3+1+7+2+2</f>
        <v>16</v>
      </c>
      <c r="K144" s="77">
        <f>950.9+5134.06+2091.97+528.03+8954.46+5719.74</f>
        <v>23379.159999999996</v>
      </c>
      <c r="L144" s="77">
        <f>950.9+5134.06+2091.97+528.03+8954.46+5719.74</f>
        <v>23379.159999999996</v>
      </c>
      <c r="M144" s="78">
        <f t="shared" si="4"/>
        <v>0</v>
      </c>
      <c r="N144" s="100">
        <f>15+4+2+1+2+2</f>
        <v>26</v>
      </c>
      <c r="O144" s="81">
        <f>30236.61+18366.75+8887.09+1077.68+8961.95</f>
        <v>67530.080000000002</v>
      </c>
      <c r="P144" s="81">
        <f>30236.61+18366.75+8887.09+1077.68+8961.95</f>
        <v>67530.080000000002</v>
      </c>
      <c r="Q144" s="232">
        <f t="shared" si="3"/>
        <v>0</v>
      </c>
      <c r="R144" s="141"/>
    </row>
    <row r="145" spans="1:18" s="13" customFormat="1" x14ac:dyDescent="0.25">
      <c r="A145" s="229"/>
      <c r="B145" s="27" t="s">
        <v>86</v>
      </c>
      <c r="C145" s="181" t="s">
        <v>17</v>
      </c>
      <c r="D145" s="182"/>
      <c r="E145" s="194" t="s">
        <v>20</v>
      </c>
      <c r="F145" s="73" t="s">
        <v>465</v>
      </c>
      <c r="G145" s="230" t="s">
        <v>114</v>
      </c>
      <c r="H145" s="181">
        <v>5</v>
      </c>
      <c r="I145" s="231">
        <v>1</v>
      </c>
      <c r="J145" s="190">
        <v>1</v>
      </c>
      <c r="K145" s="77"/>
      <c r="L145" s="77"/>
      <c r="M145" s="187">
        <f t="shared" si="4"/>
        <v>0</v>
      </c>
      <c r="N145" s="100">
        <v>9</v>
      </c>
      <c r="O145" s="224">
        <v>15209.53</v>
      </c>
      <c r="P145" s="224">
        <v>15209.53</v>
      </c>
      <c r="Q145" s="232">
        <f t="shared" si="3"/>
        <v>0</v>
      </c>
    </row>
    <row r="146" spans="1:18" s="13" customFormat="1" x14ac:dyDescent="0.25">
      <c r="A146" s="229"/>
      <c r="B146" s="62" t="s">
        <v>312</v>
      </c>
      <c r="C146" s="181" t="s">
        <v>17</v>
      </c>
      <c r="D146" s="182"/>
      <c r="E146" s="194" t="s">
        <v>20</v>
      </c>
      <c r="F146" s="73" t="s">
        <v>320</v>
      </c>
      <c r="G146" s="74" t="s">
        <v>112</v>
      </c>
      <c r="H146" s="75">
        <v>13</v>
      </c>
      <c r="I146" s="76">
        <v>5</v>
      </c>
      <c r="J146" s="96">
        <f>1+1+1+2</f>
        <v>5</v>
      </c>
      <c r="K146" s="77">
        <f>3319.49+845.24+4965.79</f>
        <v>9130.52</v>
      </c>
      <c r="L146" s="77">
        <f>3319.49+845.24+4965.79</f>
        <v>9130.52</v>
      </c>
      <c r="M146" s="78">
        <f t="shared" si="4"/>
        <v>0</v>
      </c>
      <c r="N146" s="100">
        <f>5+6+1+1</f>
        <v>13</v>
      </c>
      <c r="O146" s="81">
        <f>4226.2+6627.45+4360.59</f>
        <v>15214.24</v>
      </c>
      <c r="P146" s="81">
        <f>4226.2+6627.45</f>
        <v>10853.65</v>
      </c>
      <c r="Q146" s="232">
        <f t="shared" si="3"/>
        <v>4360.59</v>
      </c>
      <c r="R146" s="141"/>
    </row>
    <row r="147" spans="1:18" s="13" customFormat="1" x14ac:dyDescent="0.25">
      <c r="A147" s="229"/>
      <c r="B147" s="62" t="s">
        <v>494</v>
      </c>
      <c r="C147" s="181" t="s">
        <v>17</v>
      </c>
      <c r="D147" s="182"/>
      <c r="E147" s="194" t="s">
        <v>20</v>
      </c>
      <c r="F147" s="73" t="s">
        <v>497</v>
      </c>
      <c r="G147" s="74" t="s">
        <v>112</v>
      </c>
      <c r="H147" s="75">
        <v>11</v>
      </c>
      <c r="I147" s="76">
        <v>7</v>
      </c>
      <c r="J147" s="96">
        <f>1+1+1+1+2+1</f>
        <v>7</v>
      </c>
      <c r="K147" s="77">
        <f>3379+5494.06+576.3+2417.43</f>
        <v>11866.79</v>
      </c>
      <c r="L147" s="77">
        <f>3379+5494.06+576.3</f>
        <v>9449.36</v>
      </c>
      <c r="M147" s="78">
        <f t="shared" si="4"/>
        <v>2417.4300000000003</v>
      </c>
      <c r="N147" s="100"/>
      <c r="O147" s="81"/>
      <c r="P147" s="81"/>
      <c r="Q147" s="232">
        <f t="shared" ref="Q147:Q189" si="13">O147-P147</f>
        <v>0</v>
      </c>
      <c r="R147" s="141"/>
    </row>
    <row r="148" spans="1:18" s="13" customFormat="1" x14ac:dyDescent="0.25">
      <c r="A148" s="229"/>
      <c r="B148" s="62" t="s">
        <v>494</v>
      </c>
      <c r="C148" s="181" t="s">
        <v>17</v>
      </c>
      <c r="D148" s="182"/>
      <c r="E148" s="194" t="s">
        <v>20</v>
      </c>
      <c r="F148" s="73" t="s">
        <v>507</v>
      </c>
      <c r="G148" s="74" t="s">
        <v>114</v>
      </c>
      <c r="H148" s="75">
        <v>29</v>
      </c>
      <c r="I148" s="76">
        <v>4</v>
      </c>
      <c r="J148" s="96">
        <v>4</v>
      </c>
      <c r="K148" s="77">
        <v>5570.9</v>
      </c>
      <c r="L148" s="77">
        <v>5570.9</v>
      </c>
      <c r="M148" s="187">
        <f t="shared" si="4"/>
        <v>0</v>
      </c>
      <c r="N148" s="100"/>
      <c r="O148" s="81"/>
      <c r="P148" s="81"/>
      <c r="Q148" s="232">
        <f t="shared" si="13"/>
        <v>0</v>
      </c>
      <c r="R148" s="141"/>
    </row>
    <row r="149" spans="1:18" s="13" customFormat="1" x14ac:dyDescent="0.25">
      <c r="A149" s="229"/>
      <c r="B149" s="30" t="s">
        <v>88</v>
      </c>
      <c r="C149" s="181" t="s">
        <v>17</v>
      </c>
      <c r="D149" s="182"/>
      <c r="E149" s="183" t="s">
        <v>89</v>
      </c>
      <c r="F149" s="73" t="s">
        <v>397</v>
      </c>
      <c r="G149" s="74" t="s">
        <v>112</v>
      </c>
      <c r="H149" s="75">
        <v>12</v>
      </c>
      <c r="I149" s="76">
        <v>7</v>
      </c>
      <c r="J149" s="96">
        <f>1+3+1+2</f>
        <v>7</v>
      </c>
      <c r="K149" s="77">
        <f>4226.2+2394.91+6485.1+556.71+4126.31</f>
        <v>17789.23</v>
      </c>
      <c r="L149" s="77">
        <f>4226.2+2394.91+6485.1+556.71</f>
        <v>13662.919999999998</v>
      </c>
      <c r="M149" s="78">
        <f>K149-L149</f>
        <v>4126.3100000000013</v>
      </c>
      <c r="N149" s="100">
        <f>4+1+3+1+2+2+1+1+2</f>
        <v>17</v>
      </c>
      <c r="O149" s="81">
        <f>11967.83+2831.55+10544.37+9418.99+3799.13+1798.04+2548.4-12193.52+4083.77</f>
        <v>34798.559999999998</v>
      </c>
      <c r="P149" s="81">
        <f>11967.83+2831.55+10544.37+9418.99+3799.13+1798.04+2548.4-12193.52+4083.77</f>
        <v>34798.559999999998</v>
      </c>
      <c r="Q149" s="79">
        <f t="shared" si="13"/>
        <v>0</v>
      </c>
      <c r="R149" s="141"/>
    </row>
    <row r="150" spans="1:18" s="13" customFormat="1" x14ac:dyDescent="0.25">
      <c r="A150" s="229"/>
      <c r="B150" s="30" t="s">
        <v>88</v>
      </c>
      <c r="C150" s="181" t="s">
        <v>17</v>
      </c>
      <c r="D150" s="182"/>
      <c r="E150" s="183" t="s">
        <v>89</v>
      </c>
      <c r="F150" s="73" t="s">
        <v>442</v>
      </c>
      <c r="G150" s="230" t="s">
        <v>118</v>
      </c>
      <c r="H150" s="181">
        <v>6</v>
      </c>
      <c r="I150" s="231"/>
      <c r="J150" s="96"/>
      <c r="K150" s="77"/>
      <c r="L150" s="77"/>
      <c r="M150" s="187">
        <f t="shared" si="4"/>
        <v>0</v>
      </c>
      <c r="N150" s="100">
        <v>3</v>
      </c>
      <c r="O150" s="224">
        <v>11020.82</v>
      </c>
      <c r="P150" s="224">
        <v>11020.82</v>
      </c>
      <c r="Q150" s="232">
        <f t="shared" si="13"/>
        <v>0</v>
      </c>
    </row>
    <row r="151" spans="1:18" s="13" customFormat="1" x14ac:dyDescent="0.25">
      <c r="A151" s="229"/>
      <c r="B151" s="30" t="s">
        <v>88</v>
      </c>
      <c r="C151" s="181" t="s">
        <v>17</v>
      </c>
      <c r="D151" s="182"/>
      <c r="E151" s="194" t="s">
        <v>505</v>
      </c>
      <c r="F151" s="73" t="s">
        <v>506</v>
      </c>
      <c r="G151" s="230" t="s">
        <v>114</v>
      </c>
      <c r="H151" s="181">
        <v>5</v>
      </c>
      <c r="I151" s="231">
        <v>1</v>
      </c>
      <c r="J151" s="96">
        <v>1</v>
      </c>
      <c r="K151" s="77">
        <v>3763.9</v>
      </c>
      <c r="L151" s="77">
        <v>3763.9</v>
      </c>
      <c r="M151" s="187">
        <f t="shared" si="4"/>
        <v>0</v>
      </c>
      <c r="N151" s="100"/>
      <c r="O151" s="224"/>
      <c r="P151" s="224"/>
      <c r="Q151" s="232">
        <f t="shared" si="13"/>
        <v>0</v>
      </c>
    </row>
    <row r="152" spans="1:18" s="13" customFormat="1" x14ac:dyDescent="0.25">
      <c r="A152" s="229"/>
      <c r="B152" s="30" t="s">
        <v>90</v>
      </c>
      <c r="C152" s="181" t="s">
        <v>17</v>
      </c>
      <c r="D152" s="182"/>
      <c r="E152" s="194" t="s">
        <v>20</v>
      </c>
      <c r="F152" s="73" t="s">
        <v>398</v>
      </c>
      <c r="G152" s="74" t="s">
        <v>112</v>
      </c>
      <c r="H152" s="75">
        <v>9</v>
      </c>
      <c r="I152" s="76">
        <v>6</v>
      </c>
      <c r="J152" s="96">
        <f>1+1+1+4</f>
        <v>7</v>
      </c>
      <c r="K152" s="77">
        <f>422.62+4662.44+7580.13</f>
        <v>12665.189999999999</v>
      </c>
      <c r="L152" s="77">
        <f>422.62+4662.44</f>
        <v>5085.0599999999995</v>
      </c>
      <c r="M152" s="78">
        <f>K152-L152</f>
        <v>7580.1299999999992</v>
      </c>
      <c r="N152" s="100">
        <f>1+1+1+1+2</f>
        <v>6</v>
      </c>
      <c r="O152" s="81">
        <f>2122.67+787.61+15453.48+6194.26</f>
        <v>24558.019999999997</v>
      </c>
      <c r="P152" s="81">
        <f>2122.67+787.61+15453.48</f>
        <v>18363.759999999998</v>
      </c>
      <c r="Q152" s="79">
        <f t="shared" si="13"/>
        <v>6194.2599999999984</v>
      </c>
      <c r="R152" s="141"/>
    </row>
    <row r="153" spans="1:18" s="13" customFormat="1" x14ac:dyDescent="0.25">
      <c r="A153" s="229"/>
      <c r="B153" s="30" t="s">
        <v>90</v>
      </c>
      <c r="C153" s="181" t="s">
        <v>17</v>
      </c>
      <c r="D153" s="182"/>
      <c r="E153" s="194" t="s">
        <v>20</v>
      </c>
      <c r="F153" s="73" t="s">
        <v>466</v>
      </c>
      <c r="G153" s="230" t="s">
        <v>114</v>
      </c>
      <c r="H153" s="181">
        <v>14</v>
      </c>
      <c r="I153" s="231">
        <v>4</v>
      </c>
      <c r="J153" s="190">
        <v>4</v>
      </c>
      <c r="K153" s="77">
        <v>10468.56</v>
      </c>
      <c r="L153" s="77">
        <v>9969.6299999999992</v>
      </c>
      <c r="M153" s="187">
        <f t="shared" ref="M153" si="14">K153-L153</f>
        <v>498.93000000000029</v>
      </c>
      <c r="N153" s="100">
        <v>25</v>
      </c>
      <c r="O153" s="224">
        <v>81936.800000000003</v>
      </c>
      <c r="P153" s="224">
        <v>81936.800000000003</v>
      </c>
      <c r="Q153" s="232">
        <f t="shared" si="13"/>
        <v>0</v>
      </c>
    </row>
    <row r="154" spans="1:18" s="13" customFormat="1" x14ac:dyDescent="0.25">
      <c r="A154" s="229"/>
      <c r="B154" s="30" t="s">
        <v>91</v>
      </c>
      <c r="C154" s="181" t="s">
        <v>17</v>
      </c>
      <c r="D154" s="182"/>
      <c r="E154" s="194" t="s">
        <v>20</v>
      </c>
      <c r="F154" s="73" t="s">
        <v>399</v>
      </c>
      <c r="G154" s="74" t="s">
        <v>112</v>
      </c>
      <c r="H154" s="75"/>
      <c r="I154" s="76"/>
      <c r="J154" s="96"/>
      <c r="K154" s="77"/>
      <c r="L154" s="77"/>
      <c r="M154" s="78">
        <f>K154-L154</f>
        <v>0</v>
      </c>
      <c r="N154" s="100"/>
      <c r="O154" s="81"/>
      <c r="P154" s="81"/>
      <c r="Q154" s="79">
        <f t="shared" si="13"/>
        <v>0</v>
      </c>
      <c r="R154" s="141"/>
    </row>
    <row r="155" spans="1:18" s="13" customFormat="1" x14ac:dyDescent="0.25">
      <c r="A155" s="229"/>
      <c r="B155" s="62" t="s">
        <v>138</v>
      </c>
      <c r="C155" s="181" t="s">
        <v>17</v>
      </c>
      <c r="D155" s="182"/>
      <c r="E155" s="194" t="s">
        <v>20</v>
      </c>
      <c r="F155" s="73" t="s">
        <v>467</v>
      </c>
      <c r="G155" s="230" t="s">
        <v>114</v>
      </c>
      <c r="H155" s="181">
        <v>7</v>
      </c>
      <c r="I155" s="231">
        <v>3</v>
      </c>
      <c r="J155" s="190">
        <v>3</v>
      </c>
      <c r="K155" s="193">
        <v>1728.9</v>
      </c>
      <c r="L155" s="193">
        <v>1728.9</v>
      </c>
      <c r="M155" s="187">
        <f t="shared" ref="M155" si="15">K155-L155</f>
        <v>0</v>
      </c>
      <c r="N155" s="114">
        <v>7</v>
      </c>
      <c r="O155" s="224">
        <v>12214.4</v>
      </c>
      <c r="P155" s="224">
        <v>12214.4</v>
      </c>
      <c r="Q155" s="232">
        <f t="shared" si="13"/>
        <v>0</v>
      </c>
    </row>
    <row r="156" spans="1:18" s="13" customFormat="1" x14ac:dyDescent="0.25">
      <c r="A156" s="229"/>
      <c r="B156" s="62" t="s">
        <v>138</v>
      </c>
      <c r="C156" s="181" t="s">
        <v>17</v>
      </c>
      <c r="D156" s="182"/>
      <c r="E156" s="194" t="s">
        <v>20</v>
      </c>
      <c r="F156" s="73" t="s">
        <v>400</v>
      </c>
      <c r="G156" s="74" t="s">
        <v>112</v>
      </c>
      <c r="H156" s="75">
        <v>10</v>
      </c>
      <c r="I156" s="82">
        <v>6</v>
      </c>
      <c r="J156" s="96">
        <f>3+1+1+2</f>
        <v>7</v>
      </c>
      <c r="K156" s="77">
        <f>2224.52+9639.33+3232.07</f>
        <v>15095.92</v>
      </c>
      <c r="L156" s="77">
        <f>2224.52+9639.33</f>
        <v>11863.85</v>
      </c>
      <c r="M156" s="78">
        <f t="shared" si="4"/>
        <v>3232.0699999999997</v>
      </c>
      <c r="N156" s="100">
        <f>5+4+2</f>
        <v>11</v>
      </c>
      <c r="O156" s="81">
        <f>8995.87+8641.99</f>
        <v>17637.86</v>
      </c>
      <c r="P156" s="81">
        <f>8995.87+8641.99</f>
        <v>17637.86</v>
      </c>
      <c r="Q156" s="79">
        <f t="shared" si="13"/>
        <v>0</v>
      </c>
      <c r="R156" s="141"/>
    </row>
    <row r="157" spans="1:18" s="13" customFormat="1" x14ac:dyDescent="0.25">
      <c r="A157" s="229"/>
      <c r="B157" s="62" t="s">
        <v>157</v>
      </c>
      <c r="C157" s="181" t="s">
        <v>17</v>
      </c>
      <c r="D157" s="182"/>
      <c r="E157" s="194" t="s">
        <v>20</v>
      </c>
      <c r="F157" s="73" t="s">
        <v>401</v>
      </c>
      <c r="G157" s="74" t="s">
        <v>112</v>
      </c>
      <c r="H157" s="75">
        <v>11</v>
      </c>
      <c r="I157" s="82"/>
      <c r="J157" s="96"/>
      <c r="K157" s="77"/>
      <c r="L157" s="77"/>
      <c r="M157" s="78">
        <f t="shared" ref="M157:M187" si="16">K157-L157</f>
        <v>0</v>
      </c>
      <c r="N157" s="100"/>
      <c r="O157" s="81"/>
      <c r="P157" s="81"/>
      <c r="Q157" s="232">
        <f t="shared" si="13"/>
        <v>0</v>
      </c>
      <c r="R157" s="141"/>
    </row>
    <row r="158" spans="1:18" s="15" customFormat="1" x14ac:dyDescent="0.25">
      <c r="A158" s="229"/>
      <c r="B158" s="62" t="s">
        <v>92</v>
      </c>
      <c r="C158" s="181" t="s">
        <v>17</v>
      </c>
      <c r="D158" s="182"/>
      <c r="E158" s="194" t="s">
        <v>20</v>
      </c>
      <c r="F158" s="73" t="s">
        <v>402</v>
      </c>
      <c r="G158" s="74" t="s">
        <v>112</v>
      </c>
      <c r="H158" s="75">
        <v>10</v>
      </c>
      <c r="I158" s="76">
        <v>8</v>
      </c>
      <c r="J158" s="96">
        <f>1+2+5</f>
        <v>8</v>
      </c>
      <c r="K158" s="77">
        <f>1951.74+1335.1+2996.76</f>
        <v>6283.6</v>
      </c>
      <c r="L158" s="77">
        <f>1951.74+1335.1</f>
        <v>3286.84</v>
      </c>
      <c r="M158" s="78">
        <f>K158-L158</f>
        <v>2996.76</v>
      </c>
      <c r="N158" s="100">
        <f>4+1+1</f>
        <v>6</v>
      </c>
      <c r="O158" s="81">
        <f>12624.74+2697.06+1225.93</f>
        <v>16547.73</v>
      </c>
      <c r="P158" s="81">
        <f>12624.74+2697.06+1225.93</f>
        <v>16547.73</v>
      </c>
      <c r="Q158" s="232">
        <f t="shared" si="13"/>
        <v>0</v>
      </c>
      <c r="R158" s="141"/>
    </row>
    <row r="159" spans="1:18" s="15" customFormat="1" x14ac:dyDescent="0.25">
      <c r="A159" s="229"/>
      <c r="B159" s="62" t="s">
        <v>92</v>
      </c>
      <c r="C159" s="181" t="s">
        <v>17</v>
      </c>
      <c r="D159" s="182"/>
      <c r="E159" s="194" t="s">
        <v>20</v>
      </c>
      <c r="F159" s="73" t="s">
        <v>129</v>
      </c>
      <c r="G159" s="230" t="s">
        <v>114</v>
      </c>
      <c r="H159" s="181"/>
      <c r="I159" s="231"/>
      <c r="J159" s="190"/>
      <c r="K159" s="77"/>
      <c r="L159" s="77"/>
      <c r="M159" s="187">
        <f t="shared" ref="M159" si="17">K159-L159</f>
        <v>0</v>
      </c>
      <c r="N159" s="114"/>
      <c r="O159" s="224"/>
      <c r="P159" s="224"/>
      <c r="Q159" s="232">
        <f t="shared" si="13"/>
        <v>0</v>
      </c>
    </row>
    <row r="160" spans="1:18" s="13" customFormat="1" x14ac:dyDescent="0.25">
      <c r="A160" s="229"/>
      <c r="B160" s="30" t="s">
        <v>93</v>
      </c>
      <c r="C160" s="181" t="s">
        <v>17</v>
      </c>
      <c r="D160" s="182"/>
      <c r="E160" s="183" t="s">
        <v>94</v>
      </c>
      <c r="F160" s="73" t="s">
        <v>403</v>
      </c>
      <c r="G160" s="74" t="s">
        <v>112</v>
      </c>
      <c r="H160" s="75">
        <v>7</v>
      </c>
      <c r="I160" s="76">
        <v>2</v>
      </c>
      <c r="J160" s="96">
        <f>2</f>
        <v>2</v>
      </c>
      <c r="K160" s="77">
        <f>2336.84</f>
        <v>2336.84</v>
      </c>
      <c r="L160" s="77">
        <f>2336.84</f>
        <v>2336.84</v>
      </c>
      <c r="M160" s="78">
        <f>K160-L160</f>
        <v>0</v>
      </c>
      <c r="N160" s="100">
        <f>3+8</f>
        <v>11</v>
      </c>
      <c r="O160" s="81">
        <f>20117.75</f>
        <v>20117.75</v>
      </c>
      <c r="P160" s="81">
        <f>20117.75</f>
        <v>20117.75</v>
      </c>
      <c r="Q160" s="232">
        <f t="shared" si="13"/>
        <v>0</v>
      </c>
      <c r="R160" s="141"/>
    </row>
    <row r="161" spans="1:18" s="13" customFormat="1" x14ac:dyDescent="0.25">
      <c r="A161" s="229"/>
      <c r="B161" s="30" t="s">
        <v>93</v>
      </c>
      <c r="C161" s="181" t="s">
        <v>17</v>
      </c>
      <c r="D161" s="182"/>
      <c r="E161" s="183" t="s">
        <v>94</v>
      </c>
      <c r="F161" s="73" t="s">
        <v>130</v>
      </c>
      <c r="G161" s="230" t="s">
        <v>114</v>
      </c>
      <c r="H161" s="181"/>
      <c r="I161" s="231"/>
      <c r="J161" s="190"/>
      <c r="K161" s="77"/>
      <c r="L161" s="77"/>
      <c r="M161" s="187">
        <f t="shared" ref="M161" si="18">K161-L161</f>
        <v>0</v>
      </c>
      <c r="N161" s="100"/>
      <c r="O161" s="224"/>
      <c r="P161" s="224"/>
      <c r="Q161" s="232">
        <f t="shared" si="13"/>
        <v>0</v>
      </c>
    </row>
    <row r="162" spans="1:18" s="13" customFormat="1" x14ac:dyDescent="0.25">
      <c r="A162" s="229"/>
      <c r="B162" s="30" t="s">
        <v>93</v>
      </c>
      <c r="C162" s="181" t="s">
        <v>17</v>
      </c>
      <c r="D162" s="182"/>
      <c r="E162" s="183" t="s">
        <v>94</v>
      </c>
      <c r="F162" s="73" t="s">
        <v>240</v>
      </c>
      <c r="G162" s="230" t="s">
        <v>118</v>
      </c>
      <c r="H162" s="181"/>
      <c r="I162" s="231"/>
      <c r="J162" s="96"/>
      <c r="K162" s="77"/>
      <c r="L162" s="77"/>
      <c r="M162" s="78">
        <f t="shared" si="16"/>
        <v>0</v>
      </c>
      <c r="N162" s="100"/>
      <c r="O162" s="224"/>
      <c r="P162" s="224"/>
      <c r="Q162" s="232">
        <f t="shared" si="13"/>
        <v>0</v>
      </c>
    </row>
    <row r="163" spans="1:18" s="13" customFormat="1" x14ac:dyDescent="0.25">
      <c r="A163" s="229"/>
      <c r="B163" s="30" t="s">
        <v>95</v>
      </c>
      <c r="C163" s="181" t="s">
        <v>17</v>
      </c>
      <c r="D163" s="182"/>
      <c r="E163" s="194" t="s">
        <v>20</v>
      </c>
      <c r="F163" s="73" t="s">
        <v>404</v>
      </c>
      <c r="G163" s="74" t="s">
        <v>112</v>
      </c>
      <c r="H163" s="75">
        <v>16</v>
      </c>
      <c r="I163" s="76">
        <v>10</v>
      </c>
      <c r="J163" s="96">
        <f>1+4+4+5</f>
        <v>14</v>
      </c>
      <c r="K163" s="77">
        <f>1061.35+5770.05+5238.9</f>
        <v>12070.3</v>
      </c>
      <c r="L163" s="77">
        <f>1061.35+5770.05+5238.9</f>
        <v>12070.3</v>
      </c>
      <c r="M163" s="78">
        <f>K163-L163</f>
        <v>0</v>
      </c>
      <c r="N163" s="100">
        <f>1+6+1+4+1</f>
        <v>13</v>
      </c>
      <c r="O163" s="81">
        <f>11603.82+7559.28+6777.29+24757.02</f>
        <v>50697.41</v>
      </c>
      <c r="P163" s="81">
        <f>11603.82+7559.28+6777.29+24757.02</f>
        <v>50697.41</v>
      </c>
      <c r="Q163" s="79">
        <f t="shared" si="13"/>
        <v>0</v>
      </c>
      <c r="R163" s="141"/>
    </row>
    <row r="164" spans="1:18" s="13" customFormat="1" x14ac:dyDescent="0.25">
      <c r="A164" s="229"/>
      <c r="B164" s="30" t="s">
        <v>95</v>
      </c>
      <c r="C164" s="181" t="s">
        <v>17</v>
      </c>
      <c r="D164" s="182"/>
      <c r="E164" s="194" t="s">
        <v>20</v>
      </c>
      <c r="F164" s="73" t="s">
        <v>291</v>
      </c>
      <c r="G164" s="230" t="s">
        <v>114</v>
      </c>
      <c r="H164" s="181">
        <v>8</v>
      </c>
      <c r="I164" s="231">
        <v>2</v>
      </c>
      <c r="J164" s="190">
        <v>2</v>
      </c>
      <c r="K164" s="77">
        <v>1152.5999999999999</v>
      </c>
      <c r="L164" s="77">
        <v>1152.5999999999999</v>
      </c>
      <c r="M164" s="187">
        <f t="shared" ref="M164" si="19">K164-L164</f>
        <v>0</v>
      </c>
      <c r="N164" s="100">
        <v>12</v>
      </c>
      <c r="O164" s="224">
        <f>27182.15</f>
        <v>27182.15</v>
      </c>
      <c r="P164" s="224">
        <f>27182.15</f>
        <v>27182.15</v>
      </c>
      <c r="Q164" s="232">
        <f t="shared" si="13"/>
        <v>0</v>
      </c>
    </row>
    <row r="165" spans="1:18" s="13" customFormat="1" x14ac:dyDescent="0.25">
      <c r="A165" s="229"/>
      <c r="B165" s="30" t="s">
        <v>96</v>
      </c>
      <c r="C165" s="181" t="s">
        <v>17</v>
      </c>
      <c r="D165" s="182"/>
      <c r="E165" s="194" t="s">
        <v>97</v>
      </c>
      <c r="F165" s="73" t="s">
        <v>405</v>
      </c>
      <c r="G165" s="74" t="s">
        <v>112</v>
      </c>
      <c r="H165" s="75">
        <v>1</v>
      </c>
      <c r="I165" s="76">
        <v>1</v>
      </c>
      <c r="J165" s="96">
        <f>2</f>
        <v>2</v>
      </c>
      <c r="K165" s="77"/>
      <c r="L165" s="77"/>
      <c r="M165" s="78">
        <f>K165-L165</f>
        <v>0</v>
      </c>
      <c r="N165" s="103">
        <f>1+2+1</f>
        <v>4</v>
      </c>
      <c r="O165" s="77">
        <f>1742.31+9358.48</f>
        <v>11100.789999999999</v>
      </c>
      <c r="P165" s="77">
        <f>1742.31+9358.48</f>
        <v>11100.789999999999</v>
      </c>
      <c r="Q165" s="79">
        <f t="shared" si="13"/>
        <v>0</v>
      </c>
      <c r="R165" s="141"/>
    </row>
    <row r="166" spans="1:18" s="13" customFormat="1" x14ac:dyDescent="0.25">
      <c r="A166" s="229"/>
      <c r="B166" s="30" t="s">
        <v>96</v>
      </c>
      <c r="C166" s="181" t="s">
        <v>17</v>
      </c>
      <c r="D166" s="182"/>
      <c r="E166" s="194" t="s">
        <v>97</v>
      </c>
      <c r="F166" s="73" t="s">
        <v>468</v>
      </c>
      <c r="G166" s="230" t="s">
        <v>114</v>
      </c>
      <c r="H166" s="181">
        <v>1</v>
      </c>
      <c r="I166" s="231"/>
      <c r="J166" s="190"/>
      <c r="K166" s="77"/>
      <c r="L166" s="77"/>
      <c r="M166" s="187">
        <f t="shared" ref="M166" si="20">K166-L166</f>
        <v>0</v>
      </c>
      <c r="N166" s="100">
        <v>4</v>
      </c>
      <c r="O166" s="224">
        <v>8676.6</v>
      </c>
      <c r="P166" s="224">
        <v>3682</v>
      </c>
      <c r="Q166" s="232">
        <f t="shared" si="13"/>
        <v>4994.6000000000004</v>
      </c>
    </row>
    <row r="167" spans="1:18" s="13" customFormat="1" x14ac:dyDescent="0.25">
      <c r="A167" s="229"/>
      <c r="B167" s="30" t="s">
        <v>98</v>
      </c>
      <c r="C167" s="181" t="s">
        <v>17</v>
      </c>
      <c r="D167" s="182"/>
      <c r="E167" s="194" t="s">
        <v>35</v>
      </c>
      <c r="F167" s="73" t="s">
        <v>406</v>
      </c>
      <c r="G167" s="74" t="s">
        <v>112</v>
      </c>
      <c r="H167" s="75">
        <v>26</v>
      </c>
      <c r="I167" s="76">
        <v>20</v>
      </c>
      <c r="J167" s="96">
        <f>1+2+1+1+4+4+1</f>
        <v>14</v>
      </c>
      <c r="K167" s="77">
        <f>845.24+1764.25+8353.03+1298.98+7610.68+13826.64+2752.31+9720.26</f>
        <v>46171.39</v>
      </c>
      <c r="L167" s="77">
        <f>845.24+1764.25+8353.03+1298.98+7610.68+13826.64</f>
        <v>33698.82</v>
      </c>
      <c r="M167" s="78">
        <f>K167-L167</f>
        <v>12472.57</v>
      </c>
      <c r="N167" s="100">
        <f>9+1+1+4+2+1+2+4+2+1</f>
        <v>27</v>
      </c>
      <c r="O167" s="81">
        <f>73585.55+12034.56+5680.01-5067.39</f>
        <v>86232.73</v>
      </c>
      <c r="P167" s="81">
        <f>73585.55+12034.56</f>
        <v>85620.11</v>
      </c>
      <c r="Q167" s="79">
        <f t="shared" si="13"/>
        <v>612.61999999999534</v>
      </c>
      <c r="R167" s="141"/>
    </row>
    <row r="168" spans="1:18" s="13" customFormat="1" x14ac:dyDescent="0.25">
      <c r="A168" s="229"/>
      <c r="B168" s="30" t="s">
        <v>98</v>
      </c>
      <c r="C168" s="181" t="s">
        <v>17</v>
      </c>
      <c r="D168" s="182"/>
      <c r="E168" s="194" t="s">
        <v>35</v>
      </c>
      <c r="F168" s="73" t="s">
        <v>435</v>
      </c>
      <c r="G168" s="235" t="s">
        <v>117</v>
      </c>
      <c r="H168" s="181">
        <v>3</v>
      </c>
      <c r="I168" s="231">
        <v>2</v>
      </c>
      <c r="J168" s="96">
        <v>2</v>
      </c>
      <c r="K168" s="77">
        <v>2486.83</v>
      </c>
      <c r="L168" s="77">
        <v>2486.83</v>
      </c>
      <c r="M168" s="78">
        <f t="shared" si="16"/>
        <v>0</v>
      </c>
      <c r="N168" s="100">
        <v>5</v>
      </c>
      <c r="O168" s="77">
        <v>18950.45</v>
      </c>
      <c r="P168" s="77">
        <v>18950.45</v>
      </c>
      <c r="Q168" s="232">
        <f t="shared" si="13"/>
        <v>0</v>
      </c>
    </row>
    <row r="169" spans="1:18" s="13" customFormat="1" x14ac:dyDescent="0.25">
      <c r="A169" s="229"/>
      <c r="B169" s="30" t="s">
        <v>488</v>
      </c>
      <c r="C169" s="181" t="s">
        <v>17</v>
      </c>
      <c r="D169" s="182"/>
      <c r="E169" s="194" t="s">
        <v>97</v>
      </c>
      <c r="F169" s="73" t="s">
        <v>498</v>
      </c>
      <c r="G169" s="235" t="s">
        <v>112</v>
      </c>
      <c r="H169" s="181">
        <v>11</v>
      </c>
      <c r="I169" s="231">
        <v>5</v>
      </c>
      <c r="J169" s="96">
        <f>4+1</f>
        <v>5</v>
      </c>
      <c r="K169" s="77">
        <f>1535.8+576.3</f>
        <v>2112.1</v>
      </c>
      <c r="L169" s="77">
        <v>1535.8</v>
      </c>
      <c r="M169" s="78">
        <f t="shared" si="16"/>
        <v>576.29999999999995</v>
      </c>
      <c r="N169" s="100"/>
      <c r="O169" s="77"/>
      <c r="P169" s="77"/>
      <c r="Q169" s="232"/>
    </row>
    <row r="170" spans="1:18" s="15" customFormat="1" x14ac:dyDescent="0.25">
      <c r="A170" s="229"/>
      <c r="B170" s="30" t="s">
        <v>99</v>
      </c>
      <c r="C170" s="181" t="s">
        <v>17</v>
      </c>
      <c r="D170" s="182"/>
      <c r="E170" s="183" t="s">
        <v>32</v>
      </c>
      <c r="F170" s="73" t="s">
        <v>418</v>
      </c>
      <c r="G170" s="74" t="s">
        <v>112</v>
      </c>
      <c r="H170" s="75"/>
      <c r="I170" s="76"/>
      <c r="J170" s="96"/>
      <c r="K170" s="77"/>
      <c r="L170" s="77"/>
      <c r="M170" s="78">
        <f t="shared" si="16"/>
        <v>0</v>
      </c>
      <c r="N170" s="100"/>
      <c r="O170" s="81"/>
      <c r="P170" s="81"/>
      <c r="Q170" s="79">
        <f t="shared" si="13"/>
        <v>0</v>
      </c>
      <c r="R170" s="141"/>
    </row>
    <row r="171" spans="1:18" s="15" customFormat="1" x14ac:dyDescent="0.25">
      <c r="A171" s="229"/>
      <c r="B171" s="30" t="s">
        <v>99</v>
      </c>
      <c r="C171" s="181" t="s">
        <v>17</v>
      </c>
      <c r="D171" s="182"/>
      <c r="E171" s="183" t="s">
        <v>32</v>
      </c>
      <c r="F171" s="73" t="s">
        <v>423</v>
      </c>
      <c r="G171" s="235" t="s">
        <v>117</v>
      </c>
      <c r="H171" s="181"/>
      <c r="I171" s="231"/>
      <c r="J171" s="190"/>
      <c r="K171" s="77"/>
      <c r="L171" s="77"/>
      <c r="M171" s="78">
        <f t="shared" si="16"/>
        <v>0</v>
      </c>
      <c r="N171" s="114"/>
      <c r="O171" s="77"/>
      <c r="P171" s="77"/>
      <c r="Q171" s="232">
        <f t="shared" si="13"/>
        <v>0</v>
      </c>
    </row>
    <row r="172" spans="1:18" s="15" customFormat="1" ht="30" x14ac:dyDescent="0.25">
      <c r="A172" s="229"/>
      <c r="B172" s="30" t="s">
        <v>144</v>
      </c>
      <c r="C172" s="181" t="s">
        <v>304</v>
      </c>
      <c r="D172" s="182" t="s">
        <v>313</v>
      </c>
      <c r="E172" s="194" t="s">
        <v>97</v>
      </c>
      <c r="F172" s="73" t="s">
        <v>407</v>
      </c>
      <c r="G172" s="66" t="s">
        <v>112</v>
      </c>
      <c r="H172" s="75">
        <v>15</v>
      </c>
      <c r="I172" s="76">
        <v>14</v>
      </c>
      <c r="J172" s="98">
        <f>2+2+1+3+1+1+5+2+1</f>
        <v>18</v>
      </c>
      <c r="K172" s="77">
        <f>950.9+1449.39+2272.32+2785.92+5112.01+6655.23</f>
        <v>19225.77</v>
      </c>
      <c r="L172" s="77">
        <f>950.9+1449.39+2272.32+2785.92+5112.01</f>
        <v>12570.54</v>
      </c>
      <c r="M172" s="78">
        <f>K172-L172</f>
        <v>6655.23</v>
      </c>
      <c r="N172" s="100">
        <f>3+2+1+1+1+1</f>
        <v>9</v>
      </c>
      <c r="O172" s="77">
        <f>5020.57+5566.06+2694.94+845.24</f>
        <v>14126.810000000001</v>
      </c>
      <c r="P172" s="77">
        <f>5020.57+5566.06+2694.94+845.24</f>
        <v>14126.810000000001</v>
      </c>
      <c r="Q172" s="79">
        <f t="shared" si="13"/>
        <v>0</v>
      </c>
      <c r="R172" s="141"/>
    </row>
    <row r="173" spans="1:18" s="15" customFormat="1" x14ac:dyDescent="0.25">
      <c r="A173" s="229"/>
      <c r="B173" s="30" t="s">
        <v>488</v>
      </c>
      <c r="C173" s="181"/>
      <c r="D173" s="182"/>
      <c r="E173" s="194"/>
      <c r="F173" s="73" t="s">
        <v>509</v>
      </c>
      <c r="G173" s="66" t="s">
        <v>114</v>
      </c>
      <c r="H173" s="75">
        <v>19</v>
      </c>
      <c r="I173" s="76">
        <v>8</v>
      </c>
      <c r="J173" s="98">
        <v>8</v>
      </c>
      <c r="K173" s="77">
        <v>13216.48</v>
      </c>
      <c r="L173" s="77">
        <v>13216.48</v>
      </c>
      <c r="M173" s="187">
        <f t="shared" ref="M173:M175" si="21">K173-L173</f>
        <v>0</v>
      </c>
      <c r="N173" s="100"/>
      <c r="O173" s="77"/>
      <c r="P173" s="77"/>
      <c r="Q173" s="232">
        <f t="shared" si="13"/>
        <v>0</v>
      </c>
    </row>
    <row r="174" spans="1:18" s="15" customFormat="1" x14ac:dyDescent="0.25">
      <c r="A174" s="229"/>
      <c r="B174" s="30" t="s">
        <v>488</v>
      </c>
      <c r="C174" s="181"/>
      <c r="D174" s="182"/>
      <c r="E174" s="194"/>
      <c r="F174" s="73" t="s">
        <v>512</v>
      </c>
      <c r="G174" s="66" t="s">
        <v>113</v>
      </c>
      <c r="H174" s="75">
        <v>11</v>
      </c>
      <c r="I174" s="76">
        <v>5</v>
      </c>
      <c r="J174" s="98">
        <v>5</v>
      </c>
      <c r="K174" s="77">
        <v>7271</v>
      </c>
      <c r="L174" s="77">
        <v>7271</v>
      </c>
      <c r="M174" s="78">
        <f t="shared" si="21"/>
        <v>0</v>
      </c>
      <c r="N174" s="100"/>
      <c r="O174" s="77"/>
      <c r="P174" s="77"/>
      <c r="Q174" s="79"/>
    </row>
    <row r="175" spans="1:18" s="15" customFormat="1" ht="30" x14ac:dyDescent="0.25">
      <c r="A175" s="229"/>
      <c r="B175" s="238" t="s">
        <v>144</v>
      </c>
      <c r="C175" s="181" t="s">
        <v>446</v>
      </c>
      <c r="D175" s="182" t="s">
        <v>313</v>
      </c>
      <c r="E175" s="183" t="s">
        <v>20</v>
      </c>
      <c r="F175" s="73" t="s">
        <v>485</v>
      </c>
      <c r="G175" s="235" t="s">
        <v>114</v>
      </c>
      <c r="H175" s="181">
        <v>27</v>
      </c>
      <c r="I175" s="234">
        <v>7</v>
      </c>
      <c r="J175" s="202">
        <v>7</v>
      </c>
      <c r="K175" s="77">
        <v>14029</v>
      </c>
      <c r="L175" s="77">
        <v>9412.9</v>
      </c>
      <c r="M175" s="187">
        <f t="shared" si="21"/>
        <v>4616.1000000000004</v>
      </c>
      <c r="N175" s="100">
        <v>21</v>
      </c>
      <c r="O175" s="224">
        <v>53276.800000000003</v>
      </c>
      <c r="P175" s="224">
        <v>44847.4</v>
      </c>
      <c r="Q175" s="232">
        <f t="shared" ref="Q175" si="22">O175-P175</f>
        <v>8429.4000000000015</v>
      </c>
    </row>
    <row r="176" spans="1:18" s="21" customFormat="1" ht="45" x14ac:dyDescent="0.25">
      <c r="A176" s="181"/>
      <c r="B176" s="30" t="s">
        <v>100</v>
      </c>
      <c r="C176" s="181" t="s">
        <v>304</v>
      </c>
      <c r="D176" s="182" t="s">
        <v>416</v>
      </c>
      <c r="E176" s="194" t="s">
        <v>20</v>
      </c>
      <c r="F176" s="73" t="s">
        <v>408</v>
      </c>
      <c r="G176" s="27" t="s">
        <v>112</v>
      </c>
      <c r="H176" s="75">
        <v>16</v>
      </c>
      <c r="I176" s="76">
        <v>8</v>
      </c>
      <c r="J176" s="98">
        <f>5+1+4</f>
        <v>10</v>
      </c>
      <c r="K176" s="86">
        <f>6524.55+600.31</f>
        <v>7124.8600000000006</v>
      </c>
      <c r="L176" s="86">
        <f>6524.55+600.31</f>
        <v>7124.8600000000006</v>
      </c>
      <c r="M176" s="78">
        <f>K176-L176</f>
        <v>0</v>
      </c>
      <c r="N176" s="100">
        <f>1+3+2</f>
        <v>6</v>
      </c>
      <c r="O176" s="87">
        <f>10770.58+2113.01</f>
        <v>12883.59</v>
      </c>
      <c r="P176" s="87">
        <f>10770.58+2113.01</f>
        <v>12883.59</v>
      </c>
      <c r="Q176" s="79">
        <f t="shared" si="13"/>
        <v>0</v>
      </c>
      <c r="R176" s="141"/>
    </row>
    <row r="177" spans="1:18" s="21" customFormat="1" ht="60" x14ac:dyDescent="0.25">
      <c r="A177" s="181"/>
      <c r="B177" s="30" t="s">
        <v>100</v>
      </c>
      <c r="C177" s="203" t="s">
        <v>125</v>
      </c>
      <c r="D177" s="182" t="s">
        <v>126</v>
      </c>
      <c r="E177" s="194" t="s">
        <v>20</v>
      </c>
      <c r="F177" s="73" t="s">
        <v>486</v>
      </c>
      <c r="G177" s="236" t="s">
        <v>114</v>
      </c>
      <c r="H177" s="181">
        <v>9</v>
      </c>
      <c r="I177" s="234"/>
      <c r="J177" s="202"/>
      <c r="K177" s="86"/>
      <c r="L177" s="86"/>
      <c r="M177" s="187">
        <f t="shared" ref="M177" si="23">K177-L177</f>
        <v>0</v>
      </c>
      <c r="N177" s="100"/>
      <c r="O177" s="239"/>
      <c r="P177" s="239"/>
      <c r="Q177" s="232">
        <f t="shared" si="13"/>
        <v>0</v>
      </c>
    </row>
    <row r="178" spans="1:18" s="13" customFormat="1" x14ac:dyDescent="0.25">
      <c r="A178" s="229"/>
      <c r="B178" s="62" t="s">
        <v>101</v>
      </c>
      <c r="C178" s="181" t="s">
        <v>17</v>
      </c>
      <c r="D178" s="182"/>
      <c r="E178" s="194" t="s">
        <v>20</v>
      </c>
      <c r="F178" s="73" t="s">
        <v>409</v>
      </c>
      <c r="G178" s="74" t="s">
        <v>112</v>
      </c>
      <c r="H178" s="75">
        <v>11</v>
      </c>
      <c r="I178" s="76">
        <v>7</v>
      </c>
      <c r="J178" s="96">
        <f>1+5+1+1+2</f>
        <v>10</v>
      </c>
      <c r="K178" s="77">
        <f>1045.98+3354.45+1225.93+742.59</f>
        <v>6368.9500000000007</v>
      </c>
      <c r="L178" s="77">
        <f>1045.98+3354.45+1225.93</f>
        <v>5626.3600000000006</v>
      </c>
      <c r="M178" s="78">
        <f t="shared" si="16"/>
        <v>742.59000000000015</v>
      </c>
      <c r="N178" s="100">
        <f>5+2+1+1</f>
        <v>9</v>
      </c>
      <c r="O178" s="81">
        <f>6288.07+3061.62+3426.18+12951.18</f>
        <v>25727.05</v>
      </c>
      <c r="P178" s="81">
        <f>6288.07+3061.62+3426.18+12951.18</f>
        <v>25727.05</v>
      </c>
      <c r="Q178" s="79">
        <f t="shared" si="13"/>
        <v>0</v>
      </c>
      <c r="R178" s="141"/>
    </row>
    <row r="179" spans="1:18" s="13" customFormat="1" x14ac:dyDescent="0.25">
      <c r="A179" s="229"/>
      <c r="B179" s="62" t="s">
        <v>146</v>
      </c>
      <c r="C179" s="181" t="s">
        <v>17</v>
      </c>
      <c r="D179" s="182"/>
      <c r="E179" s="194" t="s">
        <v>20</v>
      </c>
      <c r="F179" s="73" t="s">
        <v>410</v>
      </c>
      <c r="G179" s="74" t="s">
        <v>112</v>
      </c>
      <c r="H179" s="75">
        <v>12</v>
      </c>
      <c r="I179" s="76">
        <v>9</v>
      </c>
      <c r="J179" s="96">
        <f>4+1+1+2</f>
        <v>8</v>
      </c>
      <c r="K179" s="77">
        <f>4610.77+1568.98+1854.88+422.62+1334.13</f>
        <v>9791.380000000001</v>
      </c>
      <c r="L179" s="77">
        <f>4610.77+1568.98+1854.88</f>
        <v>8034.63</v>
      </c>
      <c r="M179" s="78">
        <f t="shared" si="16"/>
        <v>1756.7500000000009</v>
      </c>
      <c r="N179" s="100">
        <f>5+1+1+2+1</f>
        <v>10</v>
      </c>
      <c r="O179" s="81">
        <f>13579.06+1287.07+2636.18+26196.83</f>
        <v>43699.14</v>
      </c>
      <c r="P179" s="81">
        <f>13579.06+1287.07+2636.18+26196.83</f>
        <v>43699.14</v>
      </c>
      <c r="Q179" s="232">
        <f t="shared" si="13"/>
        <v>0</v>
      </c>
      <c r="R179" s="141"/>
    </row>
    <row r="180" spans="1:18" s="13" customFormat="1" x14ac:dyDescent="0.25">
      <c r="A180" s="229"/>
      <c r="B180" s="62" t="s">
        <v>146</v>
      </c>
      <c r="C180" s="181" t="s">
        <v>17</v>
      </c>
      <c r="D180" s="182"/>
      <c r="E180" s="183" t="s">
        <v>21</v>
      </c>
      <c r="F180" s="73" t="s">
        <v>443</v>
      </c>
      <c r="G180" s="230" t="s">
        <v>118</v>
      </c>
      <c r="H180" s="181">
        <v>9</v>
      </c>
      <c r="I180" s="234">
        <v>2</v>
      </c>
      <c r="J180" s="190">
        <v>2</v>
      </c>
      <c r="K180" s="193">
        <v>1152.5999999999999</v>
      </c>
      <c r="L180" s="193">
        <v>1152.5999999999999</v>
      </c>
      <c r="M180" s="187">
        <f t="shared" si="16"/>
        <v>0</v>
      </c>
      <c r="N180" s="114">
        <v>5</v>
      </c>
      <c r="O180" s="224">
        <v>5349.99</v>
      </c>
      <c r="P180" s="224">
        <v>5349.99</v>
      </c>
      <c r="Q180" s="79">
        <f t="shared" si="13"/>
        <v>0</v>
      </c>
    </row>
    <row r="181" spans="1:18" s="13" customFormat="1" x14ac:dyDescent="0.25">
      <c r="A181" s="229"/>
      <c r="B181" s="27" t="s">
        <v>102</v>
      </c>
      <c r="C181" s="181" t="s">
        <v>17</v>
      </c>
      <c r="D181" s="182"/>
      <c r="E181" s="194" t="s">
        <v>20</v>
      </c>
      <c r="F181" s="73" t="s">
        <v>411</v>
      </c>
      <c r="G181" s="74" t="s">
        <v>112</v>
      </c>
      <c r="H181" s="75">
        <v>11</v>
      </c>
      <c r="I181" s="76">
        <v>7</v>
      </c>
      <c r="J181" s="96">
        <f>1+1+2+1+2</f>
        <v>7</v>
      </c>
      <c r="K181" s="77">
        <f>845.24+845.24+1690.48+1394.65+2689.38</f>
        <v>7464.9900000000007</v>
      </c>
      <c r="L181" s="77">
        <f>845.24+845.24+1690.48+1394.65</f>
        <v>4775.6100000000006</v>
      </c>
      <c r="M181" s="78">
        <f>K181-L181</f>
        <v>2689.38</v>
      </c>
      <c r="N181" s="100">
        <f>3+1+1</f>
        <v>5</v>
      </c>
      <c r="O181" s="81">
        <f>7808.21+30833.77-12193.52+9963.17</f>
        <v>36411.630000000005</v>
      </c>
      <c r="P181" s="81">
        <f>7808.21+30833.77-12193.52+9963.17</f>
        <v>36411.630000000005</v>
      </c>
      <c r="Q181" s="232">
        <f t="shared" si="13"/>
        <v>0</v>
      </c>
      <c r="R181" s="141"/>
    </row>
    <row r="182" spans="1:18" s="13" customFormat="1" x14ac:dyDescent="0.25">
      <c r="A182" s="229"/>
      <c r="B182" s="27" t="s">
        <v>102</v>
      </c>
      <c r="C182" s="181" t="s">
        <v>17</v>
      </c>
      <c r="D182" s="182"/>
      <c r="E182" s="194" t="s">
        <v>20</v>
      </c>
      <c r="F182" s="73" t="s">
        <v>469</v>
      </c>
      <c r="G182" s="230" t="s">
        <v>114</v>
      </c>
      <c r="H182" s="181">
        <v>10</v>
      </c>
      <c r="I182" s="231">
        <v>3</v>
      </c>
      <c r="J182" s="190">
        <v>3</v>
      </c>
      <c r="K182" s="77">
        <v>1267.8599999999999</v>
      </c>
      <c r="L182" s="77">
        <v>1267.8599999999999</v>
      </c>
      <c r="M182" s="187">
        <f t="shared" ref="M182" si="24">K182-L182</f>
        <v>0</v>
      </c>
      <c r="N182" s="100">
        <v>8</v>
      </c>
      <c r="O182" s="224">
        <v>19552.72</v>
      </c>
      <c r="P182" s="224">
        <v>19552.72</v>
      </c>
      <c r="Q182" s="232">
        <f t="shared" si="13"/>
        <v>0</v>
      </c>
    </row>
    <row r="183" spans="1:18" s="13" customFormat="1" x14ac:dyDescent="0.25">
      <c r="A183" s="229"/>
      <c r="B183" s="27" t="s">
        <v>103</v>
      </c>
      <c r="C183" s="181" t="s">
        <v>17</v>
      </c>
      <c r="D183" s="182"/>
      <c r="E183" s="183" t="s">
        <v>20</v>
      </c>
      <c r="F183" s="73" t="s">
        <v>412</v>
      </c>
      <c r="G183" s="74" t="s">
        <v>112</v>
      </c>
      <c r="H183" s="75">
        <v>11</v>
      </c>
      <c r="I183" s="76">
        <v>9</v>
      </c>
      <c r="J183" s="96">
        <f>4+1+2+3</f>
        <v>10</v>
      </c>
      <c r="K183" s="77">
        <f>16248.67+1092.81+2003.49</f>
        <v>19344.97</v>
      </c>
      <c r="L183" s="77">
        <f>16248.67</f>
        <v>16248.67</v>
      </c>
      <c r="M183" s="78">
        <f>K183-L183</f>
        <v>3096.3000000000011</v>
      </c>
      <c r="N183" s="100">
        <f>7+2+1+1+2</f>
        <v>13</v>
      </c>
      <c r="O183" s="77">
        <f>20193.14+7541.5</f>
        <v>27734.639999999999</v>
      </c>
      <c r="P183" s="77">
        <f>20193.14</f>
        <v>20193.14</v>
      </c>
      <c r="Q183" s="232">
        <f t="shared" si="13"/>
        <v>7541.5</v>
      </c>
      <c r="R183" s="141"/>
    </row>
    <row r="184" spans="1:18" s="13" customFormat="1" x14ac:dyDescent="0.25">
      <c r="A184" s="229"/>
      <c r="B184" s="27" t="s">
        <v>103</v>
      </c>
      <c r="C184" s="181" t="s">
        <v>17</v>
      </c>
      <c r="D184" s="182"/>
      <c r="E184" s="183" t="s">
        <v>20</v>
      </c>
      <c r="F184" s="73" t="s">
        <v>470</v>
      </c>
      <c r="G184" s="230" t="s">
        <v>114</v>
      </c>
      <c r="H184" s="181">
        <v>11</v>
      </c>
      <c r="I184" s="231">
        <v>1</v>
      </c>
      <c r="J184" s="190">
        <v>1</v>
      </c>
      <c r="K184" s="77">
        <v>1728.9</v>
      </c>
      <c r="L184" s="77">
        <v>1728.9</v>
      </c>
      <c r="M184" s="187">
        <f t="shared" ref="M184:M186" si="25">K184-L184</f>
        <v>0</v>
      </c>
      <c r="N184" s="100">
        <v>4</v>
      </c>
      <c r="O184" s="224">
        <v>10431.89</v>
      </c>
      <c r="P184" s="224">
        <v>10431.89</v>
      </c>
      <c r="Q184" s="232">
        <f t="shared" si="13"/>
        <v>0</v>
      </c>
    </row>
    <row r="185" spans="1:18" s="15" customFormat="1" x14ac:dyDescent="0.25">
      <c r="A185" s="229"/>
      <c r="B185" s="27" t="s">
        <v>104</v>
      </c>
      <c r="C185" s="181" t="s">
        <v>17</v>
      </c>
      <c r="D185" s="182"/>
      <c r="E185" s="183" t="s">
        <v>20</v>
      </c>
      <c r="F185" s="73" t="s">
        <v>413</v>
      </c>
      <c r="G185" s="74" t="s">
        <v>112</v>
      </c>
      <c r="H185" s="75">
        <v>13</v>
      </c>
      <c r="I185" s="76">
        <v>6</v>
      </c>
      <c r="J185" s="96">
        <f>3+1+2+4</f>
        <v>10</v>
      </c>
      <c r="K185" s="77">
        <f>5112.82+422.64</f>
        <v>5535.46</v>
      </c>
      <c r="L185" s="77">
        <f>5112.82+422.64</f>
        <v>5535.46</v>
      </c>
      <c r="M185" s="78">
        <f>K185-L185</f>
        <v>0</v>
      </c>
      <c r="N185" s="100">
        <f>4+1+1+2</f>
        <v>8</v>
      </c>
      <c r="O185" s="81">
        <f>7087.22+3426.18+3496.22</f>
        <v>14009.619999999999</v>
      </c>
      <c r="P185" s="81">
        <f>7087.22+3426.18+3496.22</f>
        <v>14009.619999999999</v>
      </c>
      <c r="Q185" s="232">
        <f t="shared" si="13"/>
        <v>0</v>
      </c>
      <c r="R185" s="141"/>
    </row>
    <row r="186" spans="1:18" s="15" customFormat="1" x14ac:dyDescent="0.25">
      <c r="A186" s="229"/>
      <c r="B186" s="27" t="s">
        <v>104</v>
      </c>
      <c r="C186" s="181" t="s">
        <v>17</v>
      </c>
      <c r="D186" s="182"/>
      <c r="E186" s="183" t="s">
        <v>20</v>
      </c>
      <c r="F186" s="73" t="s">
        <v>471</v>
      </c>
      <c r="G186" s="230" t="s">
        <v>114</v>
      </c>
      <c r="H186" s="181">
        <v>31</v>
      </c>
      <c r="I186" s="231">
        <v>6</v>
      </c>
      <c r="J186" s="190">
        <v>6</v>
      </c>
      <c r="K186" s="77">
        <v>6646.48</v>
      </c>
      <c r="L186" s="77">
        <v>6646.48</v>
      </c>
      <c r="M186" s="187">
        <f t="shared" si="25"/>
        <v>0</v>
      </c>
      <c r="N186" s="114">
        <v>18</v>
      </c>
      <c r="O186" s="224">
        <v>29848.55</v>
      </c>
      <c r="P186" s="224">
        <v>29848.55</v>
      </c>
      <c r="Q186" s="232">
        <f t="shared" si="13"/>
        <v>0</v>
      </c>
    </row>
    <row r="187" spans="1:18" s="13" customFormat="1" x14ac:dyDescent="0.25">
      <c r="A187" s="229"/>
      <c r="B187" s="30" t="s">
        <v>26</v>
      </c>
      <c r="C187" s="181" t="s">
        <v>17</v>
      </c>
      <c r="D187" s="182"/>
      <c r="E187" s="183" t="s">
        <v>32</v>
      </c>
      <c r="F187" s="73" t="s">
        <v>246</v>
      </c>
      <c r="G187" s="74" t="s">
        <v>117</v>
      </c>
      <c r="H187" s="75"/>
      <c r="I187" s="76"/>
      <c r="J187" s="96"/>
      <c r="K187" s="77"/>
      <c r="L187" s="77"/>
      <c r="M187" s="78">
        <f t="shared" si="16"/>
        <v>0</v>
      </c>
      <c r="N187" s="100">
        <v>5</v>
      </c>
      <c r="O187" s="81">
        <v>7808.15</v>
      </c>
      <c r="P187" s="81">
        <v>7808.15</v>
      </c>
      <c r="Q187" s="232">
        <f t="shared" si="13"/>
        <v>0</v>
      </c>
    </row>
    <row r="188" spans="1:18" s="13" customFormat="1" x14ac:dyDescent="0.25">
      <c r="A188" s="229"/>
      <c r="B188" s="62" t="s">
        <v>106</v>
      </c>
      <c r="C188" s="181" t="s">
        <v>17</v>
      </c>
      <c r="D188" s="205"/>
      <c r="E188" s="194" t="s">
        <v>20</v>
      </c>
      <c r="F188" s="73" t="s">
        <v>414</v>
      </c>
      <c r="G188" s="74" t="s">
        <v>112</v>
      </c>
      <c r="H188" s="75">
        <v>10</v>
      </c>
      <c r="I188" s="76">
        <v>4</v>
      </c>
      <c r="J188" s="96">
        <f>1+4</f>
        <v>5</v>
      </c>
      <c r="K188" s="77">
        <f>3125.9</f>
        <v>3125.9</v>
      </c>
      <c r="L188" s="77"/>
      <c r="M188" s="78">
        <f>K188-L188</f>
        <v>3125.9</v>
      </c>
      <c r="N188" s="100">
        <f>3+1</f>
        <v>4</v>
      </c>
      <c r="O188" s="81">
        <f>15956.85+4551.62+19965.34</f>
        <v>40473.81</v>
      </c>
      <c r="P188" s="81">
        <f>15956.85+4551.62</f>
        <v>20508.47</v>
      </c>
      <c r="Q188" s="232">
        <f t="shared" si="13"/>
        <v>19965.339999999997</v>
      </c>
      <c r="R188" s="141"/>
    </row>
    <row r="189" spans="1:18" x14ac:dyDescent="0.25">
      <c r="A189" s="246"/>
      <c r="B189" s="66"/>
      <c r="C189" s="247"/>
      <c r="D189" s="235"/>
      <c r="E189" s="235"/>
      <c r="F189" s="73"/>
      <c r="G189" s="235" t="s">
        <v>131</v>
      </c>
      <c r="H189" s="240">
        <f>SUM(H10:H188)</f>
        <v>2117</v>
      </c>
      <c r="I189" s="245">
        <f>SUM(I10:I188)</f>
        <v>1070</v>
      </c>
      <c r="J189" s="208">
        <f>SUM(J10:J188)</f>
        <v>1305</v>
      </c>
      <c r="K189" s="209">
        <f>SUM(K10:K188)</f>
        <v>2079747.4850000003</v>
      </c>
      <c r="L189" s="209">
        <f>SUM(L10:L188)</f>
        <v>1585193.3750000012</v>
      </c>
      <c r="M189" s="210">
        <f>K189-L189</f>
        <v>494554.10999999917</v>
      </c>
      <c r="N189" s="208">
        <f>SUM(N10:N188)</f>
        <v>1682</v>
      </c>
      <c r="O189" s="241">
        <f>SUM(O10:O188)</f>
        <v>5007762.9799999995</v>
      </c>
      <c r="P189" s="241">
        <f>SUM(P10:P188)</f>
        <v>4700996.6899999985</v>
      </c>
      <c r="Q189" s="79">
        <f t="shared" si="13"/>
        <v>306766.29000000097</v>
      </c>
      <c r="R189" s="129"/>
    </row>
    <row r="190" spans="1:18" x14ac:dyDescent="0.25">
      <c r="K190" s="91" t="s">
        <v>305</v>
      </c>
    </row>
    <row r="191" spans="1:18" ht="45" x14ac:dyDescent="0.25">
      <c r="B191" s="89" t="s">
        <v>316</v>
      </c>
      <c r="F191" s="104" t="s">
        <v>317</v>
      </c>
      <c r="M191" s="142"/>
      <c r="Q191" s="133"/>
    </row>
    <row r="192" spans="1:18" x14ac:dyDescent="0.25">
      <c r="M192" s="216"/>
    </row>
  </sheetData>
  <autoFilter ref="A9:U191"/>
  <mergeCells count="7">
    <mergeCell ref="O1:Q1"/>
    <mergeCell ref="A3:Q3"/>
    <mergeCell ref="A4:Q4"/>
    <mergeCell ref="A5:Q5"/>
    <mergeCell ref="B7:G7"/>
    <mergeCell ref="H7:M7"/>
    <mergeCell ref="N7:Q7"/>
  </mergeCell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91"/>
  <sheetViews>
    <sheetView zoomScale="90" zoomScaleNormal="90" workbookViewId="0">
      <selection sqref="A1:XFD1048576"/>
    </sheetView>
  </sheetViews>
  <sheetFormatPr defaultRowHeight="15" x14ac:dyDescent="0.25"/>
  <cols>
    <col min="1" max="1" width="1.85546875" style="6" customWidth="1"/>
    <col min="2" max="2" width="38.28515625" style="88" customWidth="1"/>
    <col min="3" max="3" width="6.5703125" style="19" customWidth="1"/>
    <col min="4" max="4" width="17.42578125" style="19" customWidth="1"/>
    <col min="5" max="5" width="19" style="19" customWidth="1"/>
    <col min="6" max="6" width="19" style="89" customWidth="1"/>
    <col min="7" max="7" width="20.140625" style="89" customWidth="1"/>
    <col min="8" max="9" width="15.7109375" style="90" customWidth="1"/>
    <col min="10" max="10" width="15.7109375" style="99" customWidth="1"/>
    <col min="11" max="13" width="15.7109375" style="91" customWidth="1"/>
    <col min="14" max="14" width="15.7109375" style="99" customWidth="1"/>
    <col min="15" max="17" width="15.7109375" style="92" customWidth="1"/>
    <col min="18" max="18" width="11.7109375" style="6" customWidth="1"/>
    <col min="19" max="19" width="9.42578125" style="6" customWidth="1"/>
    <col min="20" max="21" width="9.140625" style="6" customWidth="1"/>
    <col min="22" max="16384" width="9.140625" style="6"/>
  </cols>
  <sheetData>
    <row r="1" spans="1:18" s="105" customFormat="1" x14ac:dyDescent="0.25">
      <c r="A1" s="60"/>
      <c r="B1" s="60"/>
      <c r="C1" s="225"/>
      <c r="D1" s="225"/>
      <c r="E1" s="225"/>
      <c r="F1" s="63"/>
      <c r="G1" s="63"/>
      <c r="H1" s="64"/>
      <c r="I1" s="64"/>
      <c r="J1" s="93"/>
      <c r="K1" s="65"/>
      <c r="L1" s="65"/>
      <c r="M1" s="65"/>
      <c r="N1" s="93"/>
      <c r="O1" s="362" t="s">
        <v>15</v>
      </c>
      <c r="P1" s="362"/>
      <c r="Q1" s="362"/>
    </row>
    <row r="2" spans="1:18" s="105" customFormat="1" x14ac:dyDescent="0.25">
      <c r="A2" s="249"/>
      <c r="B2" s="249"/>
      <c r="C2" s="250"/>
      <c r="D2" s="250"/>
      <c r="E2" s="250"/>
      <c r="F2" s="66"/>
      <c r="G2" s="66"/>
      <c r="H2" s="248"/>
      <c r="I2" s="248"/>
      <c r="J2" s="94"/>
      <c r="K2" s="67"/>
      <c r="L2" s="67"/>
      <c r="M2" s="67"/>
      <c r="N2" s="94"/>
      <c r="O2" s="68"/>
      <c r="P2" s="68"/>
      <c r="Q2" s="68"/>
    </row>
    <row r="3" spans="1:18" s="105" customFormat="1" x14ac:dyDescent="0.25">
      <c r="A3" s="380" t="s">
        <v>318</v>
      </c>
      <c r="B3" s="367"/>
      <c r="C3" s="380"/>
      <c r="D3" s="380"/>
      <c r="E3" s="380"/>
      <c r="F3" s="367"/>
      <c r="G3" s="367"/>
      <c r="H3" s="366"/>
      <c r="I3" s="366"/>
      <c r="J3" s="367"/>
      <c r="K3" s="367"/>
      <c r="L3" s="367"/>
      <c r="M3" s="367"/>
      <c r="N3" s="367"/>
      <c r="O3" s="367"/>
      <c r="P3" s="367"/>
      <c r="Q3" s="367"/>
    </row>
    <row r="4" spans="1:18" s="105" customFormat="1" x14ac:dyDescent="0.25">
      <c r="A4" s="381">
        <v>43689</v>
      </c>
      <c r="B4" s="373"/>
      <c r="C4" s="382"/>
      <c r="D4" s="382"/>
      <c r="E4" s="382"/>
      <c r="F4" s="373"/>
      <c r="G4" s="373"/>
      <c r="H4" s="372"/>
      <c r="I4" s="372"/>
      <c r="J4" s="373"/>
      <c r="K4" s="373"/>
      <c r="L4" s="373"/>
      <c r="M4" s="373"/>
      <c r="N4" s="373"/>
      <c r="O4" s="373"/>
      <c r="P4" s="373"/>
      <c r="Q4" s="373"/>
    </row>
    <row r="5" spans="1:18" s="105" customFormat="1" x14ac:dyDescent="0.25">
      <c r="A5" s="367" t="s">
        <v>14</v>
      </c>
      <c r="B5" s="367"/>
      <c r="C5" s="367"/>
      <c r="D5" s="367"/>
      <c r="E5" s="367"/>
      <c r="F5" s="367"/>
      <c r="G5" s="367"/>
      <c r="H5" s="366"/>
      <c r="I5" s="366"/>
      <c r="J5" s="367"/>
      <c r="K5" s="367"/>
      <c r="L5" s="367"/>
      <c r="M5" s="367"/>
      <c r="N5" s="367"/>
      <c r="O5" s="367"/>
      <c r="P5" s="367"/>
      <c r="Q5" s="367"/>
    </row>
    <row r="6" spans="1:18" s="105" customFormat="1" x14ac:dyDescent="0.25">
      <c r="A6" s="249"/>
      <c r="B6" s="249"/>
      <c r="C6" s="250"/>
      <c r="D6" s="250"/>
      <c r="E6" s="250"/>
      <c r="F6" s="66"/>
      <c r="G6" s="66"/>
      <c r="H6" s="248"/>
      <c r="I6" s="248"/>
      <c r="J6" s="94"/>
      <c r="K6" s="67"/>
      <c r="L6" s="67"/>
      <c r="M6" s="67"/>
      <c r="N6" s="94"/>
      <c r="O6" s="68"/>
      <c r="P6" s="68"/>
      <c r="Q6" s="68"/>
    </row>
    <row r="7" spans="1:18" x14ac:dyDescent="0.25">
      <c r="A7" s="227" t="s">
        <v>0</v>
      </c>
      <c r="B7" s="367" t="s">
        <v>10</v>
      </c>
      <c r="C7" s="380"/>
      <c r="D7" s="380"/>
      <c r="E7" s="380"/>
      <c r="F7" s="367"/>
      <c r="G7" s="367"/>
      <c r="H7" s="366" t="s">
        <v>472</v>
      </c>
      <c r="I7" s="366"/>
      <c r="J7" s="367"/>
      <c r="K7" s="367"/>
      <c r="L7" s="367"/>
      <c r="M7" s="367"/>
      <c r="N7" s="367" t="s">
        <v>132</v>
      </c>
      <c r="O7" s="367"/>
      <c r="P7" s="367"/>
      <c r="Q7" s="367"/>
    </row>
    <row r="8" spans="1:18" ht="195" x14ac:dyDescent="0.25">
      <c r="A8" s="227"/>
      <c r="B8" s="249" t="s">
        <v>4</v>
      </c>
      <c r="C8" s="250" t="s">
        <v>1</v>
      </c>
      <c r="D8" s="250" t="s">
        <v>3</v>
      </c>
      <c r="E8" s="250" t="s">
        <v>2</v>
      </c>
      <c r="F8" s="249" t="s">
        <v>6</v>
      </c>
      <c r="G8" s="66" t="s">
        <v>5</v>
      </c>
      <c r="H8" s="249" t="s">
        <v>7</v>
      </c>
      <c r="I8" s="249" t="s">
        <v>8</v>
      </c>
      <c r="J8" s="94" t="s">
        <v>9</v>
      </c>
      <c r="K8" s="67" t="s">
        <v>11</v>
      </c>
      <c r="L8" s="67" t="s">
        <v>12</v>
      </c>
      <c r="M8" s="67" t="s">
        <v>13</v>
      </c>
      <c r="N8" s="94" t="s">
        <v>9</v>
      </c>
      <c r="O8" s="68" t="s">
        <v>11</v>
      </c>
      <c r="P8" s="68" t="s">
        <v>12</v>
      </c>
      <c r="Q8" s="68" t="s">
        <v>13</v>
      </c>
    </row>
    <row r="9" spans="1:18" x14ac:dyDescent="0.25">
      <c r="A9" s="228">
        <v>1</v>
      </c>
      <c r="B9" s="61">
        <f>A9+1</f>
        <v>2</v>
      </c>
      <c r="C9" s="228">
        <f t="shared" ref="C9:Q9" si="0">B9+1</f>
        <v>3</v>
      </c>
      <c r="D9" s="228">
        <f t="shared" si="0"/>
        <v>4</v>
      </c>
      <c r="E9" s="228">
        <f t="shared" si="0"/>
        <v>5</v>
      </c>
      <c r="F9" s="69">
        <f t="shared" si="0"/>
        <v>6</v>
      </c>
      <c r="G9" s="69">
        <f t="shared" si="0"/>
        <v>7</v>
      </c>
      <c r="H9" s="70">
        <f t="shared" si="0"/>
        <v>8</v>
      </c>
      <c r="I9" s="70">
        <f t="shared" si="0"/>
        <v>9</v>
      </c>
      <c r="J9" s="95">
        <f t="shared" si="0"/>
        <v>10</v>
      </c>
      <c r="K9" s="71">
        <f t="shared" si="0"/>
        <v>11</v>
      </c>
      <c r="L9" s="71">
        <f t="shared" si="0"/>
        <v>12</v>
      </c>
      <c r="M9" s="71">
        <f t="shared" si="0"/>
        <v>13</v>
      </c>
      <c r="N9" s="95">
        <f t="shared" si="0"/>
        <v>14</v>
      </c>
      <c r="O9" s="72">
        <f t="shared" si="0"/>
        <v>15</v>
      </c>
      <c r="P9" s="72">
        <f t="shared" si="0"/>
        <v>16</v>
      </c>
      <c r="Q9" s="72">
        <f t="shared" si="0"/>
        <v>17</v>
      </c>
    </row>
    <row r="10" spans="1:18" s="13" customFormat="1" ht="30" x14ac:dyDescent="0.25">
      <c r="A10" s="229"/>
      <c r="B10" s="62" t="s">
        <v>16</v>
      </c>
      <c r="C10" s="181" t="s">
        <v>304</v>
      </c>
      <c r="D10" s="182" t="s">
        <v>315</v>
      </c>
      <c r="E10" s="183" t="s">
        <v>18</v>
      </c>
      <c r="F10" s="73" t="s">
        <v>322</v>
      </c>
      <c r="G10" s="74" t="s">
        <v>112</v>
      </c>
      <c r="H10" s="75">
        <v>12</v>
      </c>
      <c r="I10" s="76">
        <v>10</v>
      </c>
      <c r="J10" s="98">
        <f>2+1+3+3+1</f>
        <v>10</v>
      </c>
      <c r="K10" s="77">
        <f>4792.51+1138.19+504.26+11366.06+4859.68+3954.5</f>
        <v>26615.200000000001</v>
      </c>
      <c r="L10" s="77">
        <f>4792.51+1138.19+504.26+11366.06+4859.68+3954.5</f>
        <v>26615.200000000001</v>
      </c>
      <c r="M10" s="78">
        <f>K10-L10</f>
        <v>0</v>
      </c>
      <c r="N10" s="100">
        <f>2+5+1+2+1</f>
        <v>11</v>
      </c>
      <c r="O10" s="77">
        <f>9108.77+6924.32+22366.06+8197.52</f>
        <v>46596.67</v>
      </c>
      <c r="P10" s="77">
        <f>9108.77+6924.32+22366.06+8197.52</f>
        <v>46596.67</v>
      </c>
      <c r="Q10" s="79">
        <f>O10-P10</f>
        <v>0</v>
      </c>
      <c r="R10" s="141"/>
    </row>
    <row r="11" spans="1:18" s="13" customFormat="1" ht="30" x14ac:dyDescent="0.25">
      <c r="A11" s="229"/>
      <c r="B11" s="62" t="s">
        <v>16</v>
      </c>
      <c r="C11" s="181" t="s">
        <v>304</v>
      </c>
      <c r="D11" s="182" t="s">
        <v>315</v>
      </c>
      <c r="E11" s="183" t="s">
        <v>18</v>
      </c>
      <c r="F11" s="73" t="s">
        <v>322</v>
      </c>
      <c r="G11" s="230" t="s">
        <v>116</v>
      </c>
      <c r="H11" s="181">
        <v>10</v>
      </c>
      <c r="I11" s="231">
        <v>4</v>
      </c>
      <c r="J11" s="96">
        <v>4</v>
      </c>
      <c r="K11" s="224">
        <v>7070</v>
      </c>
      <c r="L11" s="224">
        <v>7070</v>
      </c>
      <c r="M11" s="187">
        <f t="shared" ref="M11:M90" si="1">K11-L11</f>
        <v>0</v>
      </c>
      <c r="N11" s="100">
        <v>0</v>
      </c>
      <c r="O11" s="224">
        <v>2945</v>
      </c>
      <c r="P11" s="224">
        <v>2945</v>
      </c>
      <c r="Q11" s="232">
        <f t="shared" ref="Q11:Q80" si="2">O11-P11</f>
        <v>0</v>
      </c>
    </row>
    <row r="12" spans="1:18" s="13" customFormat="1" x14ac:dyDescent="0.25">
      <c r="A12" s="229"/>
      <c r="B12" s="62" t="s">
        <v>490</v>
      </c>
      <c r="C12" s="181" t="s">
        <v>304</v>
      </c>
      <c r="D12" s="182"/>
      <c r="E12" s="183"/>
      <c r="F12" s="189" t="s">
        <v>501</v>
      </c>
      <c r="G12" s="230" t="s">
        <v>112</v>
      </c>
      <c r="H12" s="181">
        <v>14</v>
      </c>
      <c r="I12" s="231">
        <v>9</v>
      </c>
      <c r="J12" s="96">
        <f>5+1+3+1+1</f>
        <v>11</v>
      </c>
      <c r="K12" s="224">
        <f>8352.39+384.2+1463.8+3720.67+546.41</f>
        <v>14467.47</v>
      </c>
      <c r="L12" s="224">
        <f>8352.39+384.2+1463.8+3720.67</f>
        <v>13921.06</v>
      </c>
      <c r="M12" s="78">
        <f t="shared" si="1"/>
        <v>546.40999999999985</v>
      </c>
      <c r="N12" s="100"/>
      <c r="O12" s="224"/>
      <c r="P12" s="224"/>
      <c r="Q12" s="79">
        <f t="shared" si="2"/>
        <v>0</v>
      </c>
    </row>
    <row r="13" spans="1:18" s="15" customFormat="1" x14ac:dyDescent="0.25">
      <c r="A13" s="229"/>
      <c r="B13" s="62" t="s">
        <v>19</v>
      </c>
      <c r="C13" s="181" t="s">
        <v>17</v>
      </c>
      <c r="D13" s="182"/>
      <c r="E13" s="183" t="s">
        <v>20</v>
      </c>
      <c r="F13" s="73" t="s">
        <v>323</v>
      </c>
      <c r="G13" s="74" t="s">
        <v>112</v>
      </c>
      <c r="H13" s="75">
        <v>12</v>
      </c>
      <c r="I13" s="76">
        <v>8</v>
      </c>
      <c r="J13" s="96">
        <f>1+2+5+2+1</f>
        <v>11</v>
      </c>
      <c r="K13" s="77">
        <f>422.62+4792.51+1796.14+1373.52</f>
        <v>8384.7900000000009</v>
      </c>
      <c r="L13" s="77">
        <f>422.62+4792.51+1796.14+1373.52</f>
        <v>8384.7900000000009</v>
      </c>
      <c r="M13" s="78">
        <f t="shared" si="1"/>
        <v>0</v>
      </c>
      <c r="N13" s="100">
        <f>8+3+1</f>
        <v>12</v>
      </c>
      <c r="O13" s="81">
        <f>6459.36+7124.45</f>
        <v>13583.81</v>
      </c>
      <c r="P13" s="81">
        <f>6459.36+7124.45</f>
        <v>13583.81</v>
      </c>
      <c r="Q13" s="79">
        <f t="shared" si="2"/>
        <v>0</v>
      </c>
      <c r="R13" s="141"/>
    </row>
    <row r="14" spans="1:18" s="15" customFormat="1" x14ac:dyDescent="0.25">
      <c r="A14" s="229"/>
      <c r="B14" s="62" t="s">
        <v>19</v>
      </c>
      <c r="C14" s="181" t="s">
        <v>17</v>
      </c>
      <c r="D14" s="182"/>
      <c r="E14" s="183" t="s">
        <v>20</v>
      </c>
      <c r="F14" s="73" t="s">
        <v>451</v>
      </c>
      <c r="G14" s="230" t="s">
        <v>114</v>
      </c>
      <c r="H14" s="181">
        <v>8</v>
      </c>
      <c r="I14" s="231">
        <v>1</v>
      </c>
      <c r="J14" s="190">
        <v>1</v>
      </c>
      <c r="K14" s="77">
        <v>2592.3000000000002</v>
      </c>
      <c r="L14" s="77">
        <v>2592.3000000000002</v>
      </c>
      <c r="M14" s="187">
        <f t="shared" si="1"/>
        <v>0</v>
      </c>
      <c r="N14" s="100">
        <v>9</v>
      </c>
      <c r="O14" s="224">
        <v>16688.7</v>
      </c>
      <c r="P14" s="224">
        <v>16688.7</v>
      </c>
      <c r="Q14" s="232">
        <f t="shared" si="2"/>
        <v>0</v>
      </c>
    </row>
    <row r="15" spans="1:18" s="15" customFormat="1" x14ac:dyDescent="0.25">
      <c r="A15" s="229"/>
      <c r="B15" s="62" t="s">
        <v>153</v>
      </c>
      <c r="C15" s="181" t="s">
        <v>17</v>
      </c>
      <c r="D15" s="182"/>
      <c r="E15" s="183" t="s">
        <v>20</v>
      </c>
      <c r="F15" s="73" t="s">
        <v>324</v>
      </c>
      <c r="G15" s="74" t="s">
        <v>112</v>
      </c>
      <c r="H15" s="75">
        <v>10</v>
      </c>
      <c r="I15" s="82">
        <v>7</v>
      </c>
      <c r="J15" s="96">
        <f>1+1+2+1+1+2+1</f>
        <v>9</v>
      </c>
      <c r="K15" s="77">
        <f>950.9+2451.87+3074.57+845.24+1977.86+1284.48+883.08</f>
        <v>11468</v>
      </c>
      <c r="L15" s="77">
        <f>950.9+2451.87+3074.57+845.24+1977.86+1284.48</f>
        <v>10584.92</v>
      </c>
      <c r="M15" s="78">
        <f>K15-L15</f>
        <v>883.07999999999993</v>
      </c>
      <c r="N15" s="114">
        <f>1+2+1+2+1+1</f>
        <v>8</v>
      </c>
      <c r="O15" s="81">
        <f>422.62+945.61+2484.69+7964.81+1536.8+2498.17</f>
        <v>15852.699999999999</v>
      </c>
      <c r="P15" s="81">
        <f>422.62+945.61+2484.69+7964.81+1536.8+2498.17</f>
        <v>15852.699999999999</v>
      </c>
      <c r="Q15" s="79">
        <f t="shared" si="2"/>
        <v>0</v>
      </c>
      <c r="R15" s="141"/>
    </row>
    <row r="16" spans="1:18" s="15" customFormat="1" x14ac:dyDescent="0.25">
      <c r="A16" s="229"/>
      <c r="B16" s="233" t="s">
        <v>153</v>
      </c>
      <c r="C16" s="181" t="s">
        <v>17</v>
      </c>
      <c r="D16" s="182"/>
      <c r="E16" s="183" t="s">
        <v>20</v>
      </c>
      <c r="F16" s="73" t="s">
        <v>452</v>
      </c>
      <c r="G16" s="230" t="s">
        <v>114</v>
      </c>
      <c r="H16" s="181">
        <v>15</v>
      </c>
      <c r="I16" s="231">
        <v>3</v>
      </c>
      <c r="J16" s="190">
        <v>3</v>
      </c>
      <c r="K16" s="77">
        <v>12185.96</v>
      </c>
      <c r="L16" s="77">
        <v>12185.96</v>
      </c>
      <c r="M16" s="187">
        <f t="shared" si="1"/>
        <v>0</v>
      </c>
      <c r="N16" s="100">
        <v>9</v>
      </c>
      <c r="O16" s="224">
        <v>23692.400000000001</v>
      </c>
      <c r="P16" s="224">
        <v>23692.400000000001</v>
      </c>
      <c r="Q16" s="232">
        <f t="shared" si="2"/>
        <v>0</v>
      </c>
    </row>
    <row r="17" spans="1:18" s="13" customFormat="1" x14ac:dyDescent="0.25">
      <c r="A17" s="229"/>
      <c r="B17" s="30" t="s">
        <v>22</v>
      </c>
      <c r="C17" s="181" t="s">
        <v>17</v>
      </c>
      <c r="D17" s="182"/>
      <c r="E17" s="183" t="s">
        <v>23</v>
      </c>
      <c r="F17" s="73" t="s">
        <v>325</v>
      </c>
      <c r="G17" s="74" t="s">
        <v>112</v>
      </c>
      <c r="H17" s="75">
        <v>31</v>
      </c>
      <c r="I17" s="76">
        <v>10</v>
      </c>
      <c r="J17" s="96">
        <f>1+2+1+9</f>
        <v>13</v>
      </c>
      <c r="K17" s="77">
        <f>2698.64+1402.33+11601.84</f>
        <v>15702.81</v>
      </c>
      <c r="L17" s="77">
        <f>2698.64+1402.33+11601.84</f>
        <v>15702.81</v>
      </c>
      <c r="M17" s="78">
        <f>K17-L17</f>
        <v>0</v>
      </c>
      <c r="N17" s="100">
        <f>14+3+7+1+1</f>
        <v>26</v>
      </c>
      <c r="O17" s="81">
        <f>22716.4+4171.06+18768.39+8172.47</f>
        <v>53828.320000000007</v>
      </c>
      <c r="P17" s="81">
        <f>22716.4+4171.06+18768.39+8172.47</f>
        <v>53828.320000000007</v>
      </c>
      <c r="Q17" s="79">
        <f t="shared" si="2"/>
        <v>0</v>
      </c>
      <c r="R17" s="141"/>
    </row>
    <row r="18" spans="1:18" s="13" customFormat="1" x14ac:dyDescent="0.25">
      <c r="A18" s="229"/>
      <c r="B18" s="30" t="s">
        <v>154</v>
      </c>
      <c r="C18" s="181" t="s">
        <v>17</v>
      </c>
      <c r="D18" s="182"/>
      <c r="E18" s="183" t="s">
        <v>20</v>
      </c>
      <c r="F18" s="73" t="s">
        <v>453</v>
      </c>
      <c r="G18" s="230" t="s">
        <v>114</v>
      </c>
      <c r="H18" s="181">
        <v>25</v>
      </c>
      <c r="I18" s="234">
        <v>2</v>
      </c>
      <c r="J18" s="190">
        <v>2</v>
      </c>
      <c r="K18" s="193">
        <v>2938.2</v>
      </c>
      <c r="L18" s="193">
        <v>2938.2</v>
      </c>
      <c r="M18" s="187">
        <f t="shared" si="1"/>
        <v>0</v>
      </c>
      <c r="N18" s="114">
        <v>16</v>
      </c>
      <c r="O18" s="224">
        <v>41112.769999999997</v>
      </c>
      <c r="P18" s="224">
        <v>41112.769999999997</v>
      </c>
      <c r="Q18" s="232">
        <f t="shared" si="2"/>
        <v>0</v>
      </c>
    </row>
    <row r="19" spans="1:18" s="13" customFormat="1" x14ac:dyDescent="0.25">
      <c r="A19" s="229"/>
      <c r="B19" s="30" t="s">
        <v>154</v>
      </c>
      <c r="C19" s="181" t="s">
        <v>17</v>
      </c>
      <c r="D19" s="182"/>
      <c r="E19" s="183" t="s">
        <v>20</v>
      </c>
      <c r="F19" s="73" t="s">
        <v>326</v>
      </c>
      <c r="G19" s="74" t="s">
        <v>112</v>
      </c>
      <c r="H19" s="75">
        <v>20</v>
      </c>
      <c r="I19" s="76">
        <v>15</v>
      </c>
      <c r="J19" s="96">
        <f>1+1+2+2+2+6+1+4+1</f>
        <v>20</v>
      </c>
      <c r="K19" s="77">
        <f>950.9+864.46+845.24+405.02+739.59+6850.57+12952.58+883.08</f>
        <v>24491.440000000002</v>
      </c>
      <c r="L19" s="77">
        <f>950.9+864.46+845.24+405.02+739.59+6850.57+12952.58</f>
        <v>23608.36</v>
      </c>
      <c r="M19" s="78">
        <f t="shared" si="1"/>
        <v>883.08000000000175</v>
      </c>
      <c r="N19" s="100">
        <f>6+3+1+1+1+2+1+1</f>
        <v>16</v>
      </c>
      <c r="O19" s="81">
        <f>6681.33+7017+1523.5+9094.74+3532.32</f>
        <v>27848.89</v>
      </c>
      <c r="P19" s="81">
        <f>6681.33+7017+1523.5+9094.74+3532.32</f>
        <v>27848.89</v>
      </c>
      <c r="Q19" s="79">
        <f t="shared" si="2"/>
        <v>0</v>
      </c>
      <c r="R19" s="141"/>
    </row>
    <row r="20" spans="1:18" s="13" customFormat="1" x14ac:dyDescent="0.25">
      <c r="A20" s="229"/>
      <c r="B20" s="62" t="s">
        <v>24</v>
      </c>
      <c r="C20" s="181" t="s">
        <v>17</v>
      </c>
      <c r="D20" s="182"/>
      <c r="E20" s="183" t="s">
        <v>20</v>
      </c>
      <c r="F20" s="73" t="s">
        <v>327</v>
      </c>
      <c r="G20" s="74" t="s">
        <v>112</v>
      </c>
      <c r="H20" s="75">
        <v>7</v>
      </c>
      <c r="I20" s="76">
        <v>4</v>
      </c>
      <c r="J20" s="96">
        <f>3+1+1</f>
        <v>5</v>
      </c>
      <c r="K20" s="77">
        <f>1191.02</f>
        <v>1191.02</v>
      </c>
      <c r="L20" s="77">
        <f>1191.02</f>
        <v>1191.02</v>
      </c>
      <c r="M20" s="78">
        <f t="shared" si="1"/>
        <v>0</v>
      </c>
      <c r="N20" s="100">
        <f>1+1</f>
        <v>2</v>
      </c>
      <c r="O20" s="81">
        <f>576.3+1810.93</f>
        <v>2387.23</v>
      </c>
      <c r="P20" s="81">
        <f>576.3+1810.93</f>
        <v>2387.23</v>
      </c>
      <c r="Q20" s="232">
        <f t="shared" si="2"/>
        <v>0</v>
      </c>
      <c r="R20" s="141"/>
    </row>
    <row r="21" spans="1:18" s="13" customFormat="1" x14ac:dyDescent="0.25">
      <c r="A21" s="229"/>
      <c r="B21" s="62" t="s">
        <v>24</v>
      </c>
      <c r="C21" s="181" t="s">
        <v>17</v>
      </c>
      <c r="D21" s="182"/>
      <c r="E21" s="183" t="s">
        <v>20</v>
      </c>
      <c r="F21" s="73" t="s">
        <v>454</v>
      </c>
      <c r="G21" s="230" t="s">
        <v>114</v>
      </c>
      <c r="H21" s="181">
        <v>12</v>
      </c>
      <c r="I21" s="231"/>
      <c r="J21" s="190"/>
      <c r="K21" s="77"/>
      <c r="L21" s="77"/>
      <c r="M21" s="187">
        <f t="shared" si="1"/>
        <v>0</v>
      </c>
      <c r="N21" s="100">
        <v>16</v>
      </c>
      <c r="O21" s="224">
        <v>35336.5</v>
      </c>
      <c r="P21" s="224">
        <v>35336.5</v>
      </c>
      <c r="Q21" s="232">
        <f t="shared" si="2"/>
        <v>0</v>
      </c>
    </row>
    <row r="22" spans="1:18" s="13" customFormat="1" x14ac:dyDescent="0.25">
      <c r="A22" s="229"/>
      <c r="B22" s="62" t="s">
        <v>25</v>
      </c>
      <c r="C22" s="181" t="s">
        <v>17</v>
      </c>
      <c r="D22" s="182"/>
      <c r="E22" s="183" t="s">
        <v>20</v>
      </c>
      <c r="F22" s="73" t="s">
        <v>328</v>
      </c>
      <c r="G22" s="74" t="s">
        <v>112</v>
      </c>
      <c r="H22" s="75">
        <v>9</v>
      </c>
      <c r="I22" s="76">
        <v>5</v>
      </c>
      <c r="J22" s="96">
        <f>1+1+1+1+1</f>
        <v>5</v>
      </c>
      <c r="K22" s="173">
        <f>403.41+1605.6+3697.9</f>
        <v>5706.91</v>
      </c>
      <c r="L22" s="173">
        <f>403.41+1605.6+3697.9</f>
        <v>5706.91</v>
      </c>
      <c r="M22" s="78">
        <f>K22-L22</f>
        <v>0</v>
      </c>
      <c r="N22" s="100">
        <f>6+1+2+2+1</f>
        <v>12</v>
      </c>
      <c r="O22" s="81">
        <f>14526.7+5595.3+2440.62+2839.24</f>
        <v>25401.86</v>
      </c>
      <c r="P22" s="81">
        <f>14526.7+5595.3+2440.62+2839.24</f>
        <v>25401.86</v>
      </c>
      <c r="Q22" s="232">
        <f t="shared" si="2"/>
        <v>0</v>
      </c>
      <c r="R22" s="141"/>
    </row>
    <row r="23" spans="1:18" s="13" customFormat="1" x14ac:dyDescent="0.25">
      <c r="A23" s="229"/>
      <c r="B23" s="62" t="s">
        <v>25</v>
      </c>
      <c r="C23" s="181" t="s">
        <v>17</v>
      </c>
      <c r="D23" s="182"/>
      <c r="E23" s="183" t="s">
        <v>20</v>
      </c>
      <c r="F23" s="73" t="s">
        <v>455</v>
      </c>
      <c r="G23" s="230" t="s">
        <v>114</v>
      </c>
      <c r="H23" s="181">
        <v>5</v>
      </c>
      <c r="I23" s="231"/>
      <c r="J23" s="190"/>
      <c r="K23" s="77"/>
      <c r="L23" s="77"/>
      <c r="M23" s="187">
        <f t="shared" si="1"/>
        <v>0</v>
      </c>
      <c r="N23" s="100">
        <v>3</v>
      </c>
      <c r="O23" s="224">
        <v>7219.8</v>
      </c>
      <c r="P23" s="224">
        <v>7219.8</v>
      </c>
      <c r="Q23" s="232">
        <f t="shared" si="2"/>
        <v>0</v>
      </c>
    </row>
    <row r="24" spans="1:18" s="13" customFormat="1" x14ac:dyDescent="0.25">
      <c r="A24" s="229"/>
      <c r="B24" s="62" t="s">
        <v>26</v>
      </c>
      <c r="C24" s="181" t="s">
        <v>17</v>
      </c>
      <c r="D24" s="182"/>
      <c r="E24" s="183" t="s">
        <v>27</v>
      </c>
      <c r="F24" s="73" t="s">
        <v>329</v>
      </c>
      <c r="G24" s="74" t="s">
        <v>112</v>
      </c>
      <c r="H24" s="75">
        <v>15</v>
      </c>
      <c r="I24" s="76">
        <v>12</v>
      </c>
      <c r="J24" s="96">
        <f>2+2+4+1+4</f>
        <v>13</v>
      </c>
      <c r="K24" s="77">
        <f>845.24+1056.55+5121.1+26225.35+422.62+16490.35</f>
        <v>50161.21</v>
      </c>
      <c r="L24" s="77">
        <f>845.24+1056.55+5121.1+26225.35+422.62</f>
        <v>33670.86</v>
      </c>
      <c r="M24" s="78">
        <f t="shared" si="1"/>
        <v>16490.349999999999</v>
      </c>
      <c r="N24" s="100">
        <f>6+1+1+2+1</f>
        <v>11</v>
      </c>
      <c r="O24" s="81">
        <f>17838.53+2535.75+7238.9</f>
        <v>27613.18</v>
      </c>
      <c r="P24" s="81">
        <f>17838.53+2535.75+7238.9</f>
        <v>27613.18</v>
      </c>
      <c r="Q24" s="232">
        <f t="shared" si="2"/>
        <v>0</v>
      </c>
      <c r="R24" s="141"/>
    </row>
    <row r="25" spans="1:18" s="15" customFormat="1" x14ac:dyDescent="0.25">
      <c r="A25" s="229"/>
      <c r="B25" s="62" t="s">
        <v>28</v>
      </c>
      <c r="C25" s="181" t="s">
        <v>17</v>
      </c>
      <c r="D25" s="182"/>
      <c r="E25" s="194" t="s">
        <v>29</v>
      </c>
      <c r="F25" s="73" t="s">
        <v>330</v>
      </c>
      <c r="G25" s="74" t="s">
        <v>112</v>
      </c>
      <c r="H25" s="75">
        <v>7</v>
      </c>
      <c r="I25" s="76">
        <v>7</v>
      </c>
      <c r="J25" s="96">
        <f>2+1+2+1+1</f>
        <v>7</v>
      </c>
      <c r="K25" s="77">
        <f>6135.14+2440.63+9722.07+968.96</f>
        <v>19266.8</v>
      </c>
      <c r="L25" s="77">
        <f>6135.14+2440.63+9722.07</f>
        <v>18297.84</v>
      </c>
      <c r="M25" s="78">
        <f t="shared" si="1"/>
        <v>968.95999999999913</v>
      </c>
      <c r="N25" s="100">
        <f>3+2+4+3+1</f>
        <v>13</v>
      </c>
      <c r="O25" s="81">
        <f>5310.83+4630.52+14679.01+36087.29+8956.5</f>
        <v>69664.149999999994</v>
      </c>
      <c r="P25" s="81">
        <f>5310.83+4630.52+14679.01+36087.29+8956.5</f>
        <v>69664.149999999994</v>
      </c>
      <c r="Q25" s="232">
        <f t="shared" si="2"/>
        <v>0</v>
      </c>
      <c r="R25" s="141"/>
    </row>
    <row r="26" spans="1:18" s="15" customFormat="1" x14ac:dyDescent="0.25">
      <c r="A26" s="229"/>
      <c r="B26" s="62" t="s">
        <v>28</v>
      </c>
      <c r="C26" s="181" t="s">
        <v>17</v>
      </c>
      <c r="D26" s="182"/>
      <c r="E26" s="194" t="s">
        <v>29</v>
      </c>
      <c r="F26" s="73" t="s">
        <v>420</v>
      </c>
      <c r="G26" s="235" t="s">
        <v>117</v>
      </c>
      <c r="H26" s="181">
        <v>2</v>
      </c>
      <c r="I26" s="231"/>
      <c r="J26" s="96"/>
      <c r="K26" s="77"/>
      <c r="L26" s="77"/>
      <c r="M26" s="78">
        <f t="shared" si="1"/>
        <v>0</v>
      </c>
      <c r="N26" s="100">
        <v>2</v>
      </c>
      <c r="O26" s="224">
        <v>2766.24</v>
      </c>
      <c r="P26" s="224">
        <v>2766.24</v>
      </c>
      <c r="Q26" s="79">
        <f t="shared" si="2"/>
        <v>0</v>
      </c>
    </row>
    <row r="27" spans="1:18" s="15" customFormat="1" x14ac:dyDescent="0.25">
      <c r="A27" s="229"/>
      <c r="B27" s="233" t="s">
        <v>500</v>
      </c>
      <c r="C27" s="181" t="s">
        <v>17</v>
      </c>
      <c r="D27" s="182"/>
      <c r="E27" s="194"/>
      <c r="F27" s="73" t="s">
        <v>503</v>
      </c>
      <c r="G27" s="235" t="s">
        <v>112</v>
      </c>
      <c r="H27" s="181">
        <v>19</v>
      </c>
      <c r="I27" s="231">
        <v>5</v>
      </c>
      <c r="J27" s="96">
        <f>2+2+2</f>
        <v>6</v>
      </c>
      <c r="K27" s="77">
        <f>1202.51+3555.1+602.1</f>
        <v>5359.71</v>
      </c>
      <c r="L27" s="77">
        <f>1202.51+3555.1</f>
        <v>4757.6099999999997</v>
      </c>
      <c r="M27" s="78">
        <f t="shared" si="1"/>
        <v>602.10000000000036</v>
      </c>
      <c r="N27" s="100"/>
      <c r="O27" s="224"/>
      <c r="P27" s="224"/>
      <c r="Q27" s="79">
        <f t="shared" si="2"/>
        <v>0</v>
      </c>
    </row>
    <row r="28" spans="1:18" s="13" customFormat="1" x14ac:dyDescent="0.25">
      <c r="A28" s="229"/>
      <c r="B28" s="27" t="s">
        <v>30</v>
      </c>
      <c r="C28" s="181" t="s">
        <v>17</v>
      </c>
      <c r="D28" s="182"/>
      <c r="E28" s="194" t="s">
        <v>21</v>
      </c>
      <c r="F28" s="73" t="s">
        <v>333</v>
      </c>
      <c r="G28" s="74" t="s">
        <v>112</v>
      </c>
      <c r="H28" s="75">
        <v>17</v>
      </c>
      <c r="I28" s="76">
        <v>11</v>
      </c>
      <c r="J28" s="96">
        <f>3+1+3+1+4+1+1</f>
        <v>14</v>
      </c>
      <c r="K28" s="77">
        <f>16637.24+1045.98</f>
        <v>17683.22</v>
      </c>
      <c r="L28" s="77">
        <f>16637.24+1045.98</f>
        <v>17683.22</v>
      </c>
      <c r="M28" s="78">
        <f t="shared" si="1"/>
        <v>0</v>
      </c>
      <c r="N28" s="100">
        <f>9+1+3+1+1+1+2+1+1+2</f>
        <v>22</v>
      </c>
      <c r="O28" s="81">
        <f>77047.8+15703.07+7288.94</f>
        <v>100039.81</v>
      </c>
      <c r="P28" s="81">
        <f>77047.8+15703.07+7288.94</f>
        <v>100039.81</v>
      </c>
      <c r="Q28" s="79">
        <f>O28-P28</f>
        <v>0</v>
      </c>
      <c r="R28" s="141"/>
    </row>
    <row r="29" spans="1:18" s="13" customFormat="1" x14ac:dyDescent="0.25">
      <c r="A29" s="229"/>
      <c r="B29" s="27" t="s">
        <v>491</v>
      </c>
      <c r="C29" s="181" t="s">
        <v>17</v>
      </c>
      <c r="D29" s="182"/>
      <c r="E29" s="183" t="s">
        <v>20</v>
      </c>
      <c r="F29" s="73" t="s">
        <v>495</v>
      </c>
      <c r="G29" s="74" t="s">
        <v>112</v>
      </c>
      <c r="H29" s="75">
        <v>8</v>
      </c>
      <c r="I29" s="76">
        <v>6</v>
      </c>
      <c r="J29" s="96">
        <f>2+2+1+1</f>
        <v>6</v>
      </c>
      <c r="K29" s="77">
        <f>1727.9+2093.89+728.54</f>
        <v>4550.33</v>
      </c>
      <c r="L29" s="77">
        <f>1727.9+2093.89+728.54</f>
        <v>4550.33</v>
      </c>
      <c r="M29" s="78">
        <f t="shared" si="1"/>
        <v>0</v>
      </c>
      <c r="N29" s="100"/>
      <c r="O29" s="81"/>
      <c r="P29" s="81"/>
      <c r="Q29" s="79">
        <f t="shared" si="2"/>
        <v>0</v>
      </c>
      <c r="R29" s="141"/>
    </row>
    <row r="30" spans="1:18" s="13" customFormat="1" x14ac:dyDescent="0.25">
      <c r="A30" s="229"/>
      <c r="B30" s="27" t="s">
        <v>491</v>
      </c>
      <c r="C30" s="181" t="s">
        <v>17</v>
      </c>
      <c r="D30" s="182"/>
      <c r="E30" s="183" t="s">
        <v>20</v>
      </c>
      <c r="F30" s="73" t="s">
        <v>504</v>
      </c>
      <c r="G30" s="74" t="s">
        <v>114</v>
      </c>
      <c r="H30" s="75">
        <v>7</v>
      </c>
      <c r="I30" s="76">
        <v>1</v>
      </c>
      <c r="J30" s="96">
        <v>1</v>
      </c>
      <c r="K30" s="77">
        <v>1267.8599999999999</v>
      </c>
      <c r="L30" s="77"/>
      <c r="M30" s="187">
        <f t="shared" si="1"/>
        <v>1267.8599999999999</v>
      </c>
      <c r="N30" s="100"/>
      <c r="O30" s="81"/>
      <c r="P30" s="81"/>
      <c r="Q30" s="232">
        <f t="shared" si="2"/>
        <v>0</v>
      </c>
      <c r="R30" s="141"/>
    </row>
    <row r="31" spans="1:18" s="13" customFormat="1" x14ac:dyDescent="0.25">
      <c r="A31" s="229"/>
      <c r="B31" s="27" t="s">
        <v>491</v>
      </c>
      <c r="C31" s="181" t="s">
        <v>17</v>
      </c>
      <c r="D31" s="182"/>
      <c r="E31" s="183"/>
      <c r="F31" s="73" t="s">
        <v>510</v>
      </c>
      <c r="G31" s="235" t="s">
        <v>117</v>
      </c>
      <c r="H31" s="75">
        <v>1</v>
      </c>
      <c r="I31" s="76"/>
      <c r="J31" s="96"/>
      <c r="K31" s="77"/>
      <c r="L31" s="77"/>
      <c r="M31" s="187">
        <f t="shared" si="1"/>
        <v>0</v>
      </c>
      <c r="N31" s="100"/>
      <c r="O31" s="81"/>
      <c r="P31" s="81"/>
      <c r="Q31" s="232">
        <f t="shared" si="2"/>
        <v>0</v>
      </c>
      <c r="R31" s="141"/>
    </row>
    <row r="32" spans="1:18" s="13" customFormat="1" x14ac:dyDescent="0.25">
      <c r="A32" s="229"/>
      <c r="B32" s="30" t="s">
        <v>31</v>
      </c>
      <c r="C32" s="181" t="s">
        <v>17</v>
      </c>
      <c r="D32" s="182"/>
      <c r="E32" s="183" t="s">
        <v>32</v>
      </c>
      <c r="F32" s="73" t="s">
        <v>331</v>
      </c>
      <c r="G32" s="74" t="s">
        <v>112</v>
      </c>
      <c r="H32" s="75">
        <v>11</v>
      </c>
      <c r="I32" s="76">
        <v>10</v>
      </c>
      <c r="J32" s="96">
        <f>1+2+3+1+4+3</f>
        <v>14</v>
      </c>
      <c r="K32" s="77">
        <f>633.93+1045.98+5377.62+950.9+6004.09+4598.82+8410.14</f>
        <v>27021.48</v>
      </c>
      <c r="L32" s="77">
        <f>633.93+1045.98+5377.62+950.9+6004.09+4598.82+8410.14</f>
        <v>27021.48</v>
      </c>
      <c r="M32" s="187">
        <f t="shared" si="1"/>
        <v>0</v>
      </c>
      <c r="N32" s="100">
        <f>1+3+3+1+1+2+1</f>
        <v>12</v>
      </c>
      <c r="O32" s="81">
        <f>2299.8+15239.58+6152.75+2720.49+1483.38+7043.49+11175.04</f>
        <v>46114.530000000006</v>
      </c>
      <c r="P32" s="81">
        <f>2299.8+15239.58+6152.75+2720.49+1483.38+7043.49+11175.04</f>
        <v>46114.530000000006</v>
      </c>
      <c r="Q32" s="232">
        <f t="shared" si="2"/>
        <v>0</v>
      </c>
      <c r="R32" s="141"/>
    </row>
    <row r="33" spans="1:18" s="13" customFormat="1" x14ac:dyDescent="0.25">
      <c r="A33" s="229"/>
      <c r="B33" s="30" t="s">
        <v>31</v>
      </c>
      <c r="C33" s="181" t="s">
        <v>17</v>
      </c>
      <c r="D33" s="182"/>
      <c r="E33" s="183" t="s">
        <v>32</v>
      </c>
      <c r="F33" s="73" t="s">
        <v>422</v>
      </c>
      <c r="G33" s="235" t="s">
        <v>117</v>
      </c>
      <c r="H33" s="181">
        <v>10</v>
      </c>
      <c r="I33" s="231">
        <v>3</v>
      </c>
      <c r="J33" s="96">
        <v>3</v>
      </c>
      <c r="K33" s="77">
        <v>7586.5</v>
      </c>
      <c r="L33" s="77">
        <v>7586.5</v>
      </c>
      <c r="M33" s="187">
        <f t="shared" si="1"/>
        <v>0</v>
      </c>
      <c r="N33" s="100">
        <v>8</v>
      </c>
      <c r="O33" s="77">
        <v>20403.57</v>
      </c>
      <c r="P33" s="77">
        <v>13695.79</v>
      </c>
      <c r="Q33" s="232">
        <f t="shared" si="2"/>
        <v>6707.7799999999988</v>
      </c>
    </row>
    <row r="34" spans="1:18" s="15" customFormat="1" x14ac:dyDescent="0.25">
      <c r="A34" s="229"/>
      <c r="B34" s="62" t="s">
        <v>33</v>
      </c>
      <c r="C34" s="181" t="s">
        <v>17</v>
      </c>
      <c r="D34" s="182"/>
      <c r="E34" s="183" t="s">
        <v>20</v>
      </c>
      <c r="F34" s="73" t="s">
        <v>332</v>
      </c>
      <c r="G34" s="74" t="s">
        <v>112</v>
      </c>
      <c r="H34" s="75">
        <v>10</v>
      </c>
      <c r="I34" s="76">
        <v>7</v>
      </c>
      <c r="J34" s="96">
        <f>1+1+1+1+1+2+1</f>
        <v>8</v>
      </c>
      <c r="K34" s="77">
        <f>845.245+5363.43+5912.72+845.24+12887.16+2852.15+6514.08</f>
        <v>35220.025000000001</v>
      </c>
      <c r="L34" s="77">
        <f>845.245+5363.43+5912.72+845.24+12887.16+2852.15+6514.08</f>
        <v>35220.025000000001</v>
      </c>
      <c r="M34" s="78">
        <f>K34-L34</f>
        <v>0</v>
      </c>
      <c r="N34" s="100">
        <f>2+1+1+1+1+2+1+1</f>
        <v>10</v>
      </c>
      <c r="O34" s="81">
        <f>845.24+1613.64+3380.96+3639.33+1152.6</f>
        <v>10631.77</v>
      </c>
      <c r="P34" s="81">
        <f>845.24+1613.64+3380.96+3639.33+1152.6</f>
        <v>10631.77</v>
      </c>
      <c r="Q34" s="79">
        <f t="shared" si="2"/>
        <v>0</v>
      </c>
      <c r="R34" s="141"/>
    </row>
    <row r="35" spans="1:18" s="15" customFormat="1" x14ac:dyDescent="0.25">
      <c r="A35" s="229"/>
      <c r="B35" s="62" t="s">
        <v>33</v>
      </c>
      <c r="C35" s="181" t="s">
        <v>17</v>
      </c>
      <c r="D35" s="182"/>
      <c r="E35" s="183" t="s">
        <v>20</v>
      </c>
      <c r="F35" s="73" t="s">
        <v>481</v>
      </c>
      <c r="G35" s="230" t="s">
        <v>114</v>
      </c>
      <c r="H35" s="181">
        <v>7</v>
      </c>
      <c r="I35" s="231"/>
      <c r="J35" s="190"/>
      <c r="K35" s="77"/>
      <c r="L35" s="77"/>
      <c r="M35" s="187">
        <f t="shared" si="1"/>
        <v>0</v>
      </c>
      <c r="N35" s="100">
        <v>15</v>
      </c>
      <c r="O35" s="224">
        <v>43782.74</v>
      </c>
      <c r="P35" s="224">
        <v>43782.74</v>
      </c>
      <c r="Q35" s="232">
        <f t="shared" si="2"/>
        <v>0</v>
      </c>
    </row>
    <row r="36" spans="1:18" s="15" customFormat="1" x14ac:dyDescent="0.25">
      <c r="A36" s="229"/>
      <c r="B36" s="62" t="s">
        <v>147</v>
      </c>
      <c r="C36" s="181" t="s">
        <v>17</v>
      </c>
      <c r="D36" s="182"/>
      <c r="E36" s="183" t="s">
        <v>29</v>
      </c>
      <c r="F36" s="73" t="s">
        <v>334</v>
      </c>
      <c r="G36" s="74" t="s">
        <v>112</v>
      </c>
      <c r="H36" s="75">
        <v>8</v>
      </c>
      <c r="I36" s="234">
        <v>4</v>
      </c>
      <c r="J36" s="96">
        <f>1+1+2+1</f>
        <v>5</v>
      </c>
      <c r="K36" s="77">
        <f>1854.88+2824.48+3058.67</f>
        <v>7738.0300000000007</v>
      </c>
      <c r="L36" s="77">
        <f>1854.88+2824.48</f>
        <v>4679.3600000000006</v>
      </c>
      <c r="M36" s="78">
        <f>K36-L36</f>
        <v>3058.67</v>
      </c>
      <c r="N36" s="114">
        <f>1+1+1</f>
        <v>3</v>
      </c>
      <c r="O36" s="81">
        <f>1394.65+2473.17+1961.49</f>
        <v>5829.31</v>
      </c>
      <c r="P36" s="81">
        <f>1394.65+2473.17+1961.49</f>
        <v>5829.31</v>
      </c>
      <c r="Q36" s="79">
        <f t="shared" si="2"/>
        <v>0</v>
      </c>
      <c r="R36" s="141"/>
    </row>
    <row r="37" spans="1:18" s="15" customFormat="1" x14ac:dyDescent="0.25">
      <c r="A37" s="229"/>
      <c r="B37" s="233" t="s">
        <v>147</v>
      </c>
      <c r="C37" s="181" t="s">
        <v>17</v>
      </c>
      <c r="D37" s="182"/>
      <c r="E37" s="183" t="s">
        <v>29</v>
      </c>
      <c r="F37" s="73" t="s">
        <v>423</v>
      </c>
      <c r="G37" s="230" t="s">
        <v>117</v>
      </c>
      <c r="H37" s="181">
        <v>7</v>
      </c>
      <c r="I37" s="231">
        <v>4</v>
      </c>
      <c r="J37" s="96">
        <v>4</v>
      </c>
      <c r="K37" s="77">
        <v>6847.1</v>
      </c>
      <c r="L37" s="77">
        <v>6847.1</v>
      </c>
      <c r="M37" s="187">
        <f t="shared" si="1"/>
        <v>0</v>
      </c>
      <c r="N37" s="100">
        <v>4</v>
      </c>
      <c r="O37" s="224">
        <v>4706.45</v>
      </c>
      <c r="P37" s="224">
        <v>4706.45</v>
      </c>
      <c r="Q37" s="232">
        <f t="shared" si="2"/>
        <v>0</v>
      </c>
    </row>
    <row r="38" spans="1:18" s="13" customFormat="1" x14ac:dyDescent="0.25">
      <c r="A38" s="229"/>
      <c r="B38" s="62" t="s">
        <v>34</v>
      </c>
      <c r="C38" s="181" t="s">
        <v>17</v>
      </c>
      <c r="D38" s="182"/>
      <c r="E38" s="194" t="s">
        <v>35</v>
      </c>
      <c r="F38" s="73" t="s">
        <v>335</v>
      </c>
      <c r="G38" s="74" t="s">
        <v>112</v>
      </c>
      <c r="H38" s="75">
        <v>28</v>
      </c>
      <c r="I38" s="76">
        <v>12</v>
      </c>
      <c r="J38" s="96">
        <f>4+2+2+7</f>
        <v>15</v>
      </c>
      <c r="K38" s="77">
        <f>8288.4+1267.86+845.24+13964.6+11418.26</f>
        <v>35784.36</v>
      </c>
      <c r="L38" s="77">
        <f>8288.4+1267.86+845.24+13964.6+11418.26</f>
        <v>35784.36</v>
      </c>
      <c r="M38" s="78">
        <f>K38-L38</f>
        <v>0</v>
      </c>
      <c r="N38" s="100">
        <f>4+4+6+1+3+1+3+1</f>
        <v>23</v>
      </c>
      <c r="O38" s="81">
        <f>23915.04+21171.88+6399.1+11460.81+1501.24</f>
        <v>64448.069999999992</v>
      </c>
      <c r="P38" s="81">
        <f>23915.04+21171.88+6399.1+11460.81+1501.24</f>
        <v>64448.069999999992</v>
      </c>
      <c r="Q38" s="79">
        <f t="shared" si="2"/>
        <v>0</v>
      </c>
      <c r="R38" s="141"/>
    </row>
    <row r="39" spans="1:18" s="13" customFormat="1" x14ac:dyDescent="0.25">
      <c r="A39" s="229"/>
      <c r="B39" s="62" t="s">
        <v>34</v>
      </c>
      <c r="C39" s="181" t="s">
        <v>17</v>
      </c>
      <c r="D39" s="182"/>
      <c r="E39" s="194" t="s">
        <v>35</v>
      </c>
      <c r="F39" s="73" t="s">
        <v>424</v>
      </c>
      <c r="G39" s="235" t="s">
        <v>117</v>
      </c>
      <c r="H39" s="181">
        <v>2</v>
      </c>
      <c r="I39" s="231">
        <v>1</v>
      </c>
      <c r="J39" s="96">
        <v>2</v>
      </c>
      <c r="K39" s="77">
        <v>3842</v>
      </c>
      <c r="L39" s="77">
        <v>3842</v>
      </c>
      <c r="M39" s="187">
        <f t="shared" si="1"/>
        <v>0</v>
      </c>
      <c r="N39" s="100">
        <v>3</v>
      </c>
      <c r="O39" s="224">
        <v>9220.7999999999993</v>
      </c>
      <c r="P39" s="224">
        <v>9220.7999999999993</v>
      </c>
      <c r="Q39" s="232">
        <f t="shared" si="2"/>
        <v>0</v>
      </c>
    </row>
    <row r="40" spans="1:18" s="13" customFormat="1" x14ac:dyDescent="0.25">
      <c r="A40" s="229"/>
      <c r="B40" s="27" t="s">
        <v>36</v>
      </c>
      <c r="C40" s="181" t="s">
        <v>17</v>
      </c>
      <c r="D40" s="182"/>
      <c r="E40" s="194" t="s">
        <v>32</v>
      </c>
      <c r="F40" s="73" t="s">
        <v>336</v>
      </c>
      <c r="G40" s="74" t="s">
        <v>112</v>
      </c>
      <c r="H40" s="75">
        <v>21</v>
      </c>
      <c r="I40" s="76">
        <v>10</v>
      </c>
      <c r="J40" s="96">
        <f>1+3+4+2+2</f>
        <v>12</v>
      </c>
      <c r="K40" s="77">
        <f>2091.97+4201.22+3643.94+998.92</f>
        <v>10936.050000000001</v>
      </c>
      <c r="L40" s="77">
        <f>2091.97+4201.22+3643.94+998.92</f>
        <v>10936.050000000001</v>
      </c>
      <c r="M40" s="78">
        <f t="shared" si="1"/>
        <v>0</v>
      </c>
      <c r="N40" s="100">
        <f>4+2+5+1+1+4+1</f>
        <v>18</v>
      </c>
      <c r="O40" s="81">
        <f>26828.22+3116.2+14162+4691+13237.22+22342.31</f>
        <v>84376.95</v>
      </c>
      <c r="P40" s="81">
        <f>26828.22+3116.2+14162+4691+13237.22+22342.31</f>
        <v>84376.95</v>
      </c>
      <c r="Q40" s="79">
        <f t="shared" si="2"/>
        <v>0</v>
      </c>
      <c r="R40" s="141"/>
    </row>
    <row r="41" spans="1:18" s="13" customFormat="1" x14ac:dyDescent="0.25">
      <c r="A41" s="229"/>
      <c r="B41" s="27" t="s">
        <v>38</v>
      </c>
      <c r="C41" s="181" t="s">
        <v>17</v>
      </c>
      <c r="D41" s="182"/>
      <c r="E41" s="183" t="s">
        <v>20</v>
      </c>
      <c r="F41" s="73" t="s">
        <v>338</v>
      </c>
      <c r="G41" s="74" t="s">
        <v>112</v>
      </c>
      <c r="H41" s="75">
        <v>38</v>
      </c>
      <c r="I41" s="76">
        <v>31</v>
      </c>
      <c r="J41" s="96">
        <f>5+9+3+4+4+2+3+3+11</f>
        <v>44</v>
      </c>
      <c r="K41" s="77">
        <f>4427.07+14262.52+23391.74+11108.38+9141.17+3923.07+23674.29</f>
        <v>89928.239999999991</v>
      </c>
      <c r="L41" s="77">
        <f>4427.07+14262.52+23391.74+11108.38+9141.17+3923.07</f>
        <v>66253.95</v>
      </c>
      <c r="M41" s="78">
        <f t="shared" si="1"/>
        <v>23674.289999999994</v>
      </c>
      <c r="N41" s="100">
        <f>1+14+2+2+2+3+1</f>
        <v>25</v>
      </c>
      <c r="O41" s="81">
        <f>34449.99+27363.78+23604.86+16739.26+15240.34+16003.48</f>
        <v>133401.71</v>
      </c>
      <c r="P41" s="81">
        <f>34449.99+27363.78+23604.86+16739.26+15240.34+16003.48</f>
        <v>133401.71</v>
      </c>
      <c r="Q41" s="79">
        <f t="shared" si="2"/>
        <v>0</v>
      </c>
      <c r="R41" s="141"/>
    </row>
    <row r="42" spans="1:18" s="13" customFormat="1" x14ac:dyDescent="0.25">
      <c r="A42" s="229"/>
      <c r="B42" s="27" t="s">
        <v>38</v>
      </c>
      <c r="C42" s="181" t="s">
        <v>17</v>
      </c>
      <c r="D42" s="182"/>
      <c r="E42" s="183" t="s">
        <v>20</v>
      </c>
      <c r="F42" s="73" t="s">
        <v>268</v>
      </c>
      <c r="G42" s="230" t="s">
        <v>114</v>
      </c>
      <c r="H42" s="181"/>
      <c r="I42" s="231"/>
      <c r="J42" s="190"/>
      <c r="K42" s="77"/>
      <c r="L42" s="77"/>
      <c r="M42" s="187">
        <f t="shared" si="1"/>
        <v>0</v>
      </c>
      <c r="N42" s="100"/>
      <c r="O42" s="224"/>
      <c r="P42" s="224"/>
      <c r="Q42" s="232">
        <f t="shared" si="2"/>
        <v>0</v>
      </c>
    </row>
    <row r="43" spans="1:18" s="13" customFormat="1" x14ac:dyDescent="0.25">
      <c r="A43" s="229"/>
      <c r="B43" s="27" t="s">
        <v>38</v>
      </c>
      <c r="C43" s="181" t="s">
        <v>17</v>
      </c>
      <c r="D43" s="182"/>
      <c r="E43" s="183" t="s">
        <v>18</v>
      </c>
      <c r="F43" s="73" t="s">
        <v>324</v>
      </c>
      <c r="G43" s="230" t="s">
        <v>116</v>
      </c>
      <c r="H43" s="181">
        <v>3</v>
      </c>
      <c r="I43" s="231"/>
      <c r="J43" s="190"/>
      <c r="K43" s="77"/>
      <c r="L43" s="77"/>
      <c r="M43" s="187">
        <f t="shared" si="1"/>
        <v>0</v>
      </c>
      <c r="N43" s="100"/>
      <c r="O43" s="224"/>
      <c r="P43" s="224"/>
      <c r="Q43" s="232">
        <f t="shared" si="2"/>
        <v>0</v>
      </c>
    </row>
    <row r="44" spans="1:18" s="13" customFormat="1" x14ac:dyDescent="0.25">
      <c r="A44" s="229"/>
      <c r="B44" s="62" t="s">
        <v>39</v>
      </c>
      <c r="C44" s="181" t="s">
        <v>17</v>
      </c>
      <c r="D44" s="182"/>
      <c r="E44" s="183" t="s">
        <v>20</v>
      </c>
      <c r="F44" s="73" t="s">
        <v>269</v>
      </c>
      <c r="G44" s="230" t="s">
        <v>114</v>
      </c>
      <c r="H44" s="181"/>
      <c r="I44" s="231"/>
      <c r="J44" s="190"/>
      <c r="K44" s="77"/>
      <c r="L44" s="77"/>
      <c r="M44" s="187">
        <f t="shared" si="1"/>
        <v>0</v>
      </c>
      <c r="N44" s="100"/>
      <c r="O44" s="224"/>
      <c r="P44" s="224"/>
      <c r="Q44" s="232">
        <f t="shared" si="2"/>
        <v>0</v>
      </c>
    </row>
    <row r="45" spans="1:18" s="13" customFormat="1" x14ac:dyDescent="0.25">
      <c r="A45" s="229"/>
      <c r="B45" s="27" t="s">
        <v>40</v>
      </c>
      <c r="C45" s="181" t="s">
        <v>17</v>
      </c>
      <c r="D45" s="182"/>
      <c r="E45" s="194" t="s">
        <v>41</v>
      </c>
      <c r="F45" s="73" t="s">
        <v>339</v>
      </c>
      <c r="G45" s="74" t="s">
        <v>112</v>
      </c>
      <c r="H45" s="75">
        <v>19</v>
      </c>
      <c r="I45" s="76">
        <v>16</v>
      </c>
      <c r="J45" s="96">
        <f>1+1+3+9+4+4+3+2+1</f>
        <v>28</v>
      </c>
      <c r="K45" s="77">
        <f>1045.98+3271.86+15658.52+8166.35+6035.99+8024.36+2759.63</f>
        <v>44962.689999999995</v>
      </c>
      <c r="L45" s="77">
        <f>1045.98+3271.86+15658.52+8166.35+6035.99+8024.36</f>
        <v>42203.06</v>
      </c>
      <c r="M45" s="78">
        <f>K45-L45</f>
        <v>2759.6299999999974</v>
      </c>
      <c r="N45" s="100">
        <f>3+13+6+5+4+2+1</f>
        <v>34</v>
      </c>
      <c r="O45" s="81">
        <f>17269.31+39990.78+16582.12+23492.44+7068.31+4243.84</f>
        <v>108646.79999999999</v>
      </c>
      <c r="P45" s="81">
        <f>17269.31+39990.78+16582.12+23492.44+7068.31+4243.84</f>
        <v>108646.79999999999</v>
      </c>
      <c r="Q45" s="79">
        <f t="shared" si="2"/>
        <v>0</v>
      </c>
      <c r="R45" s="141"/>
    </row>
    <row r="46" spans="1:18" s="13" customFormat="1" x14ac:dyDescent="0.25">
      <c r="A46" s="229"/>
      <c r="B46" s="27" t="s">
        <v>40</v>
      </c>
      <c r="C46" s="181" t="s">
        <v>17</v>
      </c>
      <c r="D46" s="182"/>
      <c r="E46" s="194" t="s">
        <v>41</v>
      </c>
      <c r="F46" s="73" t="s">
        <v>482</v>
      </c>
      <c r="G46" s="230" t="s">
        <v>114</v>
      </c>
      <c r="H46" s="181"/>
      <c r="I46" s="231"/>
      <c r="J46" s="190"/>
      <c r="K46" s="77"/>
      <c r="L46" s="77"/>
      <c r="M46" s="187">
        <f t="shared" si="1"/>
        <v>0</v>
      </c>
      <c r="N46" s="100">
        <v>1</v>
      </c>
      <c r="O46" s="224">
        <v>3073.6</v>
      </c>
      <c r="P46" s="224">
        <f>3073.6</f>
        <v>3073.6</v>
      </c>
      <c r="Q46" s="232">
        <f t="shared" si="2"/>
        <v>0</v>
      </c>
    </row>
    <row r="47" spans="1:18" s="13" customFormat="1" x14ac:dyDescent="0.25">
      <c r="A47" s="229"/>
      <c r="B47" s="27" t="s">
        <v>148</v>
      </c>
      <c r="C47" s="181" t="s">
        <v>17</v>
      </c>
      <c r="D47" s="182"/>
      <c r="E47" s="183" t="s">
        <v>20</v>
      </c>
      <c r="F47" s="73" t="s">
        <v>340</v>
      </c>
      <c r="G47" s="74" t="s">
        <v>112</v>
      </c>
      <c r="H47" s="75">
        <v>16</v>
      </c>
      <c r="I47" s="82">
        <v>10</v>
      </c>
      <c r="J47" s="96">
        <f>1+2+1+4+4</f>
        <v>12</v>
      </c>
      <c r="K47" s="77">
        <f>537.88+2110.03+6723.98+8914.21</f>
        <v>18286.099999999999</v>
      </c>
      <c r="L47" s="77">
        <f>537.88+2110.03+6723.98+8914.21</f>
        <v>18286.099999999999</v>
      </c>
      <c r="M47" s="78">
        <f>K47-L47</f>
        <v>0</v>
      </c>
      <c r="N47" s="100">
        <f>6+5+3+1+1+1+1</f>
        <v>18</v>
      </c>
      <c r="O47" s="81">
        <f>9370.6+9456.38+8868.69+5367.27+11572.62</f>
        <v>44635.560000000005</v>
      </c>
      <c r="P47" s="81">
        <f>9370.6+9456.38+8868.69+5367.27+11572.62</f>
        <v>44635.560000000005</v>
      </c>
      <c r="Q47" s="79">
        <f t="shared" si="2"/>
        <v>0</v>
      </c>
      <c r="R47" s="141"/>
    </row>
    <row r="48" spans="1:18" s="13" customFormat="1" x14ac:dyDescent="0.25">
      <c r="A48" s="229"/>
      <c r="B48" s="27" t="s">
        <v>148</v>
      </c>
      <c r="C48" s="181" t="s">
        <v>17</v>
      </c>
      <c r="D48" s="182"/>
      <c r="E48" s="194" t="s">
        <v>32</v>
      </c>
      <c r="F48" s="73" t="s">
        <v>425</v>
      </c>
      <c r="G48" s="230" t="s">
        <v>117</v>
      </c>
      <c r="H48" s="181">
        <v>9</v>
      </c>
      <c r="I48" s="231">
        <v>1</v>
      </c>
      <c r="J48" s="96">
        <v>1</v>
      </c>
      <c r="K48" s="77">
        <v>1344.7</v>
      </c>
      <c r="L48" s="77">
        <v>1344.7</v>
      </c>
      <c r="M48" s="187">
        <f t="shared" si="1"/>
        <v>0</v>
      </c>
      <c r="N48" s="100">
        <v>4</v>
      </c>
      <c r="O48" s="224">
        <v>12851.49</v>
      </c>
      <c r="P48" s="224">
        <v>12851.49</v>
      </c>
      <c r="Q48" s="232">
        <f t="shared" si="2"/>
        <v>0</v>
      </c>
    </row>
    <row r="49" spans="1:18" s="13" customFormat="1" x14ac:dyDescent="0.25">
      <c r="A49" s="229"/>
      <c r="B49" s="30" t="s">
        <v>42</v>
      </c>
      <c r="C49" s="181" t="s">
        <v>17</v>
      </c>
      <c r="D49" s="182"/>
      <c r="E49" s="183" t="s">
        <v>23</v>
      </c>
      <c r="F49" s="73" t="s">
        <v>341</v>
      </c>
      <c r="G49" s="74" t="s">
        <v>112</v>
      </c>
      <c r="H49" s="75">
        <v>36</v>
      </c>
      <c r="I49" s="76">
        <v>30</v>
      </c>
      <c r="J49" s="96">
        <f>5+3+5+3+8+3+8+5</f>
        <v>40</v>
      </c>
      <c r="K49" s="77">
        <f>7156.22+3849.11+8154.25+4149.36+15912.38+18649.91</f>
        <v>57871.229999999996</v>
      </c>
      <c r="L49" s="77">
        <f>7156.22+3849.11+8154.25+4149.36+15912.38+18649.91</f>
        <v>57871.229999999996</v>
      </c>
      <c r="M49" s="78">
        <f>K49-L49</f>
        <v>0</v>
      </c>
      <c r="N49" s="100">
        <f>4+6+9+2+4+2+2+3+3+2</f>
        <v>37</v>
      </c>
      <c r="O49" s="81">
        <f>5364.2+26170.88+2849.25+18965.6+9565.56+9423.5+18214.56</f>
        <v>90553.549999999988</v>
      </c>
      <c r="P49" s="81">
        <f>5364.2+26170.88+2849.25+18965.6+9565.56+9423.5+18214.56</f>
        <v>90553.549999999988</v>
      </c>
      <c r="Q49" s="79">
        <f t="shared" si="2"/>
        <v>0</v>
      </c>
      <c r="R49" s="141"/>
    </row>
    <row r="50" spans="1:18" s="13" customFormat="1" x14ac:dyDescent="0.25">
      <c r="A50" s="229"/>
      <c r="B50" s="30" t="s">
        <v>42</v>
      </c>
      <c r="C50" s="181" t="s">
        <v>17</v>
      </c>
      <c r="D50" s="182"/>
      <c r="E50" s="183" t="s">
        <v>23</v>
      </c>
      <c r="F50" s="73" t="s">
        <v>437</v>
      </c>
      <c r="G50" s="230" t="s">
        <v>118</v>
      </c>
      <c r="H50" s="181">
        <v>2</v>
      </c>
      <c r="I50" s="231"/>
      <c r="J50" s="96"/>
      <c r="K50" s="77"/>
      <c r="L50" s="77"/>
      <c r="M50" s="187">
        <f t="shared" si="1"/>
        <v>0</v>
      </c>
      <c r="N50" s="100">
        <v>1</v>
      </c>
      <c r="O50" s="224">
        <v>7766.4</v>
      </c>
      <c r="P50" s="224">
        <v>7766.4</v>
      </c>
      <c r="Q50" s="232">
        <f t="shared" si="2"/>
        <v>0</v>
      </c>
    </row>
    <row r="51" spans="1:18" s="13" customFormat="1" x14ac:dyDescent="0.25">
      <c r="A51" s="229"/>
      <c r="B51" s="30" t="s">
        <v>173</v>
      </c>
      <c r="C51" s="181" t="s">
        <v>17</v>
      </c>
      <c r="D51" s="182"/>
      <c r="E51" s="230" t="s">
        <v>118</v>
      </c>
      <c r="F51" s="73" t="s">
        <v>342</v>
      </c>
      <c r="G51" s="74" t="s">
        <v>112</v>
      </c>
      <c r="H51" s="75">
        <v>4</v>
      </c>
      <c r="I51" s="76">
        <v>4</v>
      </c>
      <c r="J51" s="96">
        <f>1+2+1</f>
        <v>4</v>
      </c>
      <c r="K51" s="77">
        <f>6833.76+696.36</f>
        <v>7530.12</v>
      </c>
      <c r="L51" s="77">
        <f>6833.76+696.36</f>
        <v>7530.12</v>
      </c>
      <c r="M51" s="78">
        <f>K51-L51</f>
        <v>0</v>
      </c>
      <c r="N51" s="100">
        <f>4+2</f>
        <v>6</v>
      </c>
      <c r="O51" s="81">
        <f>5931.9+4183.92+3158.95</f>
        <v>13274.77</v>
      </c>
      <c r="P51" s="81">
        <f>5931.9+4183.92+3158.95</f>
        <v>13274.77</v>
      </c>
      <c r="Q51" s="79">
        <f t="shared" si="2"/>
        <v>0</v>
      </c>
      <c r="R51" s="141"/>
    </row>
    <row r="52" spans="1:18" s="13" customFormat="1" x14ac:dyDescent="0.25">
      <c r="A52" s="229"/>
      <c r="B52" s="62" t="s">
        <v>143</v>
      </c>
      <c r="C52" s="181" t="s">
        <v>64</v>
      </c>
      <c r="D52" s="182" t="s">
        <v>444</v>
      </c>
      <c r="E52" s="183" t="s">
        <v>20</v>
      </c>
      <c r="F52" s="73" t="s">
        <v>445</v>
      </c>
      <c r="G52" s="230" t="s">
        <v>114</v>
      </c>
      <c r="H52" s="181">
        <v>17</v>
      </c>
      <c r="I52" s="234">
        <v>3</v>
      </c>
      <c r="J52" s="190">
        <v>3</v>
      </c>
      <c r="K52" s="193">
        <v>4802.5</v>
      </c>
      <c r="L52" s="193">
        <v>4802.5</v>
      </c>
      <c r="M52" s="187">
        <f t="shared" si="1"/>
        <v>0</v>
      </c>
      <c r="N52" s="114">
        <v>18</v>
      </c>
      <c r="O52" s="224">
        <v>27390.400000000001</v>
      </c>
      <c r="P52" s="224">
        <v>27390.400000000001</v>
      </c>
      <c r="Q52" s="232">
        <f t="shared" si="2"/>
        <v>0</v>
      </c>
    </row>
    <row r="53" spans="1:18" s="13" customFormat="1" x14ac:dyDescent="0.25">
      <c r="A53" s="229"/>
      <c r="B53" s="30" t="s">
        <v>158</v>
      </c>
      <c r="C53" s="181" t="s">
        <v>17</v>
      </c>
      <c r="D53" s="182"/>
      <c r="E53" s="194" t="s">
        <v>32</v>
      </c>
      <c r="F53" s="73" t="s">
        <v>426</v>
      </c>
      <c r="G53" s="230" t="s">
        <v>117</v>
      </c>
      <c r="H53" s="181">
        <v>7</v>
      </c>
      <c r="I53" s="234">
        <v>4</v>
      </c>
      <c r="J53" s="190">
        <v>5</v>
      </c>
      <c r="K53" s="193">
        <v>9666.64</v>
      </c>
      <c r="L53" s="193">
        <v>9666.64</v>
      </c>
      <c r="M53" s="187">
        <f t="shared" si="1"/>
        <v>0</v>
      </c>
      <c r="N53" s="114">
        <v>4</v>
      </c>
      <c r="O53" s="224">
        <v>9789.2000000000007</v>
      </c>
      <c r="P53" s="224">
        <v>9789.2000000000007</v>
      </c>
      <c r="Q53" s="232">
        <f t="shared" si="2"/>
        <v>0</v>
      </c>
    </row>
    <row r="54" spans="1:18" s="15" customFormat="1" x14ac:dyDescent="0.25">
      <c r="A54" s="229"/>
      <c r="B54" s="62" t="s">
        <v>43</v>
      </c>
      <c r="C54" s="181" t="s">
        <v>17</v>
      </c>
      <c r="D54" s="182"/>
      <c r="E54" s="183" t="s">
        <v>18</v>
      </c>
      <c r="F54" s="73" t="s">
        <v>344</v>
      </c>
      <c r="G54" s="74" t="s">
        <v>112</v>
      </c>
      <c r="H54" s="75">
        <v>22</v>
      </c>
      <c r="I54" s="76">
        <v>16</v>
      </c>
      <c r="J54" s="96">
        <f>1+2+2+5+2+3+2+3</f>
        <v>20</v>
      </c>
      <c r="K54" s="77">
        <f>1776.93+926.88+3328.29+3172.19</f>
        <v>9204.2900000000009</v>
      </c>
      <c r="L54" s="77">
        <f>1776.93+926.88+3328.29+3172.19</f>
        <v>9204.2900000000009</v>
      </c>
      <c r="M54" s="78">
        <f>K54-L54</f>
        <v>0</v>
      </c>
      <c r="N54" s="100">
        <f>1+5+4+1+1+1+1</f>
        <v>14</v>
      </c>
      <c r="O54" s="81">
        <f>1223.8+3810.29+4959.02+10043.87+2769.48+2146.91+11926.24-1465.64</f>
        <v>35413.97</v>
      </c>
      <c r="P54" s="81">
        <f>1223.8+3810.29+4959.02+10043.87+2769.48+2146.91+11926.24-1465.64</f>
        <v>35413.97</v>
      </c>
      <c r="Q54" s="79">
        <f t="shared" si="2"/>
        <v>0</v>
      </c>
      <c r="R54" s="141"/>
    </row>
    <row r="55" spans="1:18" s="15" customFormat="1" ht="30" x14ac:dyDescent="0.25">
      <c r="A55" s="229"/>
      <c r="B55" s="62" t="s">
        <v>43</v>
      </c>
      <c r="C55" s="181" t="s">
        <v>304</v>
      </c>
      <c r="D55" s="182" t="s">
        <v>473</v>
      </c>
      <c r="E55" s="183" t="s">
        <v>18</v>
      </c>
      <c r="F55" s="73" t="s">
        <v>323</v>
      </c>
      <c r="G55" s="230" t="s">
        <v>113</v>
      </c>
      <c r="H55" s="181">
        <v>21</v>
      </c>
      <c r="I55" s="234">
        <v>14</v>
      </c>
      <c r="J55" s="98">
        <v>14</v>
      </c>
      <c r="K55" s="77">
        <v>19054</v>
      </c>
      <c r="L55" s="77">
        <v>19054</v>
      </c>
      <c r="M55" s="187">
        <f t="shared" si="1"/>
        <v>0</v>
      </c>
      <c r="N55" s="114">
        <v>17</v>
      </c>
      <c r="O55" s="224">
        <v>58327</v>
      </c>
      <c r="P55" s="224">
        <v>58327</v>
      </c>
      <c r="Q55" s="232">
        <f t="shared" si="2"/>
        <v>0</v>
      </c>
    </row>
    <row r="56" spans="1:18" s="13" customFormat="1" x14ac:dyDescent="0.25">
      <c r="A56" s="229"/>
      <c r="B56" s="30" t="s">
        <v>44</v>
      </c>
      <c r="C56" s="181" t="s">
        <v>17</v>
      </c>
      <c r="D56" s="182"/>
      <c r="E56" s="183" t="s">
        <v>20</v>
      </c>
      <c r="F56" s="73" t="s">
        <v>345</v>
      </c>
      <c r="G56" s="74" t="s">
        <v>112</v>
      </c>
      <c r="H56" s="75">
        <v>11</v>
      </c>
      <c r="I56" s="76">
        <v>6</v>
      </c>
      <c r="J56" s="96">
        <f>1+1+1+4</f>
        <v>7</v>
      </c>
      <c r="K56" s="77">
        <f>2422.38+1267.86+15410.58</f>
        <v>19100.82</v>
      </c>
      <c r="L56" s="77">
        <f>2422.38+1267.86+15410.58</f>
        <v>19100.82</v>
      </c>
      <c r="M56" s="78">
        <f>K56-L56</f>
        <v>0</v>
      </c>
      <c r="N56" s="100">
        <f>1+11</f>
        <v>12</v>
      </c>
      <c r="O56" s="81">
        <f>421.62+4603.39+10559.77+72902.04</f>
        <v>88486.819999999992</v>
      </c>
      <c r="P56" s="81">
        <f>421.62+4603.39+10559.77+72902.04</f>
        <v>88486.819999999992</v>
      </c>
      <c r="Q56" s="79">
        <f t="shared" si="2"/>
        <v>0</v>
      </c>
      <c r="R56" s="141"/>
    </row>
    <row r="57" spans="1:18" s="13" customFormat="1" x14ac:dyDescent="0.25">
      <c r="A57" s="229"/>
      <c r="B57" s="30" t="s">
        <v>44</v>
      </c>
      <c r="C57" s="181" t="s">
        <v>17</v>
      </c>
      <c r="D57" s="182"/>
      <c r="E57" s="183" t="s">
        <v>20</v>
      </c>
      <c r="F57" s="73" t="s">
        <v>483</v>
      </c>
      <c r="G57" s="230" t="s">
        <v>114</v>
      </c>
      <c r="H57" s="181"/>
      <c r="I57" s="231"/>
      <c r="J57" s="190"/>
      <c r="K57" s="77"/>
      <c r="L57" s="77"/>
      <c r="M57" s="187">
        <f t="shared" si="1"/>
        <v>0</v>
      </c>
      <c r="N57" s="100">
        <v>2</v>
      </c>
      <c r="O57" s="224">
        <v>6723.5</v>
      </c>
      <c r="P57" s="224">
        <v>6723.5</v>
      </c>
      <c r="Q57" s="232">
        <f t="shared" si="2"/>
        <v>0</v>
      </c>
    </row>
    <row r="58" spans="1:18" s="13" customFormat="1" x14ac:dyDescent="0.25">
      <c r="A58" s="229"/>
      <c r="B58" s="30" t="s">
        <v>492</v>
      </c>
      <c r="C58" s="181" t="s">
        <v>17</v>
      </c>
      <c r="D58" s="182"/>
      <c r="E58" s="183" t="s">
        <v>20</v>
      </c>
      <c r="F58" s="73" t="s">
        <v>499</v>
      </c>
      <c r="G58" s="230" t="s">
        <v>112</v>
      </c>
      <c r="H58" s="181">
        <v>10</v>
      </c>
      <c r="I58" s="231">
        <v>1</v>
      </c>
      <c r="J58" s="190">
        <f>1</f>
        <v>1</v>
      </c>
      <c r="K58" s="77">
        <f>1044.98</f>
        <v>1044.98</v>
      </c>
      <c r="L58" s="77">
        <f>1044.98</f>
        <v>1044.98</v>
      </c>
      <c r="M58" s="78">
        <f t="shared" si="1"/>
        <v>0</v>
      </c>
      <c r="N58" s="100"/>
      <c r="O58" s="224"/>
      <c r="P58" s="224"/>
      <c r="Q58" s="79">
        <f t="shared" si="2"/>
        <v>0</v>
      </c>
    </row>
    <row r="59" spans="1:18" s="13" customFormat="1" x14ac:dyDescent="0.25">
      <c r="A59" s="229"/>
      <c r="B59" s="27" t="s">
        <v>45</v>
      </c>
      <c r="C59" s="181" t="s">
        <v>17</v>
      </c>
      <c r="D59" s="182"/>
      <c r="E59" s="183" t="s">
        <v>20</v>
      </c>
      <c r="F59" s="73" t="s">
        <v>346</v>
      </c>
      <c r="G59" s="74" t="s">
        <v>112</v>
      </c>
      <c r="H59" s="75"/>
      <c r="I59" s="76"/>
      <c r="J59" s="96"/>
      <c r="K59" s="77"/>
      <c r="L59" s="77"/>
      <c r="M59" s="78">
        <f t="shared" si="1"/>
        <v>0</v>
      </c>
      <c r="N59" s="100">
        <f>1</f>
        <v>1</v>
      </c>
      <c r="O59" s="81">
        <f>17995.91+2729.8</f>
        <v>20725.71</v>
      </c>
      <c r="P59" s="81">
        <f>17995.91+2729.8</f>
        <v>20725.71</v>
      </c>
      <c r="Q59" s="79">
        <f t="shared" si="2"/>
        <v>0</v>
      </c>
      <c r="R59" s="141"/>
    </row>
    <row r="60" spans="1:18" s="13" customFormat="1" x14ac:dyDescent="0.25">
      <c r="A60" s="229"/>
      <c r="B60" s="27" t="s">
        <v>45</v>
      </c>
      <c r="C60" s="181" t="s">
        <v>17</v>
      </c>
      <c r="D60" s="182"/>
      <c r="E60" s="183" t="s">
        <v>20</v>
      </c>
      <c r="F60" s="73" t="s">
        <v>484</v>
      </c>
      <c r="G60" s="230" t="s">
        <v>114</v>
      </c>
      <c r="H60" s="181"/>
      <c r="I60" s="231"/>
      <c r="J60" s="190"/>
      <c r="K60" s="77"/>
      <c r="L60" s="77"/>
      <c r="M60" s="187">
        <f t="shared" si="1"/>
        <v>0</v>
      </c>
      <c r="N60" s="100"/>
      <c r="O60" s="224"/>
      <c r="P60" s="224"/>
      <c r="Q60" s="232">
        <f t="shared" si="2"/>
        <v>0</v>
      </c>
    </row>
    <row r="61" spans="1:18" s="15" customFormat="1" x14ac:dyDescent="0.25">
      <c r="A61" s="229"/>
      <c r="B61" s="27" t="s">
        <v>46</v>
      </c>
      <c r="C61" s="181" t="s">
        <v>17</v>
      </c>
      <c r="D61" s="182"/>
      <c r="E61" s="183" t="s">
        <v>20</v>
      </c>
      <c r="F61" s="73" t="s">
        <v>347</v>
      </c>
      <c r="G61" s="74" t="s">
        <v>112</v>
      </c>
      <c r="H61" s="75">
        <v>15</v>
      </c>
      <c r="I61" s="76">
        <v>13</v>
      </c>
      <c r="J61" s="96">
        <f>1+2+3+2+4+1+4+2+1</f>
        <v>20</v>
      </c>
      <c r="K61" s="77">
        <f>1045.98+1068.08+8157.32+1778.85+9152.67+11156.63+11271.63+1490.2</f>
        <v>45121.359999999993</v>
      </c>
      <c r="L61" s="77">
        <f>1045.98+1068.08+8157.32+1778.85+9152.67+11156.63+11271.63</f>
        <v>43631.159999999996</v>
      </c>
      <c r="M61" s="78">
        <f>K61-L61</f>
        <v>1490.1999999999971</v>
      </c>
      <c r="N61" s="100">
        <f>4+4+1+1+1</f>
        <v>11</v>
      </c>
      <c r="O61" s="81">
        <f>10759.2+10685.34+7362.04</f>
        <v>28806.58</v>
      </c>
      <c r="P61" s="81">
        <f>10759.2+10685.34+7362.04</f>
        <v>28806.58</v>
      </c>
      <c r="Q61" s="79">
        <f t="shared" si="2"/>
        <v>0</v>
      </c>
      <c r="R61" s="141"/>
    </row>
    <row r="62" spans="1:18" s="15" customFormat="1" x14ac:dyDescent="0.25">
      <c r="A62" s="229"/>
      <c r="B62" s="27" t="s">
        <v>46</v>
      </c>
      <c r="C62" s="181" t="s">
        <v>17</v>
      </c>
      <c r="D62" s="182"/>
      <c r="E62" s="183" t="s">
        <v>20</v>
      </c>
      <c r="F62" s="73" t="s">
        <v>273</v>
      </c>
      <c r="G62" s="230" t="s">
        <v>114</v>
      </c>
      <c r="H62" s="181">
        <v>4</v>
      </c>
      <c r="I62" s="231">
        <v>1</v>
      </c>
      <c r="J62" s="190">
        <v>1</v>
      </c>
      <c r="K62" s="77">
        <v>576.29999999999995</v>
      </c>
      <c r="L62" s="77">
        <v>576.29999999999995</v>
      </c>
      <c r="M62" s="187">
        <f t="shared" si="1"/>
        <v>0</v>
      </c>
      <c r="N62" s="100">
        <v>3</v>
      </c>
      <c r="O62" s="224">
        <v>9356.9</v>
      </c>
      <c r="P62" s="224">
        <v>9356.9</v>
      </c>
      <c r="Q62" s="232">
        <f t="shared" si="2"/>
        <v>0</v>
      </c>
    </row>
    <row r="63" spans="1:18" s="13" customFormat="1" ht="45" x14ac:dyDescent="0.25">
      <c r="A63" s="229"/>
      <c r="B63" s="30" t="s">
        <v>47</v>
      </c>
      <c r="C63" s="181" t="s">
        <v>304</v>
      </c>
      <c r="D63" s="182" t="s">
        <v>474</v>
      </c>
      <c r="E63" s="183" t="s">
        <v>18</v>
      </c>
      <c r="F63" s="73" t="s">
        <v>348</v>
      </c>
      <c r="G63" s="74" t="s">
        <v>112</v>
      </c>
      <c r="H63" s="75">
        <v>44</v>
      </c>
      <c r="I63" s="76">
        <v>32</v>
      </c>
      <c r="J63" s="98">
        <f>1+1+3+21+7+2+5+2+7+15</f>
        <v>64</v>
      </c>
      <c r="K63" s="77">
        <f>30728.27+19236.99+22614.7</f>
        <v>72579.960000000006</v>
      </c>
      <c r="L63" s="77">
        <f>30728.27+19236.99+22614.7</f>
        <v>72579.960000000006</v>
      </c>
      <c r="M63" s="78">
        <f>K63-L63</f>
        <v>0</v>
      </c>
      <c r="N63" s="100">
        <f>7+3+4+10+6+1+2+1+3</f>
        <v>37</v>
      </c>
      <c r="O63" s="81">
        <f>8477.51+15159.83+14079.46+15414.2+17995.91+2065.56+1859.53+9543.86+1728.53+14526.84</f>
        <v>100851.23</v>
      </c>
      <c r="P63" s="81">
        <f>8477.51+15159.83+14079.46+15414.2+17995.91+2065.56+1859.53+9543.86+1728.53+14526.84</f>
        <v>100851.23</v>
      </c>
      <c r="Q63" s="79">
        <f t="shared" si="2"/>
        <v>0</v>
      </c>
      <c r="R63" s="141"/>
    </row>
    <row r="64" spans="1:18" s="13" customFormat="1" ht="45" x14ac:dyDescent="0.25">
      <c r="A64" s="229"/>
      <c r="B64" s="62" t="s">
        <v>120</v>
      </c>
      <c r="C64" s="181" t="s">
        <v>304</v>
      </c>
      <c r="D64" s="182" t="s">
        <v>474</v>
      </c>
      <c r="E64" s="183" t="s">
        <v>18</v>
      </c>
      <c r="F64" s="73" t="s">
        <v>334</v>
      </c>
      <c r="G64" s="230" t="s">
        <v>116</v>
      </c>
      <c r="H64" s="181">
        <v>26</v>
      </c>
      <c r="I64" s="234">
        <v>16</v>
      </c>
      <c r="J64" s="98">
        <v>17</v>
      </c>
      <c r="K64" s="77">
        <v>23264</v>
      </c>
      <c r="L64" s="77">
        <v>23264</v>
      </c>
      <c r="M64" s="78">
        <f t="shared" si="1"/>
        <v>0</v>
      </c>
      <c r="N64" s="100">
        <v>13</v>
      </c>
      <c r="O64" s="224">
        <v>48545</v>
      </c>
      <c r="P64" s="224">
        <v>48545</v>
      </c>
      <c r="Q64" s="232">
        <f t="shared" si="2"/>
        <v>0</v>
      </c>
    </row>
    <row r="65" spans="1:18" s="13" customFormat="1" x14ac:dyDescent="0.25">
      <c r="A65" s="229"/>
      <c r="B65" s="30" t="s">
        <v>134</v>
      </c>
      <c r="C65" s="181" t="s">
        <v>17</v>
      </c>
      <c r="D65" s="182"/>
      <c r="E65" s="183" t="s">
        <v>20</v>
      </c>
      <c r="F65" s="73" t="s">
        <v>349</v>
      </c>
      <c r="G65" s="74" t="s">
        <v>112</v>
      </c>
      <c r="H65" s="75">
        <v>12</v>
      </c>
      <c r="I65" s="76">
        <v>12</v>
      </c>
      <c r="J65" s="96">
        <f>1+4+1+1+2+1+1</f>
        <v>11</v>
      </c>
      <c r="K65" s="77">
        <f>7301.48+1473.89+1911.09+1690.48+845.24+6268.51+441.51</f>
        <v>19932.199999999997</v>
      </c>
      <c r="L65" s="77">
        <f>7301.48+1473.89+1911.09+1690.48+845.24+6268.51</f>
        <v>19490.689999999999</v>
      </c>
      <c r="M65" s="78">
        <f>K65-L65</f>
        <v>441.5099999999984</v>
      </c>
      <c r="N65" s="100">
        <f>4+1+1+1+1</f>
        <v>8</v>
      </c>
      <c r="O65" s="81">
        <f>5020.05+3215.31+12312.39+4648.82+32425.98+7889.42</f>
        <v>65511.97</v>
      </c>
      <c r="P65" s="81">
        <f>5020.05+3215.31+12312.39+4648.82+32425.98+7889.42</f>
        <v>65511.97</v>
      </c>
      <c r="Q65" s="79">
        <f t="shared" si="2"/>
        <v>0</v>
      </c>
      <c r="R65" s="141"/>
    </row>
    <row r="66" spans="1:18" s="13" customFormat="1" x14ac:dyDescent="0.25">
      <c r="A66" s="229"/>
      <c r="B66" s="30" t="s">
        <v>134</v>
      </c>
      <c r="C66" s="181" t="s">
        <v>17</v>
      </c>
      <c r="D66" s="182"/>
      <c r="E66" s="183" t="s">
        <v>20</v>
      </c>
      <c r="F66" s="73" t="s">
        <v>456</v>
      </c>
      <c r="G66" s="230" t="s">
        <v>114</v>
      </c>
      <c r="H66" s="181">
        <v>19</v>
      </c>
      <c r="I66" s="231">
        <v>5</v>
      </c>
      <c r="J66" s="190">
        <v>5</v>
      </c>
      <c r="K66" s="77">
        <v>10236.9</v>
      </c>
      <c r="L66" s="77">
        <v>10236.9</v>
      </c>
      <c r="M66" s="187">
        <f t="shared" si="1"/>
        <v>0</v>
      </c>
      <c r="N66" s="100">
        <v>27</v>
      </c>
      <c r="O66" s="224">
        <v>61494.8</v>
      </c>
      <c r="P66" s="224">
        <v>61494.8</v>
      </c>
      <c r="Q66" s="232">
        <f t="shared" si="2"/>
        <v>0</v>
      </c>
    </row>
    <row r="67" spans="1:18" s="13" customFormat="1" x14ac:dyDescent="0.25">
      <c r="A67" s="229"/>
      <c r="B67" s="62" t="s">
        <v>48</v>
      </c>
      <c r="C67" s="181" t="s">
        <v>17</v>
      </c>
      <c r="D67" s="182"/>
      <c r="E67" s="183" t="s">
        <v>20</v>
      </c>
      <c r="F67" s="73" t="s">
        <v>350</v>
      </c>
      <c r="G67" s="74" t="s">
        <v>112</v>
      </c>
      <c r="H67" s="75">
        <v>15</v>
      </c>
      <c r="I67" s="76">
        <v>9</v>
      </c>
      <c r="J67" s="96">
        <f>1+1+2+1+3</f>
        <v>8</v>
      </c>
      <c r="K67" s="77">
        <f>4805.96+2585.78+3065.92+2588.55+14407.5+9289.05</f>
        <v>36742.759999999995</v>
      </c>
      <c r="L67" s="77">
        <f>4805.96+2585.78+3065.92+2588.55+14407.5+4537.49</f>
        <v>31991.199999999997</v>
      </c>
      <c r="M67" s="78">
        <f t="shared" si="1"/>
        <v>4751.5599999999977</v>
      </c>
      <c r="N67" s="100">
        <f>2+1+2+1</f>
        <v>6</v>
      </c>
      <c r="O67" s="81">
        <f>23174.33+2535.72+11633.02+6993.42+20756.4</f>
        <v>65092.890000000007</v>
      </c>
      <c r="P67" s="81">
        <f>23174.33+2535.72+11633.02+6993.42+20756.4</f>
        <v>65092.890000000007</v>
      </c>
      <c r="Q67" s="79">
        <f t="shared" si="2"/>
        <v>0</v>
      </c>
      <c r="R67" s="141"/>
    </row>
    <row r="68" spans="1:18" s="13" customFormat="1" x14ac:dyDescent="0.25">
      <c r="A68" s="229"/>
      <c r="B68" s="62" t="s">
        <v>49</v>
      </c>
      <c r="C68" s="181" t="s">
        <v>17</v>
      </c>
      <c r="D68" s="182"/>
      <c r="E68" s="183" t="s">
        <v>50</v>
      </c>
      <c r="F68" s="73" t="s">
        <v>351</v>
      </c>
      <c r="G68" s="74" t="s">
        <v>112</v>
      </c>
      <c r="H68" s="75">
        <v>26</v>
      </c>
      <c r="I68" s="76">
        <v>15</v>
      </c>
      <c r="J68" s="96">
        <f>1+4+8+6</f>
        <v>19</v>
      </c>
      <c r="K68" s="77">
        <f>525.65+1267.86+6544.72+13939.57+1896.54+9712.48</f>
        <v>33886.82</v>
      </c>
      <c r="L68" s="77">
        <f>525.65+1267.86+6544.72+13939.57+1896.54+9712.48</f>
        <v>33886.82</v>
      </c>
      <c r="M68" s="78">
        <f t="shared" si="1"/>
        <v>0</v>
      </c>
      <c r="N68" s="100">
        <f>5+1+3+1</f>
        <v>10</v>
      </c>
      <c r="O68" s="81">
        <f>7374+1806.93+7275.53+4666.9+2684.03+6682.03</f>
        <v>30489.42</v>
      </c>
      <c r="P68" s="81">
        <f>7374+1806.93+7275.53+4666.9+2684.03+6682.03</f>
        <v>30489.42</v>
      </c>
      <c r="Q68" s="232">
        <f t="shared" si="2"/>
        <v>0</v>
      </c>
      <c r="R68" s="141"/>
    </row>
    <row r="69" spans="1:18" s="13" customFormat="1" x14ac:dyDescent="0.25">
      <c r="A69" s="229"/>
      <c r="B69" s="62" t="s">
        <v>49</v>
      </c>
      <c r="C69" s="181" t="s">
        <v>17</v>
      </c>
      <c r="D69" s="182"/>
      <c r="E69" s="183" t="s">
        <v>50</v>
      </c>
      <c r="F69" s="73" t="s">
        <v>427</v>
      </c>
      <c r="G69" s="230" t="s">
        <v>115</v>
      </c>
      <c r="H69" s="181">
        <v>12</v>
      </c>
      <c r="I69" s="231">
        <v>4</v>
      </c>
      <c r="J69" s="96">
        <v>4</v>
      </c>
      <c r="K69" s="77">
        <v>7514.63</v>
      </c>
      <c r="L69" s="77">
        <v>7514.63</v>
      </c>
      <c r="M69" s="187">
        <f t="shared" si="1"/>
        <v>0</v>
      </c>
      <c r="N69" s="100">
        <v>8</v>
      </c>
      <c r="O69" s="224">
        <v>11237.9</v>
      </c>
      <c r="P69" s="224">
        <v>11237.9</v>
      </c>
      <c r="Q69" s="79">
        <f t="shared" si="2"/>
        <v>0</v>
      </c>
    </row>
    <row r="70" spans="1:18" s="13" customFormat="1" x14ac:dyDescent="0.25">
      <c r="A70" s="229"/>
      <c r="B70" s="27" t="s">
        <v>51</v>
      </c>
      <c r="C70" s="181" t="s">
        <v>17</v>
      </c>
      <c r="D70" s="182"/>
      <c r="E70" s="183" t="s">
        <v>20</v>
      </c>
      <c r="F70" s="73" t="s">
        <v>186</v>
      </c>
      <c r="G70" s="74" t="s">
        <v>112</v>
      </c>
      <c r="H70" s="75"/>
      <c r="I70" s="76"/>
      <c r="J70" s="96"/>
      <c r="K70" s="77"/>
      <c r="L70" s="77"/>
      <c r="M70" s="78">
        <f>K70-L70</f>
        <v>0</v>
      </c>
      <c r="N70" s="100">
        <f>1</f>
        <v>1</v>
      </c>
      <c r="O70" s="81">
        <v>2451.87</v>
      </c>
      <c r="P70" s="81">
        <v>2451.87</v>
      </c>
      <c r="Q70" s="232">
        <f t="shared" si="2"/>
        <v>0</v>
      </c>
      <c r="R70" s="141"/>
    </row>
    <row r="71" spans="1:18" s="13" customFormat="1" x14ac:dyDescent="0.25">
      <c r="A71" s="229"/>
      <c r="B71" s="27" t="s">
        <v>51</v>
      </c>
      <c r="C71" s="181" t="s">
        <v>17</v>
      </c>
      <c r="D71" s="182"/>
      <c r="E71" s="183" t="s">
        <v>20</v>
      </c>
      <c r="F71" s="73" t="s">
        <v>276</v>
      </c>
      <c r="G71" s="230" t="s">
        <v>114</v>
      </c>
      <c r="H71" s="181"/>
      <c r="I71" s="231"/>
      <c r="J71" s="190"/>
      <c r="K71" s="77"/>
      <c r="L71" s="77"/>
      <c r="M71" s="187">
        <f t="shared" si="1"/>
        <v>0</v>
      </c>
      <c r="N71" s="100">
        <v>3</v>
      </c>
      <c r="O71" s="224">
        <v>6763.6</v>
      </c>
      <c r="P71" s="224">
        <v>6763.6</v>
      </c>
      <c r="Q71" s="232">
        <f t="shared" si="2"/>
        <v>0</v>
      </c>
    </row>
    <row r="72" spans="1:18" s="13" customFormat="1" x14ac:dyDescent="0.25">
      <c r="A72" s="229"/>
      <c r="B72" s="62" t="s">
        <v>52</v>
      </c>
      <c r="C72" s="181" t="s">
        <v>17</v>
      </c>
      <c r="D72" s="182"/>
      <c r="E72" s="183" t="s">
        <v>20</v>
      </c>
      <c r="F72" s="73" t="s">
        <v>352</v>
      </c>
      <c r="G72" s="74" t="s">
        <v>112</v>
      </c>
      <c r="H72" s="75">
        <v>13</v>
      </c>
      <c r="I72" s="76">
        <v>7</v>
      </c>
      <c r="J72" s="96">
        <f>1+1+1+1+2+3</f>
        <v>9</v>
      </c>
      <c r="K72" s="77">
        <f>10714.2+2747.14+2138.07+6709.4+7033.21</f>
        <v>29342.019999999997</v>
      </c>
      <c r="L72" s="77">
        <f>10714.2+2747.14+2138.07+6709.4</f>
        <v>22308.809999999998</v>
      </c>
      <c r="M72" s="78">
        <f>K72-L72</f>
        <v>7033.2099999999991</v>
      </c>
      <c r="N72" s="100">
        <f>4+3+1+1+2+3+1+1</f>
        <v>16</v>
      </c>
      <c r="O72" s="81">
        <f>5977.15+48296.91+7596.86+1061.83+8902.9+6856.31+2935.36</f>
        <v>81627.320000000007</v>
      </c>
      <c r="P72" s="81">
        <f>5977.15+48296.91+7596.86+1061.83+8902.9+6856.31+2935.36</f>
        <v>81627.320000000007</v>
      </c>
      <c r="Q72" s="232">
        <f t="shared" si="2"/>
        <v>0</v>
      </c>
      <c r="R72" s="141"/>
    </row>
    <row r="73" spans="1:18" s="13" customFormat="1" x14ac:dyDescent="0.25">
      <c r="A73" s="229"/>
      <c r="B73" s="62" t="s">
        <v>52</v>
      </c>
      <c r="C73" s="181" t="s">
        <v>17</v>
      </c>
      <c r="D73" s="182"/>
      <c r="E73" s="183" t="s">
        <v>20</v>
      </c>
      <c r="F73" s="73" t="s">
        <v>457</v>
      </c>
      <c r="G73" s="230" t="s">
        <v>114</v>
      </c>
      <c r="H73" s="181">
        <v>11</v>
      </c>
      <c r="I73" s="231">
        <v>4</v>
      </c>
      <c r="J73" s="190">
        <v>4</v>
      </c>
      <c r="K73" s="77">
        <v>11041.4</v>
      </c>
      <c r="L73" s="77">
        <v>11041.4</v>
      </c>
      <c r="M73" s="187">
        <f t="shared" si="1"/>
        <v>0</v>
      </c>
      <c r="N73" s="100">
        <v>20</v>
      </c>
      <c r="O73" s="224">
        <v>52565.919999999998</v>
      </c>
      <c r="P73" s="224">
        <v>52565.919999999998</v>
      </c>
      <c r="Q73" s="232">
        <f t="shared" si="2"/>
        <v>0</v>
      </c>
    </row>
    <row r="74" spans="1:18" s="13" customFormat="1" x14ac:dyDescent="0.25">
      <c r="A74" s="229"/>
      <c r="B74" s="27" t="s">
        <v>53</v>
      </c>
      <c r="C74" s="181" t="s">
        <v>17</v>
      </c>
      <c r="D74" s="182"/>
      <c r="E74" s="183" t="s">
        <v>20</v>
      </c>
      <c r="F74" s="73" t="s">
        <v>353</v>
      </c>
      <c r="G74" s="74" t="s">
        <v>112</v>
      </c>
      <c r="H74" s="75">
        <v>10</v>
      </c>
      <c r="I74" s="76">
        <v>6</v>
      </c>
      <c r="J74" s="96">
        <f>2+2+2</f>
        <v>6</v>
      </c>
      <c r="K74" s="77">
        <f>3655.66+6862.24+2535.72</f>
        <v>13053.619999999999</v>
      </c>
      <c r="L74" s="77">
        <f>3655.66+6862.24+2535.72</f>
        <v>13053.619999999999</v>
      </c>
      <c r="M74" s="78">
        <f t="shared" si="1"/>
        <v>0</v>
      </c>
      <c r="N74" s="100">
        <f>1+2+2+1+1</f>
        <v>7</v>
      </c>
      <c r="O74" s="81">
        <f>1743.3+3921.71+422.62+5626.45</f>
        <v>11714.08</v>
      </c>
      <c r="P74" s="81">
        <f>1743.3+3921.71+422.62+5626.45</f>
        <v>11714.08</v>
      </c>
      <c r="Q74" s="232">
        <f t="shared" si="2"/>
        <v>0</v>
      </c>
      <c r="R74" s="141"/>
    </row>
    <row r="75" spans="1:18" s="13" customFormat="1" x14ac:dyDescent="0.25">
      <c r="A75" s="229"/>
      <c r="B75" s="27" t="s">
        <v>149</v>
      </c>
      <c r="C75" s="181" t="s">
        <v>17</v>
      </c>
      <c r="D75" s="182"/>
      <c r="E75" s="183" t="s">
        <v>383</v>
      </c>
      <c r="F75" s="73" t="s">
        <v>354</v>
      </c>
      <c r="G75" s="74" t="s">
        <v>112</v>
      </c>
      <c r="H75" s="75">
        <v>35</v>
      </c>
      <c r="I75" s="76">
        <v>6</v>
      </c>
      <c r="J75" s="96">
        <f>7</f>
        <v>7</v>
      </c>
      <c r="K75" s="77">
        <f>7743.07</f>
        <v>7743.07</v>
      </c>
      <c r="L75" s="77">
        <f>7743.07</f>
        <v>7743.07</v>
      </c>
      <c r="M75" s="78">
        <f t="shared" si="1"/>
        <v>0</v>
      </c>
      <c r="N75" s="100">
        <f>2+2+2</f>
        <v>6</v>
      </c>
      <c r="O75" s="81">
        <f>3676.8+3431.65+6320.35</f>
        <v>13428.800000000001</v>
      </c>
      <c r="P75" s="81">
        <f>3676.8+3431.65+6320.35</f>
        <v>13428.800000000001</v>
      </c>
      <c r="Q75" s="79">
        <f t="shared" si="2"/>
        <v>0</v>
      </c>
      <c r="R75" s="141"/>
    </row>
    <row r="76" spans="1:18" s="13" customFormat="1" x14ac:dyDescent="0.25">
      <c r="A76" s="229"/>
      <c r="B76" s="27" t="s">
        <v>149</v>
      </c>
      <c r="C76" s="181" t="s">
        <v>17</v>
      </c>
      <c r="D76" s="182"/>
      <c r="E76" s="183" t="s">
        <v>383</v>
      </c>
      <c r="F76" s="73" t="s">
        <v>438</v>
      </c>
      <c r="G76" s="230" t="s">
        <v>118</v>
      </c>
      <c r="H76" s="181">
        <v>10</v>
      </c>
      <c r="I76" s="234">
        <v>1</v>
      </c>
      <c r="J76" s="190">
        <v>1</v>
      </c>
      <c r="K76" s="193">
        <v>576.29999999999995</v>
      </c>
      <c r="L76" s="193">
        <v>576.29999999999995</v>
      </c>
      <c r="M76" s="78">
        <f t="shared" si="1"/>
        <v>0</v>
      </c>
      <c r="N76" s="114">
        <v>7</v>
      </c>
      <c r="O76" s="224">
        <v>9835.52</v>
      </c>
      <c r="P76" s="224">
        <v>9835.52</v>
      </c>
      <c r="Q76" s="232">
        <f t="shared" si="2"/>
        <v>0</v>
      </c>
    </row>
    <row r="77" spans="1:18" s="13" customFormat="1" x14ac:dyDescent="0.25">
      <c r="A77" s="229"/>
      <c r="B77" s="62" t="s">
        <v>107</v>
      </c>
      <c r="C77" s="181" t="s">
        <v>17</v>
      </c>
      <c r="D77" s="182"/>
      <c r="E77" s="194" t="s">
        <v>20</v>
      </c>
      <c r="F77" s="73" t="s">
        <v>355</v>
      </c>
      <c r="G77" s="74" t="s">
        <v>112</v>
      </c>
      <c r="H77" s="75">
        <v>11</v>
      </c>
      <c r="I77" s="76">
        <v>7</v>
      </c>
      <c r="J77" s="96">
        <f>1+3+3+2</f>
        <v>9</v>
      </c>
      <c r="K77" s="77">
        <f>666.63+7071.2+5333.38+13316.37+23091.24+4686.95</f>
        <v>54165.770000000004</v>
      </c>
      <c r="L77" s="77">
        <f>666.63+7071.2+5333.38+13316.37+23091.24</f>
        <v>49478.820000000007</v>
      </c>
      <c r="M77" s="78">
        <f t="shared" si="1"/>
        <v>4686.9499999999971</v>
      </c>
      <c r="N77" s="100">
        <f>2+6+1+1+2</f>
        <v>12</v>
      </c>
      <c r="O77" s="81">
        <f>7612.92+18804.48+9163.33+3260.98+6297.63</f>
        <v>45139.340000000004</v>
      </c>
      <c r="P77" s="81">
        <f>7612.92+18804.48+9163.33+3260.98+6297.63</f>
        <v>45139.340000000004</v>
      </c>
      <c r="Q77" s="79">
        <f t="shared" si="2"/>
        <v>0</v>
      </c>
      <c r="R77" s="141"/>
    </row>
    <row r="78" spans="1:18" s="13" customFormat="1" x14ac:dyDescent="0.25">
      <c r="A78" s="229"/>
      <c r="B78" s="30" t="s">
        <v>54</v>
      </c>
      <c r="C78" s="181" t="s">
        <v>17</v>
      </c>
      <c r="D78" s="182"/>
      <c r="E78" s="194" t="s">
        <v>20</v>
      </c>
      <c r="F78" s="73" t="s">
        <v>356</v>
      </c>
      <c r="G78" s="74" t="s">
        <v>112</v>
      </c>
      <c r="H78" s="75"/>
      <c r="I78" s="76"/>
      <c r="J78" s="96"/>
      <c r="K78" s="77">
        <f>9075.37</f>
        <v>9075.3700000000008</v>
      </c>
      <c r="L78" s="77">
        <f>9075.37</f>
        <v>9075.3700000000008</v>
      </c>
      <c r="M78" s="78">
        <f t="shared" si="1"/>
        <v>0</v>
      </c>
      <c r="N78" s="100">
        <f>4+1+1+2</f>
        <v>8</v>
      </c>
      <c r="O78" s="81">
        <f>17895.28+17443.73+5473.41</f>
        <v>40812.42</v>
      </c>
      <c r="P78" s="81">
        <f>17895.28+17443.73+5473.41</f>
        <v>40812.42</v>
      </c>
      <c r="Q78" s="79">
        <f t="shared" si="2"/>
        <v>0</v>
      </c>
      <c r="R78" s="141"/>
    </row>
    <row r="79" spans="1:18" s="13" customFormat="1" ht="30" x14ac:dyDescent="0.25">
      <c r="A79" s="229"/>
      <c r="B79" s="27" t="s">
        <v>55</v>
      </c>
      <c r="C79" s="181" t="s">
        <v>304</v>
      </c>
      <c r="D79" s="182" t="s">
        <v>387</v>
      </c>
      <c r="E79" s="183" t="s">
        <v>20</v>
      </c>
      <c r="F79" s="73" t="s">
        <v>357</v>
      </c>
      <c r="G79" s="74" t="s">
        <v>112</v>
      </c>
      <c r="H79" s="75">
        <v>17</v>
      </c>
      <c r="I79" s="76">
        <v>12</v>
      </c>
      <c r="J79" s="96">
        <f>3+1+1+2+1+1</f>
        <v>9</v>
      </c>
      <c r="K79" s="77">
        <f>1267.86+6667.8+5756.15+1180.38+4780.37+4352.43+2850.42</f>
        <v>26855.409999999996</v>
      </c>
      <c r="L79" s="77">
        <f>1267.86+6667.8+5756.15+1180.38+4780.37+4352.43</f>
        <v>24004.989999999998</v>
      </c>
      <c r="M79" s="78">
        <f t="shared" si="1"/>
        <v>2850.4199999999983</v>
      </c>
      <c r="N79" s="100">
        <f>2+1+2+2+2+1+2+1</f>
        <v>13</v>
      </c>
      <c r="O79" s="81">
        <f>34854.19+2113.1+6430.67+5463.42+39145.22+2535.72+5132.44+12985.86</f>
        <v>108660.62000000001</v>
      </c>
      <c r="P79" s="81">
        <f>34854.19+2113.1+6430.67+5463.42+39145.22+2535.72+5132.44+12985.86</f>
        <v>108660.62000000001</v>
      </c>
      <c r="Q79" s="232">
        <f t="shared" si="2"/>
        <v>0</v>
      </c>
      <c r="R79" s="141"/>
    </row>
    <row r="80" spans="1:18" s="13" customFormat="1" ht="30" x14ac:dyDescent="0.25">
      <c r="A80" s="229"/>
      <c r="B80" s="62" t="s">
        <v>56</v>
      </c>
      <c r="C80" s="181" t="s">
        <v>17</v>
      </c>
      <c r="D80" s="182" t="s">
        <v>386</v>
      </c>
      <c r="E80" s="183" t="s">
        <v>18</v>
      </c>
      <c r="F80" s="73" t="s">
        <v>358</v>
      </c>
      <c r="G80" s="74" t="s">
        <v>112</v>
      </c>
      <c r="H80" s="75">
        <v>9</v>
      </c>
      <c r="I80" s="76">
        <v>4</v>
      </c>
      <c r="J80" s="96">
        <f>1+1+2</f>
        <v>4</v>
      </c>
      <c r="K80" s="77">
        <f>678.11+678.11+4865.7</f>
        <v>6221.92</v>
      </c>
      <c r="L80" s="77">
        <f>678.11+678.11+4865.7</f>
        <v>6221.92</v>
      </c>
      <c r="M80" s="78">
        <f t="shared" si="1"/>
        <v>0</v>
      </c>
      <c r="N80" s="100">
        <f>1</f>
        <v>1</v>
      </c>
      <c r="O80" s="81">
        <f>4395.5</f>
        <v>4395.5</v>
      </c>
      <c r="P80" s="81">
        <f>4395.5</f>
        <v>4395.5</v>
      </c>
      <c r="Q80" s="79">
        <f t="shared" si="2"/>
        <v>0</v>
      </c>
      <c r="R80" s="141"/>
    </row>
    <row r="81" spans="1:18" s="13" customFormat="1" ht="30" x14ac:dyDescent="0.25">
      <c r="A81" s="229"/>
      <c r="B81" s="62" t="s">
        <v>56</v>
      </c>
      <c r="C81" s="181" t="s">
        <v>304</v>
      </c>
      <c r="D81" s="182" t="s">
        <v>386</v>
      </c>
      <c r="E81" s="183" t="s">
        <v>18</v>
      </c>
      <c r="F81" s="73" t="s">
        <v>476</v>
      </c>
      <c r="G81" s="230" t="s">
        <v>113</v>
      </c>
      <c r="H81" s="181">
        <v>8</v>
      </c>
      <c r="I81" s="231">
        <v>6</v>
      </c>
      <c r="J81" s="96">
        <v>6</v>
      </c>
      <c r="K81" s="77">
        <v>11288</v>
      </c>
      <c r="L81" s="77">
        <v>11288</v>
      </c>
      <c r="M81" s="78">
        <f t="shared" si="1"/>
        <v>0</v>
      </c>
      <c r="N81" s="100"/>
      <c r="O81" s="224">
        <v>7612</v>
      </c>
      <c r="P81" s="224">
        <v>7612</v>
      </c>
      <c r="Q81" s="232">
        <f t="shared" ref="Q81:Q145" si="3">O81-P81</f>
        <v>0</v>
      </c>
    </row>
    <row r="82" spans="1:18" s="13" customFormat="1" x14ac:dyDescent="0.25">
      <c r="A82" s="229"/>
      <c r="B82" s="62" t="s">
        <v>156</v>
      </c>
      <c r="C82" s="181" t="s">
        <v>304</v>
      </c>
      <c r="D82" s="182"/>
      <c r="E82" s="183" t="s">
        <v>20</v>
      </c>
      <c r="F82" s="73" t="s">
        <v>359</v>
      </c>
      <c r="G82" s="74" t="s">
        <v>112</v>
      </c>
      <c r="H82" s="75">
        <v>4</v>
      </c>
      <c r="I82" s="76">
        <v>2</v>
      </c>
      <c r="J82" s="96">
        <f>2</f>
        <v>2</v>
      </c>
      <c r="K82" s="77">
        <f>1690.48+993.47</f>
        <v>2683.95</v>
      </c>
      <c r="L82" s="77">
        <f>1690.48+993.47</f>
        <v>2683.95</v>
      </c>
      <c r="M82" s="78">
        <f t="shared" si="1"/>
        <v>0</v>
      </c>
      <c r="N82" s="100">
        <f>3+1+1</f>
        <v>5</v>
      </c>
      <c r="O82" s="81">
        <f>5488.54+2398.37+422.62+1605.6</f>
        <v>9915.130000000001</v>
      </c>
      <c r="P82" s="81">
        <f>5488.54+2398.37+422.62+1605.6</f>
        <v>9915.130000000001</v>
      </c>
      <c r="Q82" s="79">
        <f t="shared" si="3"/>
        <v>0</v>
      </c>
      <c r="R82" s="141"/>
    </row>
    <row r="83" spans="1:18" s="15" customFormat="1" x14ac:dyDescent="0.25">
      <c r="A83" s="229"/>
      <c r="B83" s="62" t="s">
        <v>57</v>
      </c>
      <c r="C83" s="181" t="s">
        <v>17</v>
      </c>
      <c r="D83" s="182"/>
      <c r="E83" s="183" t="s">
        <v>20</v>
      </c>
      <c r="F83" s="73" t="s">
        <v>360</v>
      </c>
      <c r="G83" s="74" t="s">
        <v>112</v>
      </c>
      <c r="H83" s="75">
        <v>7</v>
      </c>
      <c r="I83" s="76">
        <v>6</v>
      </c>
      <c r="J83" s="96">
        <f>2+1+1+2</f>
        <v>6</v>
      </c>
      <c r="K83" s="77">
        <f>806.82+1728.9+422.62+2958.34</f>
        <v>5916.68</v>
      </c>
      <c r="L83" s="77">
        <f>806.82+1728.9+422.62+2958.34</f>
        <v>5916.68</v>
      </c>
      <c r="M83" s="78">
        <f t="shared" si="1"/>
        <v>0</v>
      </c>
      <c r="N83" s="100">
        <f>2+1</f>
        <v>3</v>
      </c>
      <c r="O83" s="81">
        <f>2745.3</f>
        <v>2745.3</v>
      </c>
      <c r="P83" s="81">
        <f>2745.3</f>
        <v>2745.3</v>
      </c>
      <c r="Q83" s="232">
        <f t="shared" si="3"/>
        <v>0</v>
      </c>
      <c r="R83" s="141"/>
    </row>
    <row r="84" spans="1:18" s="15" customFormat="1" x14ac:dyDescent="0.25">
      <c r="A84" s="229"/>
      <c r="B84" s="62" t="s">
        <v>57</v>
      </c>
      <c r="C84" s="181" t="s">
        <v>17</v>
      </c>
      <c r="D84" s="182"/>
      <c r="E84" s="183" t="s">
        <v>20</v>
      </c>
      <c r="F84" s="73" t="s">
        <v>458</v>
      </c>
      <c r="G84" s="230" t="s">
        <v>114</v>
      </c>
      <c r="H84" s="181">
        <v>31</v>
      </c>
      <c r="I84" s="231">
        <v>7</v>
      </c>
      <c r="J84" s="190">
        <v>7</v>
      </c>
      <c r="K84" s="77">
        <v>15092.7</v>
      </c>
      <c r="L84" s="77">
        <v>15092.7</v>
      </c>
      <c r="M84" s="187">
        <f t="shared" si="1"/>
        <v>0</v>
      </c>
      <c r="N84" s="100">
        <v>19</v>
      </c>
      <c r="O84" s="224">
        <v>42687.199999999997</v>
      </c>
      <c r="P84" s="224">
        <v>42687.199999999997</v>
      </c>
      <c r="Q84" s="232">
        <f t="shared" si="3"/>
        <v>0</v>
      </c>
    </row>
    <row r="85" spans="1:18" s="13" customFormat="1" x14ac:dyDescent="0.25">
      <c r="A85" s="229"/>
      <c r="B85" s="62" t="s">
        <v>58</v>
      </c>
      <c r="C85" s="181" t="s">
        <v>17</v>
      </c>
      <c r="D85" s="182"/>
      <c r="E85" s="183" t="s">
        <v>20</v>
      </c>
      <c r="F85" s="73" t="s">
        <v>361</v>
      </c>
      <c r="G85" s="74" t="s">
        <v>112</v>
      </c>
      <c r="H85" s="75">
        <v>8</v>
      </c>
      <c r="I85" s="76">
        <v>4</v>
      </c>
      <c r="J85" s="96">
        <f>1+2+1</f>
        <v>4</v>
      </c>
      <c r="K85" s="77">
        <f>1892.47+3118.94+422.62</f>
        <v>5434.03</v>
      </c>
      <c r="L85" s="77">
        <f>1892.47+3118.94+422.62</f>
        <v>5434.03</v>
      </c>
      <c r="M85" s="78">
        <f>K85-L85</f>
        <v>0</v>
      </c>
      <c r="N85" s="100">
        <f>1+1+3</f>
        <v>5</v>
      </c>
      <c r="O85" s="81">
        <f>9196.24+2480.78+2954.11+15214.32</f>
        <v>29845.45</v>
      </c>
      <c r="P85" s="81">
        <f>9196.24+2480.78+2954.11+15214.32</f>
        <v>29845.45</v>
      </c>
      <c r="Q85" s="232">
        <f t="shared" si="3"/>
        <v>0</v>
      </c>
      <c r="R85" s="141"/>
    </row>
    <row r="86" spans="1:18" s="13" customFormat="1" x14ac:dyDescent="0.25">
      <c r="A86" s="229"/>
      <c r="B86" s="62" t="s">
        <v>58</v>
      </c>
      <c r="C86" s="181" t="s">
        <v>17</v>
      </c>
      <c r="D86" s="182"/>
      <c r="E86" s="183" t="s">
        <v>20</v>
      </c>
      <c r="F86" s="73" t="s">
        <v>478</v>
      </c>
      <c r="G86" s="230" t="s">
        <v>114</v>
      </c>
      <c r="H86" s="181">
        <v>15</v>
      </c>
      <c r="I86" s="231">
        <v>2</v>
      </c>
      <c r="J86" s="190">
        <v>2</v>
      </c>
      <c r="K86" s="77">
        <v>3765.16</v>
      </c>
      <c r="L86" s="77">
        <v>3765.16</v>
      </c>
      <c r="M86" s="187">
        <f t="shared" si="1"/>
        <v>0</v>
      </c>
      <c r="N86" s="100">
        <v>21</v>
      </c>
      <c r="O86" s="224">
        <v>54215.77</v>
      </c>
      <c r="P86" s="224">
        <v>54215.77</v>
      </c>
      <c r="Q86" s="232">
        <f t="shared" si="3"/>
        <v>0</v>
      </c>
    </row>
    <row r="87" spans="1:18" s="13" customFormat="1" x14ac:dyDescent="0.25">
      <c r="A87" s="229"/>
      <c r="B87" s="62" t="s">
        <v>59</v>
      </c>
      <c r="C87" s="181" t="s">
        <v>17</v>
      </c>
      <c r="D87" s="182"/>
      <c r="E87" s="183" t="s">
        <v>20</v>
      </c>
      <c r="F87" s="73" t="s">
        <v>362</v>
      </c>
      <c r="G87" s="74" t="s">
        <v>112</v>
      </c>
      <c r="H87" s="75">
        <v>11</v>
      </c>
      <c r="I87" s="76">
        <v>8</v>
      </c>
      <c r="J87" s="96">
        <f>1+1+1+3+1+1</f>
        <v>8</v>
      </c>
      <c r="K87" s="77">
        <f>403.41+1431.16+845.24+998.92+3059.87</f>
        <v>6738.6</v>
      </c>
      <c r="L87" s="77">
        <f>403.41+1431.16+845.24+998.92</f>
        <v>3678.7300000000005</v>
      </c>
      <c r="M87" s="78">
        <f>K87-L87</f>
        <v>3059.87</v>
      </c>
      <c r="N87" s="100">
        <f>1+2+2+1+1+1+1</f>
        <v>9</v>
      </c>
      <c r="O87" s="81">
        <f>6646.05+1267.86+979.71</f>
        <v>8893.619999999999</v>
      </c>
      <c r="P87" s="81">
        <f>2353.23+5561.68+978.71</f>
        <v>8893.619999999999</v>
      </c>
      <c r="Q87" s="232">
        <f t="shared" si="3"/>
        <v>0</v>
      </c>
      <c r="R87" s="141"/>
    </row>
    <row r="88" spans="1:18" s="13" customFormat="1" x14ac:dyDescent="0.25">
      <c r="A88" s="229"/>
      <c r="B88" s="62" t="s">
        <v>59</v>
      </c>
      <c r="C88" s="181" t="s">
        <v>17</v>
      </c>
      <c r="D88" s="182"/>
      <c r="E88" s="183" t="s">
        <v>20</v>
      </c>
      <c r="F88" s="73" t="s">
        <v>128</v>
      </c>
      <c r="G88" s="230" t="s">
        <v>114</v>
      </c>
      <c r="H88" s="181"/>
      <c r="I88" s="231"/>
      <c r="J88" s="190"/>
      <c r="K88" s="77"/>
      <c r="L88" s="77"/>
      <c r="M88" s="187">
        <f t="shared" si="1"/>
        <v>0</v>
      </c>
      <c r="N88" s="100"/>
      <c r="O88" s="224"/>
      <c r="P88" s="224"/>
      <c r="Q88" s="232">
        <f t="shared" si="3"/>
        <v>0</v>
      </c>
    </row>
    <row r="89" spans="1:18" s="13" customFormat="1" x14ac:dyDescent="0.25">
      <c r="A89" s="229"/>
      <c r="B89" s="27" t="s">
        <v>60</v>
      </c>
      <c r="C89" s="181" t="s">
        <v>17</v>
      </c>
      <c r="D89" s="182"/>
      <c r="E89" s="183" t="s">
        <v>20</v>
      </c>
      <c r="F89" s="73" t="s">
        <v>364</v>
      </c>
      <c r="G89" s="74" t="s">
        <v>112</v>
      </c>
      <c r="H89" s="75">
        <v>16</v>
      </c>
      <c r="I89" s="76">
        <v>9</v>
      </c>
      <c r="J89" s="96">
        <f>1+1+1+4+4</f>
        <v>11</v>
      </c>
      <c r="K89" s="77">
        <f>634.93+893.27+2930.22+8503.46</f>
        <v>12961.88</v>
      </c>
      <c r="L89" s="77">
        <f>634.93+893.27+2930.22</f>
        <v>4458.42</v>
      </c>
      <c r="M89" s="78">
        <f>K89-L89</f>
        <v>8503.4599999999991</v>
      </c>
      <c r="N89" s="100">
        <f>4+1+3+1</f>
        <v>9</v>
      </c>
      <c r="O89" s="81">
        <f>15124.53+2065.75+8492.52</f>
        <v>25682.799999999999</v>
      </c>
      <c r="P89" s="81">
        <f>15124.53+2065.75+8492.52</f>
        <v>25682.799999999999</v>
      </c>
      <c r="Q89" s="232">
        <f t="shared" si="3"/>
        <v>0</v>
      </c>
      <c r="R89" s="141"/>
    </row>
    <row r="90" spans="1:18" s="13" customFormat="1" x14ac:dyDescent="0.25">
      <c r="A90" s="229"/>
      <c r="B90" s="27" t="s">
        <v>60</v>
      </c>
      <c r="C90" s="181" t="s">
        <v>17</v>
      </c>
      <c r="D90" s="182"/>
      <c r="E90" s="183" t="s">
        <v>20</v>
      </c>
      <c r="F90" s="73" t="s">
        <v>479</v>
      </c>
      <c r="G90" s="230" t="s">
        <v>114</v>
      </c>
      <c r="H90" s="181">
        <v>11</v>
      </c>
      <c r="I90" s="231">
        <v>2</v>
      </c>
      <c r="J90" s="190">
        <v>2</v>
      </c>
      <c r="K90" s="77">
        <v>5186.7</v>
      </c>
      <c r="L90" s="77">
        <v>5186.7</v>
      </c>
      <c r="M90" s="187">
        <f t="shared" si="1"/>
        <v>0</v>
      </c>
      <c r="N90" s="100">
        <v>12</v>
      </c>
      <c r="O90" s="224">
        <v>41221.599999999999</v>
      </c>
      <c r="P90" s="224">
        <v>41221.599999999999</v>
      </c>
      <c r="Q90" s="232">
        <f t="shared" si="3"/>
        <v>0</v>
      </c>
    </row>
    <row r="91" spans="1:18" s="13" customFormat="1" x14ac:dyDescent="0.25">
      <c r="A91" s="229"/>
      <c r="B91" s="27" t="s">
        <v>493</v>
      </c>
      <c r="C91" s="181" t="s">
        <v>17</v>
      </c>
      <c r="D91" s="182"/>
      <c r="E91" s="183" t="s">
        <v>20</v>
      </c>
      <c r="F91" s="73" t="s">
        <v>496</v>
      </c>
      <c r="G91" s="230" t="s">
        <v>112</v>
      </c>
      <c r="H91" s="181">
        <v>12</v>
      </c>
      <c r="I91" s="231">
        <v>8</v>
      </c>
      <c r="J91" s="190">
        <f>3+2+1+3+1+2</f>
        <v>12</v>
      </c>
      <c r="K91" s="77">
        <f>3387.04+3467.41+1267.86+2218.74</f>
        <v>10341.049999999999</v>
      </c>
      <c r="L91" s="77">
        <f>3387.04+3467.41+1267.86</f>
        <v>8122.3099999999995</v>
      </c>
      <c r="M91" s="78">
        <f t="shared" ref="M91:M155" si="4">K91-L91</f>
        <v>2218.7399999999998</v>
      </c>
      <c r="N91" s="100"/>
      <c r="O91" s="224"/>
      <c r="P91" s="224"/>
      <c r="Q91" s="232">
        <f t="shared" si="3"/>
        <v>0</v>
      </c>
    </row>
    <row r="92" spans="1:18" s="15" customFormat="1" x14ac:dyDescent="0.25">
      <c r="A92" s="229"/>
      <c r="B92" s="27" t="s">
        <v>61</v>
      </c>
      <c r="C92" s="181" t="s">
        <v>17</v>
      </c>
      <c r="D92" s="182"/>
      <c r="E92" s="183" t="s">
        <v>20</v>
      </c>
      <c r="F92" s="73" t="s">
        <v>363</v>
      </c>
      <c r="G92" s="74" t="s">
        <v>112</v>
      </c>
      <c r="H92" s="75"/>
      <c r="I92" s="76"/>
      <c r="J92" s="96"/>
      <c r="K92" s="77"/>
      <c r="L92" s="77"/>
      <c r="M92" s="78">
        <f t="shared" si="4"/>
        <v>0</v>
      </c>
      <c r="N92" s="100"/>
      <c r="O92" s="81"/>
      <c r="P92" s="81"/>
      <c r="Q92" s="232">
        <f t="shared" si="3"/>
        <v>0</v>
      </c>
      <c r="R92" s="141"/>
    </row>
    <row r="93" spans="1:18" s="15" customFormat="1" x14ac:dyDescent="0.25">
      <c r="A93" s="229"/>
      <c r="B93" s="236" t="s">
        <v>306</v>
      </c>
      <c r="C93" s="181" t="s">
        <v>17</v>
      </c>
      <c r="D93" s="182"/>
      <c r="E93" s="183" t="s">
        <v>35</v>
      </c>
      <c r="F93" s="73" t="s">
        <v>365</v>
      </c>
      <c r="G93" s="230" t="s">
        <v>112</v>
      </c>
      <c r="H93" s="181">
        <v>32</v>
      </c>
      <c r="I93" s="231">
        <v>18</v>
      </c>
      <c r="J93" s="190">
        <f>1+2+1+3+3+2+3+1+2</f>
        <v>18</v>
      </c>
      <c r="K93" s="77">
        <f>1045.98+2658.7+35696.14+4892.46+1024.04+2384.53+10793.24+5320.79+2075.24+1324.62</f>
        <v>67215.739999999991</v>
      </c>
      <c r="L93" s="77">
        <f>1045.98+2658.7+35696.14+4892.46+1024.04+2384.53+10793.24+5320.79+2075.24</f>
        <v>65891.12</v>
      </c>
      <c r="M93" s="78">
        <f>K93-L93</f>
        <v>1324.6199999999953</v>
      </c>
      <c r="N93" s="114">
        <f>7+2+2+2+1+1</f>
        <v>15</v>
      </c>
      <c r="O93" s="224">
        <f>2313.84+6162.57+2330.32+1690.48+3706.14+3107.65</f>
        <v>19311</v>
      </c>
      <c r="P93" s="224">
        <f>2313.84+6162.57+2330.32+1690.48+3706.14+3107.65</f>
        <v>19311</v>
      </c>
      <c r="Q93" s="232">
        <f t="shared" si="3"/>
        <v>0</v>
      </c>
      <c r="R93" s="141"/>
    </row>
    <row r="94" spans="1:18" s="13" customFormat="1" x14ac:dyDescent="0.25">
      <c r="A94" s="229"/>
      <c r="B94" s="62" t="s">
        <v>306</v>
      </c>
      <c r="C94" s="181" t="s">
        <v>17</v>
      </c>
      <c r="D94" s="182"/>
      <c r="E94" s="183" t="s">
        <v>27</v>
      </c>
      <c r="F94" s="73" t="s">
        <v>421</v>
      </c>
      <c r="G94" s="230" t="s">
        <v>117</v>
      </c>
      <c r="H94" s="181">
        <v>3</v>
      </c>
      <c r="I94" s="231"/>
      <c r="J94" s="96"/>
      <c r="K94" s="77"/>
      <c r="L94" s="77"/>
      <c r="M94" s="78">
        <f>K94-L94</f>
        <v>0</v>
      </c>
      <c r="N94" s="100"/>
      <c r="O94" s="77"/>
      <c r="P94" s="77"/>
      <c r="Q94" s="79">
        <f>O94-P94</f>
        <v>0</v>
      </c>
    </row>
    <row r="95" spans="1:18" s="13" customFormat="1" x14ac:dyDescent="0.25">
      <c r="A95" s="229"/>
      <c r="B95" s="27" t="s">
        <v>62</v>
      </c>
      <c r="C95" s="181" t="s">
        <v>17</v>
      </c>
      <c r="D95" s="182"/>
      <c r="E95" s="183" t="s">
        <v>35</v>
      </c>
      <c r="F95" s="73" t="s">
        <v>366</v>
      </c>
      <c r="G95" s="74" t="s">
        <v>112</v>
      </c>
      <c r="H95" s="75">
        <v>24</v>
      </c>
      <c r="I95" s="76">
        <v>12</v>
      </c>
      <c r="J95" s="96">
        <f>1+3+1+1+2+4</f>
        <v>12</v>
      </c>
      <c r="K95" s="77">
        <f>3613.4+1872.01+1394.65+3518.32+15902.72</f>
        <v>26301.1</v>
      </c>
      <c r="L95" s="77">
        <f>3613.4+1872.01+1394.65+3518.32+15902.72</f>
        <v>26301.1</v>
      </c>
      <c r="M95" s="78">
        <f>K95-L95</f>
        <v>0</v>
      </c>
      <c r="N95" s="100">
        <f>6+2+1+2+1+3</f>
        <v>15</v>
      </c>
      <c r="O95" s="81">
        <f>19511.33+1270.93+3979.74+2500.85+8530.18+845.24+12787.47</f>
        <v>49425.74</v>
      </c>
      <c r="P95" s="81">
        <f>19511.33+1270.93+3979.74+2500.85+8530.18+845.24+12787.47</f>
        <v>49425.74</v>
      </c>
      <c r="Q95" s="79">
        <f t="shared" si="3"/>
        <v>0</v>
      </c>
      <c r="R95" s="141"/>
    </row>
    <row r="96" spans="1:18" s="13" customFormat="1" x14ac:dyDescent="0.25">
      <c r="A96" s="229"/>
      <c r="B96" s="27" t="s">
        <v>62</v>
      </c>
      <c r="C96" s="181" t="s">
        <v>17</v>
      </c>
      <c r="D96" s="182"/>
      <c r="E96" s="183" t="s">
        <v>35</v>
      </c>
      <c r="F96" s="73" t="s">
        <v>428</v>
      </c>
      <c r="G96" s="230" t="s">
        <v>117</v>
      </c>
      <c r="H96" s="181">
        <v>2</v>
      </c>
      <c r="I96" s="231"/>
      <c r="J96" s="96"/>
      <c r="K96" s="77"/>
      <c r="L96" s="77"/>
      <c r="M96" s="78">
        <f t="shared" si="4"/>
        <v>0</v>
      </c>
      <c r="N96" s="100">
        <v>9</v>
      </c>
      <c r="O96" s="224">
        <v>22788.1</v>
      </c>
      <c r="P96" s="224">
        <v>22788.1</v>
      </c>
      <c r="Q96" s="232">
        <f t="shared" si="3"/>
        <v>0</v>
      </c>
    </row>
    <row r="97" spans="1:19" s="13" customFormat="1" x14ac:dyDescent="0.25">
      <c r="A97" s="229"/>
      <c r="B97" s="27" t="s">
        <v>155</v>
      </c>
      <c r="C97" s="181" t="s">
        <v>17</v>
      </c>
      <c r="D97" s="182"/>
      <c r="E97" s="183" t="s">
        <v>20</v>
      </c>
      <c r="F97" s="73" t="s">
        <v>367</v>
      </c>
      <c r="G97" s="74" t="s">
        <v>112</v>
      </c>
      <c r="H97" s="75">
        <v>9</v>
      </c>
      <c r="I97" s="82">
        <v>6</v>
      </c>
      <c r="J97" s="96">
        <f>1+2+3+1</f>
        <v>7</v>
      </c>
      <c r="K97" s="77">
        <f>3117.56+2266.78+5307.72</f>
        <v>10692.060000000001</v>
      </c>
      <c r="L97" s="77">
        <f>3117.56+2266.78+5307.72</f>
        <v>10692.060000000001</v>
      </c>
      <c r="M97" s="78">
        <f>K97-L97</f>
        <v>0</v>
      </c>
      <c r="N97" s="100">
        <f>1+1+1</f>
        <v>3</v>
      </c>
      <c r="O97" s="81">
        <f>1798.06+2123.67</f>
        <v>3921.73</v>
      </c>
      <c r="P97" s="81">
        <f>1798.06+2123.67</f>
        <v>3921.73</v>
      </c>
      <c r="Q97" s="232">
        <f t="shared" si="3"/>
        <v>0</v>
      </c>
      <c r="R97" s="141"/>
    </row>
    <row r="98" spans="1:19" s="13" customFormat="1" x14ac:dyDescent="0.25">
      <c r="A98" s="229"/>
      <c r="B98" s="27" t="s">
        <v>155</v>
      </c>
      <c r="C98" s="181" t="s">
        <v>17</v>
      </c>
      <c r="D98" s="182"/>
      <c r="E98" s="183" t="s">
        <v>20</v>
      </c>
      <c r="F98" s="73" t="s">
        <v>459</v>
      </c>
      <c r="G98" s="230" t="s">
        <v>114</v>
      </c>
      <c r="H98" s="181">
        <v>11</v>
      </c>
      <c r="I98" s="231">
        <v>4</v>
      </c>
      <c r="J98" s="190">
        <v>4</v>
      </c>
      <c r="K98" s="77">
        <v>6147.2</v>
      </c>
      <c r="L98" s="77">
        <v>6147.2</v>
      </c>
      <c r="M98" s="187">
        <f t="shared" ref="M98" si="5">K98-L98</f>
        <v>0</v>
      </c>
      <c r="N98" s="100">
        <v>15</v>
      </c>
      <c r="O98" s="224">
        <v>33202.26</v>
      </c>
      <c r="P98" s="224">
        <v>33202.26</v>
      </c>
      <c r="Q98" s="232">
        <f t="shared" si="3"/>
        <v>0</v>
      </c>
    </row>
    <row r="99" spans="1:19" s="13" customFormat="1" x14ac:dyDescent="0.25">
      <c r="A99" s="229"/>
      <c r="B99" s="30" t="s">
        <v>66</v>
      </c>
      <c r="C99" s="181" t="s">
        <v>17</v>
      </c>
      <c r="D99" s="182"/>
      <c r="E99" s="183" t="s">
        <v>21</v>
      </c>
      <c r="F99" s="73" t="s">
        <v>368</v>
      </c>
      <c r="G99" s="74" t="s">
        <v>112</v>
      </c>
      <c r="H99" s="75">
        <v>25</v>
      </c>
      <c r="I99" s="76">
        <v>19</v>
      </c>
      <c r="J99" s="96">
        <f>1+3+2+3+2+1+2+1+3+7</f>
        <v>25</v>
      </c>
      <c r="K99" s="77">
        <f>1045.98+4309.04+3820.12+1872.01+4253.49+3044.79+1191.19+4942.84+9299.2+9796.16</f>
        <v>43574.820000000007</v>
      </c>
      <c r="L99" s="77">
        <f>1045.98+4309.04+3820.12+1872.01+4253.49+3044.79+1191.19+4942.84+9299.2+9796.16</f>
        <v>43574.820000000007</v>
      </c>
      <c r="M99" s="78">
        <f>K99-L99</f>
        <v>0</v>
      </c>
      <c r="N99" s="100">
        <f>6+3+8+7+1+1+1+2+1+1+1+1+1</f>
        <v>34</v>
      </c>
      <c r="O99" s="81">
        <f>11911.17+23136+18060.17+1977.84+2091.97+19535.65+19124.11+3199.71+4430.07+5418.9</f>
        <v>108885.59</v>
      </c>
      <c r="P99" s="81">
        <f>11911.17+23136+18060.17+1977.84+2091.97+19535.65+19124.11+3199.71+4430.07+5418.9</f>
        <v>108885.59</v>
      </c>
      <c r="Q99" s="232">
        <f t="shared" si="3"/>
        <v>0</v>
      </c>
      <c r="R99" s="141"/>
    </row>
    <row r="100" spans="1:19" s="13" customFormat="1" x14ac:dyDescent="0.25">
      <c r="A100" s="229"/>
      <c r="B100" s="30" t="s">
        <v>66</v>
      </c>
      <c r="C100" s="181" t="s">
        <v>17</v>
      </c>
      <c r="D100" s="182"/>
      <c r="E100" s="183" t="s">
        <v>21</v>
      </c>
      <c r="F100" s="73" t="s">
        <v>439</v>
      </c>
      <c r="G100" s="230" t="s">
        <v>118</v>
      </c>
      <c r="H100" s="181">
        <v>6</v>
      </c>
      <c r="I100" s="231">
        <v>2</v>
      </c>
      <c r="J100" s="96">
        <v>2</v>
      </c>
      <c r="K100" s="77">
        <v>2958.9</v>
      </c>
      <c r="L100" s="77">
        <v>2958.9</v>
      </c>
      <c r="M100" s="187">
        <f t="shared" si="4"/>
        <v>0</v>
      </c>
      <c r="N100" s="100">
        <v>16</v>
      </c>
      <c r="O100" s="224">
        <v>66871.69</v>
      </c>
      <c r="P100" s="224">
        <v>66871.69</v>
      </c>
      <c r="Q100" s="79">
        <f t="shared" si="3"/>
        <v>0</v>
      </c>
    </row>
    <row r="101" spans="1:19" s="13" customFormat="1" x14ac:dyDescent="0.25">
      <c r="A101" s="229"/>
      <c r="B101" s="62" t="s">
        <v>137</v>
      </c>
      <c r="C101" s="181" t="s">
        <v>17</v>
      </c>
      <c r="D101" s="182"/>
      <c r="E101" s="194" t="s">
        <v>35</v>
      </c>
      <c r="F101" s="73" t="s">
        <v>369</v>
      </c>
      <c r="G101" s="74" t="s">
        <v>112</v>
      </c>
      <c r="H101" s="75">
        <v>30</v>
      </c>
      <c r="I101" s="76">
        <v>15</v>
      </c>
      <c r="J101" s="96">
        <f>3+3+1+4+1+3</f>
        <v>15</v>
      </c>
      <c r="K101" s="77">
        <f>504.26+845.24+3380.96+422.62+2535.72+6256.62</f>
        <v>13945.419999999998</v>
      </c>
      <c r="L101" s="77">
        <f>504.26+845.24+3380.96+422.62+2535.72+6256.62</f>
        <v>13945.419999999998</v>
      </c>
      <c r="M101" s="78">
        <f>K101-L101</f>
        <v>0</v>
      </c>
      <c r="N101" s="100">
        <f>5+1+1+2+1</f>
        <v>10</v>
      </c>
      <c r="O101" s="81">
        <f>2617.36+422.62+3852.18+3380.96+422.62</f>
        <v>10695.74</v>
      </c>
      <c r="P101" s="81">
        <f>2617.36+422.62+3852.18+3380.96+422.62</f>
        <v>10695.74</v>
      </c>
      <c r="Q101" s="232">
        <f t="shared" si="3"/>
        <v>0</v>
      </c>
      <c r="R101" s="141"/>
    </row>
    <row r="102" spans="1:19" s="13" customFormat="1" x14ac:dyDescent="0.25">
      <c r="A102" s="229"/>
      <c r="B102" s="62" t="s">
        <v>137</v>
      </c>
      <c r="C102" s="181" t="s">
        <v>17</v>
      </c>
      <c r="D102" s="182"/>
      <c r="E102" s="194" t="s">
        <v>35</v>
      </c>
      <c r="F102" s="73" t="s">
        <v>429</v>
      </c>
      <c r="G102" s="230" t="s">
        <v>117</v>
      </c>
      <c r="H102" s="181">
        <v>4</v>
      </c>
      <c r="I102" s="231">
        <v>1</v>
      </c>
      <c r="J102" s="190">
        <v>1</v>
      </c>
      <c r="K102" s="193">
        <v>1921</v>
      </c>
      <c r="L102" s="193">
        <v>1921</v>
      </c>
      <c r="M102" s="78">
        <f t="shared" si="4"/>
        <v>0</v>
      </c>
      <c r="N102" s="114">
        <v>2</v>
      </c>
      <c r="O102" s="224">
        <v>10565.5</v>
      </c>
      <c r="P102" s="224">
        <v>10565.5</v>
      </c>
      <c r="Q102" s="79">
        <f t="shared" si="3"/>
        <v>0</v>
      </c>
    </row>
    <row r="103" spans="1:19" s="13" customFormat="1" x14ac:dyDescent="0.25">
      <c r="A103" s="229"/>
      <c r="B103" s="30" t="s">
        <v>67</v>
      </c>
      <c r="C103" s="181" t="s">
        <v>17</v>
      </c>
      <c r="D103" s="182"/>
      <c r="E103" s="194" t="s">
        <v>21</v>
      </c>
      <c r="F103" s="73" t="s">
        <v>370</v>
      </c>
      <c r="G103" s="74" t="s">
        <v>112</v>
      </c>
      <c r="H103" s="75">
        <v>28</v>
      </c>
      <c r="I103" s="76">
        <v>16</v>
      </c>
      <c r="J103" s="96">
        <f>2+1+1+2+1+1+2+2+1+2+5</f>
        <v>20</v>
      </c>
      <c r="K103" s="77">
        <f>3319.85+1198.9+864.45+7235.32+1947.89+5377.75+8701.73+3581.7+8737.54</f>
        <v>40965.130000000005</v>
      </c>
      <c r="L103" s="77">
        <f>3319.85+1198.9+864.45+7235.32+1947.89+5377.75+8701.73+3581.7+8737.54</f>
        <v>40965.130000000005</v>
      </c>
      <c r="M103" s="78">
        <f>K103-L103</f>
        <v>0</v>
      </c>
      <c r="N103" s="100">
        <f>4+9+4+4+1+3+1+3+1+1+1+1</f>
        <v>33</v>
      </c>
      <c r="O103" s="81">
        <f>29696.65+38129.03+13567.9+20687.05+2022.79+8145.77+17250.05+1233.28+5568.04</f>
        <v>136300.56</v>
      </c>
      <c r="P103" s="81">
        <f>29696.65+38129.03+13567.9+20687.05+2022.79+8145.77+17250.05+1233.28+5568.04</f>
        <v>136300.56</v>
      </c>
      <c r="Q103" s="232">
        <f t="shared" si="3"/>
        <v>0</v>
      </c>
      <c r="R103" s="141"/>
    </row>
    <row r="104" spans="1:19" s="13" customFormat="1" x14ac:dyDescent="0.25">
      <c r="A104" s="229"/>
      <c r="B104" s="30" t="s">
        <v>67</v>
      </c>
      <c r="C104" s="181" t="s">
        <v>17</v>
      </c>
      <c r="D104" s="182"/>
      <c r="E104" s="194" t="s">
        <v>21</v>
      </c>
      <c r="F104" s="73" t="s">
        <v>440</v>
      </c>
      <c r="G104" s="230" t="s">
        <v>118</v>
      </c>
      <c r="H104" s="181">
        <v>14</v>
      </c>
      <c r="I104" s="231">
        <v>2</v>
      </c>
      <c r="J104" s="96">
        <v>2</v>
      </c>
      <c r="K104" s="77">
        <v>5282.54</v>
      </c>
      <c r="L104" s="77">
        <v>5282.54</v>
      </c>
      <c r="M104" s="78">
        <f t="shared" si="4"/>
        <v>0</v>
      </c>
      <c r="N104" s="100">
        <v>19</v>
      </c>
      <c r="O104" s="224">
        <v>64481.79</v>
      </c>
      <c r="P104" s="224">
        <v>58475.09</v>
      </c>
      <c r="Q104" s="79">
        <f t="shared" si="3"/>
        <v>6006.7000000000044</v>
      </c>
    </row>
    <row r="105" spans="1:19" s="13" customFormat="1" x14ac:dyDescent="0.25">
      <c r="A105" s="229"/>
      <c r="B105" s="30" t="s">
        <v>68</v>
      </c>
      <c r="C105" s="181" t="s">
        <v>17</v>
      </c>
      <c r="D105" s="182"/>
      <c r="E105" s="194" t="s">
        <v>32</v>
      </c>
      <c r="F105" s="73" t="s">
        <v>371</v>
      </c>
      <c r="G105" s="74" t="s">
        <v>112</v>
      </c>
      <c r="H105" s="75">
        <v>17</v>
      </c>
      <c r="I105" s="76">
        <v>16</v>
      </c>
      <c r="J105" s="96">
        <f>2+1+2+5+5+3</f>
        <v>18</v>
      </c>
      <c r="K105" s="77">
        <f>1128.59+422.62+1152.6+4557.81+10981.59+5362.88+4996.85+4352.15</f>
        <v>32955.090000000004</v>
      </c>
      <c r="L105" s="77">
        <f>1128.59+422.62+1152.6+4557.81+10981.59+5362.88+4996.85</f>
        <v>28602.940000000002</v>
      </c>
      <c r="M105" s="78">
        <f>K105-L105</f>
        <v>4352.1500000000015</v>
      </c>
      <c r="N105" s="100">
        <f>6+5+1+4+2+2</f>
        <v>20</v>
      </c>
      <c r="O105" s="81">
        <f>7813.73+8523.5+1452.28+12582.19+18077.76+4987.46</f>
        <v>53436.919999999991</v>
      </c>
      <c r="P105" s="81">
        <f>7813.73+8523.5+1452.28+12582.19+18077.76+4987.46</f>
        <v>53436.919999999991</v>
      </c>
      <c r="Q105" s="232">
        <f t="shared" si="3"/>
        <v>0</v>
      </c>
      <c r="R105" s="141"/>
    </row>
    <row r="106" spans="1:19" s="13" customFormat="1" x14ac:dyDescent="0.25">
      <c r="A106" s="229"/>
      <c r="B106" s="30" t="s">
        <v>68</v>
      </c>
      <c r="C106" s="181" t="s">
        <v>17</v>
      </c>
      <c r="D106" s="182"/>
      <c r="E106" s="194" t="s">
        <v>32</v>
      </c>
      <c r="F106" s="73" t="s">
        <v>430</v>
      </c>
      <c r="G106" s="235" t="s">
        <v>117</v>
      </c>
      <c r="H106" s="181">
        <v>2</v>
      </c>
      <c r="I106" s="231"/>
      <c r="J106" s="96"/>
      <c r="K106" s="77"/>
      <c r="L106" s="77"/>
      <c r="M106" s="78">
        <f t="shared" si="4"/>
        <v>0</v>
      </c>
      <c r="N106" s="100"/>
      <c r="O106" s="77"/>
      <c r="P106" s="77"/>
      <c r="Q106" s="79">
        <f t="shared" si="3"/>
        <v>0</v>
      </c>
    </row>
    <row r="107" spans="1:19" s="15" customFormat="1" x14ac:dyDescent="0.25">
      <c r="A107" s="229"/>
      <c r="B107" s="27" t="s">
        <v>69</v>
      </c>
      <c r="C107" s="181" t="s">
        <v>17</v>
      </c>
      <c r="D107" s="182"/>
      <c r="E107" s="183" t="s">
        <v>20</v>
      </c>
      <c r="F107" s="73" t="s">
        <v>372</v>
      </c>
      <c r="G107" s="74" t="s">
        <v>112</v>
      </c>
      <c r="H107" s="75">
        <v>6</v>
      </c>
      <c r="I107" s="76">
        <v>3</v>
      </c>
      <c r="J107" s="96">
        <f>1+1+1+1</f>
        <v>4</v>
      </c>
      <c r="K107" s="77">
        <f>422.62+17390.69+3114.71+475.45</f>
        <v>21403.469999999998</v>
      </c>
      <c r="L107" s="77">
        <f>422.62+17390.69+3114.71+475.45</f>
        <v>21403.469999999998</v>
      </c>
      <c r="M107" s="78">
        <f t="shared" si="4"/>
        <v>0</v>
      </c>
      <c r="N107" s="100">
        <f>3+2+1+1+1</f>
        <v>8</v>
      </c>
      <c r="O107" s="77">
        <f>7210.31+3647.96+1306.28+1267.86+2697.06</f>
        <v>16129.470000000001</v>
      </c>
      <c r="P107" s="77">
        <f>7210.31+3647.96+1306.28+1267.86+2697.06</f>
        <v>16129.470000000001</v>
      </c>
      <c r="Q107" s="232">
        <f t="shared" si="3"/>
        <v>0</v>
      </c>
      <c r="R107" s="141"/>
    </row>
    <row r="108" spans="1:19" s="15" customFormat="1" x14ac:dyDescent="0.25">
      <c r="A108" s="229"/>
      <c r="B108" s="236" t="s">
        <v>502</v>
      </c>
      <c r="C108" s="181"/>
      <c r="D108" s="182"/>
      <c r="E108" s="183"/>
      <c r="F108" s="73" t="s">
        <v>508</v>
      </c>
      <c r="G108" s="74" t="s">
        <v>112</v>
      </c>
      <c r="H108" s="75">
        <v>9</v>
      </c>
      <c r="I108" s="76">
        <v>5</v>
      </c>
      <c r="J108" s="96">
        <f>4+1</f>
        <v>5</v>
      </c>
      <c r="K108" s="77">
        <f>6145.3+993.47</f>
        <v>7138.77</v>
      </c>
      <c r="L108" s="77">
        <f>6145.3</f>
        <v>6145.3</v>
      </c>
      <c r="M108" s="78">
        <f t="shared" si="4"/>
        <v>993.47000000000025</v>
      </c>
      <c r="N108" s="100"/>
      <c r="O108" s="77"/>
      <c r="P108" s="77"/>
      <c r="Q108" s="232">
        <f t="shared" si="3"/>
        <v>0</v>
      </c>
      <c r="R108" s="141"/>
    </row>
    <row r="109" spans="1:19" s="15" customFormat="1" x14ac:dyDescent="0.25">
      <c r="A109" s="229"/>
      <c r="B109" s="236" t="s">
        <v>502</v>
      </c>
      <c r="C109" s="181"/>
      <c r="D109" s="182"/>
      <c r="E109" s="183"/>
      <c r="F109" s="73" t="s">
        <v>511</v>
      </c>
      <c r="G109" s="235" t="s">
        <v>117</v>
      </c>
      <c r="H109" s="75">
        <v>3</v>
      </c>
      <c r="I109" s="76"/>
      <c r="J109" s="96"/>
      <c r="K109" s="77"/>
      <c r="L109" s="77"/>
      <c r="M109" s="78">
        <f t="shared" si="4"/>
        <v>0</v>
      </c>
      <c r="N109" s="100"/>
      <c r="O109" s="77"/>
      <c r="P109" s="77"/>
      <c r="Q109" s="232">
        <f t="shared" si="3"/>
        <v>0</v>
      </c>
      <c r="R109" s="141"/>
    </row>
    <row r="110" spans="1:19" s="13" customFormat="1" x14ac:dyDescent="0.25">
      <c r="A110" s="229"/>
      <c r="B110" s="62" t="s">
        <v>70</v>
      </c>
      <c r="C110" s="181" t="s">
        <v>17</v>
      </c>
      <c r="D110" s="182"/>
      <c r="E110" s="183" t="s">
        <v>20</v>
      </c>
      <c r="F110" s="73" t="s">
        <v>373</v>
      </c>
      <c r="G110" s="74" t="s">
        <v>112</v>
      </c>
      <c r="H110" s="75">
        <v>12</v>
      </c>
      <c r="I110" s="76">
        <v>8</v>
      </c>
      <c r="J110" s="96">
        <f>2+2+2+3</f>
        <v>9</v>
      </c>
      <c r="K110" s="77">
        <f>19498+3011.17+8156.45</f>
        <v>30665.62</v>
      </c>
      <c r="L110" s="77">
        <f>19498+3011.17+8156.45</f>
        <v>30665.62</v>
      </c>
      <c r="M110" s="78">
        <f>K110-L110</f>
        <v>0</v>
      </c>
      <c r="N110" s="100">
        <f>2+3+4+2</f>
        <v>11</v>
      </c>
      <c r="O110" s="81">
        <f>7606.2+16795.84</f>
        <v>24402.04</v>
      </c>
      <c r="P110" s="81">
        <f>7606.2+16795.84</f>
        <v>24402.04</v>
      </c>
      <c r="Q110" s="79">
        <f t="shared" si="3"/>
        <v>0</v>
      </c>
      <c r="R110" s="141"/>
    </row>
    <row r="111" spans="1:19" s="13" customFormat="1" x14ac:dyDescent="0.25">
      <c r="A111" s="229"/>
      <c r="B111" s="62" t="s">
        <v>70</v>
      </c>
      <c r="C111" s="181" t="s">
        <v>17</v>
      </c>
      <c r="D111" s="182"/>
      <c r="E111" s="183" t="s">
        <v>20</v>
      </c>
      <c r="F111" s="73" t="s">
        <v>460</v>
      </c>
      <c r="G111" s="230" t="s">
        <v>114</v>
      </c>
      <c r="H111" s="181">
        <v>31</v>
      </c>
      <c r="I111" s="231">
        <v>11</v>
      </c>
      <c r="J111" s="190">
        <v>11</v>
      </c>
      <c r="K111" s="77">
        <v>15164.14</v>
      </c>
      <c r="L111" s="77">
        <v>15164.14</v>
      </c>
      <c r="M111" s="187">
        <f t="shared" ref="M111" si="6">K111-L111</f>
        <v>0</v>
      </c>
      <c r="N111" s="100">
        <v>31</v>
      </c>
      <c r="O111" s="224">
        <v>72927.77</v>
      </c>
      <c r="P111" s="224">
        <v>72927.77</v>
      </c>
      <c r="Q111" s="232">
        <f t="shared" si="3"/>
        <v>0</v>
      </c>
    </row>
    <row r="112" spans="1:19" s="15" customFormat="1" x14ac:dyDescent="0.25">
      <c r="A112" s="229"/>
      <c r="B112" s="62" t="s">
        <v>71</v>
      </c>
      <c r="C112" s="181" t="s">
        <v>17</v>
      </c>
      <c r="D112" s="182"/>
      <c r="E112" s="183" t="s">
        <v>32</v>
      </c>
      <c r="F112" s="73" t="s">
        <v>374</v>
      </c>
      <c r="G112" s="74" t="s">
        <v>112</v>
      </c>
      <c r="H112" s="75">
        <v>16</v>
      </c>
      <c r="I112" s="76">
        <v>10</v>
      </c>
      <c r="J112" s="96">
        <f>3+1+2+1+1+3</f>
        <v>11</v>
      </c>
      <c r="K112" s="77">
        <f>1536.8+461.04+1748.88+633.93+3169.65+2435.83</f>
        <v>9986.130000000001</v>
      </c>
      <c r="L112" s="77">
        <f>1536.8+461.04+1748.88+633.93+3169.65+2435.83</f>
        <v>9986.130000000001</v>
      </c>
      <c r="M112" s="78">
        <f>K112-L112</f>
        <v>0</v>
      </c>
      <c r="N112" s="100">
        <f>3+2+1+1+2+1</f>
        <v>10</v>
      </c>
      <c r="O112" s="81">
        <f>9567.93+3616.67+403.41+14275.52+10922.18+12907.41</f>
        <v>51693.119999999995</v>
      </c>
      <c r="P112" s="81">
        <f>9567.93+3616.67+403.41+14275.52+10922.18+12907.41</f>
        <v>51693.119999999995</v>
      </c>
      <c r="Q112" s="79">
        <f t="shared" si="3"/>
        <v>0</v>
      </c>
      <c r="R112" s="141"/>
      <c r="S112" s="36"/>
    </row>
    <row r="113" spans="1:18" s="15" customFormat="1" x14ac:dyDescent="0.25">
      <c r="A113" s="229"/>
      <c r="B113" s="62" t="s">
        <v>71</v>
      </c>
      <c r="C113" s="181" t="s">
        <v>17</v>
      </c>
      <c r="D113" s="182"/>
      <c r="E113" s="183" t="s">
        <v>32</v>
      </c>
      <c r="F113" s="73" t="s">
        <v>431</v>
      </c>
      <c r="G113" s="230" t="s">
        <v>115</v>
      </c>
      <c r="H113" s="181">
        <v>7</v>
      </c>
      <c r="I113" s="231">
        <v>4</v>
      </c>
      <c r="J113" s="96">
        <v>4</v>
      </c>
      <c r="K113" s="237">
        <v>6627.45</v>
      </c>
      <c r="L113" s="237">
        <v>6627.45</v>
      </c>
      <c r="M113" s="187">
        <f t="shared" si="4"/>
        <v>0</v>
      </c>
      <c r="N113" s="114">
        <f>5</f>
        <v>5</v>
      </c>
      <c r="O113" s="77">
        <v>6595.5</v>
      </c>
      <c r="P113" s="77">
        <v>6595.5</v>
      </c>
      <c r="Q113" s="232">
        <f t="shared" si="3"/>
        <v>0</v>
      </c>
    </row>
    <row r="114" spans="1:18" s="13" customFormat="1" x14ac:dyDescent="0.25">
      <c r="A114" s="229"/>
      <c r="B114" s="62" t="s">
        <v>319</v>
      </c>
      <c r="C114" s="181" t="s">
        <v>17</v>
      </c>
      <c r="D114" s="182"/>
      <c r="E114" s="183" t="s">
        <v>20</v>
      </c>
      <c r="F114" s="73" t="s">
        <v>375</v>
      </c>
      <c r="G114" s="74" t="s">
        <v>112</v>
      </c>
      <c r="H114" s="75">
        <v>27</v>
      </c>
      <c r="I114" s="76">
        <v>21</v>
      </c>
      <c r="J114" s="96">
        <f>2+1+4+3+6+2+7</f>
        <v>25</v>
      </c>
      <c r="K114" s="77">
        <f>710.77+1523.35+6753.23+7215.52+1437.48+28056.52+6091.99</f>
        <v>51788.859999999993</v>
      </c>
      <c r="L114" s="77">
        <f>710.77+1523.35+6753.23+7215.52+1437.48</f>
        <v>17640.349999999999</v>
      </c>
      <c r="M114" s="78">
        <f t="shared" si="4"/>
        <v>34148.509999999995</v>
      </c>
      <c r="N114" s="100">
        <f>3+1+2+1+2</f>
        <v>9</v>
      </c>
      <c r="O114" s="77">
        <f>13419.94+726.71+2846.77+3770.56+4653.31</f>
        <v>25417.290000000005</v>
      </c>
      <c r="P114" s="77">
        <f>13419.94+726.71+2846.77+3770.56</f>
        <v>20763.980000000003</v>
      </c>
      <c r="Q114" s="79">
        <f>O114-P114</f>
        <v>4653.3100000000013</v>
      </c>
      <c r="R114" s="141"/>
    </row>
    <row r="115" spans="1:18" s="15" customFormat="1" x14ac:dyDescent="0.25">
      <c r="A115" s="229"/>
      <c r="B115" s="62" t="s">
        <v>150</v>
      </c>
      <c r="C115" s="181" t="s">
        <v>17</v>
      </c>
      <c r="D115" s="182"/>
      <c r="E115" s="183" t="s">
        <v>35</v>
      </c>
      <c r="F115" s="73" t="s">
        <v>376</v>
      </c>
      <c r="G115" s="74" t="s">
        <v>112</v>
      </c>
      <c r="H115" s="75">
        <v>21</v>
      </c>
      <c r="I115" s="76">
        <v>7</v>
      </c>
      <c r="J115" s="96">
        <f>1+1+2+2+1</f>
        <v>7</v>
      </c>
      <c r="K115" s="77">
        <f>1343.65+384.2+1690.4+4889.84</f>
        <v>8308.09</v>
      </c>
      <c r="L115" s="77">
        <f>1343.65+384.2+1690.4+4889.84</f>
        <v>8308.09</v>
      </c>
      <c r="M115" s="78">
        <f t="shared" si="4"/>
        <v>0</v>
      </c>
      <c r="N115" s="114">
        <f>8+1+1+2+3+1+1+1</f>
        <v>18</v>
      </c>
      <c r="O115" s="77">
        <f>5997.32+3719.39+3054.34+13138.17+6578.46+6198.68</f>
        <v>38686.36</v>
      </c>
      <c r="P115" s="77">
        <f>5997.32+3719.39+3054.34+13138.17+6578.46+6198.68</f>
        <v>38686.36</v>
      </c>
      <c r="Q115" s="79">
        <f t="shared" si="3"/>
        <v>0</v>
      </c>
      <c r="R115" s="141"/>
    </row>
    <row r="116" spans="1:18" s="15" customFormat="1" x14ac:dyDescent="0.25">
      <c r="A116" s="229"/>
      <c r="B116" s="233" t="s">
        <v>150</v>
      </c>
      <c r="C116" s="181" t="s">
        <v>17</v>
      </c>
      <c r="D116" s="182"/>
      <c r="E116" s="183" t="s">
        <v>32</v>
      </c>
      <c r="F116" s="73" t="s">
        <v>487</v>
      </c>
      <c r="G116" s="230" t="s">
        <v>117</v>
      </c>
      <c r="H116" s="181">
        <v>4</v>
      </c>
      <c r="I116" s="231">
        <v>2</v>
      </c>
      <c r="J116" s="96">
        <v>2</v>
      </c>
      <c r="K116" s="77">
        <v>6823.8</v>
      </c>
      <c r="L116" s="77">
        <v>6823.8</v>
      </c>
      <c r="M116" s="187">
        <f t="shared" si="4"/>
        <v>0</v>
      </c>
      <c r="N116" s="100">
        <v>2</v>
      </c>
      <c r="O116" s="77">
        <v>8240.2000000000007</v>
      </c>
      <c r="P116" s="77">
        <v>8240.2000000000007</v>
      </c>
      <c r="Q116" s="232">
        <f t="shared" si="3"/>
        <v>0</v>
      </c>
    </row>
    <row r="117" spans="1:18" s="13" customFormat="1" x14ac:dyDescent="0.25">
      <c r="A117" s="229"/>
      <c r="B117" s="30" t="s">
        <v>72</v>
      </c>
      <c r="C117" s="181" t="s">
        <v>17</v>
      </c>
      <c r="D117" s="182"/>
      <c r="E117" s="183" t="s">
        <v>21</v>
      </c>
      <c r="F117" s="73" t="s">
        <v>377</v>
      </c>
      <c r="G117" s="74" t="s">
        <v>112</v>
      </c>
      <c r="H117" s="75">
        <v>21</v>
      </c>
      <c r="I117" s="76">
        <v>9</v>
      </c>
      <c r="J117" s="96">
        <f>1+1+1+1+6+2</f>
        <v>12</v>
      </c>
      <c r="K117" s="77">
        <f>633.93+1415.78+1610.18+1394.65+18140.86+2440.63</f>
        <v>25636.030000000002</v>
      </c>
      <c r="L117" s="77">
        <f>633.93+1415.78+1610.18+1394.65+18140.86+2440.63</f>
        <v>25636.030000000002</v>
      </c>
      <c r="M117" s="78">
        <f>K117-L117</f>
        <v>0</v>
      </c>
      <c r="N117" s="100">
        <f>1+3+1+1+1+3+1+3</f>
        <v>14</v>
      </c>
      <c r="O117" s="81">
        <f>1950.74+10237.13+6595.95+3861.21+1348.53+10328.94+50451.86-19567+15859.78</f>
        <v>81067.14</v>
      </c>
      <c r="P117" s="81">
        <f>1950.74+10237.13+6595.95+3861.21+1348.53+10328.94+50451.86-19567+15859.78</f>
        <v>81067.14</v>
      </c>
      <c r="Q117" s="79">
        <f t="shared" si="3"/>
        <v>0</v>
      </c>
      <c r="R117" s="141"/>
    </row>
    <row r="118" spans="1:18" s="13" customFormat="1" x14ac:dyDescent="0.25">
      <c r="A118" s="229"/>
      <c r="B118" s="30" t="s">
        <v>72</v>
      </c>
      <c r="C118" s="181" t="s">
        <v>17</v>
      </c>
      <c r="D118" s="182"/>
      <c r="E118" s="183" t="s">
        <v>21</v>
      </c>
      <c r="F118" s="73" t="s">
        <v>441</v>
      </c>
      <c r="G118" s="230" t="s">
        <v>118</v>
      </c>
      <c r="H118" s="181">
        <v>7</v>
      </c>
      <c r="I118" s="231">
        <v>1</v>
      </c>
      <c r="J118" s="96">
        <v>1</v>
      </c>
      <c r="K118" s="77">
        <v>1728.9</v>
      </c>
      <c r="L118" s="77">
        <v>1728.9</v>
      </c>
      <c r="M118" s="187">
        <f t="shared" si="4"/>
        <v>0</v>
      </c>
      <c r="N118" s="100">
        <v>13</v>
      </c>
      <c r="O118" s="224">
        <v>45577.03</v>
      </c>
      <c r="P118" s="224">
        <v>45577.03</v>
      </c>
      <c r="Q118" s="232">
        <f t="shared" si="3"/>
        <v>0</v>
      </c>
    </row>
    <row r="119" spans="1:18" s="15" customFormat="1" x14ac:dyDescent="0.25">
      <c r="A119" s="229"/>
      <c r="B119" s="30" t="s">
        <v>73</v>
      </c>
      <c r="C119" s="181" t="s">
        <v>17</v>
      </c>
      <c r="D119" s="182"/>
      <c r="E119" s="183" t="s">
        <v>74</v>
      </c>
      <c r="F119" s="73" t="s">
        <v>378</v>
      </c>
      <c r="G119" s="74" t="s">
        <v>112</v>
      </c>
      <c r="H119" s="75">
        <v>28</v>
      </c>
      <c r="I119" s="76">
        <v>27</v>
      </c>
      <c r="J119" s="96">
        <f>9+8+2+2+10+1+6</f>
        <v>38</v>
      </c>
      <c r="K119" s="77">
        <f>6305.33+12574.83+14899.84+13657.06</f>
        <v>47437.06</v>
      </c>
      <c r="L119" s="77">
        <f>6305.33+12574.83+14899.84+13657.06</f>
        <v>47437.06</v>
      </c>
      <c r="M119" s="78">
        <f>K119-L119</f>
        <v>0</v>
      </c>
      <c r="N119" s="100">
        <f>5+3+3+1+1+2</f>
        <v>15</v>
      </c>
      <c r="O119" s="81">
        <f>5416.39+9506.99+12269.39+7610.68+1928.68</f>
        <v>36732.129999999997</v>
      </c>
      <c r="P119" s="81">
        <f>5416.39+9506.99+12269.39+7610.68+1928.68</f>
        <v>36732.129999999997</v>
      </c>
      <c r="Q119" s="79">
        <f t="shared" si="3"/>
        <v>0</v>
      </c>
      <c r="R119" s="141"/>
    </row>
    <row r="120" spans="1:18" s="15" customFormat="1" x14ac:dyDescent="0.25">
      <c r="A120" s="229"/>
      <c r="B120" s="30" t="s">
        <v>73</v>
      </c>
      <c r="C120" s="181" t="s">
        <v>17</v>
      </c>
      <c r="D120" s="182"/>
      <c r="E120" s="183" t="s">
        <v>74</v>
      </c>
      <c r="F120" s="73" t="s">
        <v>282</v>
      </c>
      <c r="G120" s="230" t="s">
        <v>114</v>
      </c>
      <c r="H120" s="181"/>
      <c r="I120" s="231"/>
      <c r="J120" s="190"/>
      <c r="K120" s="77"/>
      <c r="L120" s="77"/>
      <c r="M120" s="187">
        <f t="shared" ref="M120" si="7">K120-L120</f>
        <v>0</v>
      </c>
      <c r="N120" s="100">
        <v>1</v>
      </c>
      <c r="O120" s="224">
        <v>1728.9</v>
      </c>
      <c r="P120" s="224">
        <v>1728.9</v>
      </c>
      <c r="Q120" s="232">
        <f t="shared" si="3"/>
        <v>0</v>
      </c>
    </row>
    <row r="121" spans="1:18" s="13" customFormat="1" x14ac:dyDescent="0.25">
      <c r="A121" s="229"/>
      <c r="B121" s="30" t="s">
        <v>135</v>
      </c>
      <c r="C121" s="181" t="s">
        <v>17</v>
      </c>
      <c r="D121" s="182"/>
      <c r="E121" s="194" t="s">
        <v>35</v>
      </c>
      <c r="F121" s="73" t="s">
        <v>379</v>
      </c>
      <c r="G121" s="74" t="s">
        <v>112</v>
      </c>
      <c r="H121" s="75">
        <v>28</v>
      </c>
      <c r="I121" s="76">
        <v>17</v>
      </c>
      <c r="J121" s="96">
        <f>1+6+5+3+3</f>
        <v>18</v>
      </c>
      <c r="K121" s="77">
        <f>697.32+4374.12+5747.44+4426.94+15712.05</f>
        <v>30957.87</v>
      </c>
      <c r="L121" s="77">
        <f>697.32+4374.12+5747.44+4426.94+15712.05</f>
        <v>30957.87</v>
      </c>
      <c r="M121" s="78">
        <f>K121-L121</f>
        <v>0</v>
      </c>
      <c r="N121" s="100">
        <f>2+5+1+2+2+2</f>
        <v>14</v>
      </c>
      <c r="O121" s="81">
        <f>6432.89+2283.68+4932.13</f>
        <v>13648.7</v>
      </c>
      <c r="P121" s="81">
        <f>6432.89+2283.68+4932.13</f>
        <v>13648.7</v>
      </c>
      <c r="Q121" s="232">
        <f t="shared" si="3"/>
        <v>0</v>
      </c>
      <c r="R121" s="141"/>
    </row>
    <row r="122" spans="1:18" s="13" customFormat="1" x14ac:dyDescent="0.25">
      <c r="A122" s="229"/>
      <c r="B122" s="30" t="s">
        <v>135</v>
      </c>
      <c r="C122" s="181" t="s">
        <v>17</v>
      </c>
      <c r="D122" s="182"/>
      <c r="E122" s="194" t="s">
        <v>35</v>
      </c>
      <c r="F122" s="73" t="s">
        <v>432</v>
      </c>
      <c r="G122" s="230" t="s">
        <v>115</v>
      </c>
      <c r="H122" s="181"/>
      <c r="I122" s="231"/>
      <c r="J122" s="96"/>
      <c r="K122" s="77"/>
      <c r="L122" s="77"/>
      <c r="M122" s="78">
        <f t="shared" si="4"/>
        <v>0</v>
      </c>
      <c r="N122" s="100">
        <v>1</v>
      </c>
      <c r="O122" s="224">
        <v>2689.4</v>
      </c>
      <c r="P122" s="224">
        <v>2689.4</v>
      </c>
      <c r="Q122" s="79">
        <f t="shared" si="3"/>
        <v>0</v>
      </c>
    </row>
    <row r="123" spans="1:18" s="13" customFormat="1" x14ac:dyDescent="0.25">
      <c r="A123" s="229"/>
      <c r="B123" s="30" t="s">
        <v>145</v>
      </c>
      <c r="C123" s="181" t="s">
        <v>17</v>
      </c>
      <c r="D123" s="182"/>
      <c r="E123" s="194" t="s">
        <v>20</v>
      </c>
      <c r="F123" s="73" t="s">
        <v>380</v>
      </c>
      <c r="G123" s="74" t="s">
        <v>112</v>
      </c>
      <c r="H123" s="75">
        <v>14</v>
      </c>
      <c r="I123" s="82">
        <v>12</v>
      </c>
      <c r="J123" s="96">
        <f>2+1+1+2+2+5+3</f>
        <v>16</v>
      </c>
      <c r="K123" s="77">
        <f>5169.72+1100+538.84+4293.82+3949.22+3361.76</f>
        <v>18413.36</v>
      </c>
      <c r="L123" s="77">
        <f>5169.72+1100+538.84+4293.82+3949.22+3361.76</f>
        <v>18413.36</v>
      </c>
      <c r="M123" s="78">
        <f>K123-L123</f>
        <v>0</v>
      </c>
      <c r="N123" s="100">
        <f>1+1+2+1+2</f>
        <v>7</v>
      </c>
      <c r="O123" s="81">
        <f>5120.23+3915.15+1114.12+14002.49</f>
        <v>24151.989999999998</v>
      </c>
      <c r="P123" s="81">
        <f>5120.23+3915.15+1114.12</f>
        <v>10149.5</v>
      </c>
      <c r="Q123" s="232">
        <f t="shared" si="3"/>
        <v>14002.489999999998</v>
      </c>
      <c r="R123" s="141"/>
    </row>
    <row r="124" spans="1:18" s="13" customFormat="1" x14ac:dyDescent="0.25">
      <c r="A124" s="229"/>
      <c r="B124" s="30" t="s">
        <v>145</v>
      </c>
      <c r="C124" s="181" t="s">
        <v>17</v>
      </c>
      <c r="D124" s="182"/>
      <c r="E124" s="194" t="s">
        <v>20</v>
      </c>
      <c r="F124" s="73" t="s">
        <v>461</v>
      </c>
      <c r="G124" s="230" t="s">
        <v>114</v>
      </c>
      <c r="H124" s="181">
        <v>5</v>
      </c>
      <c r="I124" s="231">
        <v>1</v>
      </c>
      <c r="J124" s="190">
        <v>1</v>
      </c>
      <c r="K124" s="77">
        <v>1921</v>
      </c>
      <c r="L124" s="77"/>
      <c r="M124" s="187">
        <f t="shared" ref="M124" si="8">K124-L124</f>
        <v>1921</v>
      </c>
      <c r="N124" s="100">
        <v>10</v>
      </c>
      <c r="O124" s="224">
        <v>22933.25</v>
      </c>
      <c r="P124" s="224">
        <v>22933.25</v>
      </c>
      <c r="Q124" s="232">
        <f t="shared" si="3"/>
        <v>0</v>
      </c>
    </row>
    <row r="125" spans="1:18" s="13" customFormat="1" x14ac:dyDescent="0.25">
      <c r="A125" s="229"/>
      <c r="B125" s="62" t="s">
        <v>76</v>
      </c>
      <c r="C125" s="181" t="s">
        <v>17</v>
      </c>
      <c r="D125" s="182"/>
      <c r="E125" s="183" t="s">
        <v>20</v>
      </c>
      <c r="F125" s="73" t="s">
        <v>381</v>
      </c>
      <c r="G125" s="74" t="s">
        <v>112</v>
      </c>
      <c r="H125" s="75">
        <v>22</v>
      </c>
      <c r="I125" s="76">
        <v>15</v>
      </c>
      <c r="J125" s="96">
        <f>1+6+3+1+3+1+2+2</f>
        <v>19</v>
      </c>
      <c r="K125" s="77">
        <f>6556.06+2806.39+2697.06+1267.86+11775.51+1557.35+2113.1</f>
        <v>28773.329999999998</v>
      </c>
      <c r="L125" s="77">
        <f>6556.06+2806.39+2697.06+1267.86+11775.51+1557.35+2113.1</f>
        <v>28773.329999999998</v>
      </c>
      <c r="M125" s="78">
        <f>K125-L125</f>
        <v>0</v>
      </c>
      <c r="N125" s="100">
        <f>5+6+2+1+1+1</f>
        <v>16</v>
      </c>
      <c r="O125" s="81">
        <f>11527.9+19846.52+1011.91+9641+2451.87+10072.83+11307.66+2243.83</f>
        <v>68103.520000000004</v>
      </c>
      <c r="P125" s="81">
        <f>11527.9+19846.52+1011.91+9641+2451.87+10072.83+11307.66+2243.83</f>
        <v>68103.520000000004</v>
      </c>
      <c r="Q125" s="232">
        <f t="shared" si="3"/>
        <v>0</v>
      </c>
      <c r="R125" s="141"/>
    </row>
    <row r="126" spans="1:18" s="13" customFormat="1" x14ac:dyDescent="0.25">
      <c r="A126" s="229"/>
      <c r="B126" s="62" t="s">
        <v>76</v>
      </c>
      <c r="C126" s="181" t="s">
        <v>17</v>
      </c>
      <c r="D126" s="182"/>
      <c r="E126" s="183" t="s">
        <v>20</v>
      </c>
      <c r="F126" s="73" t="s">
        <v>462</v>
      </c>
      <c r="G126" s="230" t="s">
        <v>114</v>
      </c>
      <c r="H126" s="181">
        <v>13</v>
      </c>
      <c r="I126" s="231">
        <v>1</v>
      </c>
      <c r="J126" s="190">
        <v>1</v>
      </c>
      <c r="K126" s="77">
        <v>2113.1</v>
      </c>
      <c r="L126" s="77">
        <v>2113.1</v>
      </c>
      <c r="M126" s="187">
        <f t="shared" ref="M126" si="9">K126-L126</f>
        <v>0</v>
      </c>
      <c r="N126" s="100">
        <v>8</v>
      </c>
      <c r="O126" s="224">
        <v>27398.29</v>
      </c>
      <c r="P126" s="224">
        <v>27398.29</v>
      </c>
      <c r="Q126" s="232">
        <f t="shared" si="3"/>
        <v>0</v>
      </c>
    </row>
    <row r="127" spans="1:18" s="13" customFormat="1" x14ac:dyDescent="0.25">
      <c r="A127" s="229"/>
      <c r="B127" s="30" t="s">
        <v>77</v>
      </c>
      <c r="C127" s="181" t="s">
        <v>17</v>
      </c>
      <c r="D127" s="182"/>
      <c r="E127" s="183" t="s">
        <v>32</v>
      </c>
      <c r="F127" s="73" t="s">
        <v>388</v>
      </c>
      <c r="G127" s="74" t="s">
        <v>112</v>
      </c>
      <c r="H127" s="75">
        <v>15</v>
      </c>
      <c r="I127" s="76">
        <v>9</v>
      </c>
      <c r="J127" s="96">
        <f>2+2+2+6+1+1</f>
        <v>14</v>
      </c>
      <c r="K127" s="77">
        <f>2440.63+1507.02+2101.48+13625.7+1324.62</f>
        <v>20999.45</v>
      </c>
      <c r="L127" s="77">
        <f>2440.63+1507.02+2101.48+13625.7</f>
        <v>19674.830000000002</v>
      </c>
      <c r="M127" s="78">
        <f>K127-L127</f>
        <v>1324.619999999999</v>
      </c>
      <c r="N127" s="100">
        <f>5+2+3+3+1+1</f>
        <v>15</v>
      </c>
      <c r="O127" s="81">
        <f>11716.73+6848.82+4046.18+11166.34+8845.95</f>
        <v>42624.020000000004</v>
      </c>
      <c r="P127" s="81">
        <f>11716.73+6848.82+4046.18+11166.34+8845.95</f>
        <v>42624.020000000004</v>
      </c>
      <c r="Q127" s="232">
        <f t="shared" si="3"/>
        <v>0</v>
      </c>
      <c r="R127" s="141"/>
    </row>
    <row r="128" spans="1:18" s="13" customFormat="1" x14ac:dyDescent="0.25">
      <c r="A128" s="229"/>
      <c r="B128" s="30" t="s">
        <v>77</v>
      </c>
      <c r="C128" s="181" t="s">
        <v>17</v>
      </c>
      <c r="D128" s="182"/>
      <c r="E128" s="183" t="s">
        <v>32</v>
      </c>
      <c r="F128" s="73" t="s">
        <v>433</v>
      </c>
      <c r="G128" s="230" t="s">
        <v>117</v>
      </c>
      <c r="H128" s="181">
        <v>1</v>
      </c>
      <c r="I128" s="231">
        <v>1</v>
      </c>
      <c r="J128" s="96">
        <v>1</v>
      </c>
      <c r="K128" s="77">
        <v>1921</v>
      </c>
      <c r="L128" s="77">
        <v>1921</v>
      </c>
      <c r="M128" s="78">
        <f t="shared" si="4"/>
        <v>0</v>
      </c>
      <c r="N128" s="100">
        <v>6</v>
      </c>
      <c r="O128" s="224">
        <v>18164.11</v>
      </c>
      <c r="P128" s="224">
        <v>18164.11</v>
      </c>
      <c r="Q128" s="79">
        <f t="shared" si="3"/>
        <v>0</v>
      </c>
    </row>
    <row r="129" spans="1:18" s="13" customFormat="1" x14ac:dyDescent="0.25">
      <c r="A129" s="229"/>
      <c r="B129" s="30" t="s">
        <v>321</v>
      </c>
      <c r="C129" s="181" t="s">
        <v>17</v>
      </c>
      <c r="D129" s="182"/>
      <c r="E129" s="183" t="s">
        <v>21</v>
      </c>
      <c r="F129" s="73" t="s">
        <v>489</v>
      </c>
      <c r="G129" s="230" t="s">
        <v>112</v>
      </c>
      <c r="H129" s="181">
        <v>6</v>
      </c>
      <c r="I129" s="231">
        <v>1</v>
      </c>
      <c r="J129" s="96">
        <f>1</f>
        <v>1</v>
      </c>
      <c r="K129" s="77">
        <f>2547.89</f>
        <v>2547.89</v>
      </c>
      <c r="L129" s="77">
        <f>2547.89</f>
        <v>2547.89</v>
      </c>
      <c r="M129" s="78">
        <f t="shared" si="4"/>
        <v>0</v>
      </c>
      <c r="N129" s="100"/>
      <c r="O129" s="224"/>
      <c r="P129" s="224"/>
      <c r="Q129" s="79">
        <f t="shared" si="3"/>
        <v>0</v>
      </c>
      <c r="R129" s="141"/>
    </row>
    <row r="130" spans="1:18" s="13" customFormat="1" ht="30" x14ac:dyDescent="0.25">
      <c r="A130" s="229"/>
      <c r="B130" s="62" t="s">
        <v>79</v>
      </c>
      <c r="C130" s="181" t="s">
        <v>304</v>
      </c>
      <c r="D130" s="182" t="s">
        <v>385</v>
      </c>
      <c r="E130" s="183" t="s">
        <v>18</v>
      </c>
      <c r="F130" s="73" t="s">
        <v>389</v>
      </c>
      <c r="G130" s="74" t="s">
        <v>112</v>
      </c>
      <c r="H130" s="75">
        <v>17</v>
      </c>
      <c r="I130" s="76">
        <v>11</v>
      </c>
      <c r="J130" s="96">
        <f>2+5+2+3+2</f>
        <v>14</v>
      </c>
      <c r="K130" s="77">
        <f>2091.97+3190.2+5703.08+6368.88+4029.68</f>
        <v>21383.81</v>
      </c>
      <c r="L130" s="77">
        <f>2091.97+3190.2+5703.08+6368.88+4029.68</f>
        <v>21383.81</v>
      </c>
      <c r="M130" s="78">
        <f t="shared" si="4"/>
        <v>0</v>
      </c>
      <c r="N130" s="100">
        <f>2+2+1+2+1+1</f>
        <v>9</v>
      </c>
      <c r="O130" s="81">
        <f>1547.4+4166.12+7835.61+1675.01+4717.63+6039.62+18829.39</f>
        <v>44810.78</v>
      </c>
      <c r="P130" s="81">
        <f>1547.4+4166.12+7835.61+1675.01+4717.63+6039.62+18829.39</f>
        <v>44810.78</v>
      </c>
      <c r="Q130" s="232">
        <f t="shared" si="3"/>
        <v>0</v>
      </c>
      <c r="R130" s="141"/>
    </row>
    <row r="131" spans="1:18" s="13" customFormat="1" ht="30" x14ac:dyDescent="0.25">
      <c r="A131" s="229"/>
      <c r="B131" s="62" t="s">
        <v>79</v>
      </c>
      <c r="C131" s="181" t="s">
        <v>304</v>
      </c>
      <c r="D131" s="182" t="s">
        <v>475</v>
      </c>
      <c r="E131" s="183" t="s">
        <v>18</v>
      </c>
      <c r="F131" s="73" t="s">
        <v>329</v>
      </c>
      <c r="G131" s="230" t="s">
        <v>113</v>
      </c>
      <c r="H131" s="181">
        <v>39</v>
      </c>
      <c r="I131" s="234">
        <v>15</v>
      </c>
      <c r="J131" s="98">
        <v>17</v>
      </c>
      <c r="K131" s="224">
        <v>27151</v>
      </c>
      <c r="L131" s="224">
        <v>27151</v>
      </c>
      <c r="M131" s="78">
        <f t="shared" si="4"/>
        <v>0</v>
      </c>
      <c r="N131" s="100">
        <v>15</v>
      </c>
      <c r="O131" s="224">
        <v>54906</v>
      </c>
      <c r="P131" s="224">
        <v>54906</v>
      </c>
      <c r="Q131" s="79">
        <f t="shared" si="3"/>
        <v>0</v>
      </c>
    </row>
    <row r="132" spans="1:18" s="13" customFormat="1" x14ac:dyDescent="0.25">
      <c r="A132" s="229"/>
      <c r="B132" s="62" t="s">
        <v>151</v>
      </c>
      <c r="C132" s="181" t="s">
        <v>17</v>
      </c>
      <c r="D132" s="182"/>
      <c r="E132" s="183" t="s">
        <v>32</v>
      </c>
      <c r="F132" s="73" t="s">
        <v>390</v>
      </c>
      <c r="G132" s="74" t="s">
        <v>112</v>
      </c>
      <c r="H132" s="75">
        <v>47</v>
      </c>
      <c r="I132" s="82">
        <v>29</v>
      </c>
      <c r="J132" s="96">
        <f>1+3+3+5+3+9+4+6+3</f>
        <v>37</v>
      </c>
      <c r="K132" s="81">
        <f>2317+4640.19+5864.19+10765+12519.53+4514.35+14486.46+3421.94</f>
        <v>58528.659999999996</v>
      </c>
      <c r="L132" s="81">
        <f>2317+4640.19+5864.19+10765+12519.53+4514.35+14486.46</f>
        <v>55106.719999999994</v>
      </c>
      <c r="M132" s="78">
        <f>K132-L132</f>
        <v>3421.9400000000023</v>
      </c>
      <c r="N132" s="100">
        <f>9+3+5+1+4+4</f>
        <v>26</v>
      </c>
      <c r="O132" s="81">
        <f>10726.94+18822.65+5703.53+12846.53+1320.36+4050.1+22728.38</f>
        <v>76198.490000000005</v>
      </c>
      <c r="P132" s="81">
        <f>10726.94+18822.65+5703.53+12846.53+1320.36+4050.1+22728.38</f>
        <v>76198.490000000005</v>
      </c>
      <c r="Q132" s="232">
        <f t="shared" si="3"/>
        <v>0</v>
      </c>
      <c r="R132" s="141"/>
    </row>
    <row r="133" spans="1:18" s="13" customFormat="1" x14ac:dyDescent="0.25">
      <c r="A133" s="229"/>
      <c r="B133" s="62" t="s">
        <v>151</v>
      </c>
      <c r="C133" s="181" t="s">
        <v>17</v>
      </c>
      <c r="D133" s="182"/>
      <c r="E133" s="183" t="s">
        <v>32</v>
      </c>
      <c r="F133" s="73" t="s">
        <v>434</v>
      </c>
      <c r="G133" s="230" t="s">
        <v>117</v>
      </c>
      <c r="H133" s="181">
        <v>11</v>
      </c>
      <c r="I133" s="231">
        <v>1</v>
      </c>
      <c r="J133" s="96">
        <v>1</v>
      </c>
      <c r="K133" s="77">
        <v>602.1</v>
      </c>
      <c r="L133" s="77">
        <v>602.1</v>
      </c>
      <c r="M133" s="78">
        <f t="shared" si="4"/>
        <v>0</v>
      </c>
      <c r="N133" s="100">
        <v>13</v>
      </c>
      <c r="O133" s="224">
        <v>24537.7</v>
      </c>
      <c r="P133" s="224">
        <v>24537.7</v>
      </c>
      <c r="Q133" s="79">
        <f t="shared" si="3"/>
        <v>0</v>
      </c>
    </row>
    <row r="134" spans="1:18" s="13" customFormat="1" x14ac:dyDescent="0.25">
      <c r="A134" s="229"/>
      <c r="B134" s="62" t="s">
        <v>80</v>
      </c>
      <c r="C134" s="181" t="s">
        <v>17</v>
      </c>
      <c r="D134" s="182"/>
      <c r="E134" s="183" t="s">
        <v>81</v>
      </c>
      <c r="F134" s="73" t="s">
        <v>417</v>
      </c>
      <c r="G134" s="74" t="s">
        <v>112</v>
      </c>
      <c r="H134" s="75"/>
      <c r="I134" s="76"/>
      <c r="J134" s="96"/>
      <c r="K134" s="77">
        <f>749.19+8649.27</f>
        <v>9398.4600000000009</v>
      </c>
      <c r="L134" s="77">
        <f>749.19+8649.27</f>
        <v>9398.4600000000009</v>
      </c>
      <c r="M134" s="78">
        <f>K134-L134</f>
        <v>0</v>
      </c>
      <c r="N134" s="100">
        <f>2+2</f>
        <v>4</v>
      </c>
      <c r="O134" s="81">
        <f>3040.94</f>
        <v>3040.94</v>
      </c>
      <c r="P134" s="81">
        <f>3040.94</f>
        <v>3040.94</v>
      </c>
      <c r="Q134" s="232">
        <f t="shared" si="3"/>
        <v>0</v>
      </c>
      <c r="R134" s="141"/>
    </row>
    <row r="135" spans="1:18" s="13" customFormat="1" x14ac:dyDescent="0.25">
      <c r="A135" s="229"/>
      <c r="B135" s="62" t="s">
        <v>80</v>
      </c>
      <c r="C135" s="181" t="s">
        <v>17</v>
      </c>
      <c r="D135" s="182"/>
      <c r="E135" s="183" t="s">
        <v>81</v>
      </c>
      <c r="F135" s="73" t="s">
        <v>285</v>
      </c>
      <c r="G135" s="230" t="s">
        <v>114</v>
      </c>
      <c r="H135" s="181"/>
      <c r="I135" s="231"/>
      <c r="J135" s="190"/>
      <c r="K135" s="77"/>
      <c r="L135" s="77"/>
      <c r="M135" s="187">
        <f t="shared" ref="M135" si="10">K135-L135</f>
        <v>0</v>
      </c>
      <c r="N135" s="100">
        <v>23</v>
      </c>
      <c r="O135" s="224">
        <v>58735.99</v>
      </c>
      <c r="P135" s="224">
        <v>58735.99</v>
      </c>
      <c r="Q135" s="232">
        <f t="shared" si="3"/>
        <v>0</v>
      </c>
    </row>
    <row r="136" spans="1:18" s="13" customFormat="1" x14ac:dyDescent="0.25">
      <c r="A136" s="229"/>
      <c r="B136" s="30" t="s">
        <v>82</v>
      </c>
      <c r="C136" s="181" t="s">
        <v>17</v>
      </c>
      <c r="D136" s="182"/>
      <c r="E136" s="183" t="s">
        <v>20</v>
      </c>
      <c r="F136" s="73" t="s">
        <v>394</v>
      </c>
      <c r="G136" s="74" t="s">
        <v>112</v>
      </c>
      <c r="H136" s="75">
        <v>13</v>
      </c>
      <c r="I136" s="76">
        <v>10</v>
      </c>
      <c r="J136" s="96">
        <f>4+3+2+2+1</f>
        <v>12</v>
      </c>
      <c r="K136" s="77">
        <f>7750.47+2207.69</f>
        <v>9958.16</v>
      </c>
      <c r="L136" s="77">
        <f>7750.47+2207.69</f>
        <v>9958.16</v>
      </c>
      <c r="M136" s="78">
        <f>K136-L136</f>
        <v>0</v>
      </c>
      <c r="N136" s="100">
        <f>3+5+1+1+1</f>
        <v>11</v>
      </c>
      <c r="O136" s="81">
        <f>5975.84+23579.15+1426.34</f>
        <v>30981.33</v>
      </c>
      <c r="P136" s="81">
        <f>5975.84+23579.15+1426.34</f>
        <v>30981.33</v>
      </c>
      <c r="Q136" s="232">
        <f t="shared" si="3"/>
        <v>0</v>
      </c>
      <c r="R136" s="141"/>
    </row>
    <row r="137" spans="1:18" s="13" customFormat="1" x14ac:dyDescent="0.25">
      <c r="A137" s="229"/>
      <c r="B137" s="30" t="s">
        <v>82</v>
      </c>
      <c r="C137" s="181" t="s">
        <v>17</v>
      </c>
      <c r="D137" s="182"/>
      <c r="E137" s="183" t="s">
        <v>20</v>
      </c>
      <c r="F137" s="73" t="s">
        <v>463</v>
      </c>
      <c r="G137" s="230" t="s">
        <v>114</v>
      </c>
      <c r="H137" s="181">
        <v>18</v>
      </c>
      <c r="I137" s="231">
        <v>5</v>
      </c>
      <c r="J137" s="190">
        <v>5</v>
      </c>
      <c r="K137" s="77">
        <v>10181.299999999999</v>
      </c>
      <c r="L137" s="77">
        <v>10181.299999999999</v>
      </c>
      <c r="M137" s="187">
        <f t="shared" ref="M137" si="11">K137-L137</f>
        <v>0</v>
      </c>
      <c r="N137" s="100">
        <v>14</v>
      </c>
      <c r="O137" s="224">
        <v>48620.71</v>
      </c>
      <c r="P137" s="224">
        <v>48620.71</v>
      </c>
      <c r="Q137" s="232">
        <f t="shared" si="3"/>
        <v>0</v>
      </c>
    </row>
    <row r="138" spans="1:18" s="13" customFormat="1" x14ac:dyDescent="0.25">
      <c r="A138" s="229"/>
      <c r="B138" s="30" t="s">
        <v>309</v>
      </c>
      <c r="C138" s="181"/>
      <c r="D138" s="182"/>
      <c r="E138" s="183" t="s">
        <v>20</v>
      </c>
      <c r="F138" s="73" t="s">
        <v>391</v>
      </c>
      <c r="G138" s="230" t="s">
        <v>112</v>
      </c>
      <c r="H138" s="181">
        <v>13</v>
      </c>
      <c r="I138" s="231">
        <v>7</v>
      </c>
      <c r="J138" s="190">
        <f>1+5+2</f>
        <v>8</v>
      </c>
      <c r="K138" s="77">
        <f>3606.1+3402.77</f>
        <v>7008.87</v>
      </c>
      <c r="L138" s="77">
        <f>3606.1+3402.77</f>
        <v>7008.87</v>
      </c>
      <c r="M138" s="78">
        <f t="shared" si="4"/>
        <v>0</v>
      </c>
      <c r="N138" s="100">
        <f>1+5+1+3</f>
        <v>10</v>
      </c>
      <c r="O138" s="224">
        <f>3088.97+13147.65+1267.86+5955.71</f>
        <v>23460.19</v>
      </c>
      <c r="P138" s="224">
        <f>3088.97+13147.65+1267.86+5955.71</f>
        <v>23460.19</v>
      </c>
      <c r="Q138" s="232">
        <f t="shared" si="3"/>
        <v>0</v>
      </c>
      <c r="R138" s="141"/>
    </row>
    <row r="139" spans="1:18" s="13" customFormat="1" x14ac:dyDescent="0.25">
      <c r="A139" s="229"/>
      <c r="B139" s="30" t="s">
        <v>152</v>
      </c>
      <c r="C139" s="181" t="s">
        <v>17</v>
      </c>
      <c r="D139" s="182"/>
      <c r="E139" s="183" t="s">
        <v>35</v>
      </c>
      <c r="F139" s="73" t="s">
        <v>392</v>
      </c>
      <c r="G139" s="74" t="s">
        <v>112</v>
      </c>
      <c r="H139" s="75">
        <v>7</v>
      </c>
      <c r="I139" s="76">
        <v>6</v>
      </c>
      <c r="J139" s="96">
        <f>1+1+2+1+1+1</f>
        <v>7</v>
      </c>
      <c r="K139" s="77">
        <f>403.41+845.24+2113.1</f>
        <v>3361.75</v>
      </c>
      <c r="L139" s="77">
        <f>403.41+845.24+2113.1</f>
        <v>3361.75</v>
      </c>
      <c r="M139" s="78">
        <f t="shared" si="4"/>
        <v>0</v>
      </c>
      <c r="N139" s="100">
        <f>2+2+2+1+1+1+2</f>
        <v>11</v>
      </c>
      <c r="O139" s="81">
        <f>1690.48+3050.26+3661.61+4648.82+1267.86+1690.48+9282.42+4052.53</f>
        <v>29344.46</v>
      </c>
      <c r="P139" s="81">
        <f>1690.48+3050.26+3661.61+4648.82+1267.86+1690.48+9282.42+4052.53</f>
        <v>29344.46</v>
      </c>
      <c r="Q139" s="232">
        <f t="shared" si="3"/>
        <v>0</v>
      </c>
      <c r="R139" s="141"/>
    </row>
    <row r="140" spans="1:18" s="13" customFormat="1" x14ac:dyDescent="0.25">
      <c r="A140" s="229"/>
      <c r="B140" s="30" t="s">
        <v>83</v>
      </c>
      <c r="C140" s="181" t="s">
        <v>17</v>
      </c>
      <c r="D140" s="182"/>
      <c r="E140" s="183" t="s">
        <v>20</v>
      </c>
      <c r="F140" s="73" t="s">
        <v>393</v>
      </c>
      <c r="G140" s="74" t="s">
        <v>112</v>
      </c>
      <c r="H140" s="75">
        <v>12</v>
      </c>
      <c r="I140" s="76">
        <v>8</v>
      </c>
      <c r="J140" s="96">
        <f>1+1+2+1+1+1+1+1</f>
        <v>9</v>
      </c>
      <c r="K140" s="77">
        <f>768.4+2535.72+845.24+14407.5+883.08</f>
        <v>19439.940000000002</v>
      </c>
      <c r="L140" s="77">
        <f>768.4+2535.72+845.24+14407.5+883.08</f>
        <v>19439.940000000002</v>
      </c>
      <c r="M140" s="78">
        <f>K140-L140</f>
        <v>0</v>
      </c>
      <c r="N140" s="100">
        <f>1+2+1+1+1+2</f>
        <v>8</v>
      </c>
      <c r="O140" s="81">
        <f>5837.09+1922.92+4288.54+1686.25</f>
        <v>13734.8</v>
      </c>
      <c r="P140" s="81">
        <f>5837.09+1922.92+4288.54+1686.25</f>
        <v>13734.8</v>
      </c>
      <c r="Q140" s="232">
        <f t="shared" si="3"/>
        <v>0</v>
      </c>
      <c r="R140" s="141"/>
    </row>
    <row r="141" spans="1:18" s="13" customFormat="1" x14ac:dyDescent="0.25">
      <c r="A141" s="229"/>
      <c r="B141" s="30" t="s">
        <v>83</v>
      </c>
      <c r="C141" s="181" t="s">
        <v>17</v>
      </c>
      <c r="D141" s="182"/>
      <c r="E141" s="183" t="s">
        <v>20</v>
      </c>
      <c r="F141" s="73" t="s">
        <v>464</v>
      </c>
      <c r="G141" s="230" t="s">
        <v>114</v>
      </c>
      <c r="H141" s="181">
        <v>30</v>
      </c>
      <c r="I141" s="231">
        <v>7</v>
      </c>
      <c r="J141" s="190">
        <v>7</v>
      </c>
      <c r="K141" s="77">
        <v>19177.89</v>
      </c>
      <c r="L141" s="77">
        <v>19177.89</v>
      </c>
      <c r="M141" s="187">
        <f t="shared" ref="M141" si="12">K141-L141</f>
        <v>0</v>
      </c>
      <c r="N141" s="100">
        <v>28</v>
      </c>
      <c r="O141" s="224">
        <v>85315.86</v>
      </c>
      <c r="P141" s="224">
        <v>85315.86</v>
      </c>
      <c r="Q141" s="232">
        <f t="shared" si="3"/>
        <v>0</v>
      </c>
    </row>
    <row r="142" spans="1:18" s="13" customFormat="1" ht="45" x14ac:dyDescent="0.25">
      <c r="A142" s="229"/>
      <c r="B142" s="30" t="s">
        <v>85</v>
      </c>
      <c r="C142" s="181" t="s">
        <v>304</v>
      </c>
      <c r="D142" s="182" t="s">
        <v>415</v>
      </c>
      <c r="E142" s="183" t="s">
        <v>20</v>
      </c>
      <c r="F142" s="73" t="s">
        <v>395</v>
      </c>
      <c r="G142" s="74" t="s">
        <v>112</v>
      </c>
      <c r="H142" s="75">
        <v>18</v>
      </c>
      <c r="I142" s="76">
        <v>6</v>
      </c>
      <c r="J142" s="96">
        <f>2</f>
        <v>2</v>
      </c>
      <c r="K142" s="77">
        <f>4800.58+2591.84</f>
        <v>7392.42</v>
      </c>
      <c r="L142" s="77">
        <f>4800.58+2591.84</f>
        <v>7392.42</v>
      </c>
      <c r="M142" s="78">
        <f t="shared" si="4"/>
        <v>0</v>
      </c>
      <c r="N142" s="100">
        <f>2+1</f>
        <v>3</v>
      </c>
      <c r="O142" s="81">
        <f>3917.73+8936.21+5669.37+31185.72</f>
        <v>49709.03</v>
      </c>
      <c r="P142" s="81">
        <f>3917.73+8936.21+5669.37+31185.72</f>
        <v>49709.03</v>
      </c>
      <c r="Q142" s="79">
        <f t="shared" si="3"/>
        <v>0</v>
      </c>
      <c r="R142" s="141"/>
    </row>
    <row r="143" spans="1:18" s="13" customFormat="1" x14ac:dyDescent="0.25">
      <c r="A143" s="229"/>
      <c r="B143" s="27" t="s">
        <v>86</v>
      </c>
      <c r="C143" s="181" t="s">
        <v>17</v>
      </c>
      <c r="D143" s="182"/>
      <c r="E143" s="194" t="s">
        <v>20</v>
      </c>
      <c r="F143" s="73" t="s">
        <v>396</v>
      </c>
      <c r="G143" s="74" t="s">
        <v>112</v>
      </c>
      <c r="H143" s="75">
        <v>11</v>
      </c>
      <c r="I143" s="76">
        <v>10</v>
      </c>
      <c r="J143" s="96">
        <f>1+3+1+7+2+2</f>
        <v>16</v>
      </c>
      <c r="K143" s="77">
        <f>950.9+5134.06+2091.97+528.03+8954.46+5719.74</f>
        <v>23379.159999999996</v>
      </c>
      <c r="L143" s="77">
        <f>950.9+5134.06+2091.97+528.03+8954.46+5719.74</f>
        <v>23379.159999999996</v>
      </c>
      <c r="M143" s="78">
        <f t="shared" si="4"/>
        <v>0</v>
      </c>
      <c r="N143" s="100">
        <f>15+4+2+1+2+2</f>
        <v>26</v>
      </c>
      <c r="O143" s="81">
        <f>30236.61+18366.75+8887.09+1077.68+8961.95</f>
        <v>67530.080000000002</v>
      </c>
      <c r="P143" s="81">
        <f>30236.61+18366.75+8887.09+1077.68+8961.95</f>
        <v>67530.080000000002</v>
      </c>
      <c r="Q143" s="232">
        <f t="shared" si="3"/>
        <v>0</v>
      </c>
      <c r="R143" s="141"/>
    </row>
    <row r="144" spans="1:18" s="13" customFormat="1" x14ac:dyDescent="0.25">
      <c r="A144" s="229"/>
      <c r="B144" s="27" t="s">
        <v>86</v>
      </c>
      <c r="C144" s="181" t="s">
        <v>17</v>
      </c>
      <c r="D144" s="182"/>
      <c r="E144" s="194" t="s">
        <v>20</v>
      </c>
      <c r="F144" s="73" t="s">
        <v>465</v>
      </c>
      <c r="G144" s="230" t="s">
        <v>114</v>
      </c>
      <c r="H144" s="181">
        <v>5</v>
      </c>
      <c r="I144" s="231">
        <v>1</v>
      </c>
      <c r="J144" s="190">
        <v>1</v>
      </c>
      <c r="K144" s="77">
        <v>3933.72</v>
      </c>
      <c r="L144" s="77"/>
      <c r="M144" s="187">
        <f t="shared" si="4"/>
        <v>3933.72</v>
      </c>
      <c r="N144" s="100">
        <v>9</v>
      </c>
      <c r="O144" s="224">
        <v>15209.53</v>
      </c>
      <c r="P144" s="224">
        <v>15209.53</v>
      </c>
      <c r="Q144" s="232">
        <f t="shared" si="3"/>
        <v>0</v>
      </c>
    </row>
    <row r="145" spans="1:18" s="13" customFormat="1" x14ac:dyDescent="0.25">
      <c r="A145" s="229"/>
      <c r="B145" s="62" t="s">
        <v>312</v>
      </c>
      <c r="C145" s="181" t="s">
        <v>17</v>
      </c>
      <c r="D145" s="182"/>
      <c r="E145" s="194" t="s">
        <v>20</v>
      </c>
      <c r="F145" s="73" t="s">
        <v>320</v>
      </c>
      <c r="G145" s="74" t="s">
        <v>112</v>
      </c>
      <c r="H145" s="75">
        <v>14</v>
      </c>
      <c r="I145" s="76">
        <v>5</v>
      </c>
      <c r="J145" s="96">
        <f>1+1+1+2</f>
        <v>5</v>
      </c>
      <c r="K145" s="77">
        <f>3319.49+845.24+4965.79</f>
        <v>9130.52</v>
      </c>
      <c r="L145" s="77">
        <f>3319.49+845.24+4965.79</f>
        <v>9130.52</v>
      </c>
      <c r="M145" s="78">
        <f t="shared" si="4"/>
        <v>0</v>
      </c>
      <c r="N145" s="100">
        <f>5+6+1+1</f>
        <v>13</v>
      </c>
      <c r="O145" s="81">
        <f>4226.2+6627.45+4360.59</f>
        <v>15214.24</v>
      </c>
      <c r="P145" s="81">
        <f>4226.2+6627.45+4360.59</f>
        <v>15214.24</v>
      </c>
      <c r="Q145" s="232">
        <f t="shared" si="3"/>
        <v>0</v>
      </c>
      <c r="R145" s="141"/>
    </row>
    <row r="146" spans="1:18" s="13" customFormat="1" x14ac:dyDescent="0.25">
      <c r="A146" s="229"/>
      <c r="B146" s="62" t="s">
        <v>494</v>
      </c>
      <c r="C146" s="181" t="s">
        <v>17</v>
      </c>
      <c r="D146" s="182"/>
      <c r="E146" s="194" t="s">
        <v>20</v>
      </c>
      <c r="F146" s="73" t="s">
        <v>497</v>
      </c>
      <c r="G146" s="74" t="s">
        <v>112</v>
      </c>
      <c r="H146" s="75">
        <v>13</v>
      </c>
      <c r="I146" s="76">
        <v>7</v>
      </c>
      <c r="J146" s="96">
        <f>1+1+1+1+2+1</f>
        <v>7</v>
      </c>
      <c r="K146" s="77">
        <f>3379+5494.06+576.3+2417.43+3057.66</f>
        <v>14924.45</v>
      </c>
      <c r="L146" s="77">
        <f>3379+5494.06+576.3+2417.43</f>
        <v>11866.79</v>
      </c>
      <c r="M146" s="78">
        <f t="shared" si="4"/>
        <v>3057.66</v>
      </c>
      <c r="N146" s="100"/>
      <c r="O146" s="81"/>
      <c r="P146" s="81"/>
      <c r="Q146" s="232">
        <f t="shared" ref="Q146:Q188" si="13">O146-P146</f>
        <v>0</v>
      </c>
      <c r="R146" s="141"/>
    </row>
    <row r="147" spans="1:18" s="13" customFormat="1" x14ac:dyDescent="0.25">
      <c r="A147" s="229"/>
      <c r="B147" s="62" t="s">
        <v>494</v>
      </c>
      <c r="C147" s="181" t="s">
        <v>17</v>
      </c>
      <c r="D147" s="182"/>
      <c r="E147" s="194" t="s">
        <v>20</v>
      </c>
      <c r="F147" s="73" t="s">
        <v>507</v>
      </c>
      <c r="G147" s="74" t="s">
        <v>114</v>
      </c>
      <c r="H147" s="75">
        <v>30</v>
      </c>
      <c r="I147" s="76">
        <v>4</v>
      </c>
      <c r="J147" s="96">
        <v>4</v>
      </c>
      <c r="K147" s="77">
        <v>8300.42</v>
      </c>
      <c r="L147" s="77">
        <v>8300.42</v>
      </c>
      <c r="M147" s="187">
        <f t="shared" si="4"/>
        <v>0</v>
      </c>
      <c r="N147" s="100"/>
      <c r="O147" s="81"/>
      <c r="P147" s="81"/>
      <c r="Q147" s="232">
        <f t="shared" si="13"/>
        <v>0</v>
      </c>
      <c r="R147" s="141"/>
    </row>
    <row r="148" spans="1:18" s="13" customFormat="1" x14ac:dyDescent="0.25">
      <c r="A148" s="229"/>
      <c r="B148" s="30" t="s">
        <v>88</v>
      </c>
      <c r="C148" s="181" t="s">
        <v>17</v>
      </c>
      <c r="D148" s="182"/>
      <c r="E148" s="183" t="s">
        <v>89</v>
      </c>
      <c r="F148" s="73" t="s">
        <v>397</v>
      </c>
      <c r="G148" s="74" t="s">
        <v>112</v>
      </c>
      <c r="H148" s="75">
        <v>15</v>
      </c>
      <c r="I148" s="76">
        <v>7</v>
      </c>
      <c r="J148" s="96">
        <f>1+3+1+2</f>
        <v>7</v>
      </c>
      <c r="K148" s="77">
        <f>4226.2+2394.91+6485.1+556.71+4126.31</f>
        <v>17789.23</v>
      </c>
      <c r="L148" s="77">
        <f>4226.2+2394.91+6485.1+556.71+4126.31</f>
        <v>17789.23</v>
      </c>
      <c r="M148" s="78">
        <f>K148-L148</f>
        <v>0</v>
      </c>
      <c r="N148" s="100">
        <f>4+1+3+1+2+2+1+1+2</f>
        <v>17</v>
      </c>
      <c r="O148" s="81">
        <f>11967.83+2831.55+10544.37+9418.99+3799.13+1798.04+2548.4-12193.52+4083.77</f>
        <v>34798.559999999998</v>
      </c>
      <c r="P148" s="81">
        <f>11967.83+2831.55+10544.37+9418.99+3799.13+1798.04+2548.4-12193.52+4083.77</f>
        <v>34798.559999999998</v>
      </c>
      <c r="Q148" s="79">
        <f t="shared" si="13"/>
        <v>0</v>
      </c>
      <c r="R148" s="141"/>
    </row>
    <row r="149" spans="1:18" s="13" customFormat="1" x14ac:dyDescent="0.25">
      <c r="A149" s="229"/>
      <c r="B149" s="30" t="s">
        <v>88</v>
      </c>
      <c r="C149" s="181" t="s">
        <v>17</v>
      </c>
      <c r="D149" s="182"/>
      <c r="E149" s="183" t="s">
        <v>89</v>
      </c>
      <c r="F149" s="73" t="s">
        <v>442</v>
      </c>
      <c r="G149" s="230" t="s">
        <v>118</v>
      </c>
      <c r="H149" s="181">
        <v>7</v>
      </c>
      <c r="I149" s="231"/>
      <c r="J149" s="96"/>
      <c r="K149" s="77"/>
      <c r="L149" s="77"/>
      <c r="M149" s="187">
        <f t="shared" si="4"/>
        <v>0</v>
      </c>
      <c r="N149" s="100">
        <v>3</v>
      </c>
      <c r="O149" s="224">
        <v>11020.82</v>
      </c>
      <c r="P149" s="224">
        <v>11020.82</v>
      </c>
      <c r="Q149" s="232">
        <f t="shared" si="13"/>
        <v>0</v>
      </c>
    </row>
    <row r="150" spans="1:18" s="13" customFormat="1" x14ac:dyDescent="0.25">
      <c r="A150" s="229"/>
      <c r="B150" s="30" t="s">
        <v>88</v>
      </c>
      <c r="C150" s="181" t="s">
        <v>17</v>
      </c>
      <c r="D150" s="182"/>
      <c r="E150" s="194" t="s">
        <v>505</v>
      </c>
      <c r="F150" s="73" t="s">
        <v>506</v>
      </c>
      <c r="G150" s="230" t="s">
        <v>114</v>
      </c>
      <c r="H150" s="181">
        <v>5</v>
      </c>
      <c r="I150" s="231">
        <v>1</v>
      </c>
      <c r="J150" s="96">
        <v>1</v>
      </c>
      <c r="K150" s="77">
        <v>3763.9</v>
      </c>
      <c r="L150" s="77">
        <v>3763.9</v>
      </c>
      <c r="M150" s="187">
        <f t="shared" si="4"/>
        <v>0</v>
      </c>
      <c r="N150" s="100"/>
      <c r="O150" s="224"/>
      <c r="P150" s="224"/>
      <c r="Q150" s="232">
        <f t="shared" si="13"/>
        <v>0</v>
      </c>
    </row>
    <row r="151" spans="1:18" s="13" customFormat="1" x14ac:dyDescent="0.25">
      <c r="A151" s="229"/>
      <c r="B151" s="30" t="s">
        <v>90</v>
      </c>
      <c r="C151" s="181" t="s">
        <v>17</v>
      </c>
      <c r="D151" s="182"/>
      <c r="E151" s="194" t="s">
        <v>20</v>
      </c>
      <c r="F151" s="73" t="s">
        <v>398</v>
      </c>
      <c r="G151" s="74" t="s">
        <v>112</v>
      </c>
      <c r="H151" s="75">
        <v>9</v>
      </c>
      <c r="I151" s="76">
        <v>6</v>
      </c>
      <c r="J151" s="96">
        <f>1+1+1+4</f>
        <v>7</v>
      </c>
      <c r="K151" s="77">
        <f>422.62+4662.44+7580.13</f>
        <v>12665.189999999999</v>
      </c>
      <c r="L151" s="77">
        <f>422.62+4662.44+7580.13</f>
        <v>12665.189999999999</v>
      </c>
      <c r="M151" s="78">
        <f>K151-L151</f>
        <v>0</v>
      </c>
      <c r="N151" s="100">
        <f>1+1+1+1+2</f>
        <v>6</v>
      </c>
      <c r="O151" s="81">
        <f>2122.67+787.61+15453.48+6194.26</f>
        <v>24558.019999999997</v>
      </c>
      <c r="P151" s="81">
        <f>2122.67+787.61+15453.48+6194.26</f>
        <v>24558.019999999997</v>
      </c>
      <c r="Q151" s="79">
        <f t="shared" si="13"/>
        <v>0</v>
      </c>
      <c r="R151" s="141"/>
    </row>
    <row r="152" spans="1:18" s="13" customFormat="1" x14ac:dyDescent="0.25">
      <c r="A152" s="229"/>
      <c r="B152" s="30" t="s">
        <v>90</v>
      </c>
      <c r="C152" s="181" t="s">
        <v>17</v>
      </c>
      <c r="D152" s="182"/>
      <c r="E152" s="194" t="s">
        <v>20</v>
      </c>
      <c r="F152" s="73" t="s">
        <v>466</v>
      </c>
      <c r="G152" s="230" t="s">
        <v>114</v>
      </c>
      <c r="H152" s="181">
        <v>15</v>
      </c>
      <c r="I152" s="231">
        <v>4</v>
      </c>
      <c r="J152" s="190">
        <v>4</v>
      </c>
      <c r="K152" s="77">
        <v>10468.56</v>
      </c>
      <c r="L152" s="77">
        <v>10468.56</v>
      </c>
      <c r="M152" s="187">
        <f t="shared" ref="M152" si="14">K152-L152</f>
        <v>0</v>
      </c>
      <c r="N152" s="100">
        <v>25</v>
      </c>
      <c r="O152" s="224">
        <v>81936.800000000003</v>
      </c>
      <c r="P152" s="224">
        <v>81936.800000000003</v>
      </c>
      <c r="Q152" s="232">
        <f t="shared" si="13"/>
        <v>0</v>
      </c>
    </row>
    <row r="153" spans="1:18" s="13" customFormat="1" x14ac:dyDescent="0.25">
      <c r="A153" s="229"/>
      <c r="B153" s="30" t="s">
        <v>91</v>
      </c>
      <c r="C153" s="181" t="s">
        <v>17</v>
      </c>
      <c r="D153" s="182"/>
      <c r="E153" s="194" t="s">
        <v>20</v>
      </c>
      <c r="F153" s="73" t="s">
        <v>399</v>
      </c>
      <c r="G153" s="74" t="s">
        <v>112</v>
      </c>
      <c r="H153" s="75"/>
      <c r="I153" s="76"/>
      <c r="J153" s="96"/>
      <c r="K153" s="77"/>
      <c r="L153" s="77"/>
      <c r="M153" s="78">
        <f>K153-L153</f>
        <v>0</v>
      </c>
      <c r="N153" s="100"/>
      <c r="O153" s="81"/>
      <c r="P153" s="81"/>
      <c r="Q153" s="79">
        <f t="shared" si="13"/>
        <v>0</v>
      </c>
      <c r="R153" s="141"/>
    </row>
    <row r="154" spans="1:18" s="13" customFormat="1" x14ac:dyDescent="0.25">
      <c r="A154" s="229"/>
      <c r="B154" s="62" t="s">
        <v>138</v>
      </c>
      <c r="C154" s="181" t="s">
        <v>17</v>
      </c>
      <c r="D154" s="182"/>
      <c r="E154" s="194" t="s">
        <v>20</v>
      </c>
      <c r="F154" s="73" t="s">
        <v>467</v>
      </c>
      <c r="G154" s="230" t="s">
        <v>114</v>
      </c>
      <c r="H154" s="181">
        <v>8</v>
      </c>
      <c r="I154" s="231">
        <v>3</v>
      </c>
      <c r="J154" s="190">
        <v>3</v>
      </c>
      <c r="K154" s="193">
        <v>5542.2</v>
      </c>
      <c r="L154" s="193">
        <v>5542.2</v>
      </c>
      <c r="M154" s="187">
        <f t="shared" ref="M154" si="15">K154-L154</f>
        <v>0</v>
      </c>
      <c r="N154" s="114">
        <v>7</v>
      </c>
      <c r="O154" s="224">
        <v>16429.099999999999</v>
      </c>
      <c r="P154" s="224">
        <v>16429.099999999999</v>
      </c>
      <c r="Q154" s="232">
        <f t="shared" si="13"/>
        <v>0</v>
      </c>
    </row>
    <row r="155" spans="1:18" s="13" customFormat="1" x14ac:dyDescent="0.25">
      <c r="A155" s="229"/>
      <c r="B155" s="62" t="s">
        <v>138</v>
      </c>
      <c r="C155" s="181" t="s">
        <v>17</v>
      </c>
      <c r="D155" s="182"/>
      <c r="E155" s="194" t="s">
        <v>20</v>
      </c>
      <c r="F155" s="73" t="s">
        <v>400</v>
      </c>
      <c r="G155" s="74" t="s">
        <v>112</v>
      </c>
      <c r="H155" s="75">
        <v>10</v>
      </c>
      <c r="I155" s="82">
        <v>6</v>
      </c>
      <c r="J155" s="96">
        <f>3+1+1+2</f>
        <v>7</v>
      </c>
      <c r="K155" s="77">
        <f>2224.52+9639.33+3232.07+1625.67</f>
        <v>16721.59</v>
      </c>
      <c r="L155" s="77">
        <f>2224.52+9639.33+3232.07</f>
        <v>15095.92</v>
      </c>
      <c r="M155" s="78">
        <f t="shared" si="4"/>
        <v>1625.67</v>
      </c>
      <c r="N155" s="100">
        <f>5+4+2</f>
        <v>11</v>
      </c>
      <c r="O155" s="81">
        <f>8995.87+8641.99+5740.02</f>
        <v>23377.88</v>
      </c>
      <c r="P155" s="81">
        <f>8995.87+8641.99</f>
        <v>17637.86</v>
      </c>
      <c r="Q155" s="79">
        <f t="shared" si="13"/>
        <v>5740.02</v>
      </c>
      <c r="R155" s="141"/>
    </row>
    <row r="156" spans="1:18" s="13" customFormat="1" x14ac:dyDescent="0.25">
      <c r="A156" s="229"/>
      <c r="B156" s="62" t="s">
        <v>157</v>
      </c>
      <c r="C156" s="181" t="s">
        <v>17</v>
      </c>
      <c r="D156" s="182"/>
      <c r="E156" s="194" t="s">
        <v>20</v>
      </c>
      <c r="F156" s="73" t="s">
        <v>401</v>
      </c>
      <c r="G156" s="74" t="s">
        <v>112</v>
      </c>
      <c r="H156" s="75">
        <v>11</v>
      </c>
      <c r="I156" s="82"/>
      <c r="J156" s="96"/>
      <c r="K156" s="77"/>
      <c r="L156" s="77"/>
      <c r="M156" s="78">
        <f t="shared" ref="M156:M186" si="16">K156-L156</f>
        <v>0</v>
      </c>
      <c r="N156" s="100"/>
      <c r="O156" s="81"/>
      <c r="P156" s="81"/>
      <c r="Q156" s="232">
        <f t="shared" si="13"/>
        <v>0</v>
      </c>
      <c r="R156" s="141"/>
    </row>
    <row r="157" spans="1:18" s="15" customFormat="1" x14ac:dyDescent="0.25">
      <c r="A157" s="229"/>
      <c r="B157" s="62" t="s">
        <v>92</v>
      </c>
      <c r="C157" s="181" t="s">
        <v>17</v>
      </c>
      <c r="D157" s="182"/>
      <c r="E157" s="194" t="s">
        <v>20</v>
      </c>
      <c r="F157" s="73" t="s">
        <v>402</v>
      </c>
      <c r="G157" s="74" t="s">
        <v>112</v>
      </c>
      <c r="H157" s="75">
        <v>10</v>
      </c>
      <c r="I157" s="76">
        <v>8</v>
      </c>
      <c r="J157" s="96">
        <f>1+2+5</f>
        <v>8</v>
      </c>
      <c r="K157" s="77">
        <f>1951.74+1335.1+2996.76</f>
        <v>6283.6</v>
      </c>
      <c r="L157" s="77">
        <f>1951.74+1335.1+2996.76</f>
        <v>6283.6</v>
      </c>
      <c r="M157" s="78">
        <f>K157-L157</f>
        <v>0</v>
      </c>
      <c r="N157" s="100">
        <f>4+1+1</f>
        <v>6</v>
      </c>
      <c r="O157" s="81">
        <f>12624.74+2697.06+1225.93</f>
        <v>16547.73</v>
      </c>
      <c r="P157" s="81">
        <f>12624.74+2697.06+1225.93</f>
        <v>16547.73</v>
      </c>
      <c r="Q157" s="232">
        <f t="shared" si="13"/>
        <v>0</v>
      </c>
      <c r="R157" s="141"/>
    </row>
    <row r="158" spans="1:18" s="15" customFormat="1" x14ac:dyDescent="0.25">
      <c r="A158" s="229"/>
      <c r="B158" s="62" t="s">
        <v>92</v>
      </c>
      <c r="C158" s="181" t="s">
        <v>17</v>
      </c>
      <c r="D158" s="182"/>
      <c r="E158" s="194" t="s">
        <v>20</v>
      </c>
      <c r="F158" s="73" t="s">
        <v>129</v>
      </c>
      <c r="G158" s="230" t="s">
        <v>114</v>
      </c>
      <c r="H158" s="181"/>
      <c r="I158" s="231"/>
      <c r="J158" s="190"/>
      <c r="K158" s="77"/>
      <c r="L158" s="77"/>
      <c r="M158" s="187">
        <f t="shared" ref="M158" si="17">K158-L158</f>
        <v>0</v>
      </c>
      <c r="N158" s="114"/>
      <c r="O158" s="224"/>
      <c r="P158" s="224"/>
      <c r="Q158" s="232">
        <f t="shared" si="13"/>
        <v>0</v>
      </c>
    </row>
    <row r="159" spans="1:18" s="13" customFormat="1" x14ac:dyDescent="0.25">
      <c r="A159" s="229"/>
      <c r="B159" s="30" t="s">
        <v>93</v>
      </c>
      <c r="C159" s="181" t="s">
        <v>17</v>
      </c>
      <c r="D159" s="182"/>
      <c r="E159" s="183" t="s">
        <v>94</v>
      </c>
      <c r="F159" s="73" t="s">
        <v>403</v>
      </c>
      <c r="G159" s="74" t="s">
        <v>112</v>
      </c>
      <c r="H159" s="75">
        <v>7</v>
      </c>
      <c r="I159" s="76">
        <v>2</v>
      </c>
      <c r="J159" s="96">
        <f>2</f>
        <v>2</v>
      </c>
      <c r="K159" s="77">
        <f>2336.84</f>
        <v>2336.84</v>
      </c>
      <c r="L159" s="77">
        <f>2336.84</f>
        <v>2336.84</v>
      </c>
      <c r="M159" s="78">
        <f>K159-L159</f>
        <v>0</v>
      </c>
      <c r="N159" s="100">
        <f>3+8</f>
        <v>11</v>
      </c>
      <c r="O159" s="81">
        <f>20117.75</f>
        <v>20117.75</v>
      </c>
      <c r="P159" s="81">
        <f>20117.75</f>
        <v>20117.75</v>
      </c>
      <c r="Q159" s="232">
        <f t="shared" si="13"/>
        <v>0</v>
      </c>
      <c r="R159" s="141"/>
    </row>
    <row r="160" spans="1:18" s="13" customFormat="1" x14ac:dyDescent="0.25">
      <c r="A160" s="229"/>
      <c r="B160" s="30" t="s">
        <v>93</v>
      </c>
      <c r="C160" s="181" t="s">
        <v>17</v>
      </c>
      <c r="D160" s="182"/>
      <c r="E160" s="183" t="s">
        <v>94</v>
      </c>
      <c r="F160" s="73" t="s">
        <v>130</v>
      </c>
      <c r="G160" s="230" t="s">
        <v>114</v>
      </c>
      <c r="H160" s="181"/>
      <c r="I160" s="231"/>
      <c r="J160" s="190"/>
      <c r="K160" s="77"/>
      <c r="L160" s="77"/>
      <c r="M160" s="187">
        <f t="shared" ref="M160" si="18">K160-L160</f>
        <v>0</v>
      </c>
      <c r="N160" s="100"/>
      <c r="O160" s="224"/>
      <c r="P160" s="224"/>
      <c r="Q160" s="232">
        <f t="shared" si="13"/>
        <v>0</v>
      </c>
    </row>
    <row r="161" spans="1:18" s="13" customFormat="1" x14ac:dyDescent="0.25">
      <c r="A161" s="229"/>
      <c r="B161" s="30" t="s">
        <v>93</v>
      </c>
      <c r="C161" s="181" t="s">
        <v>17</v>
      </c>
      <c r="D161" s="182"/>
      <c r="E161" s="183" t="s">
        <v>94</v>
      </c>
      <c r="F161" s="73" t="s">
        <v>240</v>
      </c>
      <c r="G161" s="230" t="s">
        <v>118</v>
      </c>
      <c r="H161" s="181"/>
      <c r="I161" s="231"/>
      <c r="J161" s="96"/>
      <c r="K161" s="77"/>
      <c r="L161" s="77"/>
      <c r="M161" s="78">
        <f t="shared" si="16"/>
        <v>0</v>
      </c>
      <c r="N161" s="100"/>
      <c r="O161" s="224"/>
      <c r="P161" s="224"/>
      <c r="Q161" s="232">
        <f t="shared" si="13"/>
        <v>0</v>
      </c>
    </row>
    <row r="162" spans="1:18" s="13" customFormat="1" x14ac:dyDescent="0.25">
      <c r="A162" s="229"/>
      <c r="B162" s="30" t="s">
        <v>95</v>
      </c>
      <c r="C162" s="181" t="s">
        <v>17</v>
      </c>
      <c r="D162" s="182"/>
      <c r="E162" s="194" t="s">
        <v>20</v>
      </c>
      <c r="F162" s="73" t="s">
        <v>404</v>
      </c>
      <c r="G162" s="74" t="s">
        <v>112</v>
      </c>
      <c r="H162" s="75">
        <v>16</v>
      </c>
      <c r="I162" s="76">
        <v>10</v>
      </c>
      <c r="J162" s="96">
        <f>1+4+4+5</f>
        <v>14</v>
      </c>
      <c r="K162" s="77">
        <f>1061.35+5770.05+5238.9</f>
        <v>12070.3</v>
      </c>
      <c r="L162" s="77">
        <f>1061.35+5770.05+5238.9</f>
        <v>12070.3</v>
      </c>
      <c r="M162" s="78">
        <f>K162-L162</f>
        <v>0</v>
      </c>
      <c r="N162" s="100">
        <f>1+6+1+4+1</f>
        <v>13</v>
      </c>
      <c r="O162" s="81">
        <f>11603.82+7559.28+6777.29+24757.02</f>
        <v>50697.41</v>
      </c>
      <c r="P162" s="81">
        <f>11603.82+7559.28+6777.29+24757.02</f>
        <v>50697.41</v>
      </c>
      <c r="Q162" s="79">
        <f t="shared" si="13"/>
        <v>0</v>
      </c>
      <c r="R162" s="141"/>
    </row>
    <row r="163" spans="1:18" s="13" customFormat="1" x14ac:dyDescent="0.25">
      <c r="A163" s="229"/>
      <c r="B163" s="30" t="s">
        <v>95</v>
      </c>
      <c r="C163" s="181" t="s">
        <v>17</v>
      </c>
      <c r="D163" s="182"/>
      <c r="E163" s="194" t="s">
        <v>20</v>
      </c>
      <c r="F163" s="73" t="s">
        <v>291</v>
      </c>
      <c r="G163" s="230" t="s">
        <v>114</v>
      </c>
      <c r="H163" s="181">
        <v>8</v>
      </c>
      <c r="I163" s="231">
        <v>2</v>
      </c>
      <c r="J163" s="190">
        <v>2</v>
      </c>
      <c r="K163" s="77">
        <v>2356.8000000000002</v>
      </c>
      <c r="L163" s="77">
        <v>2356.8000000000002</v>
      </c>
      <c r="M163" s="187">
        <f t="shared" ref="M163" si="19">K163-L163</f>
        <v>0</v>
      </c>
      <c r="N163" s="100">
        <v>12</v>
      </c>
      <c r="O163" s="224">
        <v>29189.15</v>
      </c>
      <c r="P163" s="224">
        <v>29189.15</v>
      </c>
      <c r="Q163" s="232">
        <f t="shared" si="13"/>
        <v>0</v>
      </c>
    </row>
    <row r="164" spans="1:18" s="13" customFormat="1" x14ac:dyDescent="0.25">
      <c r="A164" s="229"/>
      <c r="B164" s="30" t="s">
        <v>96</v>
      </c>
      <c r="C164" s="181" t="s">
        <v>17</v>
      </c>
      <c r="D164" s="182"/>
      <c r="E164" s="194" t="s">
        <v>97</v>
      </c>
      <c r="F164" s="73" t="s">
        <v>405</v>
      </c>
      <c r="G164" s="74" t="s">
        <v>112</v>
      </c>
      <c r="H164" s="75">
        <v>1</v>
      </c>
      <c r="I164" s="76">
        <v>1</v>
      </c>
      <c r="J164" s="96">
        <f>2</f>
        <v>2</v>
      </c>
      <c r="K164" s="77"/>
      <c r="L164" s="77"/>
      <c r="M164" s="78">
        <f>K164-L164</f>
        <v>0</v>
      </c>
      <c r="N164" s="103">
        <f>1+2+1</f>
        <v>4</v>
      </c>
      <c r="O164" s="77">
        <f>1742.31+9358.48</f>
        <v>11100.789999999999</v>
      </c>
      <c r="P164" s="77">
        <f>1742.31+9358.48</f>
        <v>11100.789999999999</v>
      </c>
      <c r="Q164" s="79">
        <f t="shared" si="13"/>
        <v>0</v>
      </c>
      <c r="R164" s="141"/>
    </row>
    <row r="165" spans="1:18" s="13" customFormat="1" x14ac:dyDescent="0.25">
      <c r="A165" s="229"/>
      <c r="B165" s="30" t="s">
        <v>96</v>
      </c>
      <c r="C165" s="181" t="s">
        <v>17</v>
      </c>
      <c r="D165" s="182"/>
      <c r="E165" s="194" t="s">
        <v>97</v>
      </c>
      <c r="F165" s="73" t="s">
        <v>468</v>
      </c>
      <c r="G165" s="230" t="s">
        <v>114</v>
      </c>
      <c r="H165" s="181">
        <v>1</v>
      </c>
      <c r="I165" s="231"/>
      <c r="J165" s="190"/>
      <c r="K165" s="77"/>
      <c r="L165" s="77"/>
      <c r="M165" s="187">
        <f t="shared" ref="M165" si="20">K165-L165</f>
        <v>0</v>
      </c>
      <c r="N165" s="100">
        <v>4</v>
      </c>
      <c r="O165" s="224">
        <v>8676.6</v>
      </c>
      <c r="P165" s="224">
        <v>8676.6</v>
      </c>
      <c r="Q165" s="232">
        <f t="shared" si="13"/>
        <v>0</v>
      </c>
    </row>
    <row r="166" spans="1:18" s="13" customFormat="1" x14ac:dyDescent="0.25">
      <c r="A166" s="229"/>
      <c r="B166" s="30" t="s">
        <v>98</v>
      </c>
      <c r="C166" s="181" t="s">
        <v>17</v>
      </c>
      <c r="D166" s="182"/>
      <c r="E166" s="194" t="s">
        <v>35</v>
      </c>
      <c r="F166" s="73" t="s">
        <v>406</v>
      </c>
      <c r="G166" s="74" t="s">
        <v>112</v>
      </c>
      <c r="H166" s="75">
        <v>26</v>
      </c>
      <c r="I166" s="76">
        <v>20</v>
      </c>
      <c r="J166" s="96">
        <f>1+2+1+1+4+4+1</f>
        <v>14</v>
      </c>
      <c r="K166" s="77">
        <f>845.24+1764.25+8353.03+1298.98+7610.68+13826.64+2752.31+9720.26+116979.76-2616.91</f>
        <v>160534.24</v>
      </c>
      <c r="L166" s="77">
        <f>845.24+1764.25+8353.03+1298.98+7610.68+13826.64+2752.31+9720.26</f>
        <v>46171.39</v>
      </c>
      <c r="M166" s="78">
        <f>K166-L166</f>
        <v>114362.84999999999</v>
      </c>
      <c r="N166" s="100">
        <f>9+1+1+4+2+1+2+4+2+1</f>
        <v>27</v>
      </c>
      <c r="O166" s="81">
        <f>73585.55+12034.56+5680.01-5067.39</f>
        <v>86232.73</v>
      </c>
      <c r="P166" s="81">
        <f>73585.55+12034.56+5680.01-5067.39</f>
        <v>86232.73</v>
      </c>
      <c r="Q166" s="79">
        <f t="shared" si="13"/>
        <v>0</v>
      </c>
      <c r="R166" s="141"/>
    </row>
    <row r="167" spans="1:18" s="13" customFormat="1" x14ac:dyDescent="0.25">
      <c r="A167" s="229"/>
      <c r="B167" s="30" t="s">
        <v>98</v>
      </c>
      <c r="C167" s="181" t="s">
        <v>17</v>
      </c>
      <c r="D167" s="182"/>
      <c r="E167" s="194" t="s">
        <v>35</v>
      </c>
      <c r="F167" s="73" t="s">
        <v>435</v>
      </c>
      <c r="G167" s="235" t="s">
        <v>117</v>
      </c>
      <c r="H167" s="181">
        <v>3</v>
      </c>
      <c r="I167" s="231">
        <v>2</v>
      </c>
      <c r="J167" s="96">
        <v>2</v>
      </c>
      <c r="K167" s="77">
        <v>2486.83</v>
      </c>
      <c r="L167" s="77">
        <v>2486.83</v>
      </c>
      <c r="M167" s="78">
        <f t="shared" si="16"/>
        <v>0</v>
      </c>
      <c r="N167" s="100">
        <v>5</v>
      </c>
      <c r="O167" s="77">
        <v>18950.45</v>
      </c>
      <c r="P167" s="77">
        <v>18950.45</v>
      </c>
      <c r="Q167" s="232">
        <f t="shared" si="13"/>
        <v>0</v>
      </c>
    </row>
    <row r="168" spans="1:18" s="13" customFormat="1" x14ac:dyDescent="0.25">
      <c r="A168" s="229"/>
      <c r="B168" s="30" t="s">
        <v>488</v>
      </c>
      <c r="C168" s="181" t="s">
        <v>17</v>
      </c>
      <c r="D168" s="182"/>
      <c r="E168" s="194" t="s">
        <v>97</v>
      </c>
      <c r="F168" s="73" t="s">
        <v>498</v>
      </c>
      <c r="G168" s="235" t="s">
        <v>112</v>
      </c>
      <c r="H168" s="181">
        <v>12</v>
      </c>
      <c r="I168" s="231">
        <v>5</v>
      </c>
      <c r="J168" s="96">
        <f>4+1</f>
        <v>5</v>
      </c>
      <c r="K168" s="77">
        <f>1535.8+576.3</f>
        <v>2112.1</v>
      </c>
      <c r="L168" s="77">
        <f>1535.8+576.3</f>
        <v>2112.1</v>
      </c>
      <c r="M168" s="78">
        <f t="shared" si="16"/>
        <v>0</v>
      </c>
      <c r="N168" s="100"/>
      <c r="O168" s="77"/>
      <c r="P168" s="77"/>
      <c r="Q168" s="232"/>
    </row>
    <row r="169" spans="1:18" s="15" customFormat="1" x14ac:dyDescent="0.25">
      <c r="A169" s="229"/>
      <c r="B169" s="30" t="s">
        <v>99</v>
      </c>
      <c r="C169" s="181" t="s">
        <v>17</v>
      </c>
      <c r="D169" s="182"/>
      <c r="E169" s="183" t="s">
        <v>32</v>
      </c>
      <c r="F169" s="73" t="s">
        <v>418</v>
      </c>
      <c r="G169" s="74" t="s">
        <v>112</v>
      </c>
      <c r="H169" s="75"/>
      <c r="I169" s="76"/>
      <c r="J169" s="96"/>
      <c r="K169" s="77"/>
      <c r="L169" s="77"/>
      <c r="M169" s="78">
        <f t="shared" si="16"/>
        <v>0</v>
      </c>
      <c r="N169" s="100"/>
      <c r="O169" s="81"/>
      <c r="P169" s="81"/>
      <c r="Q169" s="79">
        <f t="shared" si="13"/>
        <v>0</v>
      </c>
      <c r="R169" s="141"/>
    </row>
    <row r="170" spans="1:18" s="15" customFormat="1" x14ac:dyDescent="0.25">
      <c r="A170" s="229"/>
      <c r="B170" s="30" t="s">
        <v>99</v>
      </c>
      <c r="C170" s="181" t="s">
        <v>17</v>
      </c>
      <c r="D170" s="182"/>
      <c r="E170" s="183" t="s">
        <v>32</v>
      </c>
      <c r="F170" s="73" t="s">
        <v>423</v>
      </c>
      <c r="G170" s="235" t="s">
        <v>117</v>
      </c>
      <c r="H170" s="181"/>
      <c r="I170" s="231"/>
      <c r="J170" s="190"/>
      <c r="K170" s="77"/>
      <c r="L170" s="77"/>
      <c r="M170" s="78">
        <f t="shared" si="16"/>
        <v>0</v>
      </c>
      <c r="N170" s="114"/>
      <c r="O170" s="77"/>
      <c r="P170" s="77"/>
      <c r="Q170" s="232">
        <f t="shared" si="13"/>
        <v>0</v>
      </c>
    </row>
    <row r="171" spans="1:18" s="15" customFormat="1" ht="30" x14ac:dyDescent="0.25">
      <c r="A171" s="229"/>
      <c r="B171" s="30" t="s">
        <v>144</v>
      </c>
      <c r="C171" s="181" t="s">
        <v>304</v>
      </c>
      <c r="D171" s="182" t="s">
        <v>313</v>
      </c>
      <c r="E171" s="194" t="s">
        <v>97</v>
      </c>
      <c r="F171" s="73" t="s">
        <v>407</v>
      </c>
      <c r="G171" s="66" t="s">
        <v>112</v>
      </c>
      <c r="H171" s="75">
        <v>16</v>
      </c>
      <c r="I171" s="76">
        <v>14</v>
      </c>
      <c r="J171" s="98">
        <f>2+2+1+3+1+1+5+2+1</f>
        <v>18</v>
      </c>
      <c r="K171" s="77">
        <f>950.9+1449.39+2272.32+2785.92+5112.01+6655.23</f>
        <v>19225.77</v>
      </c>
      <c r="L171" s="77">
        <f>950.9+1449.39+2272.32+2785.92+5112.01+6655.23</f>
        <v>19225.77</v>
      </c>
      <c r="M171" s="78">
        <f>K171-L171</f>
        <v>0</v>
      </c>
      <c r="N171" s="100">
        <f>3+2+1+1+1+1</f>
        <v>9</v>
      </c>
      <c r="O171" s="77">
        <f>5020.57+5566.06+2694.94+845.24</f>
        <v>14126.810000000001</v>
      </c>
      <c r="P171" s="77">
        <f>5020.57+5566.06+2694.94+845.24</f>
        <v>14126.810000000001</v>
      </c>
      <c r="Q171" s="79">
        <f t="shared" si="13"/>
        <v>0</v>
      </c>
      <c r="R171" s="141"/>
    </row>
    <row r="172" spans="1:18" s="15" customFormat="1" x14ac:dyDescent="0.25">
      <c r="A172" s="229"/>
      <c r="B172" s="30" t="s">
        <v>488</v>
      </c>
      <c r="C172" s="181"/>
      <c r="D172" s="182"/>
      <c r="E172" s="194"/>
      <c r="F172" s="73" t="s">
        <v>509</v>
      </c>
      <c r="G172" s="66" t="s">
        <v>114</v>
      </c>
      <c r="H172" s="75">
        <v>22</v>
      </c>
      <c r="I172" s="76">
        <v>8</v>
      </c>
      <c r="J172" s="98">
        <v>8</v>
      </c>
      <c r="K172" s="77">
        <v>13216.48</v>
      </c>
      <c r="L172" s="77">
        <v>13216.48</v>
      </c>
      <c r="M172" s="187">
        <f t="shared" ref="M172:M174" si="21">K172-L172</f>
        <v>0</v>
      </c>
      <c r="N172" s="100"/>
      <c r="O172" s="77"/>
      <c r="P172" s="77"/>
      <c r="Q172" s="232">
        <f t="shared" si="13"/>
        <v>0</v>
      </c>
    </row>
    <row r="173" spans="1:18" s="15" customFormat="1" x14ac:dyDescent="0.25">
      <c r="A173" s="229"/>
      <c r="B173" s="30" t="s">
        <v>488</v>
      </c>
      <c r="C173" s="181"/>
      <c r="D173" s="182"/>
      <c r="E173" s="194"/>
      <c r="F173" s="73" t="s">
        <v>512</v>
      </c>
      <c r="G173" s="66" t="s">
        <v>113</v>
      </c>
      <c r="H173" s="75">
        <v>11</v>
      </c>
      <c r="I173" s="76">
        <v>5</v>
      </c>
      <c r="J173" s="98">
        <v>5</v>
      </c>
      <c r="K173" s="77">
        <v>7271</v>
      </c>
      <c r="L173" s="77">
        <v>7271</v>
      </c>
      <c r="M173" s="78">
        <f t="shared" si="21"/>
        <v>0</v>
      </c>
      <c r="N173" s="100"/>
      <c r="O173" s="77"/>
      <c r="P173" s="77"/>
      <c r="Q173" s="79"/>
    </row>
    <row r="174" spans="1:18" s="15" customFormat="1" ht="30" x14ac:dyDescent="0.25">
      <c r="A174" s="229"/>
      <c r="B174" s="238" t="s">
        <v>144</v>
      </c>
      <c r="C174" s="181" t="s">
        <v>446</v>
      </c>
      <c r="D174" s="182" t="s">
        <v>313</v>
      </c>
      <c r="E174" s="183" t="s">
        <v>20</v>
      </c>
      <c r="F174" s="73" t="s">
        <v>485</v>
      </c>
      <c r="G174" s="235" t="s">
        <v>114</v>
      </c>
      <c r="H174" s="181">
        <v>27</v>
      </c>
      <c r="I174" s="234">
        <v>7</v>
      </c>
      <c r="J174" s="202">
        <v>7</v>
      </c>
      <c r="K174" s="77">
        <v>26994.22</v>
      </c>
      <c r="L174" s="77">
        <v>26994.22</v>
      </c>
      <c r="M174" s="187">
        <f t="shared" si="21"/>
        <v>0</v>
      </c>
      <c r="N174" s="100">
        <v>21</v>
      </c>
      <c r="O174" s="224">
        <v>53276.800000000003</v>
      </c>
      <c r="P174" s="224">
        <v>53276.800000000003</v>
      </c>
      <c r="Q174" s="232">
        <f t="shared" ref="Q174" si="22">O174-P174</f>
        <v>0</v>
      </c>
    </row>
    <row r="175" spans="1:18" s="21" customFormat="1" ht="45" x14ac:dyDescent="0.25">
      <c r="A175" s="181"/>
      <c r="B175" s="30" t="s">
        <v>100</v>
      </c>
      <c r="C175" s="181" t="s">
        <v>304</v>
      </c>
      <c r="D175" s="182" t="s">
        <v>416</v>
      </c>
      <c r="E175" s="194" t="s">
        <v>20</v>
      </c>
      <c r="F175" s="73" t="s">
        <v>408</v>
      </c>
      <c r="G175" s="27" t="s">
        <v>112</v>
      </c>
      <c r="H175" s="75">
        <v>16</v>
      </c>
      <c r="I175" s="76">
        <v>8</v>
      </c>
      <c r="J175" s="98">
        <f>5+1+4</f>
        <v>10</v>
      </c>
      <c r="K175" s="86">
        <f>6524.55+600.31+19349.45</f>
        <v>26474.31</v>
      </c>
      <c r="L175" s="86">
        <f>6524.55+600.31</f>
        <v>7124.8600000000006</v>
      </c>
      <c r="M175" s="78">
        <f>K175-L175</f>
        <v>19349.45</v>
      </c>
      <c r="N175" s="100">
        <f>1+3+2</f>
        <v>6</v>
      </c>
      <c r="O175" s="87">
        <f>10770.58+2113.01+3508.24</f>
        <v>16391.830000000002</v>
      </c>
      <c r="P175" s="87">
        <f>10770.58+2113.01</f>
        <v>12883.59</v>
      </c>
      <c r="Q175" s="79">
        <f t="shared" si="13"/>
        <v>3508.2400000000016</v>
      </c>
      <c r="R175" s="141"/>
    </row>
    <row r="176" spans="1:18" s="21" customFormat="1" ht="60" x14ac:dyDescent="0.25">
      <c r="A176" s="181"/>
      <c r="B176" s="30" t="s">
        <v>100</v>
      </c>
      <c r="C176" s="203" t="s">
        <v>125</v>
      </c>
      <c r="D176" s="182" t="s">
        <v>126</v>
      </c>
      <c r="E176" s="194" t="s">
        <v>20</v>
      </c>
      <c r="F176" s="73" t="s">
        <v>486</v>
      </c>
      <c r="G176" s="236" t="s">
        <v>114</v>
      </c>
      <c r="H176" s="181">
        <v>9</v>
      </c>
      <c r="I176" s="234"/>
      <c r="J176" s="202"/>
      <c r="K176" s="86"/>
      <c r="L176" s="86"/>
      <c r="M176" s="187">
        <f t="shared" ref="M176" si="23">K176-L176</f>
        <v>0</v>
      </c>
      <c r="N176" s="100"/>
      <c r="O176" s="239">
        <v>16544.900000000001</v>
      </c>
      <c r="P176" s="239">
        <v>16544.900000000001</v>
      </c>
      <c r="Q176" s="232">
        <f t="shared" si="13"/>
        <v>0</v>
      </c>
    </row>
    <row r="177" spans="1:18" s="13" customFormat="1" x14ac:dyDescent="0.25">
      <c r="A177" s="229"/>
      <c r="B177" s="62" t="s">
        <v>101</v>
      </c>
      <c r="C177" s="181" t="s">
        <v>17</v>
      </c>
      <c r="D177" s="182"/>
      <c r="E177" s="194" t="s">
        <v>20</v>
      </c>
      <c r="F177" s="73" t="s">
        <v>409</v>
      </c>
      <c r="G177" s="74" t="s">
        <v>112</v>
      </c>
      <c r="H177" s="75">
        <v>11</v>
      </c>
      <c r="I177" s="76">
        <v>7</v>
      </c>
      <c r="J177" s="96">
        <f>1+5+1+1+2</f>
        <v>10</v>
      </c>
      <c r="K177" s="77">
        <f>1045.98+3354.45+1225.93+742.59</f>
        <v>6368.9500000000007</v>
      </c>
      <c r="L177" s="77">
        <f>1045.98+3354.45+1225.93+742.59</f>
        <v>6368.9500000000007</v>
      </c>
      <c r="M177" s="78">
        <f t="shared" si="16"/>
        <v>0</v>
      </c>
      <c r="N177" s="100">
        <f>5+2+1+1</f>
        <v>9</v>
      </c>
      <c r="O177" s="81">
        <f>6288.07+3061.62+3426.18+12951.18</f>
        <v>25727.05</v>
      </c>
      <c r="P177" s="81">
        <f>6288.07+3061.62+3426.18+12951.18</f>
        <v>25727.05</v>
      </c>
      <c r="Q177" s="79">
        <f t="shared" si="13"/>
        <v>0</v>
      </c>
      <c r="R177" s="141"/>
    </row>
    <row r="178" spans="1:18" s="13" customFormat="1" x14ac:dyDescent="0.25">
      <c r="A178" s="229"/>
      <c r="B178" s="62" t="s">
        <v>146</v>
      </c>
      <c r="C178" s="181" t="s">
        <v>17</v>
      </c>
      <c r="D178" s="182"/>
      <c r="E178" s="194" t="s">
        <v>20</v>
      </c>
      <c r="F178" s="73" t="s">
        <v>410</v>
      </c>
      <c r="G178" s="74" t="s">
        <v>112</v>
      </c>
      <c r="H178" s="75">
        <v>12</v>
      </c>
      <c r="I178" s="76">
        <v>9</v>
      </c>
      <c r="J178" s="96">
        <f>4+1+1+2</f>
        <v>8</v>
      </c>
      <c r="K178" s="77">
        <f>4610.77+1568.98+1854.88+422.62+1334.13</f>
        <v>9791.380000000001</v>
      </c>
      <c r="L178" s="77">
        <f>4610.77+1568.98+1854.88+422.62+1334.13</f>
        <v>9791.380000000001</v>
      </c>
      <c r="M178" s="78">
        <f t="shared" si="16"/>
        <v>0</v>
      </c>
      <c r="N178" s="100">
        <f>5+1+1+2+1</f>
        <v>10</v>
      </c>
      <c r="O178" s="81">
        <f>13579.06+1287.07+2636.18+26196.83</f>
        <v>43699.14</v>
      </c>
      <c r="P178" s="81">
        <f>13579.06+1287.07+2636.18+26196.83</f>
        <v>43699.14</v>
      </c>
      <c r="Q178" s="232">
        <f t="shared" si="13"/>
        <v>0</v>
      </c>
      <c r="R178" s="141"/>
    </row>
    <row r="179" spans="1:18" s="13" customFormat="1" x14ac:dyDescent="0.25">
      <c r="A179" s="229"/>
      <c r="B179" s="62" t="s">
        <v>146</v>
      </c>
      <c r="C179" s="181" t="s">
        <v>17</v>
      </c>
      <c r="D179" s="182"/>
      <c r="E179" s="183" t="s">
        <v>21</v>
      </c>
      <c r="F179" s="73" t="s">
        <v>443</v>
      </c>
      <c r="G179" s="230" t="s">
        <v>118</v>
      </c>
      <c r="H179" s="181">
        <v>9</v>
      </c>
      <c r="I179" s="234">
        <v>2</v>
      </c>
      <c r="J179" s="190">
        <v>2</v>
      </c>
      <c r="K179" s="193">
        <v>1152.5999999999999</v>
      </c>
      <c r="L179" s="193">
        <v>1152.5999999999999</v>
      </c>
      <c r="M179" s="187">
        <f t="shared" si="16"/>
        <v>0</v>
      </c>
      <c r="N179" s="114">
        <v>5</v>
      </c>
      <c r="O179" s="224">
        <v>5349.99</v>
      </c>
      <c r="P179" s="224">
        <v>5349.99</v>
      </c>
      <c r="Q179" s="79">
        <f t="shared" si="13"/>
        <v>0</v>
      </c>
    </row>
    <row r="180" spans="1:18" s="13" customFormat="1" x14ac:dyDescent="0.25">
      <c r="A180" s="229"/>
      <c r="B180" s="27" t="s">
        <v>102</v>
      </c>
      <c r="C180" s="181" t="s">
        <v>17</v>
      </c>
      <c r="D180" s="182"/>
      <c r="E180" s="194" t="s">
        <v>20</v>
      </c>
      <c r="F180" s="73" t="s">
        <v>411</v>
      </c>
      <c r="G180" s="74" t="s">
        <v>112</v>
      </c>
      <c r="H180" s="75">
        <v>11</v>
      </c>
      <c r="I180" s="76">
        <v>7</v>
      </c>
      <c r="J180" s="96">
        <f>1+1+2+1+2</f>
        <v>7</v>
      </c>
      <c r="K180" s="77">
        <f>845.24+845.24+1690.48+1394.65+2689.38</f>
        <v>7464.9900000000007</v>
      </c>
      <c r="L180" s="77">
        <f>845.24+845.24+1690.48+1394.65+2689.38</f>
        <v>7464.9900000000007</v>
      </c>
      <c r="M180" s="78">
        <f>K180-L180</f>
        <v>0</v>
      </c>
      <c r="N180" s="100">
        <f>3+1+1</f>
        <v>5</v>
      </c>
      <c r="O180" s="81">
        <f>7808.21+30833.77-12193.52+9963.17</f>
        <v>36411.630000000005</v>
      </c>
      <c r="P180" s="81">
        <f>7808.21+30833.77-12193.52+9963.17</f>
        <v>36411.630000000005</v>
      </c>
      <c r="Q180" s="232">
        <f t="shared" si="13"/>
        <v>0</v>
      </c>
      <c r="R180" s="141"/>
    </row>
    <row r="181" spans="1:18" s="13" customFormat="1" x14ac:dyDescent="0.25">
      <c r="A181" s="229"/>
      <c r="B181" s="27" t="s">
        <v>102</v>
      </c>
      <c r="C181" s="181" t="s">
        <v>17</v>
      </c>
      <c r="D181" s="182"/>
      <c r="E181" s="194" t="s">
        <v>20</v>
      </c>
      <c r="F181" s="73" t="s">
        <v>469</v>
      </c>
      <c r="G181" s="230" t="s">
        <v>114</v>
      </c>
      <c r="H181" s="181">
        <v>10</v>
      </c>
      <c r="I181" s="231">
        <v>3</v>
      </c>
      <c r="J181" s="190">
        <v>3</v>
      </c>
      <c r="K181" s="77">
        <v>1267.8599999999999</v>
      </c>
      <c r="L181" s="77">
        <v>1267.8599999999999</v>
      </c>
      <c r="M181" s="187">
        <f t="shared" ref="M181" si="24">K181-L181</f>
        <v>0</v>
      </c>
      <c r="N181" s="100">
        <v>8</v>
      </c>
      <c r="O181" s="224">
        <v>24770.92</v>
      </c>
      <c r="P181" s="224">
        <v>24770.92</v>
      </c>
      <c r="Q181" s="232">
        <f t="shared" si="13"/>
        <v>0</v>
      </c>
    </row>
    <row r="182" spans="1:18" s="13" customFormat="1" x14ac:dyDescent="0.25">
      <c r="A182" s="229"/>
      <c r="B182" s="27" t="s">
        <v>103</v>
      </c>
      <c r="C182" s="181" t="s">
        <v>17</v>
      </c>
      <c r="D182" s="182"/>
      <c r="E182" s="183" t="s">
        <v>20</v>
      </c>
      <c r="F182" s="73" t="s">
        <v>412</v>
      </c>
      <c r="G182" s="74" t="s">
        <v>112</v>
      </c>
      <c r="H182" s="75">
        <v>12</v>
      </c>
      <c r="I182" s="76">
        <v>9</v>
      </c>
      <c r="J182" s="96">
        <f>4+1+2+3</f>
        <v>10</v>
      </c>
      <c r="K182" s="77">
        <f>16248.67+1092.81+2003.49</f>
        <v>19344.97</v>
      </c>
      <c r="L182" s="77">
        <f>16248.67+1092.81+2003.49</f>
        <v>19344.97</v>
      </c>
      <c r="M182" s="78">
        <f>K182-L182</f>
        <v>0</v>
      </c>
      <c r="N182" s="100">
        <f>7+2+1+1+2</f>
        <v>13</v>
      </c>
      <c r="O182" s="77">
        <f>20193.14+7541.5</f>
        <v>27734.639999999999</v>
      </c>
      <c r="P182" s="77">
        <f>20193.14+7541.5</f>
        <v>27734.639999999999</v>
      </c>
      <c r="Q182" s="232">
        <f t="shared" si="13"/>
        <v>0</v>
      </c>
      <c r="R182" s="141"/>
    </row>
    <row r="183" spans="1:18" s="13" customFormat="1" x14ac:dyDescent="0.25">
      <c r="A183" s="229"/>
      <c r="B183" s="27" t="s">
        <v>103</v>
      </c>
      <c r="C183" s="181" t="s">
        <v>17</v>
      </c>
      <c r="D183" s="182"/>
      <c r="E183" s="183" t="s">
        <v>20</v>
      </c>
      <c r="F183" s="73" t="s">
        <v>470</v>
      </c>
      <c r="G183" s="230" t="s">
        <v>114</v>
      </c>
      <c r="H183" s="181">
        <v>12</v>
      </c>
      <c r="I183" s="231">
        <v>1</v>
      </c>
      <c r="J183" s="190">
        <v>1</v>
      </c>
      <c r="K183" s="77">
        <v>4940.1000000000004</v>
      </c>
      <c r="L183" s="77">
        <v>4940.1000000000004</v>
      </c>
      <c r="M183" s="187">
        <f t="shared" ref="M183:M185" si="25">K183-L183</f>
        <v>0</v>
      </c>
      <c r="N183" s="100">
        <v>4</v>
      </c>
      <c r="O183" s="224">
        <v>10431.89</v>
      </c>
      <c r="P183" s="224">
        <v>10431.89</v>
      </c>
      <c r="Q183" s="232">
        <f t="shared" si="13"/>
        <v>0</v>
      </c>
    </row>
    <row r="184" spans="1:18" s="15" customFormat="1" x14ac:dyDescent="0.25">
      <c r="A184" s="229"/>
      <c r="B184" s="27" t="s">
        <v>104</v>
      </c>
      <c r="C184" s="181" t="s">
        <v>17</v>
      </c>
      <c r="D184" s="182"/>
      <c r="E184" s="183" t="s">
        <v>20</v>
      </c>
      <c r="F184" s="73" t="s">
        <v>413</v>
      </c>
      <c r="G184" s="74" t="s">
        <v>112</v>
      </c>
      <c r="H184" s="75">
        <v>13</v>
      </c>
      <c r="I184" s="76">
        <v>10</v>
      </c>
      <c r="J184" s="96">
        <f>3+1+2+4</f>
        <v>10</v>
      </c>
      <c r="K184" s="77">
        <f>5112.82+422.64+8302.14</f>
        <v>13837.599999999999</v>
      </c>
      <c r="L184" s="77">
        <f>5112.82+422.64</f>
        <v>5535.46</v>
      </c>
      <c r="M184" s="78">
        <f>K184-L184</f>
        <v>8302.14</v>
      </c>
      <c r="N184" s="100">
        <f>4+1+1+2</f>
        <v>8</v>
      </c>
      <c r="O184" s="81">
        <f>7087.22+3426.18+3496.22</f>
        <v>14009.619999999999</v>
      </c>
      <c r="P184" s="81">
        <f>7087.22+3426.18+3496.22</f>
        <v>14009.619999999999</v>
      </c>
      <c r="Q184" s="232">
        <f t="shared" si="13"/>
        <v>0</v>
      </c>
      <c r="R184" s="141"/>
    </row>
    <row r="185" spans="1:18" s="15" customFormat="1" x14ac:dyDescent="0.25">
      <c r="A185" s="229"/>
      <c r="B185" s="27" t="s">
        <v>104</v>
      </c>
      <c r="C185" s="181" t="s">
        <v>17</v>
      </c>
      <c r="D185" s="182"/>
      <c r="E185" s="183" t="s">
        <v>20</v>
      </c>
      <c r="F185" s="73" t="s">
        <v>471</v>
      </c>
      <c r="G185" s="230" t="s">
        <v>114</v>
      </c>
      <c r="H185" s="181">
        <v>32</v>
      </c>
      <c r="I185" s="231">
        <v>6</v>
      </c>
      <c r="J185" s="190">
        <v>6</v>
      </c>
      <c r="K185" s="77">
        <v>10700.62</v>
      </c>
      <c r="L185" s="77">
        <v>10700.62</v>
      </c>
      <c r="M185" s="187">
        <f t="shared" si="25"/>
        <v>0</v>
      </c>
      <c r="N185" s="114">
        <v>18</v>
      </c>
      <c r="O185" s="224">
        <v>36873.050000000003</v>
      </c>
      <c r="P185" s="224">
        <v>36873.050000000003</v>
      </c>
      <c r="Q185" s="232">
        <f t="shared" si="13"/>
        <v>0</v>
      </c>
    </row>
    <row r="186" spans="1:18" s="13" customFormat="1" x14ac:dyDescent="0.25">
      <c r="A186" s="229"/>
      <c r="B186" s="30" t="s">
        <v>26</v>
      </c>
      <c r="C186" s="181" t="s">
        <v>17</v>
      </c>
      <c r="D186" s="182"/>
      <c r="E186" s="183" t="s">
        <v>32</v>
      </c>
      <c r="F186" s="73" t="s">
        <v>246</v>
      </c>
      <c r="G186" s="74" t="s">
        <v>117</v>
      </c>
      <c r="H186" s="75"/>
      <c r="I186" s="76"/>
      <c r="J186" s="96"/>
      <c r="K186" s="77"/>
      <c r="L186" s="77"/>
      <c r="M186" s="78">
        <f t="shared" si="16"/>
        <v>0</v>
      </c>
      <c r="N186" s="100">
        <v>5</v>
      </c>
      <c r="O186" s="81">
        <v>7808.15</v>
      </c>
      <c r="P186" s="81">
        <v>7808.15</v>
      </c>
      <c r="Q186" s="232">
        <f t="shared" si="13"/>
        <v>0</v>
      </c>
    </row>
    <row r="187" spans="1:18" s="13" customFormat="1" x14ac:dyDescent="0.25">
      <c r="A187" s="229"/>
      <c r="B187" s="62" t="s">
        <v>106</v>
      </c>
      <c r="C187" s="181" t="s">
        <v>17</v>
      </c>
      <c r="D187" s="205"/>
      <c r="E187" s="194" t="s">
        <v>20</v>
      </c>
      <c r="F187" s="73" t="s">
        <v>414</v>
      </c>
      <c r="G187" s="74" t="s">
        <v>112</v>
      </c>
      <c r="H187" s="75">
        <v>11</v>
      </c>
      <c r="I187" s="76">
        <v>4</v>
      </c>
      <c r="J187" s="96">
        <f>1+4</f>
        <v>5</v>
      </c>
      <c r="K187" s="77">
        <f>3125.9</f>
        <v>3125.9</v>
      </c>
      <c r="L187" s="77">
        <f>3125.9</f>
        <v>3125.9</v>
      </c>
      <c r="M187" s="78">
        <f>K187-L187</f>
        <v>0</v>
      </c>
      <c r="N187" s="100">
        <f>3+1</f>
        <v>4</v>
      </c>
      <c r="O187" s="81">
        <f>15956.85+4551.62+19965.34</f>
        <v>40473.81</v>
      </c>
      <c r="P187" s="81">
        <f>15956.85+4551.62+19965.34</f>
        <v>40473.81</v>
      </c>
      <c r="Q187" s="232">
        <f t="shared" si="13"/>
        <v>0</v>
      </c>
      <c r="R187" s="141"/>
    </row>
    <row r="188" spans="1:18" x14ac:dyDescent="0.25">
      <c r="A188" s="249"/>
      <c r="B188" s="66"/>
      <c r="C188" s="250"/>
      <c r="D188" s="235"/>
      <c r="E188" s="235"/>
      <c r="F188" s="73"/>
      <c r="G188" s="235" t="s">
        <v>131</v>
      </c>
      <c r="H188" s="240">
        <f>SUM(H10:H187)</f>
        <v>2196</v>
      </c>
      <c r="I188" s="248">
        <f>SUM(I10:I187)</f>
        <v>1100</v>
      </c>
      <c r="J188" s="208">
        <f>SUM(J10:J187)</f>
        <v>1305</v>
      </c>
      <c r="K188" s="209">
        <f>SUM(K10:K187)</f>
        <v>2408088.725000001</v>
      </c>
      <c r="L188" s="209">
        <f>SUM(L10:L187)</f>
        <v>2123800.5750000002</v>
      </c>
      <c r="M188" s="210">
        <f>K188-L188</f>
        <v>284288.15000000084</v>
      </c>
      <c r="N188" s="208">
        <f>SUM(N10:N187)</f>
        <v>1682</v>
      </c>
      <c r="O188" s="241">
        <f>SUM(O10:O187)</f>
        <v>5142164.2499999991</v>
      </c>
      <c r="P188" s="241">
        <f>SUM(P10:P187)</f>
        <v>5101545.709999999</v>
      </c>
      <c r="Q188" s="79">
        <f t="shared" si="13"/>
        <v>40618.540000000037</v>
      </c>
      <c r="R188" s="129"/>
    </row>
    <row r="189" spans="1:18" x14ac:dyDescent="0.25">
      <c r="K189" s="91" t="s">
        <v>305</v>
      </c>
    </row>
    <row r="190" spans="1:18" ht="45" x14ac:dyDescent="0.25">
      <c r="B190" s="89" t="s">
        <v>316</v>
      </c>
      <c r="F190" s="104" t="s">
        <v>317</v>
      </c>
      <c r="M190" s="142"/>
      <c r="Q190" s="133"/>
    </row>
    <row r="191" spans="1:18" x14ac:dyDescent="0.25">
      <c r="M191" s="216"/>
    </row>
  </sheetData>
  <mergeCells count="7">
    <mergeCell ref="O1:Q1"/>
    <mergeCell ref="A3:Q3"/>
    <mergeCell ref="A4:Q4"/>
    <mergeCell ref="A5:Q5"/>
    <mergeCell ref="B7:G7"/>
    <mergeCell ref="H7:M7"/>
    <mergeCell ref="N7:Q7"/>
  </mergeCells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91"/>
  <sheetViews>
    <sheetView workbookViewId="0">
      <selection sqref="A1:XFD1048576"/>
    </sheetView>
  </sheetViews>
  <sheetFormatPr defaultRowHeight="15" x14ac:dyDescent="0.25"/>
  <cols>
    <col min="1" max="1" width="1.85546875" style="6" customWidth="1"/>
    <col min="2" max="2" width="38.28515625" style="88" customWidth="1"/>
    <col min="3" max="3" width="6.5703125" style="19" customWidth="1"/>
    <col min="4" max="4" width="17.42578125" style="19" customWidth="1"/>
    <col min="5" max="5" width="19" style="19" customWidth="1"/>
    <col min="6" max="6" width="19" style="89" customWidth="1"/>
    <col min="7" max="7" width="20.140625" style="89" customWidth="1"/>
    <col min="8" max="9" width="15.7109375" style="90" customWidth="1"/>
    <col min="10" max="10" width="15.7109375" style="99" customWidth="1"/>
    <col min="11" max="13" width="15.7109375" style="91" customWidth="1"/>
    <col min="14" max="14" width="15.7109375" style="99" customWidth="1"/>
    <col min="15" max="17" width="15.7109375" style="92" customWidth="1"/>
    <col min="18" max="18" width="11.7109375" style="6" customWidth="1"/>
    <col min="19" max="19" width="9.42578125" style="6" customWidth="1"/>
    <col min="20" max="21" width="9.140625" style="6" customWidth="1"/>
    <col min="22" max="16384" width="9.140625" style="6"/>
  </cols>
  <sheetData>
    <row r="1" spans="1:18" s="105" customFormat="1" x14ac:dyDescent="0.25">
      <c r="A1" s="60"/>
      <c r="B1" s="60"/>
      <c r="C1" s="225"/>
      <c r="D1" s="225"/>
      <c r="E1" s="225"/>
      <c r="F1" s="63"/>
      <c r="G1" s="63"/>
      <c r="H1" s="64"/>
      <c r="I1" s="64"/>
      <c r="J1" s="93"/>
      <c r="K1" s="65"/>
      <c r="L1" s="65"/>
      <c r="M1" s="65"/>
      <c r="N1" s="93"/>
      <c r="O1" s="362" t="s">
        <v>15</v>
      </c>
      <c r="P1" s="362"/>
      <c r="Q1" s="362"/>
    </row>
    <row r="2" spans="1:18" s="105" customFormat="1" x14ac:dyDescent="0.25">
      <c r="A2" s="251"/>
      <c r="B2" s="251"/>
      <c r="C2" s="252"/>
      <c r="D2" s="252"/>
      <c r="E2" s="252"/>
      <c r="F2" s="66"/>
      <c r="G2" s="66"/>
      <c r="H2" s="253"/>
      <c r="I2" s="253"/>
      <c r="J2" s="94"/>
      <c r="K2" s="67"/>
      <c r="L2" s="67"/>
      <c r="M2" s="67"/>
      <c r="N2" s="94"/>
      <c r="O2" s="68"/>
      <c r="P2" s="68"/>
      <c r="Q2" s="68"/>
    </row>
    <row r="3" spans="1:18" s="105" customFormat="1" x14ac:dyDescent="0.25">
      <c r="A3" s="380" t="s">
        <v>318</v>
      </c>
      <c r="B3" s="367"/>
      <c r="C3" s="380"/>
      <c r="D3" s="380"/>
      <c r="E3" s="380"/>
      <c r="F3" s="367"/>
      <c r="G3" s="367"/>
      <c r="H3" s="366"/>
      <c r="I3" s="366"/>
      <c r="J3" s="367"/>
      <c r="K3" s="367"/>
      <c r="L3" s="367"/>
      <c r="M3" s="367"/>
      <c r="N3" s="367"/>
      <c r="O3" s="367"/>
      <c r="P3" s="367"/>
      <c r="Q3" s="367"/>
    </row>
    <row r="4" spans="1:18" s="105" customFormat="1" x14ac:dyDescent="0.25">
      <c r="A4" s="381">
        <v>43696</v>
      </c>
      <c r="B4" s="373"/>
      <c r="C4" s="382"/>
      <c r="D4" s="382"/>
      <c r="E4" s="382"/>
      <c r="F4" s="373"/>
      <c r="G4" s="373"/>
      <c r="H4" s="372"/>
      <c r="I4" s="372"/>
      <c r="J4" s="373"/>
      <c r="K4" s="373"/>
      <c r="L4" s="373"/>
      <c r="M4" s="373"/>
      <c r="N4" s="373"/>
      <c r="O4" s="373"/>
      <c r="P4" s="373"/>
      <c r="Q4" s="373"/>
    </row>
    <row r="5" spans="1:18" s="105" customFormat="1" x14ac:dyDescent="0.25">
      <c r="A5" s="367" t="s">
        <v>14</v>
      </c>
      <c r="B5" s="367"/>
      <c r="C5" s="367"/>
      <c r="D5" s="367"/>
      <c r="E5" s="367"/>
      <c r="F5" s="367"/>
      <c r="G5" s="367"/>
      <c r="H5" s="366"/>
      <c r="I5" s="366"/>
      <c r="J5" s="367"/>
      <c r="K5" s="367"/>
      <c r="L5" s="367"/>
      <c r="M5" s="367"/>
      <c r="N5" s="367"/>
      <c r="O5" s="367"/>
      <c r="P5" s="367"/>
      <c r="Q5" s="367"/>
    </row>
    <row r="6" spans="1:18" s="105" customFormat="1" x14ac:dyDescent="0.25">
      <c r="A6" s="251"/>
      <c r="B6" s="251"/>
      <c r="C6" s="252"/>
      <c r="D6" s="252"/>
      <c r="E6" s="252"/>
      <c r="F6" s="66"/>
      <c r="G6" s="66"/>
      <c r="H6" s="253"/>
      <c r="I6" s="253"/>
      <c r="J6" s="94"/>
      <c r="K6" s="67"/>
      <c r="L6" s="67"/>
      <c r="M6" s="67"/>
      <c r="N6" s="94"/>
      <c r="O6" s="68"/>
      <c r="P6" s="68"/>
      <c r="Q6" s="68"/>
    </row>
    <row r="7" spans="1:18" x14ac:dyDescent="0.25">
      <c r="A7" s="227" t="s">
        <v>0</v>
      </c>
      <c r="B7" s="367" t="s">
        <v>10</v>
      </c>
      <c r="C7" s="380"/>
      <c r="D7" s="380"/>
      <c r="E7" s="380"/>
      <c r="F7" s="367"/>
      <c r="G7" s="367"/>
      <c r="H7" s="366" t="s">
        <v>472</v>
      </c>
      <c r="I7" s="366"/>
      <c r="J7" s="367"/>
      <c r="K7" s="367"/>
      <c r="L7" s="367"/>
      <c r="M7" s="367"/>
      <c r="N7" s="367" t="s">
        <v>132</v>
      </c>
      <c r="O7" s="367"/>
      <c r="P7" s="367"/>
      <c r="Q7" s="367"/>
    </row>
    <row r="8" spans="1:18" ht="195" x14ac:dyDescent="0.25">
      <c r="A8" s="227"/>
      <c r="B8" s="251" t="s">
        <v>4</v>
      </c>
      <c r="C8" s="252" t="s">
        <v>1</v>
      </c>
      <c r="D8" s="252" t="s">
        <v>3</v>
      </c>
      <c r="E8" s="252" t="s">
        <v>2</v>
      </c>
      <c r="F8" s="251" t="s">
        <v>6</v>
      </c>
      <c r="G8" s="66" t="s">
        <v>5</v>
      </c>
      <c r="H8" s="254" t="s">
        <v>7</v>
      </c>
      <c r="I8" s="254" t="s">
        <v>8</v>
      </c>
      <c r="J8" s="94" t="s">
        <v>9</v>
      </c>
      <c r="K8" s="67" t="s">
        <v>11</v>
      </c>
      <c r="L8" s="67" t="s">
        <v>12</v>
      </c>
      <c r="M8" s="67" t="s">
        <v>13</v>
      </c>
      <c r="N8" s="94" t="s">
        <v>9</v>
      </c>
      <c r="O8" s="68" t="s">
        <v>11</v>
      </c>
      <c r="P8" s="68" t="s">
        <v>12</v>
      </c>
      <c r="Q8" s="68" t="s">
        <v>13</v>
      </c>
    </row>
    <row r="9" spans="1:18" x14ac:dyDescent="0.25">
      <c r="A9" s="228">
        <v>1</v>
      </c>
      <c r="B9" s="61">
        <f>A9+1</f>
        <v>2</v>
      </c>
      <c r="C9" s="228">
        <f t="shared" ref="C9:Q9" si="0">B9+1</f>
        <v>3</v>
      </c>
      <c r="D9" s="228">
        <f t="shared" si="0"/>
        <v>4</v>
      </c>
      <c r="E9" s="228">
        <f t="shared" si="0"/>
        <v>5</v>
      </c>
      <c r="F9" s="69">
        <f t="shared" si="0"/>
        <v>6</v>
      </c>
      <c r="G9" s="69">
        <f t="shared" si="0"/>
        <v>7</v>
      </c>
      <c r="H9" s="70">
        <f t="shared" si="0"/>
        <v>8</v>
      </c>
      <c r="I9" s="70">
        <f t="shared" si="0"/>
        <v>9</v>
      </c>
      <c r="J9" s="95">
        <f t="shared" si="0"/>
        <v>10</v>
      </c>
      <c r="K9" s="71">
        <f t="shared" si="0"/>
        <v>11</v>
      </c>
      <c r="L9" s="71">
        <f t="shared" si="0"/>
        <v>12</v>
      </c>
      <c r="M9" s="71">
        <f t="shared" si="0"/>
        <v>13</v>
      </c>
      <c r="N9" s="95">
        <f t="shared" si="0"/>
        <v>14</v>
      </c>
      <c r="O9" s="72">
        <f t="shared" si="0"/>
        <v>15</v>
      </c>
      <c r="P9" s="72">
        <f t="shared" si="0"/>
        <v>16</v>
      </c>
      <c r="Q9" s="72">
        <f t="shared" si="0"/>
        <v>17</v>
      </c>
    </row>
    <row r="10" spans="1:18" s="13" customFormat="1" ht="30" x14ac:dyDescent="0.25">
      <c r="A10" s="229"/>
      <c r="B10" s="62" t="s">
        <v>16</v>
      </c>
      <c r="C10" s="181" t="s">
        <v>304</v>
      </c>
      <c r="D10" s="182" t="s">
        <v>315</v>
      </c>
      <c r="E10" s="183" t="s">
        <v>18</v>
      </c>
      <c r="F10" s="73" t="s">
        <v>322</v>
      </c>
      <c r="G10" s="74" t="s">
        <v>112</v>
      </c>
      <c r="H10" s="75">
        <v>12</v>
      </c>
      <c r="I10" s="76">
        <v>10</v>
      </c>
      <c r="J10" s="98">
        <f>2+1+3+3+1</f>
        <v>10</v>
      </c>
      <c r="K10" s="77">
        <f>4792.51+1138.19+504.26+11366.06+4859.68+3954.5</f>
        <v>26615.200000000001</v>
      </c>
      <c r="L10" s="77">
        <f>4792.51+1138.19+504.26+11366.06+4859.68+3954.5</f>
        <v>26615.200000000001</v>
      </c>
      <c r="M10" s="78">
        <f>K10-L10</f>
        <v>0</v>
      </c>
      <c r="N10" s="100">
        <f>2+5+1+2+1</f>
        <v>11</v>
      </c>
      <c r="O10" s="77">
        <f>9108.77+6924.32+22366.06+8197.52</f>
        <v>46596.67</v>
      </c>
      <c r="P10" s="77">
        <f>9108.77+6924.32+22366.06+8197.52</f>
        <v>46596.67</v>
      </c>
      <c r="Q10" s="79">
        <f>O10-P10</f>
        <v>0</v>
      </c>
      <c r="R10" s="141"/>
    </row>
    <row r="11" spans="1:18" s="13" customFormat="1" ht="30" x14ac:dyDescent="0.25">
      <c r="A11" s="229"/>
      <c r="B11" s="62" t="s">
        <v>16</v>
      </c>
      <c r="C11" s="181" t="s">
        <v>304</v>
      </c>
      <c r="D11" s="182" t="s">
        <v>315</v>
      </c>
      <c r="E11" s="183" t="s">
        <v>18</v>
      </c>
      <c r="F11" s="73" t="s">
        <v>322</v>
      </c>
      <c r="G11" s="230" t="s">
        <v>116</v>
      </c>
      <c r="H11" s="181">
        <v>10</v>
      </c>
      <c r="I11" s="231">
        <v>4</v>
      </c>
      <c r="J11" s="96">
        <v>4</v>
      </c>
      <c r="K11" s="224">
        <v>7070</v>
      </c>
      <c r="L11" s="224">
        <v>7070</v>
      </c>
      <c r="M11" s="187">
        <f t="shared" ref="M11:M90" si="1">K11-L11</f>
        <v>0</v>
      </c>
      <c r="N11" s="100">
        <v>0</v>
      </c>
      <c r="O11" s="224">
        <v>2945</v>
      </c>
      <c r="P11" s="224">
        <v>2945</v>
      </c>
      <c r="Q11" s="232">
        <f t="shared" ref="Q11:Q80" si="2">O11-P11</f>
        <v>0</v>
      </c>
    </row>
    <row r="12" spans="1:18" s="13" customFormat="1" x14ac:dyDescent="0.25">
      <c r="A12" s="229"/>
      <c r="B12" s="62" t="s">
        <v>490</v>
      </c>
      <c r="C12" s="181" t="s">
        <v>304</v>
      </c>
      <c r="D12" s="182"/>
      <c r="E12" s="183"/>
      <c r="F12" s="189" t="s">
        <v>501</v>
      </c>
      <c r="G12" s="230" t="s">
        <v>112</v>
      </c>
      <c r="H12" s="181">
        <v>14</v>
      </c>
      <c r="I12" s="231">
        <v>9</v>
      </c>
      <c r="J12" s="96">
        <f>5+1+3+1+1+2</f>
        <v>13</v>
      </c>
      <c r="K12" s="224">
        <f>8352.39+384.2+1463.8+3720.67+546.41</f>
        <v>14467.47</v>
      </c>
      <c r="L12" s="224">
        <f>8352.39+384.2+1463.8+3720.67+546.41</f>
        <v>14467.47</v>
      </c>
      <c r="M12" s="78">
        <f t="shared" si="1"/>
        <v>0</v>
      </c>
      <c r="N12" s="100"/>
      <c r="O12" s="224"/>
      <c r="P12" s="224"/>
      <c r="Q12" s="79">
        <f t="shared" si="2"/>
        <v>0</v>
      </c>
    </row>
    <row r="13" spans="1:18" s="15" customFormat="1" x14ac:dyDescent="0.25">
      <c r="A13" s="229"/>
      <c r="B13" s="62" t="s">
        <v>19</v>
      </c>
      <c r="C13" s="181" t="s">
        <v>17</v>
      </c>
      <c r="D13" s="182"/>
      <c r="E13" s="183" t="s">
        <v>20</v>
      </c>
      <c r="F13" s="73" t="s">
        <v>323</v>
      </c>
      <c r="G13" s="74" t="s">
        <v>112</v>
      </c>
      <c r="H13" s="75">
        <v>12</v>
      </c>
      <c r="I13" s="76">
        <v>8</v>
      </c>
      <c r="J13" s="96">
        <f>1+2+5+2+1+5</f>
        <v>16</v>
      </c>
      <c r="K13" s="77">
        <f>422.62+4792.51+1796.14+1373.52</f>
        <v>8384.7900000000009</v>
      </c>
      <c r="L13" s="77">
        <f>422.62+4792.51+1796.14+1373.52</f>
        <v>8384.7900000000009</v>
      </c>
      <c r="M13" s="78">
        <f t="shared" si="1"/>
        <v>0</v>
      </c>
      <c r="N13" s="100">
        <f>8+3+1+2</f>
        <v>14</v>
      </c>
      <c r="O13" s="81">
        <f>6459.36+7124.45</f>
        <v>13583.81</v>
      </c>
      <c r="P13" s="81">
        <f>6459.36+7124.45</f>
        <v>13583.81</v>
      </c>
      <c r="Q13" s="79">
        <f t="shared" si="2"/>
        <v>0</v>
      </c>
      <c r="R13" s="141"/>
    </row>
    <row r="14" spans="1:18" s="15" customFormat="1" x14ac:dyDescent="0.25">
      <c r="A14" s="229"/>
      <c r="B14" s="62" t="s">
        <v>19</v>
      </c>
      <c r="C14" s="181" t="s">
        <v>17</v>
      </c>
      <c r="D14" s="182"/>
      <c r="E14" s="183" t="s">
        <v>20</v>
      </c>
      <c r="F14" s="73" t="s">
        <v>451</v>
      </c>
      <c r="G14" s="230" t="s">
        <v>114</v>
      </c>
      <c r="H14" s="181">
        <v>8</v>
      </c>
      <c r="I14" s="231">
        <v>1</v>
      </c>
      <c r="J14" s="190">
        <v>1</v>
      </c>
      <c r="K14" s="77">
        <v>2592.3000000000002</v>
      </c>
      <c r="L14" s="77">
        <v>2592.3000000000002</v>
      </c>
      <c r="M14" s="187">
        <f t="shared" si="1"/>
        <v>0</v>
      </c>
      <c r="N14" s="100">
        <v>9</v>
      </c>
      <c r="O14" s="224">
        <v>16688.7</v>
      </c>
      <c r="P14" s="224">
        <v>16688.7</v>
      </c>
      <c r="Q14" s="232">
        <f t="shared" si="2"/>
        <v>0</v>
      </c>
    </row>
    <row r="15" spans="1:18" s="15" customFormat="1" x14ac:dyDescent="0.25">
      <c r="A15" s="229"/>
      <c r="B15" s="62" t="s">
        <v>153</v>
      </c>
      <c r="C15" s="181" t="s">
        <v>17</v>
      </c>
      <c r="D15" s="182"/>
      <c r="E15" s="183" t="s">
        <v>20</v>
      </c>
      <c r="F15" s="73" t="s">
        <v>324</v>
      </c>
      <c r="G15" s="74" t="s">
        <v>112</v>
      </c>
      <c r="H15" s="75">
        <v>10</v>
      </c>
      <c r="I15" s="82">
        <v>7</v>
      </c>
      <c r="J15" s="96">
        <f>1+1+2+1+1+2+1</f>
        <v>9</v>
      </c>
      <c r="K15" s="77">
        <f>950.9+2451.87+3074.57+845.24+1977.86+1284.48+883.08</f>
        <v>11468</v>
      </c>
      <c r="L15" s="77">
        <f>950.9+2451.87+3074.57+845.24+1977.86+1284.48+883.08</f>
        <v>11468</v>
      </c>
      <c r="M15" s="78">
        <f>K15-L15</f>
        <v>0</v>
      </c>
      <c r="N15" s="114">
        <f>1+2+1+2+1+1</f>
        <v>8</v>
      </c>
      <c r="O15" s="81">
        <f>422.62+945.61+2484.69+7964.81+1536.8+2498.17</f>
        <v>15852.699999999999</v>
      </c>
      <c r="P15" s="81">
        <f>422.62+945.61+2484.69+7964.81+1536.8+2498.17</f>
        <v>15852.699999999999</v>
      </c>
      <c r="Q15" s="79">
        <f t="shared" si="2"/>
        <v>0</v>
      </c>
      <c r="R15" s="141"/>
    </row>
    <row r="16" spans="1:18" s="15" customFormat="1" x14ac:dyDescent="0.25">
      <c r="A16" s="229"/>
      <c r="B16" s="233" t="s">
        <v>153</v>
      </c>
      <c r="C16" s="181" t="s">
        <v>17</v>
      </c>
      <c r="D16" s="182"/>
      <c r="E16" s="183" t="s">
        <v>20</v>
      </c>
      <c r="F16" s="73" t="s">
        <v>452</v>
      </c>
      <c r="G16" s="230" t="s">
        <v>114</v>
      </c>
      <c r="H16" s="181">
        <v>15</v>
      </c>
      <c r="I16" s="231">
        <v>3</v>
      </c>
      <c r="J16" s="190">
        <v>3</v>
      </c>
      <c r="K16" s="77">
        <v>12185.96</v>
      </c>
      <c r="L16" s="77">
        <v>12185.96</v>
      </c>
      <c r="M16" s="187">
        <f t="shared" si="1"/>
        <v>0</v>
      </c>
      <c r="N16" s="100">
        <v>9</v>
      </c>
      <c r="O16" s="224">
        <v>23692.400000000001</v>
      </c>
      <c r="P16" s="224">
        <v>23692.400000000001</v>
      </c>
      <c r="Q16" s="232">
        <f t="shared" si="2"/>
        <v>0</v>
      </c>
    </row>
    <row r="17" spans="1:18" s="13" customFormat="1" x14ac:dyDescent="0.25">
      <c r="A17" s="229"/>
      <c r="B17" s="30" t="s">
        <v>22</v>
      </c>
      <c r="C17" s="181" t="s">
        <v>17</v>
      </c>
      <c r="D17" s="182"/>
      <c r="E17" s="183" t="s">
        <v>23</v>
      </c>
      <c r="F17" s="73" t="s">
        <v>325</v>
      </c>
      <c r="G17" s="74" t="s">
        <v>112</v>
      </c>
      <c r="H17" s="75">
        <v>31</v>
      </c>
      <c r="I17" s="76">
        <v>10</v>
      </c>
      <c r="J17" s="96">
        <f>1+2+1+9</f>
        <v>13</v>
      </c>
      <c r="K17" s="77">
        <f>2698.64+1402.33+11601.84</f>
        <v>15702.81</v>
      </c>
      <c r="L17" s="77">
        <f>2698.64+1402.33+11601.84</f>
        <v>15702.81</v>
      </c>
      <c r="M17" s="78">
        <f>K17-L17</f>
        <v>0</v>
      </c>
      <c r="N17" s="100">
        <f>14+3+7+1+1</f>
        <v>26</v>
      </c>
      <c r="O17" s="81">
        <f>22716.4+4171.06+18768.39+8172.47</f>
        <v>53828.320000000007</v>
      </c>
      <c r="P17" s="81">
        <f>22716.4+4171.06+18768.39+8172.47</f>
        <v>53828.320000000007</v>
      </c>
      <c r="Q17" s="79">
        <f t="shared" si="2"/>
        <v>0</v>
      </c>
      <c r="R17" s="141"/>
    </row>
    <row r="18" spans="1:18" s="13" customFormat="1" x14ac:dyDescent="0.25">
      <c r="A18" s="229"/>
      <c r="B18" s="30" t="s">
        <v>154</v>
      </c>
      <c r="C18" s="181" t="s">
        <v>17</v>
      </c>
      <c r="D18" s="182"/>
      <c r="E18" s="183" t="s">
        <v>20</v>
      </c>
      <c r="F18" s="73" t="s">
        <v>453</v>
      </c>
      <c r="G18" s="230" t="s">
        <v>114</v>
      </c>
      <c r="H18" s="181">
        <v>25</v>
      </c>
      <c r="I18" s="234">
        <v>2</v>
      </c>
      <c r="J18" s="190">
        <v>2</v>
      </c>
      <c r="K18" s="193">
        <v>2938.2</v>
      </c>
      <c r="L18" s="193">
        <v>2938.2</v>
      </c>
      <c r="M18" s="187">
        <f t="shared" si="1"/>
        <v>0</v>
      </c>
      <c r="N18" s="114">
        <v>16</v>
      </c>
      <c r="O18" s="224">
        <v>41112.769999999997</v>
      </c>
      <c r="P18" s="224">
        <v>41112.769999999997</v>
      </c>
      <c r="Q18" s="232">
        <f t="shared" si="2"/>
        <v>0</v>
      </c>
    </row>
    <row r="19" spans="1:18" s="13" customFormat="1" x14ac:dyDescent="0.25">
      <c r="A19" s="229"/>
      <c r="B19" s="30" t="s">
        <v>154</v>
      </c>
      <c r="C19" s="181" t="s">
        <v>17</v>
      </c>
      <c r="D19" s="182"/>
      <c r="E19" s="183" t="s">
        <v>20</v>
      </c>
      <c r="F19" s="73" t="s">
        <v>326</v>
      </c>
      <c r="G19" s="74" t="s">
        <v>112</v>
      </c>
      <c r="H19" s="75">
        <v>20</v>
      </c>
      <c r="I19" s="76">
        <v>15</v>
      </c>
      <c r="J19" s="96">
        <f>1+1+2+2+2+6+1+4+1</f>
        <v>20</v>
      </c>
      <c r="K19" s="77">
        <f>950.9+864.46+845.24+405.02+739.59+6850.57+12952.58+883.08</f>
        <v>24491.440000000002</v>
      </c>
      <c r="L19" s="77">
        <f>950.9+864.46+845.24+405.02+739.59+6850.57+12952.58+883.08</f>
        <v>24491.440000000002</v>
      </c>
      <c r="M19" s="78">
        <f t="shared" si="1"/>
        <v>0</v>
      </c>
      <c r="N19" s="100">
        <f>6+3+1+1+1+2+1+1</f>
        <v>16</v>
      </c>
      <c r="O19" s="81">
        <f>6681.33+7017+1523.5+9094.74+3532.32</f>
        <v>27848.89</v>
      </c>
      <c r="P19" s="81">
        <f>6681.33+7017+1523.5+9094.74+3532.32</f>
        <v>27848.89</v>
      </c>
      <c r="Q19" s="79">
        <f t="shared" si="2"/>
        <v>0</v>
      </c>
      <c r="R19" s="141"/>
    </row>
    <row r="20" spans="1:18" s="13" customFormat="1" x14ac:dyDescent="0.25">
      <c r="A20" s="229"/>
      <c r="B20" s="62" t="s">
        <v>24</v>
      </c>
      <c r="C20" s="181" t="s">
        <v>17</v>
      </c>
      <c r="D20" s="182"/>
      <c r="E20" s="183" t="s">
        <v>20</v>
      </c>
      <c r="F20" s="73" t="s">
        <v>327</v>
      </c>
      <c r="G20" s="74" t="s">
        <v>112</v>
      </c>
      <c r="H20" s="75">
        <v>7</v>
      </c>
      <c r="I20" s="76">
        <v>4</v>
      </c>
      <c r="J20" s="96">
        <f>3+1+1</f>
        <v>5</v>
      </c>
      <c r="K20" s="77">
        <f>1191.02</f>
        <v>1191.02</v>
      </c>
      <c r="L20" s="77">
        <f>1191.02</f>
        <v>1191.02</v>
      </c>
      <c r="M20" s="78">
        <f t="shared" si="1"/>
        <v>0</v>
      </c>
      <c r="N20" s="100">
        <f>1+1</f>
        <v>2</v>
      </c>
      <c r="O20" s="81">
        <f>576.3+1810.93</f>
        <v>2387.23</v>
      </c>
      <c r="P20" s="81">
        <f>576.3+1810.93</f>
        <v>2387.23</v>
      </c>
      <c r="Q20" s="232">
        <f t="shared" si="2"/>
        <v>0</v>
      </c>
      <c r="R20" s="141"/>
    </row>
    <row r="21" spans="1:18" s="13" customFormat="1" x14ac:dyDescent="0.25">
      <c r="A21" s="229"/>
      <c r="B21" s="62" t="s">
        <v>24</v>
      </c>
      <c r="C21" s="181" t="s">
        <v>17</v>
      </c>
      <c r="D21" s="182"/>
      <c r="E21" s="183" t="s">
        <v>20</v>
      </c>
      <c r="F21" s="73" t="s">
        <v>454</v>
      </c>
      <c r="G21" s="230" t="s">
        <v>114</v>
      </c>
      <c r="H21" s="181">
        <v>12</v>
      </c>
      <c r="I21" s="231"/>
      <c r="J21" s="190"/>
      <c r="K21" s="77"/>
      <c r="L21" s="77"/>
      <c r="M21" s="187">
        <f t="shared" si="1"/>
        <v>0</v>
      </c>
      <c r="N21" s="100">
        <v>16</v>
      </c>
      <c r="O21" s="224">
        <v>35336.5</v>
      </c>
      <c r="P21" s="224">
        <v>35336.5</v>
      </c>
      <c r="Q21" s="232">
        <f t="shared" si="2"/>
        <v>0</v>
      </c>
    </row>
    <row r="22" spans="1:18" s="13" customFormat="1" x14ac:dyDescent="0.25">
      <c r="A22" s="229"/>
      <c r="B22" s="62" t="s">
        <v>25</v>
      </c>
      <c r="C22" s="181" t="s">
        <v>17</v>
      </c>
      <c r="D22" s="182"/>
      <c r="E22" s="183" t="s">
        <v>20</v>
      </c>
      <c r="F22" s="73" t="s">
        <v>328</v>
      </c>
      <c r="G22" s="74" t="s">
        <v>112</v>
      </c>
      <c r="H22" s="75">
        <v>9</v>
      </c>
      <c r="I22" s="76">
        <v>5</v>
      </c>
      <c r="J22" s="96">
        <f>1+1+1+1+1</f>
        <v>5</v>
      </c>
      <c r="K22" s="173">
        <f>403.41+1605.6+3697.9</f>
        <v>5706.91</v>
      </c>
      <c r="L22" s="173">
        <f>403.41+1605.6+3697.9</f>
        <v>5706.91</v>
      </c>
      <c r="M22" s="78">
        <f>K22-L22</f>
        <v>0</v>
      </c>
      <c r="N22" s="100">
        <f>6+1+2+2+1</f>
        <v>12</v>
      </c>
      <c r="O22" s="81">
        <f>14526.7+5595.3+2440.62+2839.24</f>
        <v>25401.86</v>
      </c>
      <c r="P22" s="81">
        <f>14526.7+5595.3+2440.62+2839.24</f>
        <v>25401.86</v>
      </c>
      <c r="Q22" s="232">
        <f t="shared" si="2"/>
        <v>0</v>
      </c>
      <c r="R22" s="141"/>
    </row>
    <row r="23" spans="1:18" s="13" customFormat="1" x14ac:dyDescent="0.25">
      <c r="A23" s="229"/>
      <c r="B23" s="62" t="s">
        <v>25</v>
      </c>
      <c r="C23" s="181" t="s">
        <v>17</v>
      </c>
      <c r="D23" s="182"/>
      <c r="E23" s="183" t="s">
        <v>20</v>
      </c>
      <c r="F23" s="73" t="s">
        <v>455</v>
      </c>
      <c r="G23" s="230" t="s">
        <v>114</v>
      </c>
      <c r="H23" s="181">
        <v>5</v>
      </c>
      <c r="I23" s="231"/>
      <c r="J23" s="190"/>
      <c r="K23" s="77"/>
      <c r="L23" s="77"/>
      <c r="M23" s="187">
        <f t="shared" si="1"/>
        <v>0</v>
      </c>
      <c r="N23" s="100">
        <v>3</v>
      </c>
      <c r="O23" s="224">
        <v>7219.8</v>
      </c>
      <c r="P23" s="224">
        <v>7219.8</v>
      </c>
      <c r="Q23" s="232">
        <f t="shared" si="2"/>
        <v>0</v>
      </c>
    </row>
    <row r="24" spans="1:18" s="13" customFormat="1" x14ac:dyDescent="0.25">
      <c r="A24" s="229"/>
      <c r="B24" s="62" t="s">
        <v>26</v>
      </c>
      <c r="C24" s="181" t="s">
        <v>17</v>
      </c>
      <c r="D24" s="182"/>
      <c r="E24" s="183" t="s">
        <v>27</v>
      </c>
      <c r="F24" s="73" t="s">
        <v>329</v>
      </c>
      <c r="G24" s="74" t="s">
        <v>112</v>
      </c>
      <c r="H24" s="75">
        <v>15</v>
      </c>
      <c r="I24" s="76">
        <v>12</v>
      </c>
      <c r="J24" s="96">
        <f>2+2+4+1+4</f>
        <v>13</v>
      </c>
      <c r="K24" s="77">
        <f>845.24+1056.55+5121.1+26225.35+422.62+16490.35</f>
        <v>50161.21</v>
      </c>
      <c r="L24" s="77">
        <f>845.24+1056.55+5121.1+26225.35+422.62+16490.35</f>
        <v>50161.21</v>
      </c>
      <c r="M24" s="78">
        <f t="shared" si="1"/>
        <v>0</v>
      </c>
      <c r="N24" s="100">
        <f>6+1+1+2+1</f>
        <v>11</v>
      </c>
      <c r="O24" s="81">
        <f>17838.53+2535.75+7238.9</f>
        <v>27613.18</v>
      </c>
      <c r="P24" s="81">
        <f>17838.53+2535.75+7238.9</f>
        <v>27613.18</v>
      </c>
      <c r="Q24" s="232">
        <f t="shared" si="2"/>
        <v>0</v>
      </c>
      <c r="R24" s="141"/>
    </row>
    <row r="25" spans="1:18" s="15" customFormat="1" x14ac:dyDescent="0.25">
      <c r="A25" s="229"/>
      <c r="B25" s="62" t="s">
        <v>28</v>
      </c>
      <c r="C25" s="181" t="s">
        <v>17</v>
      </c>
      <c r="D25" s="182"/>
      <c r="E25" s="194" t="s">
        <v>29</v>
      </c>
      <c r="F25" s="73" t="s">
        <v>330</v>
      </c>
      <c r="G25" s="74" t="s">
        <v>112</v>
      </c>
      <c r="H25" s="75">
        <v>7</v>
      </c>
      <c r="I25" s="76">
        <v>7</v>
      </c>
      <c r="J25" s="96">
        <f>2+1+2+1+1</f>
        <v>7</v>
      </c>
      <c r="K25" s="77">
        <f>6135.14+2440.63+9722.07+968.96</f>
        <v>19266.8</v>
      </c>
      <c r="L25" s="77">
        <f>6135.14+2440.63+9722.07+968.96</f>
        <v>19266.8</v>
      </c>
      <c r="M25" s="78">
        <f t="shared" si="1"/>
        <v>0</v>
      </c>
      <c r="N25" s="100">
        <f>3+2+4+3+1+1</f>
        <v>14</v>
      </c>
      <c r="O25" s="81">
        <f>5310.83+4630.52+14679.01+36087.29+8956.5</f>
        <v>69664.149999999994</v>
      </c>
      <c r="P25" s="81">
        <f>5310.83+4630.52+14679.01+36087.29+8956.5</f>
        <v>69664.149999999994</v>
      </c>
      <c r="Q25" s="232">
        <f t="shared" si="2"/>
        <v>0</v>
      </c>
      <c r="R25" s="141"/>
    </row>
    <row r="26" spans="1:18" s="15" customFormat="1" x14ac:dyDescent="0.25">
      <c r="A26" s="229"/>
      <c r="B26" s="62" t="s">
        <v>28</v>
      </c>
      <c r="C26" s="181" t="s">
        <v>17</v>
      </c>
      <c r="D26" s="182"/>
      <c r="E26" s="194" t="s">
        <v>29</v>
      </c>
      <c r="F26" s="73" t="s">
        <v>420</v>
      </c>
      <c r="G26" s="235" t="s">
        <v>117</v>
      </c>
      <c r="H26" s="181">
        <v>2</v>
      </c>
      <c r="I26" s="231"/>
      <c r="J26" s="96"/>
      <c r="K26" s="77"/>
      <c r="L26" s="77"/>
      <c r="M26" s="78">
        <f t="shared" si="1"/>
        <v>0</v>
      </c>
      <c r="N26" s="100">
        <v>2</v>
      </c>
      <c r="O26" s="224">
        <v>2766.24</v>
      </c>
      <c r="P26" s="224">
        <v>2766.24</v>
      </c>
      <c r="Q26" s="79">
        <f t="shared" si="2"/>
        <v>0</v>
      </c>
    </row>
    <row r="27" spans="1:18" s="15" customFormat="1" x14ac:dyDescent="0.25">
      <c r="A27" s="229"/>
      <c r="B27" s="233" t="s">
        <v>500</v>
      </c>
      <c r="C27" s="181" t="s">
        <v>17</v>
      </c>
      <c r="D27" s="182"/>
      <c r="E27" s="194"/>
      <c r="F27" s="73" t="s">
        <v>503</v>
      </c>
      <c r="G27" s="235" t="s">
        <v>112</v>
      </c>
      <c r="H27" s="181">
        <v>19</v>
      </c>
      <c r="I27" s="231">
        <v>5</v>
      </c>
      <c r="J27" s="96">
        <f>2+2+2</f>
        <v>6</v>
      </c>
      <c r="K27" s="77">
        <f>1202.51+3555.1+602.1</f>
        <v>5359.71</v>
      </c>
      <c r="L27" s="77">
        <f>1202.51+3555.1+602.1</f>
        <v>5359.71</v>
      </c>
      <c r="M27" s="78">
        <f t="shared" si="1"/>
        <v>0</v>
      </c>
      <c r="N27" s="100"/>
      <c r="O27" s="224"/>
      <c r="P27" s="224"/>
      <c r="Q27" s="79">
        <f t="shared" si="2"/>
        <v>0</v>
      </c>
    </row>
    <row r="28" spans="1:18" s="13" customFormat="1" x14ac:dyDescent="0.25">
      <c r="A28" s="229"/>
      <c r="B28" s="27" t="s">
        <v>30</v>
      </c>
      <c r="C28" s="181" t="s">
        <v>17</v>
      </c>
      <c r="D28" s="182"/>
      <c r="E28" s="194" t="s">
        <v>21</v>
      </c>
      <c r="F28" s="73" t="s">
        <v>333</v>
      </c>
      <c r="G28" s="74" t="s">
        <v>112</v>
      </c>
      <c r="H28" s="75">
        <v>17</v>
      </c>
      <c r="I28" s="76">
        <v>11</v>
      </c>
      <c r="J28" s="96">
        <f>3+1+3+1+4+1+1+2</f>
        <v>16</v>
      </c>
      <c r="K28" s="77">
        <f>16637.24+1045.98</f>
        <v>17683.22</v>
      </c>
      <c r="L28" s="77">
        <f>16637.24+1045.98</f>
        <v>17683.22</v>
      </c>
      <c r="M28" s="78">
        <f t="shared" si="1"/>
        <v>0</v>
      </c>
      <c r="N28" s="100">
        <f>9+1+3+1+1+1+2+1+1+2</f>
        <v>22</v>
      </c>
      <c r="O28" s="81">
        <f>77047.8+15703.07+7288.94</f>
        <v>100039.81</v>
      </c>
      <c r="P28" s="81">
        <f>77047.8+15703.07+7288.94</f>
        <v>100039.81</v>
      </c>
      <c r="Q28" s="79">
        <f>O28-P28</f>
        <v>0</v>
      </c>
      <c r="R28" s="141"/>
    </row>
    <row r="29" spans="1:18" s="13" customFormat="1" x14ac:dyDescent="0.25">
      <c r="A29" s="229"/>
      <c r="B29" s="27" t="s">
        <v>491</v>
      </c>
      <c r="C29" s="181" t="s">
        <v>17</v>
      </c>
      <c r="D29" s="182"/>
      <c r="E29" s="183" t="s">
        <v>20</v>
      </c>
      <c r="F29" s="73" t="s">
        <v>495</v>
      </c>
      <c r="G29" s="74" t="s">
        <v>112</v>
      </c>
      <c r="H29" s="75">
        <v>8</v>
      </c>
      <c r="I29" s="76">
        <v>6</v>
      </c>
      <c r="J29" s="96">
        <f>2+2+1+1</f>
        <v>6</v>
      </c>
      <c r="K29" s="77">
        <f>1727.9+2093.89+728.54</f>
        <v>4550.33</v>
      </c>
      <c r="L29" s="77">
        <f>1727.9+2093.89+728.54</f>
        <v>4550.33</v>
      </c>
      <c r="M29" s="78">
        <f t="shared" si="1"/>
        <v>0</v>
      </c>
      <c r="N29" s="100"/>
      <c r="O29" s="81"/>
      <c r="P29" s="81"/>
      <c r="Q29" s="79">
        <f t="shared" si="2"/>
        <v>0</v>
      </c>
      <c r="R29" s="141"/>
    </row>
    <row r="30" spans="1:18" s="13" customFormat="1" x14ac:dyDescent="0.25">
      <c r="A30" s="229"/>
      <c r="B30" s="27" t="s">
        <v>491</v>
      </c>
      <c r="C30" s="181" t="s">
        <v>17</v>
      </c>
      <c r="D30" s="182"/>
      <c r="E30" s="183" t="s">
        <v>20</v>
      </c>
      <c r="F30" s="73" t="s">
        <v>504</v>
      </c>
      <c r="G30" s="74" t="s">
        <v>114</v>
      </c>
      <c r="H30" s="75">
        <v>7</v>
      </c>
      <c r="I30" s="76">
        <v>1</v>
      </c>
      <c r="J30" s="96">
        <v>1</v>
      </c>
      <c r="K30" s="77">
        <v>1267.8599999999999</v>
      </c>
      <c r="L30" s="77"/>
      <c r="M30" s="187">
        <f t="shared" si="1"/>
        <v>1267.8599999999999</v>
      </c>
      <c r="N30" s="100"/>
      <c r="O30" s="81"/>
      <c r="P30" s="81"/>
      <c r="Q30" s="232">
        <f t="shared" si="2"/>
        <v>0</v>
      </c>
      <c r="R30" s="141"/>
    </row>
    <row r="31" spans="1:18" s="13" customFormat="1" x14ac:dyDescent="0.25">
      <c r="A31" s="229"/>
      <c r="B31" s="27" t="s">
        <v>491</v>
      </c>
      <c r="C31" s="181" t="s">
        <v>17</v>
      </c>
      <c r="D31" s="182"/>
      <c r="E31" s="183"/>
      <c r="F31" s="73" t="s">
        <v>510</v>
      </c>
      <c r="G31" s="235" t="s">
        <v>117</v>
      </c>
      <c r="H31" s="75">
        <v>1</v>
      </c>
      <c r="I31" s="76"/>
      <c r="J31" s="96"/>
      <c r="K31" s="77"/>
      <c r="L31" s="77"/>
      <c r="M31" s="187">
        <f t="shared" si="1"/>
        <v>0</v>
      </c>
      <c r="N31" s="100"/>
      <c r="O31" s="81"/>
      <c r="P31" s="81"/>
      <c r="Q31" s="232">
        <f t="shared" si="2"/>
        <v>0</v>
      </c>
      <c r="R31" s="141"/>
    </row>
    <row r="32" spans="1:18" s="13" customFormat="1" x14ac:dyDescent="0.25">
      <c r="A32" s="229"/>
      <c r="B32" s="30" t="s">
        <v>31</v>
      </c>
      <c r="C32" s="181" t="s">
        <v>17</v>
      </c>
      <c r="D32" s="182"/>
      <c r="E32" s="183" t="s">
        <v>32</v>
      </c>
      <c r="F32" s="73" t="s">
        <v>331</v>
      </c>
      <c r="G32" s="74" t="s">
        <v>112</v>
      </c>
      <c r="H32" s="75">
        <v>11</v>
      </c>
      <c r="I32" s="76">
        <v>10</v>
      </c>
      <c r="J32" s="96">
        <f>1+2+3+1+4+3</f>
        <v>14</v>
      </c>
      <c r="K32" s="77">
        <f>633.93+1045.98+5377.62+950.9+6004.09+4598.82+8410.14</f>
        <v>27021.48</v>
      </c>
      <c r="L32" s="77">
        <f>633.93+1045.98+5377.62+950.9+6004.09+4598.82+8410.14</f>
        <v>27021.48</v>
      </c>
      <c r="M32" s="187">
        <f t="shared" si="1"/>
        <v>0</v>
      </c>
      <c r="N32" s="100">
        <f>1+3+3+1+1+2+1</f>
        <v>12</v>
      </c>
      <c r="O32" s="81">
        <f>2299.8+15239.58+6152.75+2720.49+1483.38+7043.49+11175.04</f>
        <v>46114.530000000006</v>
      </c>
      <c r="P32" s="81">
        <f>2299.8+15239.58+6152.75+2720.49+1483.38+7043.49+11175.04</f>
        <v>46114.530000000006</v>
      </c>
      <c r="Q32" s="232">
        <f t="shared" si="2"/>
        <v>0</v>
      </c>
      <c r="R32" s="141"/>
    </row>
    <row r="33" spans="1:18" s="13" customFormat="1" x14ac:dyDescent="0.25">
      <c r="A33" s="229"/>
      <c r="B33" s="30" t="s">
        <v>31</v>
      </c>
      <c r="C33" s="181" t="s">
        <v>17</v>
      </c>
      <c r="D33" s="182"/>
      <c r="E33" s="183" t="s">
        <v>32</v>
      </c>
      <c r="F33" s="73" t="s">
        <v>422</v>
      </c>
      <c r="G33" s="235" t="s">
        <v>117</v>
      </c>
      <c r="H33" s="181">
        <v>10</v>
      </c>
      <c r="I33" s="231">
        <v>3</v>
      </c>
      <c r="J33" s="96">
        <v>3</v>
      </c>
      <c r="K33" s="77">
        <v>7586.5</v>
      </c>
      <c r="L33" s="77">
        <v>7586.5</v>
      </c>
      <c r="M33" s="187">
        <f t="shared" si="1"/>
        <v>0</v>
      </c>
      <c r="N33" s="100">
        <v>9</v>
      </c>
      <c r="O33" s="77">
        <v>20403.57</v>
      </c>
      <c r="P33" s="77">
        <v>20403.57</v>
      </c>
      <c r="Q33" s="232">
        <f t="shared" si="2"/>
        <v>0</v>
      </c>
    </row>
    <row r="34" spans="1:18" s="15" customFormat="1" x14ac:dyDescent="0.25">
      <c r="A34" s="229"/>
      <c r="B34" s="62" t="s">
        <v>33</v>
      </c>
      <c r="C34" s="181" t="s">
        <v>17</v>
      </c>
      <c r="D34" s="182"/>
      <c r="E34" s="183" t="s">
        <v>20</v>
      </c>
      <c r="F34" s="73" t="s">
        <v>332</v>
      </c>
      <c r="G34" s="74" t="s">
        <v>112</v>
      </c>
      <c r="H34" s="75">
        <v>10</v>
      </c>
      <c r="I34" s="76">
        <v>7</v>
      </c>
      <c r="J34" s="96">
        <f>1+1+1+1+1+2+1</f>
        <v>8</v>
      </c>
      <c r="K34" s="77">
        <f>845.245+5363.43+5912.72+845.24+12887.16+2852.15+6514.08</f>
        <v>35220.025000000001</v>
      </c>
      <c r="L34" s="77">
        <f>845.245+5363.43+5912.72+845.24+12887.16+2852.15+6514.08</f>
        <v>35220.025000000001</v>
      </c>
      <c r="M34" s="78">
        <f>K34-L34</f>
        <v>0</v>
      </c>
      <c r="N34" s="100">
        <f>2+1+1+1+1+2+1+1</f>
        <v>10</v>
      </c>
      <c r="O34" s="81">
        <f>845.24+1613.64+3380.96+3639.33+1152.6</f>
        <v>10631.77</v>
      </c>
      <c r="P34" s="81">
        <f>845.24+1613.64+3380.96+3639.33+1152.6</f>
        <v>10631.77</v>
      </c>
      <c r="Q34" s="79">
        <f t="shared" si="2"/>
        <v>0</v>
      </c>
      <c r="R34" s="141"/>
    </row>
    <row r="35" spans="1:18" s="15" customFormat="1" x14ac:dyDescent="0.25">
      <c r="A35" s="229"/>
      <c r="B35" s="62" t="s">
        <v>33</v>
      </c>
      <c r="C35" s="181" t="s">
        <v>17</v>
      </c>
      <c r="D35" s="182"/>
      <c r="E35" s="183" t="s">
        <v>20</v>
      </c>
      <c r="F35" s="73" t="s">
        <v>481</v>
      </c>
      <c r="G35" s="230" t="s">
        <v>114</v>
      </c>
      <c r="H35" s="181">
        <v>7</v>
      </c>
      <c r="I35" s="231"/>
      <c r="J35" s="190"/>
      <c r="K35" s="77"/>
      <c r="L35" s="77"/>
      <c r="M35" s="187">
        <f t="shared" si="1"/>
        <v>0</v>
      </c>
      <c r="N35" s="100">
        <v>15</v>
      </c>
      <c r="O35" s="224">
        <v>43782.74</v>
      </c>
      <c r="P35" s="224">
        <v>43782.74</v>
      </c>
      <c r="Q35" s="232">
        <f t="shared" si="2"/>
        <v>0</v>
      </c>
    </row>
    <row r="36" spans="1:18" s="15" customFormat="1" x14ac:dyDescent="0.25">
      <c r="A36" s="229"/>
      <c r="B36" s="62" t="s">
        <v>147</v>
      </c>
      <c r="C36" s="181" t="s">
        <v>17</v>
      </c>
      <c r="D36" s="182"/>
      <c r="E36" s="183" t="s">
        <v>29</v>
      </c>
      <c r="F36" s="73" t="s">
        <v>334</v>
      </c>
      <c r="G36" s="74" t="s">
        <v>112</v>
      </c>
      <c r="H36" s="75">
        <v>8</v>
      </c>
      <c r="I36" s="234">
        <v>4</v>
      </c>
      <c r="J36" s="96">
        <f>1+1+2+1</f>
        <v>5</v>
      </c>
      <c r="K36" s="77">
        <f>1854.88+2824.48+3058.67</f>
        <v>7738.0300000000007</v>
      </c>
      <c r="L36" s="77">
        <f>1854.88+2824.48+3058.67</f>
        <v>7738.0300000000007</v>
      </c>
      <c r="M36" s="78">
        <f>K36-L36</f>
        <v>0</v>
      </c>
      <c r="N36" s="114">
        <f>1+1+1</f>
        <v>3</v>
      </c>
      <c r="O36" s="81">
        <f>1394.65+2473.17+1961.49</f>
        <v>5829.31</v>
      </c>
      <c r="P36" s="81">
        <f>1394.65+2473.17+1961.49</f>
        <v>5829.31</v>
      </c>
      <c r="Q36" s="79">
        <f t="shared" si="2"/>
        <v>0</v>
      </c>
      <c r="R36" s="141"/>
    </row>
    <row r="37" spans="1:18" s="15" customFormat="1" x14ac:dyDescent="0.25">
      <c r="A37" s="229"/>
      <c r="B37" s="233" t="s">
        <v>147</v>
      </c>
      <c r="C37" s="181" t="s">
        <v>17</v>
      </c>
      <c r="D37" s="182"/>
      <c r="E37" s="183" t="s">
        <v>29</v>
      </c>
      <c r="F37" s="73" t="s">
        <v>423</v>
      </c>
      <c r="G37" s="230" t="s">
        <v>117</v>
      </c>
      <c r="H37" s="181">
        <v>7</v>
      </c>
      <c r="I37" s="231">
        <v>4</v>
      </c>
      <c r="J37" s="96">
        <v>4</v>
      </c>
      <c r="K37" s="77">
        <v>6847.1</v>
      </c>
      <c r="L37" s="77">
        <v>6847.1</v>
      </c>
      <c r="M37" s="187">
        <f t="shared" si="1"/>
        <v>0</v>
      </c>
      <c r="N37" s="100">
        <v>4</v>
      </c>
      <c r="O37" s="224">
        <v>4706.45</v>
      </c>
      <c r="P37" s="224">
        <v>4706.45</v>
      </c>
      <c r="Q37" s="232">
        <f t="shared" si="2"/>
        <v>0</v>
      </c>
    </row>
    <row r="38" spans="1:18" s="13" customFormat="1" x14ac:dyDescent="0.25">
      <c r="A38" s="229"/>
      <c r="B38" s="62" t="s">
        <v>34</v>
      </c>
      <c r="C38" s="181" t="s">
        <v>17</v>
      </c>
      <c r="D38" s="182"/>
      <c r="E38" s="194" t="s">
        <v>35</v>
      </c>
      <c r="F38" s="73" t="s">
        <v>335</v>
      </c>
      <c r="G38" s="74" t="s">
        <v>112</v>
      </c>
      <c r="H38" s="75">
        <v>28</v>
      </c>
      <c r="I38" s="76">
        <v>12</v>
      </c>
      <c r="J38" s="96">
        <f>4+2+2+7</f>
        <v>15</v>
      </c>
      <c r="K38" s="77">
        <f>8288.4+1267.86+845.24+13964.6+11418.26</f>
        <v>35784.36</v>
      </c>
      <c r="L38" s="77">
        <f>8288.4+1267.86+845.24+13964.6+11418.26</f>
        <v>35784.36</v>
      </c>
      <c r="M38" s="78">
        <f>K38-L38</f>
        <v>0</v>
      </c>
      <c r="N38" s="100">
        <f>4+4+6+1+3+1+3+1</f>
        <v>23</v>
      </c>
      <c r="O38" s="81">
        <f>23915.04+21171.88+6399.1+11460.81+1501.24</f>
        <v>64448.069999999992</v>
      </c>
      <c r="P38" s="81">
        <f>23915.04+21171.88+6399.1+11460.81+1501.24</f>
        <v>64448.069999999992</v>
      </c>
      <c r="Q38" s="79">
        <f t="shared" si="2"/>
        <v>0</v>
      </c>
      <c r="R38" s="141"/>
    </row>
    <row r="39" spans="1:18" s="13" customFormat="1" x14ac:dyDescent="0.25">
      <c r="A39" s="229"/>
      <c r="B39" s="62" t="s">
        <v>34</v>
      </c>
      <c r="C39" s="181" t="s">
        <v>17</v>
      </c>
      <c r="D39" s="182"/>
      <c r="E39" s="194" t="s">
        <v>35</v>
      </c>
      <c r="F39" s="73" t="s">
        <v>424</v>
      </c>
      <c r="G39" s="235" t="s">
        <v>117</v>
      </c>
      <c r="H39" s="181">
        <v>2</v>
      </c>
      <c r="I39" s="231">
        <v>1</v>
      </c>
      <c r="J39" s="96">
        <v>2</v>
      </c>
      <c r="K39" s="77">
        <v>3842</v>
      </c>
      <c r="L39" s="77">
        <v>3842</v>
      </c>
      <c r="M39" s="187">
        <f t="shared" si="1"/>
        <v>0</v>
      </c>
      <c r="N39" s="100">
        <v>3</v>
      </c>
      <c r="O39" s="224">
        <v>9220.7999999999993</v>
      </c>
      <c r="P39" s="224">
        <v>9220.7999999999993</v>
      </c>
      <c r="Q39" s="232">
        <f t="shared" si="2"/>
        <v>0</v>
      </c>
    </row>
    <row r="40" spans="1:18" s="13" customFormat="1" x14ac:dyDescent="0.25">
      <c r="A40" s="229"/>
      <c r="B40" s="27" t="s">
        <v>36</v>
      </c>
      <c r="C40" s="181" t="s">
        <v>17</v>
      </c>
      <c r="D40" s="182"/>
      <c r="E40" s="194" t="s">
        <v>32</v>
      </c>
      <c r="F40" s="73" t="s">
        <v>336</v>
      </c>
      <c r="G40" s="74" t="s">
        <v>112</v>
      </c>
      <c r="H40" s="75">
        <v>21</v>
      </c>
      <c r="I40" s="76">
        <v>10</v>
      </c>
      <c r="J40" s="96">
        <f>1+3+4+2+2</f>
        <v>12</v>
      </c>
      <c r="K40" s="77">
        <f>2091.97+4201.22+3643.94+998.92</f>
        <v>10936.050000000001</v>
      </c>
      <c r="L40" s="77">
        <f>2091.97+4201.22+3643.94+998.92</f>
        <v>10936.050000000001</v>
      </c>
      <c r="M40" s="78">
        <f t="shared" si="1"/>
        <v>0</v>
      </c>
      <c r="N40" s="100">
        <f>4+2+5+1+1+4+1</f>
        <v>18</v>
      </c>
      <c r="O40" s="81">
        <f>26828.22+3116.2+14162+4691+13237.22+22342.31</f>
        <v>84376.95</v>
      </c>
      <c r="P40" s="81">
        <f>26828.22+3116.2+14162+4691+13237.22+22342.31</f>
        <v>84376.95</v>
      </c>
      <c r="Q40" s="79">
        <f t="shared" si="2"/>
        <v>0</v>
      </c>
      <c r="R40" s="141"/>
    </row>
    <row r="41" spans="1:18" s="13" customFormat="1" x14ac:dyDescent="0.25">
      <c r="A41" s="229"/>
      <c r="B41" s="27" t="s">
        <v>38</v>
      </c>
      <c r="C41" s="181" t="s">
        <v>17</v>
      </c>
      <c r="D41" s="182"/>
      <c r="E41" s="183" t="s">
        <v>20</v>
      </c>
      <c r="F41" s="73" t="s">
        <v>338</v>
      </c>
      <c r="G41" s="74" t="s">
        <v>112</v>
      </c>
      <c r="H41" s="75">
        <v>38</v>
      </c>
      <c r="I41" s="76">
        <v>31</v>
      </c>
      <c r="J41" s="96">
        <f>5+9+3+4+4+2+3+3+11</f>
        <v>44</v>
      </c>
      <c r="K41" s="77">
        <f>4427.07+14262.52+23391.74+11108.38+9141.17+3923.07+23674.29</f>
        <v>89928.239999999991</v>
      </c>
      <c r="L41" s="77">
        <f>4427.07+14262.52+23391.74+11108.38+9141.17+3923.07+23674.29</f>
        <v>89928.239999999991</v>
      </c>
      <c r="M41" s="78">
        <f t="shared" si="1"/>
        <v>0</v>
      </c>
      <c r="N41" s="100">
        <f>1+14+2+2+2+3+1</f>
        <v>25</v>
      </c>
      <c r="O41" s="81">
        <f>34449.99+27363.78+23604.86+16739.26+15240.34+16003.48</f>
        <v>133401.71</v>
      </c>
      <c r="P41" s="81">
        <f>34449.99+27363.78+23604.86+16739.26+15240.34+16003.48</f>
        <v>133401.71</v>
      </c>
      <c r="Q41" s="79">
        <f t="shared" si="2"/>
        <v>0</v>
      </c>
      <c r="R41" s="141"/>
    </row>
    <row r="42" spans="1:18" s="13" customFormat="1" x14ac:dyDescent="0.25">
      <c r="A42" s="229"/>
      <c r="B42" s="27" t="s">
        <v>38</v>
      </c>
      <c r="C42" s="181" t="s">
        <v>17</v>
      </c>
      <c r="D42" s="182"/>
      <c r="E42" s="183" t="s">
        <v>20</v>
      </c>
      <c r="F42" s="73" t="s">
        <v>268</v>
      </c>
      <c r="G42" s="230" t="s">
        <v>114</v>
      </c>
      <c r="H42" s="181"/>
      <c r="I42" s="231"/>
      <c r="J42" s="190"/>
      <c r="K42" s="77"/>
      <c r="L42" s="77"/>
      <c r="M42" s="187">
        <f t="shared" si="1"/>
        <v>0</v>
      </c>
      <c r="N42" s="100"/>
      <c r="O42" s="224"/>
      <c r="P42" s="224"/>
      <c r="Q42" s="232">
        <f t="shared" si="2"/>
        <v>0</v>
      </c>
    </row>
    <row r="43" spans="1:18" s="13" customFormat="1" x14ac:dyDescent="0.25">
      <c r="A43" s="229"/>
      <c r="B43" s="27" t="s">
        <v>38</v>
      </c>
      <c r="C43" s="181" t="s">
        <v>17</v>
      </c>
      <c r="D43" s="182"/>
      <c r="E43" s="183" t="s">
        <v>18</v>
      </c>
      <c r="F43" s="73" t="s">
        <v>324</v>
      </c>
      <c r="G43" s="230" t="s">
        <v>116</v>
      </c>
      <c r="H43" s="181">
        <v>3</v>
      </c>
      <c r="I43" s="231"/>
      <c r="J43" s="190"/>
      <c r="K43" s="77"/>
      <c r="L43" s="77"/>
      <c r="M43" s="187">
        <f t="shared" si="1"/>
        <v>0</v>
      </c>
      <c r="N43" s="100"/>
      <c r="O43" s="224"/>
      <c r="P43" s="224"/>
      <c r="Q43" s="232">
        <f t="shared" si="2"/>
        <v>0</v>
      </c>
    </row>
    <row r="44" spans="1:18" s="13" customFormat="1" x14ac:dyDescent="0.25">
      <c r="A44" s="229"/>
      <c r="B44" s="62" t="s">
        <v>39</v>
      </c>
      <c r="C44" s="181" t="s">
        <v>17</v>
      </c>
      <c r="D44" s="182"/>
      <c r="E44" s="183" t="s">
        <v>20</v>
      </c>
      <c r="F44" s="73" t="s">
        <v>269</v>
      </c>
      <c r="G44" s="230" t="s">
        <v>114</v>
      </c>
      <c r="H44" s="181"/>
      <c r="I44" s="231"/>
      <c r="J44" s="190"/>
      <c r="K44" s="77"/>
      <c r="L44" s="77"/>
      <c r="M44" s="187">
        <f t="shared" si="1"/>
        <v>0</v>
      </c>
      <c r="N44" s="100"/>
      <c r="O44" s="224"/>
      <c r="P44" s="224"/>
      <c r="Q44" s="232">
        <f t="shared" si="2"/>
        <v>0</v>
      </c>
    </row>
    <row r="45" spans="1:18" s="13" customFormat="1" x14ac:dyDescent="0.25">
      <c r="A45" s="229"/>
      <c r="B45" s="27" t="s">
        <v>40</v>
      </c>
      <c r="C45" s="181" t="s">
        <v>17</v>
      </c>
      <c r="D45" s="182"/>
      <c r="E45" s="194" t="s">
        <v>41</v>
      </c>
      <c r="F45" s="73" t="s">
        <v>339</v>
      </c>
      <c r="G45" s="74" t="s">
        <v>112</v>
      </c>
      <c r="H45" s="75">
        <v>19</v>
      </c>
      <c r="I45" s="76">
        <v>16</v>
      </c>
      <c r="J45" s="96">
        <f>1+1+3+9+4+4+3+2+1+1</f>
        <v>29</v>
      </c>
      <c r="K45" s="77">
        <f>1045.98+3271.86+15658.52+8166.35+6035.99+8024.36+2759.63</f>
        <v>44962.689999999995</v>
      </c>
      <c r="L45" s="77">
        <f>1045.98+3271.86+15658.52+8166.35+6035.99+8024.36+2759.63</f>
        <v>44962.689999999995</v>
      </c>
      <c r="M45" s="78">
        <f>K45-L45</f>
        <v>0</v>
      </c>
      <c r="N45" s="100">
        <f>3+13+6+5+4+2+1+1</f>
        <v>35</v>
      </c>
      <c r="O45" s="81">
        <f>17269.31+39990.78+16582.12+23492.44+7068.31+4243.84</f>
        <v>108646.79999999999</v>
      </c>
      <c r="P45" s="81">
        <f>17269.31+39990.78+16582.12+23492.44+7068.31+4243.84</f>
        <v>108646.79999999999</v>
      </c>
      <c r="Q45" s="79">
        <f t="shared" si="2"/>
        <v>0</v>
      </c>
      <c r="R45" s="141"/>
    </row>
    <row r="46" spans="1:18" s="13" customFormat="1" x14ac:dyDescent="0.25">
      <c r="A46" s="229"/>
      <c r="B46" s="27" t="s">
        <v>40</v>
      </c>
      <c r="C46" s="181" t="s">
        <v>17</v>
      </c>
      <c r="D46" s="182"/>
      <c r="E46" s="194" t="s">
        <v>41</v>
      </c>
      <c r="F46" s="73" t="s">
        <v>482</v>
      </c>
      <c r="G46" s="230" t="s">
        <v>114</v>
      </c>
      <c r="H46" s="181"/>
      <c r="I46" s="231"/>
      <c r="J46" s="190"/>
      <c r="K46" s="77"/>
      <c r="L46" s="77"/>
      <c r="M46" s="187">
        <f t="shared" si="1"/>
        <v>0</v>
      </c>
      <c r="N46" s="100">
        <v>1</v>
      </c>
      <c r="O46" s="224">
        <v>3073.6</v>
      </c>
      <c r="P46" s="224">
        <f>3073.6</f>
        <v>3073.6</v>
      </c>
      <c r="Q46" s="232">
        <f t="shared" si="2"/>
        <v>0</v>
      </c>
    </row>
    <row r="47" spans="1:18" s="13" customFormat="1" x14ac:dyDescent="0.25">
      <c r="A47" s="229"/>
      <c r="B47" s="27" t="s">
        <v>148</v>
      </c>
      <c r="C47" s="181" t="s">
        <v>17</v>
      </c>
      <c r="D47" s="182"/>
      <c r="E47" s="183" t="s">
        <v>20</v>
      </c>
      <c r="F47" s="73" t="s">
        <v>340</v>
      </c>
      <c r="G47" s="74" t="s">
        <v>112</v>
      </c>
      <c r="H47" s="75">
        <v>16</v>
      </c>
      <c r="I47" s="82">
        <v>10</v>
      </c>
      <c r="J47" s="96">
        <f>1+2+1+4+4</f>
        <v>12</v>
      </c>
      <c r="K47" s="77">
        <f>537.88+2110.03+6723.98+8914.21</f>
        <v>18286.099999999999</v>
      </c>
      <c r="L47" s="77">
        <f>537.88+2110.03+6723.98+8914.21</f>
        <v>18286.099999999999</v>
      </c>
      <c r="M47" s="78">
        <f>K47-L47</f>
        <v>0</v>
      </c>
      <c r="N47" s="100">
        <f>6+5+3+1+1+1+1</f>
        <v>18</v>
      </c>
      <c r="O47" s="81">
        <f>9370.6+9456.38+8868.69+5367.27+11572.62</f>
        <v>44635.560000000005</v>
      </c>
      <c r="P47" s="81">
        <f>9370.6+9456.38+8868.69+5367.27+11572.62</f>
        <v>44635.560000000005</v>
      </c>
      <c r="Q47" s="79">
        <f t="shared" si="2"/>
        <v>0</v>
      </c>
      <c r="R47" s="141"/>
    </row>
    <row r="48" spans="1:18" s="13" customFormat="1" x14ac:dyDescent="0.25">
      <c r="A48" s="229"/>
      <c r="B48" s="27" t="s">
        <v>148</v>
      </c>
      <c r="C48" s="181" t="s">
        <v>17</v>
      </c>
      <c r="D48" s="182"/>
      <c r="E48" s="194" t="s">
        <v>32</v>
      </c>
      <c r="F48" s="73" t="s">
        <v>425</v>
      </c>
      <c r="G48" s="230" t="s">
        <v>117</v>
      </c>
      <c r="H48" s="181">
        <v>9</v>
      </c>
      <c r="I48" s="231">
        <v>1</v>
      </c>
      <c r="J48" s="96">
        <v>1</v>
      </c>
      <c r="K48" s="77">
        <v>1344.7</v>
      </c>
      <c r="L48" s="77">
        <v>1344.7</v>
      </c>
      <c r="M48" s="187">
        <f t="shared" si="1"/>
        <v>0</v>
      </c>
      <c r="N48" s="100">
        <v>4</v>
      </c>
      <c r="O48" s="224">
        <v>12851.49</v>
      </c>
      <c r="P48" s="224">
        <v>12851.49</v>
      </c>
      <c r="Q48" s="232">
        <f t="shared" si="2"/>
        <v>0</v>
      </c>
    </row>
    <row r="49" spans="1:18" s="13" customFormat="1" x14ac:dyDescent="0.25">
      <c r="A49" s="229"/>
      <c r="B49" s="30" t="s">
        <v>42</v>
      </c>
      <c r="C49" s="181" t="s">
        <v>17</v>
      </c>
      <c r="D49" s="182"/>
      <c r="E49" s="183" t="s">
        <v>23</v>
      </c>
      <c r="F49" s="73" t="s">
        <v>341</v>
      </c>
      <c r="G49" s="74" t="s">
        <v>112</v>
      </c>
      <c r="H49" s="75">
        <v>36</v>
      </c>
      <c r="I49" s="76">
        <v>30</v>
      </c>
      <c r="J49" s="96">
        <f>5+3+5+3+8+3+8+5</f>
        <v>40</v>
      </c>
      <c r="K49" s="77">
        <f>7156.22+3849.11+8154.25+4149.36+15912.38+18649.91</f>
        <v>57871.229999999996</v>
      </c>
      <c r="L49" s="77">
        <f>7156.22+3849.11+8154.25+4149.36+15912.38+18649.91</f>
        <v>57871.229999999996</v>
      </c>
      <c r="M49" s="78">
        <f>K49-L49</f>
        <v>0</v>
      </c>
      <c r="N49" s="100">
        <f>4+6+9+2+4+2+2+3+3+2</f>
        <v>37</v>
      </c>
      <c r="O49" s="81">
        <f>5364.2+26170.88+2849.25+18965.6+9565.56+9423.5+18214.56</f>
        <v>90553.549999999988</v>
      </c>
      <c r="P49" s="81">
        <f>5364.2+26170.88+2849.25+18965.6+9565.56+9423.5+18214.56</f>
        <v>90553.549999999988</v>
      </c>
      <c r="Q49" s="79">
        <f t="shared" si="2"/>
        <v>0</v>
      </c>
      <c r="R49" s="141"/>
    </row>
    <row r="50" spans="1:18" s="13" customFormat="1" x14ac:dyDescent="0.25">
      <c r="A50" s="229"/>
      <c r="B50" s="30" t="s">
        <v>42</v>
      </c>
      <c r="C50" s="181" t="s">
        <v>17</v>
      </c>
      <c r="D50" s="182"/>
      <c r="E50" s="183" t="s">
        <v>23</v>
      </c>
      <c r="F50" s="73" t="s">
        <v>437</v>
      </c>
      <c r="G50" s="230" t="s">
        <v>118</v>
      </c>
      <c r="H50" s="181">
        <v>2</v>
      </c>
      <c r="I50" s="231"/>
      <c r="J50" s="96"/>
      <c r="K50" s="77"/>
      <c r="L50" s="77"/>
      <c r="M50" s="187">
        <f t="shared" si="1"/>
        <v>0</v>
      </c>
      <c r="N50" s="100">
        <v>1</v>
      </c>
      <c r="O50" s="224">
        <v>7766.4</v>
      </c>
      <c r="P50" s="224">
        <v>7766.4</v>
      </c>
      <c r="Q50" s="232">
        <f t="shared" si="2"/>
        <v>0</v>
      </c>
    </row>
    <row r="51" spans="1:18" s="13" customFormat="1" x14ac:dyDescent="0.25">
      <c r="A51" s="229"/>
      <c r="B51" s="30" t="s">
        <v>173</v>
      </c>
      <c r="C51" s="181" t="s">
        <v>17</v>
      </c>
      <c r="D51" s="182"/>
      <c r="E51" s="230" t="s">
        <v>118</v>
      </c>
      <c r="F51" s="73" t="s">
        <v>342</v>
      </c>
      <c r="G51" s="74" t="s">
        <v>112</v>
      </c>
      <c r="H51" s="75">
        <v>4</v>
      </c>
      <c r="I51" s="76">
        <v>4</v>
      </c>
      <c r="J51" s="96">
        <f>1+2+1</f>
        <v>4</v>
      </c>
      <c r="K51" s="77">
        <f>6833.76+696.36</f>
        <v>7530.12</v>
      </c>
      <c r="L51" s="77">
        <f>6833.76+696.36</f>
        <v>7530.12</v>
      </c>
      <c r="M51" s="78">
        <f>K51-L51</f>
        <v>0</v>
      </c>
      <c r="N51" s="100">
        <f>4+2</f>
        <v>6</v>
      </c>
      <c r="O51" s="81">
        <f>5931.9+4183.92+3158.95</f>
        <v>13274.77</v>
      </c>
      <c r="P51" s="81">
        <f>5931.9+4183.92+3158.95</f>
        <v>13274.77</v>
      </c>
      <c r="Q51" s="79">
        <f t="shared" si="2"/>
        <v>0</v>
      </c>
      <c r="R51" s="141"/>
    </row>
    <row r="52" spans="1:18" s="13" customFormat="1" x14ac:dyDescent="0.25">
      <c r="A52" s="229"/>
      <c r="B52" s="62" t="s">
        <v>143</v>
      </c>
      <c r="C52" s="181" t="s">
        <v>64</v>
      </c>
      <c r="D52" s="182" t="s">
        <v>444</v>
      </c>
      <c r="E52" s="183" t="s">
        <v>20</v>
      </c>
      <c r="F52" s="73" t="s">
        <v>445</v>
      </c>
      <c r="G52" s="230" t="s">
        <v>114</v>
      </c>
      <c r="H52" s="181">
        <v>17</v>
      </c>
      <c r="I52" s="234">
        <v>7</v>
      </c>
      <c r="J52" s="190">
        <v>7</v>
      </c>
      <c r="K52" s="193">
        <v>10823.5</v>
      </c>
      <c r="L52" s="193">
        <v>4802.5</v>
      </c>
      <c r="M52" s="187">
        <f t="shared" si="1"/>
        <v>6021</v>
      </c>
      <c r="N52" s="114">
        <v>18</v>
      </c>
      <c r="O52" s="224">
        <v>27390.400000000001</v>
      </c>
      <c r="P52" s="224">
        <v>27390.400000000001</v>
      </c>
      <c r="Q52" s="232">
        <f t="shared" si="2"/>
        <v>0</v>
      </c>
    </row>
    <row r="53" spans="1:18" s="13" customFormat="1" x14ac:dyDescent="0.25">
      <c r="A53" s="229"/>
      <c r="B53" s="30" t="s">
        <v>158</v>
      </c>
      <c r="C53" s="181" t="s">
        <v>17</v>
      </c>
      <c r="D53" s="182"/>
      <c r="E53" s="194" t="s">
        <v>32</v>
      </c>
      <c r="F53" s="73" t="s">
        <v>426</v>
      </c>
      <c r="G53" s="230" t="s">
        <v>117</v>
      </c>
      <c r="H53" s="181">
        <v>7</v>
      </c>
      <c r="I53" s="234">
        <v>5</v>
      </c>
      <c r="J53" s="190">
        <v>6</v>
      </c>
      <c r="K53" s="193">
        <v>9666.64</v>
      </c>
      <c r="L53" s="193">
        <v>9666.64</v>
      </c>
      <c r="M53" s="187">
        <f t="shared" si="1"/>
        <v>0</v>
      </c>
      <c r="N53" s="114">
        <v>5</v>
      </c>
      <c r="O53" s="224">
        <v>9789.2000000000007</v>
      </c>
      <c r="P53" s="224">
        <v>9789.2000000000007</v>
      </c>
      <c r="Q53" s="232">
        <f t="shared" si="2"/>
        <v>0</v>
      </c>
    </row>
    <row r="54" spans="1:18" s="15" customFormat="1" x14ac:dyDescent="0.25">
      <c r="A54" s="229"/>
      <c r="B54" s="62" t="s">
        <v>43</v>
      </c>
      <c r="C54" s="181" t="s">
        <v>17</v>
      </c>
      <c r="D54" s="182"/>
      <c r="E54" s="183" t="s">
        <v>18</v>
      </c>
      <c r="F54" s="73" t="s">
        <v>344</v>
      </c>
      <c r="G54" s="74" t="s">
        <v>112</v>
      </c>
      <c r="H54" s="75">
        <v>22</v>
      </c>
      <c r="I54" s="76">
        <v>16</v>
      </c>
      <c r="J54" s="96">
        <f>1+2+2+5+2+3+2+3</f>
        <v>20</v>
      </c>
      <c r="K54" s="77">
        <f>1776.93+926.88+3328.29+3172.19</f>
        <v>9204.2900000000009</v>
      </c>
      <c r="L54" s="77">
        <f>1776.93+926.88+3328.29+3172.19</f>
        <v>9204.2900000000009</v>
      </c>
      <c r="M54" s="78">
        <f>K54-L54</f>
        <v>0</v>
      </c>
      <c r="N54" s="100">
        <f>1+5+4+1+1+1+1</f>
        <v>14</v>
      </c>
      <c r="O54" s="81">
        <f>1223.8+3810.29+4959.02+10043.87+2769.48+2146.91+11926.24-1465.64</f>
        <v>35413.97</v>
      </c>
      <c r="P54" s="81">
        <f>1223.8+3810.29+4959.02+10043.87+2769.48+2146.91+11926.24-1465.64</f>
        <v>35413.97</v>
      </c>
      <c r="Q54" s="79">
        <f t="shared" si="2"/>
        <v>0</v>
      </c>
      <c r="R54" s="141"/>
    </row>
    <row r="55" spans="1:18" s="15" customFormat="1" ht="30" x14ac:dyDescent="0.25">
      <c r="A55" s="229"/>
      <c r="B55" s="62" t="s">
        <v>43</v>
      </c>
      <c r="C55" s="181" t="s">
        <v>304</v>
      </c>
      <c r="D55" s="182" t="s">
        <v>473</v>
      </c>
      <c r="E55" s="183" t="s">
        <v>18</v>
      </c>
      <c r="F55" s="73" t="s">
        <v>323</v>
      </c>
      <c r="G55" s="230" t="s">
        <v>113</v>
      </c>
      <c r="H55" s="181">
        <v>21</v>
      </c>
      <c r="I55" s="234">
        <v>14</v>
      </c>
      <c r="J55" s="98">
        <v>14</v>
      </c>
      <c r="K55" s="77">
        <v>19054</v>
      </c>
      <c r="L55" s="77">
        <v>19054</v>
      </c>
      <c r="M55" s="187">
        <f t="shared" si="1"/>
        <v>0</v>
      </c>
      <c r="N55" s="114">
        <v>17</v>
      </c>
      <c r="O55" s="224">
        <v>58327</v>
      </c>
      <c r="P55" s="224">
        <v>58327</v>
      </c>
      <c r="Q55" s="232">
        <f t="shared" si="2"/>
        <v>0</v>
      </c>
    </row>
    <row r="56" spans="1:18" s="13" customFormat="1" x14ac:dyDescent="0.25">
      <c r="A56" s="229"/>
      <c r="B56" s="30" t="s">
        <v>44</v>
      </c>
      <c r="C56" s="181" t="s">
        <v>17</v>
      </c>
      <c r="D56" s="182"/>
      <c r="E56" s="183" t="s">
        <v>20</v>
      </c>
      <c r="F56" s="73" t="s">
        <v>345</v>
      </c>
      <c r="G56" s="74" t="s">
        <v>112</v>
      </c>
      <c r="H56" s="75">
        <v>11</v>
      </c>
      <c r="I56" s="76">
        <v>6</v>
      </c>
      <c r="J56" s="96">
        <f>1+1+1+4+2</f>
        <v>9</v>
      </c>
      <c r="K56" s="77">
        <f>2422.38+1267.86+15410.58</f>
        <v>19100.82</v>
      </c>
      <c r="L56" s="77">
        <f>2422.38+1267.86+15410.58</f>
        <v>19100.82</v>
      </c>
      <c r="M56" s="78">
        <f>K56-L56</f>
        <v>0</v>
      </c>
      <c r="N56" s="100">
        <f>1+11</f>
        <v>12</v>
      </c>
      <c r="O56" s="81">
        <f>421.62+4603.39+10559.77+72902.04</f>
        <v>88486.819999999992</v>
      </c>
      <c r="P56" s="81">
        <f>421.62+4603.39+10559.77+72902.04</f>
        <v>88486.819999999992</v>
      </c>
      <c r="Q56" s="79">
        <f t="shared" si="2"/>
        <v>0</v>
      </c>
      <c r="R56" s="141"/>
    </row>
    <row r="57" spans="1:18" s="13" customFormat="1" x14ac:dyDescent="0.25">
      <c r="A57" s="229"/>
      <c r="B57" s="30" t="s">
        <v>44</v>
      </c>
      <c r="C57" s="181" t="s">
        <v>17</v>
      </c>
      <c r="D57" s="182"/>
      <c r="E57" s="183" t="s">
        <v>20</v>
      </c>
      <c r="F57" s="73" t="s">
        <v>483</v>
      </c>
      <c r="G57" s="230" t="s">
        <v>114</v>
      </c>
      <c r="H57" s="181"/>
      <c r="I57" s="231"/>
      <c r="J57" s="190"/>
      <c r="K57" s="77"/>
      <c r="L57" s="77"/>
      <c r="M57" s="187">
        <f t="shared" si="1"/>
        <v>0</v>
      </c>
      <c r="N57" s="100">
        <v>2</v>
      </c>
      <c r="O57" s="224">
        <v>6723.5</v>
      </c>
      <c r="P57" s="224">
        <v>6723.5</v>
      </c>
      <c r="Q57" s="232">
        <f t="shared" si="2"/>
        <v>0</v>
      </c>
    </row>
    <row r="58" spans="1:18" s="13" customFormat="1" x14ac:dyDescent="0.25">
      <c r="A58" s="229"/>
      <c r="B58" s="30" t="s">
        <v>492</v>
      </c>
      <c r="C58" s="181" t="s">
        <v>17</v>
      </c>
      <c r="D58" s="182"/>
      <c r="E58" s="183" t="s">
        <v>20</v>
      </c>
      <c r="F58" s="73" t="s">
        <v>499</v>
      </c>
      <c r="G58" s="230" t="s">
        <v>112</v>
      </c>
      <c r="H58" s="181">
        <v>10</v>
      </c>
      <c r="I58" s="231">
        <v>1</v>
      </c>
      <c r="J58" s="190">
        <f>1</f>
        <v>1</v>
      </c>
      <c r="K58" s="77">
        <f>1044.98</f>
        <v>1044.98</v>
      </c>
      <c r="L58" s="77">
        <f>1044.98</f>
        <v>1044.98</v>
      </c>
      <c r="M58" s="78">
        <f t="shared" si="1"/>
        <v>0</v>
      </c>
      <c r="N58" s="100"/>
      <c r="O58" s="224"/>
      <c r="P58" s="224"/>
      <c r="Q58" s="79">
        <f t="shared" si="2"/>
        <v>0</v>
      </c>
    </row>
    <row r="59" spans="1:18" s="13" customFormat="1" x14ac:dyDescent="0.25">
      <c r="A59" s="229"/>
      <c r="B59" s="27" t="s">
        <v>45</v>
      </c>
      <c r="C59" s="181" t="s">
        <v>17</v>
      </c>
      <c r="D59" s="182"/>
      <c r="E59" s="183" t="s">
        <v>20</v>
      </c>
      <c r="F59" s="73" t="s">
        <v>346</v>
      </c>
      <c r="G59" s="74" t="s">
        <v>112</v>
      </c>
      <c r="H59" s="75"/>
      <c r="I59" s="76"/>
      <c r="J59" s="96"/>
      <c r="K59" s="77"/>
      <c r="L59" s="77"/>
      <c r="M59" s="78">
        <f t="shared" si="1"/>
        <v>0</v>
      </c>
      <c r="N59" s="100">
        <f>1</f>
        <v>1</v>
      </c>
      <c r="O59" s="81">
        <f>17995.91+2729.8</f>
        <v>20725.71</v>
      </c>
      <c r="P59" s="81">
        <f>17995.91+2729.8</f>
        <v>20725.71</v>
      </c>
      <c r="Q59" s="79">
        <f t="shared" si="2"/>
        <v>0</v>
      </c>
      <c r="R59" s="141"/>
    </row>
    <row r="60" spans="1:18" s="13" customFormat="1" x14ac:dyDescent="0.25">
      <c r="A60" s="229"/>
      <c r="B60" s="27" t="s">
        <v>45</v>
      </c>
      <c r="C60" s="181" t="s">
        <v>17</v>
      </c>
      <c r="D60" s="182"/>
      <c r="E60" s="183" t="s">
        <v>20</v>
      </c>
      <c r="F60" s="73" t="s">
        <v>484</v>
      </c>
      <c r="G60" s="230" t="s">
        <v>114</v>
      </c>
      <c r="H60" s="181"/>
      <c r="I60" s="231"/>
      <c r="J60" s="190"/>
      <c r="K60" s="77"/>
      <c r="L60" s="77"/>
      <c r="M60" s="187">
        <f t="shared" si="1"/>
        <v>0</v>
      </c>
      <c r="N60" s="100"/>
      <c r="O60" s="224"/>
      <c r="P60" s="224"/>
      <c r="Q60" s="232">
        <f t="shared" si="2"/>
        <v>0</v>
      </c>
    </row>
    <row r="61" spans="1:18" s="15" customFormat="1" x14ac:dyDescent="0.25">
      <c r="A61" s="229"/>
      <c r="B61" s="27" t="s">
        <v>46</v>
      </c>
      <c r="C61" s="181" t="s">
        <v>17</v>
      </c>
      <c r="D61" s="182"/>
      <c r="E61" s="183" t="s">
        <v>20</v>
      </c>
      <c r="F61" s="73" t="s">
        <v>347</v>
      </c>
      <c r="G61" s="74" t="s">
        <v>112</v>
      </c>
      <c r="H61" s="75">
        <v>15</v>
      </c>
      <c r="I61" s="76">
        <v>13</v>
      </c>
      <c r="J61" s="96">
        <f>1+2+3+2+4+1+4+2+1</f>
        <v>20</v>
      </c>
      <c r="K61" s="77">
        <f>1045.98+1068.08+8157.32+1778.85+9152.67+11156.63+11271.63+1490.2</f>
        <v>45121.359999999993</v>
      </c>
      <c r="L61" s="77">
        <f>1045.98+1068.08+8157.32+1778.85+9152.67+11156.63+11271.63+1490.2</f>
        <v>45121.359999999993</v>
      </c>
      <c r="M61" s="78">
        <f>K61-L61</f>
        <v>0</v>
      </c>
      <c r="N61" s="100">
        <f>4+4+1+1+1</f>
        <v>11</v>
      </c>
      <c r="O61" s="81">
        <f>10759.2+10685.34+7362.04</f>
        <v>28806.58</v>
      </c>
      <c r="P61" s="81">
        <f>10759.2+10685.34+7362.04</f>
        <v>28806.58</v>
      </c>
      <c r="Q61" s="79">
        <f t="shared" si="2"/>
        <v>0</v>
      </c>
      <c r="R61" s="141"/>
    </row>
    <row r="62" spans="1:18" s="15" customFormat="1" x14ac:dyDescent="0.25">
      <c r="A62" s="229"/>
      <c r="B62" s="27" t="s">
        <v>46</v>
      </c>
      <c r="C62" s="181" t="s">
        <v>17</v>
      </c>
      <c r="D62" s="182"/>
      <c r="E62" s="183" t="s">
        <v>20</v>
      </c>
      <c r="F62" s="73" t="s">
        <v>273</v>
      </c>
      <c r="G62" s="230" t="s">
        <v>114</v>
      </c>
      <c r="H62" s="181">
        <v>4</v>
      </c>
      <c r="I62" s="231">
        <v>1</v>
      </c>
      <c r="J62" s="190">
        <v>1</v>
      </c>
      <c r="K62" s="77">
        <v>576.29999999999995</v>
      </c>
      <c r="L62" s="77">
        <v>576.29999999999995</v>
      </c>
      <c r="M62" s="187">
        <f t="shared" si="1"/>
        <v>0</v>
      </c>
      <c r="N62" s="100">
        <v>3</v>
      </c>
      <c r="O62" s="224">
        <v>9356.9</v>
      </c>
      <c r="P62" s="224">
        <v>9356.9</v>
      </c>
      <c r="Q62" s="232">
        <f t="shared" si="2"/>
        <v>0</v>
      </c>
    </row>
    <row r="63" spans="1:18" s="13" customFormat="1" ht="45" x14ac:dyDescent="0.25">
      <c r="A63" s="229"/>
      <c r="B63" s="30" t="s">
        <v>47</v>
      </c>
      <c r="C63" s="181" t="s">
        <v>304</v>
      </c>
      <c r="D63" s="182" t="s">
        <v>474</v>
      </c>
      <c r="E63" s="183" t="s">
        <v>18</v>
      </c>
      <c r="F63" s="73" t="s">
        <v>348</v>
      </c>
      <c r="G63" s="74" t="s">
        <v>112</v>
      </c>
      <c r="H63" s="75">
        <v>44</v>
      </c>
      <c r="I63" s="76">
        <v>32</v>
      </c>
      <c r="J63" s="98">
        <f>1+1+3+21+7+2+5+2+7+15</f>
        <v>64</v>
      </c>
      <c r="K63" s="77">
        <f>30728.27+19236.99+22614.7</f>
        <v>72579.960000000006</v>
      </c>
      <c r="L63" s="77">
        <f>30728.27+19236.99+22614.7</f>
        <v>72579.960000000006</v>
      </c>
      <c r="M63" s="78">
        <f>K63-L63</f>
        <v>0</v>
      </c>
      <c r="N63" s="100">
        <f>7+3+4+10+6+1+2+1+3</f>
        <v>37</v>
      </c>
      <c r="O63" s="81">
        <f>8477.51+15159.83+14079.46+15414.2+17995.91+2065.56+1859.53+9543.86+1728.53+14526.84</f>
        <v>100851.23</v>
      </c>
      <c r="P63" s="81">
        <f>8477.51+15159.83+14079.46+15414.2+17995.91+2065.56+1859.53+9543.86+1728.53+14526.84</f>
        <v>100851.23</v>
      </c>
      <c r="Q63" s="79">
        <f t="shared" si="2"/>
        <v>0</v>
      </c>
      <c r="R63" s="141"/>
    </row>
    <row r="64" spans="1:18" s="13" customFormat="1" ht="45" x14ac:dyDescent="0.25">
      <c r="A64" s="229"/>
      <c r="B64" s="62" t="s">
        <v>120</v>
      </c>
      <c r="C64" s="181" t="s">
        <v>304</v>
      </c>
      <c r="D64" s="182" t="s">
        <v>474</v>
      </c>
      <c r="E64" s="183" t="s">
        <v>18</v>
      </c>
      <c r="F64" s="73" t="s">
        <v>334</v>
      </c>
      <c r="G64" s="230" t="s">
        <v>116</v>
      </c>
      <c r="H64" s="181">
        <v>26</v>
      </c>
      <c r="I64" s="234">
        <v>16</v>
      </c>
      <c r="J64" s="98">
        <v>17</v>
      </c>
      <c r="K64" s="77">
        <v>23264</v>
      </c>
      <c r="L64" s="77">
        <v>23264</v>
      </c>
      <c r="M64" s="78">
        <f t="shared" si="1"/>
        <v>0</v>
      </c>
      <c r="N64" s="100">
        <v>13</v>
      </c>
      <c r="O64" s="224">
        <v>48545</v>
      </c>
      <c r="P64" s="224">
        <v>48545</v>
      </c>
      <c r="Q64" s="232">
        <f t="shared" si="2"/>
        <v>0</v>
      </c>
    </row>
    <row r="65" spans="1:18" s="13" customFormat="1" x14ac:dyDescent="0.25">
      <c r="A65" s="229"/>
      <c r="B65" s="30" t="s">
        <v>134</v>
      </c>
      <c r="C65" s="181" t="s">
        <v>17</v>
      </c>
      <c r="D65" s="182"/>
      <c r="E65" s="183" t="s">
        <v>20</v>
      </c>
      <c r="F65" s="73" t="s">
        <v>349</v>
      </c>
      <c r="G65" s="74" t="s">
        <v>112</v>
      </c>
      <c r="H65" s="75">
        <v>12</v>
      </c>
      <c r="I65" s="76">
        <v>12</v>
      </c>
      <c r="J65" s="96">
        <f>1+4+1+1+2+1+1</f>
        <v>11</v>
      </c>
      <c r="K65" s="77">
        <f>7301.48+1473.89+1911.09+1690.48+845.24+6268.51+441.51</f>
        <v>19932.199999999997</v>
      </c>
      <c r="L65" s="77">
        <f>7301.48+1473.89+1911.09+1690.48+845.24+6268.51+441.51</f>
        <v>19932.199999999997</v>
      </c>
      <c r="M65" s="78">
        <f>K65-L65</f>
        <v>0</v>
      </c>
      <c r="N65" s="100">
        <f>4+1+1+1+1</f>
        <v>8</v>
      </c>
      <c r="O65" s="81">
        <f>5020.05+3215.31+12312.39+4648.82+32425.98+7889.42</f>
        <v>65511.97</v>
      </c>
      <c r="P65" s="81">
        <f>5020.05+3215.31+12312.39+4648.82+32425.98+7889.42</f>
        <v>65511.97</v>
      </c>
      <c r="Q65" s="79">
        <f t="shared" si="2"/>
        <v>0</v>
      </c>
      <c r="R65" s="141"/>
    </row>
    <row r="66" spans="1:18" s="13" customFormat="1" x14ac:dyDescent="0.25">
      <c r="A66" s="229"/>
      <c r="B66" s="30" t="s">
        <v>134</v>
      </c>
      <c r="C66" s="181" t="s">
        <v>17</v>
      </c>
      <c r="D66" s="182"/>
      <c r="E66" s="183" t="s">
        <v>20</v>
      </c>
      <c r="F66" s="73" t="s">
        <v>456</v>
      </c>
      <c r="G66" s="230" t="s">
        <v>114</v>
      </c>
      <c r="H66" s="181">
        <v>19</v>
      </c>
      <c r="I66" s="231">
        <v>5</v>
      </c>
      <c r="J66" s="190">
        <v>5</v>
      </c>
      <c r="K66" s="77">
        <v>10236.9</v>
      </c>
      <c r="L66" s="77">
        <v>10236.9</v>
      </c>
      <c r="M66" s="187">
        <f t="shared" si="1"/>
        <v>0</v>
      </c>
      <c r="N66" s="100">
        <v>27</v>
      </c>
      <c r="O66" s="224">
        <v>61494.8</v>
      </c>
      <c r="P66" s="224">
        <v>61494.8</v>
      </c>
      <c r="Q66" s="232">
        <f t="shared" si="2"/>
        <v>0</v>
      </c>
    </row>
    <row r="67" spans="1:18" s="13" customFormat="1" x14ac:dyDescent="0.25">
      <c r="A67" s="229"/>
      <c r="B67" s="62" t="s">
        <v>48</v>
      </c>
      <c r="C67" s="181" t="s">
        <v>17</v>
      </c>
      <c r="D67" s="182"/>
      <c r="E67" s="183" t="s">
        <v>20</v>
      </c>
      <c r="F67" s="73" t="s">
        <v>350</v>
      </c>
      <c r="G67" s="74" t="s">
        <v>112</v>
      </c>
      <c r="H67" s="75">
        <v>15</v>
      </c>
      <c r="I67" s="76">
        <v>9</v>
      </c>
      <c r="J67" s="96">
        <f>1+1+2+1+3</f>
        <v>8</v>
      </c>
      <c r="K67" s="77">
        <f>4805.96+2585.78+3065.92+2588.55+14407.5+9289.05</f>
        <v>36742.759999999995</v>
      </c>
      <c r="L67" s="77">
        <f>4805.96+2585.78+3065.92+2588.55+14407.5+9289.05</f>
        <v>36742.759999999995</v>
      </c>
      <c r="M67" s="78">
        <f t="shared" si="1"/>
        <v>0</v>
      </c>
      <c r="N67" s="100">
        <f>2+1+2+1</f>
        <v>6</v>
      </c>
      <c r="O67" s="81">
        <f>23174.33+2535.72+11633.02+6993.42+20756.4</f>
        <v>65092.890000000007</v>
      </c>
      <c r="P67" s="81">
        <f>23174.33+2535.72+11633.02+6993.42+20756.4</f>
        <v>65092.890000000007</v>
      </c>
      <c r="Q67" s="79">
        <f t="shared" si="2"/>
        <v>0</v>
      </c>
      <c r="R67" s="141"/>
    </row>
    <row r="68" spans="1:18" s="13" customFormat="1" x14ac:dyDescent="0.25">
      <c r="A68" s="229"/>
      <c r="B68" s="62" t="s">
        <v>49</v>
      </c>
      <c r="C68" s="181" t="s">
        <v>17</v>
      </c>
      <c r="D68" s="182"/>
      <c r="E68" s="183" t="s">
        <v>50</v>
      </c>
      <c r="F68" s="73" t="s">
        <v>351</v>
      </c>
      <c r="G68" s="74" t="s">
        <v>112</v>
      </c>
      <c r="H68" s="75">
        <v>26</v>
      </c>
      <c r="I68" s="76">
        <v>15</v>
      </c>
      <c r="J68" s="96">
        <f>1+4+8+6</f>
        <v>19</v>
      </c>
      <c r="K68" s="77">
        <f>525.65+1267.86+6544.72+13939.57+1896.54+9712.48</f>
        <v>33886.82</v>
      </c>
      <c r="L68" s="77">
        <f>525.65+1267.86+6544.72+13939.57+1896.54+9712.48</f>
        <v>33886.82</v>
      </c>
      <c r="M68" s="78">
        <f t="shared" si="1"/>
        <v>0</v>
      </c>
      <c r="N68" s="100">
        <f>5+1+3+1</f>
        <v>10</v>
      </c>
      <c r="O68" s="81">
        <f>7374+1806.93+7275.53+4666.9+2684.03+6682.03</f>
        <v>30489.42</v>
      </c>
      <c r="P68" s="81">
        <f>7374+1806.93+7275.53+4666.9+2684.03+6682.03</f>
        <v>30489.42</v>
      </c>
      <c r="Q68" s="232">
        <f t="shared" si="2"/>
        <v>0</v>
      </c>
      <c r="R68" s="141"/>
    </row>
    <row r="69" spans="1:18" s="13" customFormat="1" x14ac:dyDescent="0.25">
      <c r="A69" s="229"/>
      <c r="B69" s="62" t="s">
        <v>49</v>
      </c>
      <c r="C69" s="181" t="s">
        <v>17</v>
      </c>
      <c r="D69" s="182"/>
      <c r="E69" s="183" t="s">
        <v>50</v>
      </c>
      <c r="F69" s="73" t="s">
        <v>427</v>
      </c>
      <c r="G69" s="230" t="s">
        <v>115</v>
      </c>
      <c r="H69" s="181">
        <v>12</v>
      </c>
      <c r="I69" s="231">
        <v>4</v>
      </c>
      <c r="J69" s="96">
        <v>4</v>
      </c>
      <c r="K69" s="77">
        <v>7514.63</v>
      </c>
      <c r="L69" s="77">
        <v>7514.63</v>
      </c>
      <c r="M69" s="187">
        <f t="shared" si="1"/>
        <v>0</v>
      </c>
      <c r="N69" s="100">
        <v>8</v>
      </c>
      <c r="O69" s="224">
        <v>11237.9</v>
      </c>
      <c r="P69" s="224">
        <v>11237.9</v>
      </c>
      <c r="Q69" s="79">
        <f t="shared" si="2"/>
        <v>0</v>
      </c>
    </row>
    <row r="70" spans="1:18" s="13" customFormat="1" x14ac:dyDescent="0.25">
      <c r="A70" s="229"/>
      <c r="B70" s="27" t="s">
        <v>51</v>
      </c>
      <c r="C70" s="181" t="s">
        <v>17</v>
      </c>
      <c r="D70" s="182"/>
      <c r="E70" s="183" t="s">
        <v>20</v>
      </c>
      <c r="F70" s="73" t="s">
        <v>186</v>
      </c>
      <c r="G70" s="74" t="s">
        <v>112</v>
      </c>
      <c r="H70" s="75"/>
      <c r="I70" s="76"/>
      <c r="J70" s="96"/>
      <c r="K70" s="77"/>
      <c r="L70" s="77"/>
      <c r="M70" s="78">
        <f>K70-L70</f>
        <v>0</v>
      </c>
      <c r="N70" s="100">
        <f>1</f>
        <v>1</v>
      </c>
      <c r="O70" s="81">
        <v>2451.87</v>
      </c>
      <c r="P70" s="81">
        <v>2451.87</v>
      </c>
      <c r="Q70" s="232">
        <f t="shared" si="2"/>
        <v>0</v>
      </c>
      <c r="R70" s="141"/>
    </row>
    <row r="71" spans="1:18" s="13" customFormat="1" x14ac:dyDescent="0.25">
      <c r="A71" s="229"/>
      <c r="B71" s="27" t="s">
        <v>51</v>
      </c>
      <c r="C71" s="181" t="s">
        <v>17</v>
      </c>
      <c r="D71" s="182"/>
      <c r="E71" s="183" t="s">
        <v>20</v>
      </c>
      <c r="F71" s="73" t="s">
        <v>276</v>
      </c>
      <c r="G71" s="230" t="s">
        <v>114</v>
      </c>
      <c r="H71" s="181"/>
      <c r="I71" s="231"/>
      <c r="J71" s="190"/>
      <c r="K71" s="77"/>
      <c r="L71" s="77"/>
      <c r="M71" s="187">
        <f t="shared" si="1"/>
        <v>0</v>
      </c>
      <c r="N71" s="100">
        <v>3</v>
      </c>
      <c r="O71" s="224">
        <v>6763.6</v>
      </c>
      <c r="P71" s="224">
        <v>6763.6</v>
      </c>
      <c r="Q71" s="232">
        <f t="shared" si="2"/>
        <v>0</v>
      </c>
    </row>
    <row r="72" spans="1:18" s="13" customFormat="1" x14ac:dyDescent="0.25">
      <c r="A72" s="229"/>
      <c r="B72" s="62" t="s">
        <v>52</v>
      </c>
      <c r="C72" s="181" t="s">
        <v>17</v>
      </c>
      <c r="D72" s="182"/>
      <c r="E72" s="183" t="s">
        <v>20</v>
      </c>
      <c r="F72" s="73" t="s">
        <v>352</v>
      </c>
      <c r="G72" s="74" t="s">
        <v>112</v>
      </c>
      <c r="H72" s="75">
        <v>13</v>
      </c>
      <c r="I72" s="76">
        <v>7</v>
      </c>
      <c r="J72" s="96">
        <f>1+1+1+1+2+3+1+1</f>
        <v>11</v>
      </c>
      <c r="K72" s="77">
        <f>10714.2+2747.14+2138.07+6709.4+7033.21</f>
        <v>29342.019999999997</v>
      </c>
      <c r="L72" s="77">
        <f>10714.2+2747.14+2138.07+6709.4+7033.21</f>
        <v>29342.019999999997</v>
      </c>
      <c r="M72" s="78">
        <f>K72-L72</f>
        <v>0</v>
      </c>
      <c r="N72" s="100">
        <f>4+3+1+1+2+3+1+1</f>
        <v>16</v>
      </c>
      <c r="O72" s="81">
        <f>5977.15+48296.91+7596.86+1061.83+8902.9+6856.31+2935.36</f>
        <v>81627.320000000007</v>
      </c>
      <c r="P72" s="81">
        <f>5977.15+48296.91+7596.86+1061.83+8902.9+6856.31+2935.36</f>
        <v>81627.320000000007</v>
      </c>
      <c r="Q72" s="232">
        <f t="shared" si="2"/>
        <v>0</v>
      </c>
      <c r="R72" s="141"/>
    </row>
    <row r="73" spans="1:18" s="13" customFormat="1" x14ac:dyDescent="0.25">
      <c r="A73" s="229"/>
      <c r="B73" s="62" t="s">
        <v>52</v>
      </c>
      <c r="C73" s="181" t="s">
        <v>17</v>
      </c>
      <c r="D73" s="182"/>
      <c r="E73" s="183" t="s">
        <v>20</v>
      </c>
      <c r="F73" s="73" t="s">
        <v>457</v>
      </c>
      <c r="G73" s="230" t="s">
        <v>114</v>
      </c>
      <c r="H73" s="181">
        <v>11</v>
      </c>
      <c r="I73" s="231">
        <v>4</v>
      </c>
      <c r="J73" s="190">
        <v>4</v>
      </c>
      <c r="K73" s="77">
        <v>11041.4</v>
      </c>
      <c r="L73" s="77">
        <v>11041.4</v>
      </c>
      <c r="M73" s="187">
        <f t="shared" si="1"/>
        <v>0</v>
      </c>
      <c r="N73" s="100">
        <v>20</v>
      </c>
      <c r="O73" s="224">
        <v>52565.919999999998</v>
      </c>
      <c r="P73" s="224">
        <v>52565.919999999998</v>
      </c>
      <c r="Q73" s="232">
        <f t="shared" si="2"/>
        <v>0</v>
      </c>
    </row>
    <row r="74" spans="1:18" s="13" customFormat="1" x14ac:dyDescent="0.25">
      <c r="A74" s="229"/>
      <c r="B74" s="27" t="s">
        <v>53</v>
      </c>
      <c r="C74" s="181" t="s">
        <v>17</v>
      </c>
      <c r="D74" s="182"/>
      <c r="E74" s="183" t="s">
        <v>20</v>
      </c>
      <c r="F74" s="73" t="s">
        <v>353</v>
      </c>
      <c r="G74" s="74" t="s">
        <v>112</v>
      </c>
      <c r="H74" s="75">
        <v>10</v>
      </c>
      <c r="I74" s="76">
        <v>6</v>
      </c>
      <c r="J74" s="96">
        <f>2+2+2+1</f>
        <v>7</v>
      </c>
      <c r="K74" s="77">
        <f>3655.66+6862.24+2535.72</f>
        <v>13053.619999999999</v>
      </c>
      <c r="L74" s="77">
        <f>3655.66+6862.24+2535.72</f>
        <v>13053.619999999999</v>
      </c>
      <c r="M74" s="78">
        <f t="shared" si="1"/>
        <v>0</v>
      </c>
      <c r="N74" s="100">
        <f>1+2+2+1+1+1</f>
        <v>8</v>
      </c>
      <c r="O74" s="81">
        <f>1743.3+3921.71+422.62+5626.45</f>
        <v>11714.08</v>
      </c>
      <c r="P74" s="81">
        <f>1743.3+3921.71+422.62+5626.45</f>
        <v>11714.08</v>
      </c>
      <c r="Q74" s="232">
        <f t="shared" si="2"/>
        <v>0</v>
      </c>
      <c r="R74" s="141"/>
    </row>
    <row r="75" spans="1:18" s="13" customFormat="1" x14ac:dyDescent="0.25">
      <c r="A75" s="229"/>
      <c r="B75" s="27" t="s">
        <v>149</v>
      </c>
      <c r="C75" s="181" t="s">
        <v>17</v>
      </c>
      <c r="D75" s="182"/>
      <c r="E75" s="183" t="s">
        <v>383</v>
      </c>
      <c r="F75" s="73" t="s">
        <v>354</v>
      </c>
      <c r="G75" s="74" t="s">
        <v>112</v>
      </c>
      <c r="H75" s="75">
        <v>35</v>
      </c>
      <c r="I75" s="76">
        <v>6</v>
      </c>
      <c r="J75" s="96">
        <f>7+3</f>
        <v>10</v>
      </c>
      <c r="K75" s="77">
        <f>7743.07</f>
        <v>7743.07</v>
      </c>
      <c r="L75" s="77">
        <f>7743.07</f>
        <v>7743.07</v>
      </c>
      <c r="M75" s="78">
        <f t="shared" si="1"/>
        <v>0</v>
      </c>
      <c r="N75" s="100">
        <f>2+2+2</f>
        <v>6</v>
      </c>
      <c r="O75" s="81">
        <f>3676.8+3431.65+6320.35</f>
        <v>13428.800000000001</v>
      </c>
      <c r="P75" s="81">
        <f>3676.8+3431.65+6320.35</f>
        <v>13428.800000000001</v>
      </c>
      <c r="Q75" s="79">
        <f t="shared" si="2"/>
        <v>0</v>
      </c>
      <c r="R75" s="141"/>
    </row>
    <row r="76" spans="1:18" s="13" customFormat="1" x14ac:dyDescent="0.25">
      <c r="A76" s="229"/>
      <c r="B76" s="27" t="s">
        <v>149</v>
      </c>
      <c r="C76" s="181" t="s">
        <v>17</v>
      </c>
      <c r="D76" s="182"/>
      <c r="E76" s="183" t="s">
        <v>383</v>
      </c>
      <c r="F76" s="73" t="s">
        <v>438</v>
      </c>
      <c r="G76" s="230" t="s">
        <v>118</v>
      </c>
      <c r="H76" s="181">
        <v>10</v>
      </c>
      <c r="I76" s="234">
        <v>1</v>
      </c>
      <c r="J76" s="190">
        <v>1</v>
      </c>
      <c r="K76" s="193">
        <v>576.29999999999995</v>
      </c>
      <c r="L76" s="193">
        <v>576.29999999999995</v>
      </c>
      <c r="M76" s="78">
        <f t="shared" si="1"/>
        <v>0</v>
      </c>
      <c r="N76" s="114">
        <v>7</v>
      </c>
      <c r="O76" s="224">
        <v>9835.52</v>
      </c>
      <c r="P76" s="224">
        <v>9835.52</v>
      </c>
      <c r="Q76" s="232">
        <f t="shared" si="2"/>
        <v>0</v>
      </c>
    </row>
    <row r="77" spans="1:18" s="13" customFormat="1" x14ac:dyDescent="0.25">
      <c r="A77" s="229"/>
      <c r="B77" s="62" t="s">
        <v>107</v>
      </c>
      <c r="C77" s="181" t="s">
        <v>17</v>
      </c>
      <c r="D77" s="182"/>
      <c r="E77" s="194" t="s">
        <v>20</v>
      </c>
      <c r="F77" s="73" t="s">
        <v>355</v>
      </c>
      <c r="G77" s="74" t="s">
        <v>112</v>
      </c>
      <c r="H77" s="75">
        <v>11</v>
      </c>
      <c r="I77" s="76">
        <v>7</v>
      </c>
      <c r="J77" s="96">
        <f>1+3+3+2+1</f>
        <v>10</v>
      </c>
      <c r="K77" s="77">
        <f>666.63+7071.2+5333.38+13316.37+23091.24+4686.95</f>
        <v>54165.770000000004</v>
      </c>
      <c r="L77" s="77">
        <f>666.63+7071.2+5333.38+13316.37+23091.24+4686.95</f>
        <v>54165.770000000004</v>
      </c>
      <c r="M77" s="78">
        <f t="shared" si="1"/>
        <v>0</v>
      </c>
      <c r="N77" s="100">
        <f>2+6+1+1+2</f>
        <v>12</v>
      </c>
      <c r="O77" s="81">
        <f>7612.92+18804.48+9163.33+3260.98+6297.63</f>
        <v>45139.340000000004</v>
      </c>
      <c r="P77" s="81">
        <f>7612.92+18804.48+9163.33+3260.98+6297.63</f>
        <v>45139.340000000004</v>
      </c>
      <c r="Q77" s="79">
        <f t="shared" si="2"/>
        <v>0</v>
      </c>
      <c r="R77" s="141"/>
    </row>
    <row r="78" spans="1:18" s="13" customFormat="1" x14ac:dyDescent="0.25">
      <c r="A78" s="229"/>
      <c r="B78" s="30" t="s">
        <v>54</v>
      </c>
      <c r="C78" s="181" t="s">
        <v>17</v>
      </c>
      <c r="D78" s="182"/>
      <c r="E78" s="194" t="s">
        <v>20</v>
      </c>
      <c r="F78" s="73" t="s">
        <v>356</v>
      </c>
      <c r="G78" s="74" t="s">
        <v>112</v>
      </c>
      <c r="H78" s="75"/>
      <c r="I78" s="76"/>
      <c r="J78" s="96"/>
      <c r="K78" s="77">
        <f>9075.37</f>
        <v>9075.3700000000008</v>
      </c>
      <c r="L78" s="77">
        <f>9075.37</f>
        <v>9075.3700000000008</v>
      </c>
      <c r="M78" s="78">
        <f t="shared" si="1"/>
        <v>0</v>
      </c>
      <c r="N78" s="100">
        <f>4+1+1+2+1</f>
        <v>9</v>
      </c>
      <c r="O78" s="81">
        <f>17895.28+17443.73+5473.41</f>
        <v>40812.42</v>
      </c>
      <c r="P78" s="81">
        <f>17895.28+17443.73+5473.41</f>
        <v>40812.42</v>
      </c>
      <c r="Q78" s="79">
        <f t="shared" si="2"/>
        <v>0</v>
      </c>
      <c r="R78" s="141"/>
    </row>
    <row r="79" spans="1:18" s="13" customFormat="1" ht="30" x14ac:dyDescent="0.25">
      <c r="A79" s="229"/>
      <c r="B79" s="27" t="s">
        <v>55</v>
      </c>
      <c r="C79" s="181" t="s">
        <v>304</v>
      </c>
      <c r="D79" s="182" t="s">
        <v>387</v>
      </c>
      <c r="E79" s="183" t="s">
        <v>20</v>
      </c>
      <c r="F79" s="73" t="s">
        <v>357</v>
      </c>
      <c r="G79" s="74" t="s">
        <v>112</v>
      </c>
      <c r="H79" s="75">
        <v>17</v>
      </c>
      <c r="I79" s="76">
        <v>12</v>
      </c>
      <c r="J79" s="96">
        <f>3+1+1+2+1+1+1</f>
        <v>10</v>
      </c>
      <c r="K79" s="77">
        <f>1267.86+6667.8+5756.15+1180.38+4780.37+4352.43+2850.42</f>
        <v>26855.409999999996</v>
      </c>
      <c r="L79" s="77">
        <f>1267.86+6667.8+5756.15+1180.38+4780.37+4352.43+2850.42</f>
        <v>26855.409999999996</v>
      </c>
      <c r="M79" s="78">
        <f t="shared" si="1"/>
        <v>0</v>
      </c>
      <c r="N79" s="100">
        <f>2+1+2+2+2+1+2+1</f>
        <v>13</v>
      </c>
      <c r="O79" s="81">
        <f>34854.19+2113.1+6430.67+5463.42+39145.22+2535.72+5132.44+12985.86</f>
        <v>108660.62000000001</v>
      </c>
      <c r="P79" s="81">
        <f>34854.19+2113.1+6430.67+5463.42+39145.22+2535.72+5132.44+12985.86</f>
        <v>108660.62000000001</v>
      </c>
      <c r="Q79" s="232">
        <f t="shared" si="2"/>
        <v>0</v>
      </c>
      <c r="R79" s="141"/>
    </row>
    <row r="80" spans="1:18" s="13" customFormat="1" ht="30" x14ac:dyDescent="0.25">
      <c r="A80" s="229"/>
      <c r="B80" s="62" t="s">
        <v>56</v>
      </c>
      <c r="C80" s="181" t="s">
        <v>17</v>
      </c>
      <c r="D80" s="182" t="s">
        <v>386</v>
      </c>
      <c r="E80" s="183" t="s">
        <v>18</v>
      </c>
      <c r="F80" s="73" t="s">
        <v>358</v>
      </c>
      <c r="G80" s="74" t="s">
        <v>112</v>
      </c>
      <c r="H80" s="75">
        <v>9</v>
      </c>
      <c r="I80" s="76">
        <v>4</v>
      </c>
      <c r="J80" s="96">
        <f>1+1+2</f>
        <v>4</v>
      </c>
      <c r="K80" s="77">
        <f>678.11+678.11+4865.7</f>
        <v>6221.92</v>
      </c>
      <c r="L80" s="77">
        <f>678.11+678.11+4865.7</f>
        <v>6221.92</v>
      </c>
      <c r="M80" s="78">
        <f t="shared" si="1"/>
        <v>0</v>
      </c>
      <c r="N80" s="100">
        <f>1</f>
        <v>1</v>
      </c>
      <c r="O80" s="81">
        <f>4395.5</f>
        <v>4395.5</v>
      </c>
      <c r="P80" s="81">
        <f>4395.5</f>
        <v>4395.5</v>
      </c>
      <c r="Q80" s="79">
        <f t="shared" si="2"/>
        <v>0</v>
      </c>
      <c r="R80" s="141"/>
    </row>
    <row r="81" spans="1:18" s="13" customFormat="1" ht="30" x14ac:dyDescent="0.25">
      <c r="A81" s="229"/>
      <c r="B81" s="62" t="s">
        <v>56</v>
      </c>
      <c r="C81" s="181" t="s">
        <v>304</v>
      </c>
      <c r="D81" s="182" t="s">
        <v>386</v>
      </c>
      <c r="E81" s="183" t="s">
        <v>18</v>
      </c>
      <c r="F81" s="73" t="s">
        <v>476</v>
      </c>
      <c r="G81" s="230" t="s">
        <v>113</v>
      </c>
      <c r="H81" s="181">
        <v>8</v>
      </c>
      <c r="I81" s="231">
        <v>6</v>
      </c>
      <c r="J81" s="96">
        <v>6</v>
      </c>
      <c r="K81" s="77">
        <v>11288</v>
      </c>
      <c r="L81" s="77">
        <v>11288</v>
      </c>
      <c r="M81" s="78">
        <f t="shared" si="1"/>
        <v>0</v>
      </c>
      <c r="N81" s="100"/>
      <c r="O81" s="224">
        <v>7612</v>
      </c>
      <c r="P81" s="224">
        <v>7612</v>
      </c>
      <c r="Q81" s="232">
        <f t="shared" ref="Q81:Q145" si="3">O81-P81</f>
        <v>0</v>
      </c>
    </row>
    <row r="82" spans="1:18" s="13" customFormat="1" x14ac:dyDescent="0.25">
      <c r="A82" s="229"/>
      <c r="B82" s="62" t="s">
        <v>156</v>
      </c>
      <c r="C82" s="181" t="s">
        <v>304</v>
      </c>
      <c r="D82" s="182"/>
      <c r="E82" s="183" t="s">
        <v>20</v>
      </c>
      <c r="F82" s="73" t="s">
        <v>359</v>
      </c>
      <c r="G82" s="74" t="s">
        <v>112</v>
      </c>
      <c r="H82" s="75">
        <v>4</v>
      </c>
      <c r="I82" s="76">
        <v>2</v>
      </c>
      <c r="J82" s="96">
        <f>2</f>
        <v>2</v>
      </c>
      <c r="K82" s="77">
        <f>1690.48+993.47</f>
        <v>2683.95</v>
      </c>
      <c r="L82" s="77">
        <f>1690.48+993.47</f>
        <v>2683.95</v>
      </c>
      <c r="M82" s="78">
        <f t="shared" si="1"/>
        <v>0</v>
      </c>
      <c r="N82" s="100">
        <f>3+1+1</f>
        <v>5</v>
      </c>
      <c r="O82" s="81">
        <f>5488.54+2398.37+422.62+1605.6</f>
        <v>9915.130000000001</v>
      </c>
      <c r="P82" s="81">
        <f>5488.54+2398.37+422.62+1605.6</f>
        <v>9915.130000000001</v>
      </c>
      <c r="Q82" s="79">
        <f t="shared" si="3"/>
        <v>0</v>
      </c>
      <c r="R82" s="141"/>
    </row>
    <row r="83" spans="1:18" s="15" customFormat="1" x14ac:dyDescent="0.25">
      <c r="A83" s="229"/>
      <c r="B83" s="62" t="s">
        <v>57</v>
      </c>
      <c r="C83" s="181" t="s">
        <v>17</v>
      </c>
      <c r="D83" s="182"/>
      <c r="E83" s="183" t="s">
        <v>20</v>
      </c>
      <c r="F83" s="73" t="s">
        <v>360</v>
      </c>
      <c r="G83" s="74" t="s">
        <v>112</v>
      </c>
      <c r="H83" s="75">
        <v>7</v>
      </c>
      <c r="I83" s="76">
        <v>6</v>
      </c>
      <c r="J83" s="96">
        <f>2+1+1+2</f>
        <v>6</v>
      </c>
      <c r="K83" s="77">
        <f>806.82+1728.9+422.62+2958.34</f>
        <v>5916.68</v>
      </c>
      <c r="L83" s="77">
        <f>806.82+1728.9+422.62+2958.34</f>
        <v>5916.68</v>
      </c>
      <c r="M83" s="78">
        <f t="shared" si="1"/>
        <v>0</v>
      </c>
      <c r="N83" s="100">
        <f>2+1</f>
        <v>3</v>
      </c>
      <c r="O83" s="81">
        <f>2745.3</f>
        <v>2745.3</v>
      </c>
      <c r="P83" s="81">
        <f>2745.3</f>
        <v>2745.3</v>
      </c>
      <c r="Q83" s="232">
        <f t="shared" si="3"/>
        <v>0</v>
      </c>
      <c r="R83" s="141"/>
    </row>
    <row r="84" spans="1:18" s="15" customFormat="1" x14ac:dyDescent="0.25">
      <c r="A84" s="229"/>
      <c r="B84" s="62" t="s">
        <v>57</v>
      </c>
      <c r="C84" s="181" t="s">
        <v>17</v>
      </c>
      <c r="D84" s="182"/>
      <c r="E84" s="183" t="s">
        <v>20</v>
      </c>
      <c r="F84" s="73" t="s">
        <v>458</v>
      </c>
      <c r="G84" s="230" t="s">
        <v>114</v>
      </c>
      <c r="H84" s="181">
        <v>31</v>
      </c>
      <c r="I84" s="231">
        <v>9</v>
      </c>
      <c r="J84" s="190">
        <v>9</v>
      </c>
      <c r="K84" s="77">
        <v>15092.7</v>
      </c>
      <c r="L84" s="77">
        <v>15092.7</v>
      </c>
      <c r="M84" s="187">
        <f t="shared" si="1"/>
        <v>0</v>
      </c>
      <c r="N84" s="100">
        <v>19</v>
      </c>
      <c r="O84" s="224">
        <v>42687.199999999997</v>
      </c>
      <c r="P84" s="224">
        <v>42687.199999999997</v>
      </c>
      <c r="Q84" s="232">
        <f t="shared" si="3"/>
        <v>0</v>
      </c>
    </row>
    <row r="85" spans="1:18" s="13" customFormat="1" x14ac:dyDescent="0.25">
      <c r="A85" s="229"/>
      <c r="B85" s="62" t="s">
        <v>58</v>
      </c>
      <c r="C85" s="181" t="s">
        <v>17</v>
      </c>
      <c r="D85" s="182"/>
      <c r="E85" s="183" t="s">
        <v>20</v>
      </c>
      <c r="F85" s="73" t="s">
        <v>361</v>
      </c>
      <c r="G85" s="74" t="s">
        <v>112</v>
      </c>
      <c r="H85" s="75">
        <v>8</v>
      </c>
      <c r="I85" s="76">
        <v>4</v>
      </c>
      <c r="J85" s="96">
        <f>1+2+1+1</f>
        <v>5</v>
      </c>
      <c r="K85" s="77">
        <f>1892.47+3118.94+422.62</f>
        <v>5434.03</v>
      </c>
      <c r="L85" s="77">
        <f>1892.47+3118.94+422.62</f>
        <v>5434.03</v>
      </c>
      <c r="M85" s="78">
        <f>K85-L85</f>
        <v>0</v>
      </c>
      <c r="N85" s="100">
        <f>1+1+3</f>
        <v>5</v>
      </c>
      <c r="O85" s="81">
        <f>9196.24+2480.78+2954.11+15214.32</f>
        <v>29845.45</v>
      </c>
      <c r="P85" s="81">
        <f>9196.24+2480.78+2954.11+15214.32</f>
        <v>29845.45</v>
      </c>
      <c r="Q85" s="232">
        <f t="shared" si="3"/>
        <v>0</v>
      </c>
      <c r="R85" s="141"/>
    </row>
    <row r="86" spans="1:18" s="13" customFormat="1" x14ac:dyDescent="0.25">
      <c r="A86" s="229"/>
      <c r="B86" s="62" t="s">
        <v>58</v>
      </c>
      <c r="C86" s="181" t="s">
        <v>17</v>
      </c>
      <c r="D86" s="182"/>
      <c r="E86" s="183" t="s">
        <v>20</v>
      </c>
      <c r="F86" s="73" t="s">
        <v>478</v>
      </c>
      <c r="G86" s="230" t="s">
        <v>114</v>
      </c>
      <c r="H86" s="181">
        <v>15</v>
      </c>
      <c r="I86" s="231">
        <v>2</v>
      </c>
      <c r="J86" s="190">
        <v>2</v>
      </c>
      <c r="K86" s="77">
        <v>3765.16</v>
      </c>
      <c r="L86" s="77">
        <v>3765.16</v>
      </c>
      <c r="M86" s="187">
        <f t="shared" si="1"/>
        <v>0</v>
      </c>
      <c r="N86" s="100">
        <v>21</v>
      </c>
      <c r="O86" s="224">
        <v>54215.77</v>
      </c>
      <c r="P86" s="224">
        <v>54215.77</v>
      </c>
      <c r="Q86" s="232">
        <f t="shared" si="3"/>
        <v>0</v>
      </c>
    </row>
    <row r="87" spans="1:18" s="13" customFormat="1" x14ac:dyDescent="0.25">
      <c r="A87" s="229"/>
      <c r="B87" s="62" t="s">
        <v>59</v>
      </c>
      <c r="C87" s="181" t="s">
        <v>17</v>
      </c>
      <c r="D87" s="182"/>
      <c r="E87" s="183" t="s">
        <v>20</v>
      </c>
      <c r="F87" s="73" t="s">
        <v>362</v>
      </c>
      <c r="G87" s="74" t="s">
        <v>112</v>
      </c>
      <c r="H87" s="75">
        <v>11</v>
      </c>
      <c r="I87" s="76">
        <v>8</v>
      </c>
      <c r="J87" s="96">
        <f>1+1+1+3+1+1</f>
        <v>8</v>
      </c>
      <c r="K87" s="77">
        <f>403.41+1431.16+845.24+998.92+3059.87</f>
        <v>6738.6</v>
      </c>
      <c r="L87" s="77">
        <f>403.41+1431.16+845.24+998.92+3059.87</f>
        <v>6738.6</v>
      </c>
      <c r="M87" s="78">
        <f>K87-L87</f>
        <v>0</v>
      </c>
      <c r="N87" s="100">
        <f>1+2+2+1+1+1+1</f>
        <v>9</v>
      </c>
      <c r="O87" s="81">
        <f>6646.05+1267.86+979.71</f>
        <v>8893.619999999999</v>
      </c>
      <c r="P87" s="81">
        <f>2353.23+5561.68+978.71</f>
        <v>8893.619999999999</v>
      </c>
      <c r="Q87" s="232">
        <f t="shared" si="3"/>
        <v>0</v>
      </c>
      <c r="R87" s="141"/>
    </row>
    <row r="88" spans="1:18" s="13" customFormat="1" x14ac:dyDescent="0.25">
      <c r="A88" s="229"/>
      <c r="B88" s="62" t="s">
        <v>59</v>
      </c>
      <c r="C88" s="181" t="s">
        <v>17</v>
      </c>
      <c r="D88" s="182"/>
      <c r="E88" s="183" t="s">
        <v>20</v>
      </c>
      <c r="F88" s="73" t="s">
        <v>128</v>
      </c>
      <c r="G88" s="230" t="s">
        <v>114</v>
      </c>
      <c r="H88" s="181"/>
      <c r="I88" s="231"/>
      <c r="J88" s="190"/>
      <c r="K88" s="77"/>
      <c r="L88" s="77"/>
      <c r="M88" s="187">
        <f t="shared" si="1"/>
        <v>0</v>
      </c>
      <c r="N88" s="100"/>
      <c r="O88" s="224"/>
      <c r="P88" s="224"/>
      <c r="Q88" s="232">
        <f t="shared" si="3"/>
        <v>0</v>
      </c>
    </row>
    <row r="89" spans="1:18" s="13" customFormat="1" x14ac:dyDescent="0.25">
      <c r="A89" s="229"/>
      <c r="B89" s="27" t="s">
        <v>60</v>
      </c>
      <c r="C89" s="181" t="s">
        <v>17</v>
      </c>
      <c r="D89" s="182"/>
      <c r="E89" s="183" t="s">
        <v>20</v>
      </c>
      <c r="F89" s="73" t="s">
        <v>364</v>
      </c>
      <c r="G89" s="74" t="s">
        <v>112</v>
      </c>
      <c r="H89" s="75">
        <v>16</v>
      </c>
      <c r="I89" s="76">
        <v>9</v>
      </c>
      <c r="J89" s="96">
        <f>1+1+1+4+4</f>
        <v>11</v>
      </c>
      <c r="K89" s="77">
        <f>634.93+893.27+2930.22+8503.46</f>
        <v>12961.88</v>
      </c>
      <c r="L89" s="77">
        <f>634.93+893.27+2930.22+8503.46</f>
        <v>12961.88</v>
      </c>
      <c r="M89" s="78">
        <f>K89-L89</f>
        <v>0</v>
      </c>
      <c r="N89" s="100">
        <f>4+1+3+1</f>
        <v>9</v>
      </c>
      <c r="O89" s="81">
        <f>15124.53+2065.75+8492.52</f>
        <v>25682.799999999999</v>
      </c>
      <c r="P89" s="81">
        <f>15124.53+2065.75+8492.52</f>
        <v>25682.799999999999</v>
      </c>
      <c r="Q89" s="232">
        <f t="shared" si="3"/>
        <v>0</v>
      </c>
      <c r="R89" s="141"/>
    </row>
    <row r="90" spans="1:18" s="13" customFormat="1" x14ac:dyDescent="0.25">
      <c r="A90" s="229"/>
      <c r="B90" s="27" t="s">
        <v>60</v>
      </c>
      <c r="C90" s="181" t="s">
        <v>17</v>
      </c>
      <c r="D90" s="182"/>
      <c r="E90" s="183" t="s">
        <v>20</v>
      </c>
      <c r="F90" s="73" t="s">
        <v>479</v>
      </c>
      <c r="G90" s="230" t="s">
        <v>114</v>
      </c>
      <c r="H90" s="181">
        <v>11</v>
      </c>
      <c r="I90" s="231">
        <v>2</v>
      </c>
      <c r="J90" s="190">
        <v>2</v>
      </c>
      <c r="K90" s="77">
        <v>5186.7</v>
      </c>
      <c r="L90" s="77">
        <v>5186.7</v>
      </c>
      <c r="M90" s="187">
        <f t="shared" si="1"/>
        <v>0</v>
      </c>
      <c r="N90" s="100">
        <v>12</v>
      </c>
      <c r="O90" s="224">
        <v>41221.599999999999</v>
      </c>
      <c r="P90" s="224">
        <v>41221.599999999999</v>
      </c>
      <c r="Q90" s="232">
        <f t="shared" si="3"/>
        <v>0</v>
      </c>
    </row>
    <row r="91" spans="1:18" s="13" customFormat="1" x14ac:dyDescent="0.25">
      <c r="A91" s="229"/>
      <c r="B91" s="27" t="s">
        <v>493</v>
      </c>
      <c r="C91" s="181" t="s">
        <v>17</v>
      </c>
      <c r="D91" s="182"/>
      <c r="E91" s="183" t="s">
        <v>20</v>
      </c>
      <c r="F91" s="73" t="s">
        <v>496</v>
      </c>
      <c r="G91" s="230" t="s">
        <v>112</v>
      </c>
      <c r="H91" s="181">
        <v>12</v>
      </c>
      <c r="I91" s="231">
        <v>8</v>
      </c>
      <c r="J91" s="190">
        <f>3+2+1+3+1+2+1</f>
        <v>13</v>
      </c>
      <c r="K91" s="77">
        <f>3387.04+3467.41+1267.86+2218.74</f>
        <v>10341.049999999999</v>
      </c>
      <c r="L91" s="77">
        <f>3387.04+3467.41+1267.86+2218.74</f>
        <v>10341.049999999999</v>
      </c>
      <c r="M91" s="78">
        <f t="shared" ref="M91:M155" si="4">K91-L91</f>
        <v>0</v>
      </c>
      <c r="N91" s="100"/>
      <c r="O91" s="224"/>
      <c r="P91" s="224"/>
      <c r="Q91" s="232">
        <f t="shared" si="3"/>
        <v>0</v>
      </c>
    </row>
    <row r="92" spans="1:18" s="15" customFormat="1" x14ac:dyDescent="0.25">
      <c r="A92" s="229"/>
      <c r="B92" s="27" t="s">
        <v>61</v>
      </c>
      <c r="C92" s="181" t="s">
        <v>17</v>
      </c>
      <c r="D92" s="182"/>
      <c r="E92" s="183" t="s">
        <v>20</v>
      </c>
      <c r="F92" s="73" t="s">
        <v>363</v>
      </c>
      <c r="G92" s="74" t="s">
        <v>112</v>
      </c>
      <c r="H92" s="75"/>
      <c r="I92" s="76"/>
      <c r="J92" s="96"/>
      <c r="K92" s="77"/>
      <c r="L92" s="77"/>
      <c r="M92" s="78">
        <f t="shared" si="4"/>
        <v>0</v>
      </c>
      <c r="N92" s="100"/>
      <c r="O92" s="81"/>
      <c r="P92" s="81"/>
      <c r="Q92" s="232">
        <f t="shared" si="3"/>
        <v>0</v>
      </c>
      <c r="R92" s="141"/>
    </row>
    <row r="93" spans="1:18" s="15" customFormat="1" x14ac:dyDescent="0.25">
      <c r="A93" s="229"/>
      <c r="B93" s="236" t="s">
        <v>306</v>
      </c>
      <c r="C93" s="181" t="s">
        <v>17</v>
      </c>
      <c r="D93" s="182"/>
      <c r="E93" s="183" t="s">
        <v>35</v>
      </c>
      <c r="F93" s="73" t="s">
        <v>365</v>
      </c>
      <c r="G93" s="230" t="s">
        <v>112</v>
      </c>
      <c r="H93" s="181">
        <v>32</v>
      </c>
      <c r="I93" s="231">
        <v>18</v>
      </c>
      <c r="J93" s="190">
        <f>1+2+1+3+3+2+3+1+2</f>
        <v>18</v>
      </c>
      <c r="K93" s="77">
        <f>1045.98+2658.7+35696.14+4892.46+1024.04+2384.53+10793.24+5320.79+2075.24+1324.62</f>
        <v>67215.739999999991</v>
      </c>
      <c r="L93" s="77">
        <f>1045.98+2658.7+35696.14+4892.46+1024.04+2384.53+10793.24+5320.79+2075.24+1324.62</f>
        <v>67215.739999999991</v>
      </c>
      <c r="M93" s="78">
        <f>K93-L93</f>
        <v>0</v>
      </c>
      <c r="N93" s="114">
        <f>7+2+2+2+1+1</f>
        <v>15</v>
      </c>
      <c r="O93" s="224">
        <f>2313.84+6162.57+2330.32+1690.48+3706.14+3107.65</f>
        <v>19311</v>
      </c>
      <c r="P93" s="224">
        <f>2313.84+6162.57+2330.32+1690.48+3706.14+3107.65</f>
        <v>19311</v>
      </c>
      <c r="Q93" s="232">
        <f t="shared" si="3"/>
        <v>0</v>
      </c>
      <c r="R93" s="141"/>
    </row>
    <row r="94" spans="1:18" s="13" customFormat="1" x14ac:dyDescent="0.25">
      <c r="A94" s="229"/>
      <c r="B94" s="62" t="s">
        <v>306</v>
      </c>
      <c r="C94" s="181" t="s">
        <v>17</v>
      </c>
      <c r="D94" s="182"/>
      <c r="E94" s="183" t="s">
        <v>27</v>
      </c>
      <c r="F94" s="73" t="s">
        <v>421</v>
      </c>
      <c r="G94" s="230" t="s">
        <v>117</v>
      </c>
      <c r="H94" s="181">
        <v>3</v>
      </c>
      <c r="I94" s="231"/>
      <c r="J94" s="96"/>
      <c r="K94" s="77"/>
      <c r="L94" s="77"/>
      <c r="M94" s="78">
        <f>K94-L94</f>
        <v>0</v>
      </c>
      <c r="N94" s="100"/>
      <c r="O94" s="77"/>
      <c r="P94" s="77"/>
      <c r="Q94" s="79">
        <f>O94-P94</f>
        <v>0</v>
      </c>
    </row>
    <row r="95" spans="1:18" s="13" customFormat="1" x14ac:dyDescent="0.25">
      <c r="A95" s="229"/>
      <c r="B95" s="27" t="s">
        <v>62</v>
      </c>
      <c r="C95" s="181" t="s">
        <v>17</v>
      </c>
      <c r="D95" s="182"/>
      <c r="E95" s="183" t="s">
        <v>35</v>
      </c>
      <c r="F95" s="73" t="s">
        <v>366</v>
      </c>
      <c r="G95" s="74" t="s">
        <v>112</v>
      </c>
      <c r="H95" s="75">
        <v>24</v>
      </c>
      <c r="I95" s="76">
        <v>12</v>
      </c>
      <c r="J95" s="96">
        <f>1+3+1+1+2+4</f>
        <v>12</v>
      </c>
      <c r="K95" s="77">
        <f>3613.4+1872.01+1394.65+3518.32+15902.72</f>
        <v>26301.1</v>
      </c>
      <c r="L95" s="77">
        <f>3613.4+1872.01+1394.65+3518.32+15902.72</f>
        <v>26301.1</v>
      </c>
      <c r="M95" s="78">
        <f>K95-L95</f>
        <v>0</v>
      </c>
      <c r="N95" s="100">
        <f>6+2+1+2+1+3</f>
        <v>15</v>
      </c>
      <c r="O95" s="81">
        <f>19511.33+1270.93+3979.74+2500.85+8530.18+845.24+12787.47</f>
        <v>49425.74</v>
      </c>
      <c r="P95" s="81">
        <f>19511.33+1270.93+3979.74+2500.85+8530.18+845.24+12787.47</f>
        <v>49425.74</v>
      </c>
      <c r="Q95" s="79">
        <f t="shared" si="3"/>
        <v>0</v>
      </c>
      <c r="R95" s="141"/>
    </row>
    <row r="96" spans="1:18" s="13" customFormat="1" x14ac:dyDescent="0.25">
      <c r="A96" s="229"/>
      <c r="B96" s="27" t="s">
        <v>62</v>
      </c>
      <c r="C96" s="181" t="s">
        <v>17</v>
      </c>
      <c r="D96" s="182"/>
      <c r="E96" s="183" t="s">
        <v>35</v>
      </c>
      <c r="F96" s="73" t="s">
        <v>428</v>
      </c>
      <c r="G96" s="230" t="s">
        <v>117</v>
      </c>
      <c r="H96" s="181">
        <v>2</v>
      </c>
      <c r="I96" s="231"/>
      <c r="J96" s="96"/>
      <c r="K96" s="77"/>
      <c r="L96" s="77"/>
      <c r="M96" s="78">
        <f t="shared" si="4"/>
        <v>0</v>
      </c>
      <c r="N96" s="100">
        <v>9</v>
      </c>
      <c r="O96" s="224">
        <v>22788.1</v>
      </c>
      <c r="P96" s="224">
        <v>22788.1</v>
      </c>
      <c r="Q96" s="232">
        <f t="shared" si="3"/>
        <v>0</v>
      </c>
    </row>
    <row r="97" spans="1:19" s="13" customFormat="1" x14ac:dyDescent="0.25">
      <c r="A97" s="229"/>
      <c r="B97" s="27" t="s">
        <v>155</v>
      </c>
      <c r="C97" s="181" t="s">
        <v>17</v>
      </c>
      <c r="D97" s="182"/>
      <c r="E97" s="183" t="s">
        <v>20</v>
      </c>
      <c r="F97" s="73" t="s">
        <v>367</v>
      </c>
      <c r="G97" s="74" t="s">
        <v>112</v>
      </c>
      <c r="H97" s="75">
        <v>9</v>
      </c>
      <c r="I97" s="82">
        <v>6</v>
      </c>
      <c r="J97" s="96">
        <f>1+2+3+1+2</f>
        <v>9</v>
      </c>
      <c r="K97" s="77">
        <f>3117.56+2266.78+5307.72</f>
        <v>10692.060000000001</v>
      </c>
      <c r="L97" s="77">
        <f>3117.56+2266.78+5307.72</f>
        <v>10692.060000000001</v>
      </c>
      <c r="M97" s="78">
        <f>K97-L97</f>
        <v>0</v>
      </c>
      <c r="N97" s="100">
        <f>1+1+1</f>
        <v>3</v>
      </c>
      <c r="O97" s="81">
        <f>1798.06+2123.67</f>
        <v>3921.73</v>
      </c>
      <c r="P97" s="81">
        <f>1798.06+2123.67</f>
        <v>3921.73</v>
      </c>
      <c r="Q97" s="232">
        <f t="shared" si="3"/>
        <v>0</v>
      </c>
      <c r="R97" s="141"/>
    </row>
    <row r="98" spans="1:19" s="13" customFormat="1" x14ac:dyDescent="0.25">
      <c r="A98" s="229"/>
      <c r="B98" s="27" t="s">
        <v>155</v>
      </c>
      <c r="C98" s="181" t="s">
        <v>17</v>
      </c>
      <c r="D98" s="182"/>
      <c r="E98" s="183" t="s">
        <v>20</v>
      </c>
      <c r="F98" s="73" t="s">
        <v>459</v>
      </c>
      <c r="G98" s="230" t="s">
        <v>114</v>
      </c>
      <c r="H98" s="181">
        <v>11</v>
      </c>
      <c r="I98" s="231">
        <v>5</v>
      </c>
      <c r="J98" s="190">
        <v>5</v>
      </c>
      <c r="K98" s="77">
        <v>8154.2</v>
      </c>
      <c r="L98" s="77">
        <v>6147.2</v>
      </c>
      <c r="M98" s="187">
        <f t="shared" ref="M98" si="5">K98-L98</f>
        <v>2007</v>
      </c>
      <c r="N98" s="100">
        <v>15</v>
      </c>
      <c r="O98" s="224">
        <v>33202.26</v>
      </c>
      <c r="P98" s="224">
        <v>33202.26</v>
      </c>
      <c r="Q98" s="232">
        <f t="shared" si="3"/>
        <v>0</v>
      </c>
    </row>
    <row r="99" spans="1:19" s="13" customFormat="1" x14ac:dyDescent="0.25">
      <c r="A99" s="229"/>
      <c r="B99" s="30" t="s">
        <v>66</v>
      </c>
      <c r="C99" s="181" t="s">
        <v>17</v>
      </c>
      <c r="D99" s="182"/>
      <c r="E99" s="183" t="s">
        <v>21</v>
      </c>
      <c r="F99" s="73" t="s">
        <v>368</v>
      </c>
      <c r="G99" s="74" t="s">
        <v>112</v>
      </c>
      <c r="H99" s="75">
        <v>25</v>
      </c>
      <c r="I99" s="76">
        <v>19</v>
      </c>
      <c r="J99" s="96">
        <f>1+3+2+3+2+1+2+1+3+7</f>
        <v>25</v>
      </c>
      <c r="K99" s="77">
        <f>1045.98+4309.04+3820.12+1872.01+4253.49+3044.79+1191.19+4942.84+9299.2+9796.16</f>
        <v>43574.820000000007</v>
      </c>
      <c r="L99" s="77">
        <f>1045.98+4309.04+3820.12+1872.01+4253.49+3044.79+1191.19+4942.84+9299.2+9796.16</f>
        <v>43574.820000000007</v>
      </c>
      <c r="M99" s="78">
        <f>K99-L99</f>
        <v>0</v>
      </c>
      <c r="N99" s="100">
        <f>6+3+8+7+1+1+1+2+1+1+1+1+1</f>
        <v>34</v>
      </c>
      <c r="O99" s="81">
        <f>11911.17+23136+18060.17+1977.84+2091.97+19535.65+19124.11+3199.71+4430.07+5418.9</f>
        <v>108885.59</v>
      </c>
      <c r="P99" s="81">
        <f>11911.17+23136+18060.17+1977.84+2091.97+19535.65+19124.11+3199.71+4430.07+5418.9</f>
        <v>108885.59</v>
      </c>
      <c r="Q99" s="232">
        <f t="shared" si="3"/>
        <v>0</v>
      </c>
      <c r="R99" s="141"/>
    </row>
    <row r="100" spans="1:19" s="13" customFormat="1" x14ac:dyDescent="0.25">
      <c r="A100" s="229"/>
      <c r="B100" s="30" t="s">
        <v>66</v>
      </c>
      <c r="C100" s="181" t="s">
        <v>17</v>
      </c>
      <c r="D100" s="182"/>
      <c r="E100" s="183" t="s">
        <v>21</v>
      </c>
      <c r="F100" s="73" t="s">
        <v>439</v>
      </c>
      <c r="G100" s="230" t="s">
        <v>118</v>
      </c>
      <c r="H100" s="181">
        <v>6</v>
      </c>
      <c r="I100" s="231">
        <v>2</v>
      </c>
      <c r="J100" s="96">
        <v>2</v>
      </c>
      <c r="K100" s="77">
        <v>2958.9</v>
      </c>
      <c r="L100" s="77">
        <v>2958.9</v>
      </c>
      <c r="M100" s="187">
        <f t="shared" si="4"/>
        <v>0</v>
      </c>
      <c r="N100" s="100">
        <v>16</v>
      </c>
      <c r="O100" s="224">
        <v>66871.69</v>
      </c>
      <c r="P100" s="224">
        <v>66871.69</v>
      </c>
      <c r="Q100" s="79">
        <f t="shared" si="3"/>
        <v>0</v>
      </c>
    </row>
    <row r="101" spans="1:19" s="13" customFormat="1" x14ac:dyDescent="0.25">
      <c r="A101" s="229"/>
      <c r="B101" s="62" t="s">
        <v>137</v>
      </c>
      <c r="C101" s="181" t="s">
        <v>17</v>
      </c>
      <c r="D101" s="182"/>
      <c r="E101" s="194" t="s">
        <v>35</v>
      </c>
      <c r="F101" s="73" t="s">
        <v>369</v>
      </c>
      <c r="G101" s="74" t="s">
        <v>112</v>
      </c>
      <c r="H101" s="75">
        <v>30</v>
      </c>
      <c r="I101" s="76">
        <v>15</v>
      </c>
      <c r="J101" s="96">
        <f>3+3+1+4+1+3</f>
        <v>15</v>
      </c>
      <c r="K101" s="77">
        <f>504.26+845.24+3380.96+422.62+2535.72+6256.62</f>
        <v>13945.419999999998</v>
      </c>
      <c r="L101" s="77">
        <f>504.26+845.24+3380.96+422.62+2535.72+6256.62</f>
        <v>13945.419999999998</v>
      </c>
      <c r="M101" s="78">
        <f>K101-L101</f>
        <v>0</v>
      </c>
      <c r="N101" s="100">
        <f>5+1+1+2+1</f>
        <v>10</v>
      </c>
      <c r="O101" s="81">
        <f>2617.36+422.62+3852.18+3380.96+422.62</f>
        <v>10695.74</v>
      </c>
      <c r="P101" s="81">
        <f>2617.36+422.62+3852.18+3380.96+422.62</f>
        <v>10695.74</v>
      </c>
      <c r="Q101" s="232">
        <f t="shared" si="3"/>
        <v>0</v>
      </c>
      <c r="R101" s="141"/>
    </row>
    <row r="102" spans="1:19" s="13" customFormat="1" x14ac:dyDescent="0.25">
      <c r="A102" s="229"/>
      <c r="B102" s="62" t="s">
        <v>137</v>
      </c>
      <c r="C102" s="181" t="s">
        <v>17</v>
      </c>
      <c r="D102" s="182"/>
      <c r="E102" s="194" t="s">
        <v>35</v>
      </c>
      <c r="F102" s="73" t="s">
        <v>429</v>
      </c>
      <c r="G102" s="230" t="s">
        <v>117</v>
      </c>
      <c r="H102" s="181">
        <v>4</v>
      </c>
      <c r="I102" s="231">
        <v>1</v>
      </c>
      <c r="J102" s="190">
        <v>1</v>
      </c>
      <c r="K102" s="193">
        <v>1921</v>
      </c>
      <c r="L102" s="193">
        <v>1921</v>
      </c>
      <c r="M102" s="78">
        <f t="shared" si="4"/>
        <v>0</v>
      </c>
      <c r="N102" s="114">
        <v>2</v>
      </c>
      <c r="O102" s="224">
        <v>10565.5</v>
      </c>
      <c r="P102" s="224">
        <v>10565.5</v>
      </c>
      <c r="Q102" s="79">
        <f t="shared" si="3"/>
        <v>0</v>
      </c>
    </row>
    <row r="103" spans="1:19" s="13" customFormat="1" x14ac:dyDescent="0.25">
      <c r="A103" s="229"/>
      <c r="B103" s="30" t="s">
        <v>67</v>
      </c>
      <c r="C103" s="181" t="s">
        <v>17</v>
      </c>
      <c r="D103" s="182"/>
      <c r="E103" s="194" t="s">
        <v>21</v>
      </c>
      <c r="F103" s="73" t="s">
        <v>370</v>
      </c>
      <c r="G103" s="74" t="s">
        <v>112</v>
      </c>
      <c r="H103" s="75">
        <v>28</v>
      </c>
      <c r="I103" s="76">
        <v>16</v>
      </c>
      <c r="J103" s="96">
        <f>2+1+1+2+1+1+2+2+1+2+5+5</f>
        <v>25</v>
      </c>
      <c r="K103" s="77">
        <f>3319.85+1198.9+864.45+7235.32+1947.89+5377.75+8701.73+3581.7+8737.54</f>
        <v>40965.130000000005</v>
      </c>
      <c r="L103" s="77">
        <f>3319.85+1198.9+864.45+7235.32+1947.89+5377.75+8701.73+3581.7+8737.54</f>
        <v>40965.130000000005</v>
      </c>
      <c r="M103" s="78">
        <f>K103-L103</f>
        <v>0</v>
      </c>
      <c r="N103" s="100">
        <f>4+9+4+4+1+3+1+3+1+1+1+1+1</f>
        <v>34</v>
      </c>
      <c r="O103" s="81">
        <f>29696.65+38129.03+13567.9+20687.05+2022.79+8145.77+17250.05+1233.28+5568.04</f>
        <v>136300.56</v>
      </c>
      <c r="P103" s="81">
        <f>29696.65+38129.03+13567.9+20687.05+2022.79+8145.77+17250.05+1233.28+5568.04</f>
        <v>136300.56</v>
      </c>
      <c r="Q103" s="232">
        <f t="shared" si="3"/>
        <v>0</v>
      </c>
      <c r="R103" s="141"/>
    </row>
    <row r="104" spans="1:19" s="13" customFormat="1" x14ac:dyDescent="0.25">
      <c r="A104" s="229"/>
      <c r="B104" s="30" t="s">
        <v>67</v>
      </c>
      <c r="C104" s="181" t="s">
        <v>17</v>
      </c>
      <c r="D104" s="182"/>
      <c r="E104" s="194" t="s">
        <v>21</v>
      </c>
      <c r="F104" s="73" t="s">
        <v>440</v>
      </c>
      <c r="G104" s="230" t="s">
        <v>118</v>
      </c>
      <c r="H104" s="181">
        <v>14</v>
      </c>
      <c r="I104" s="231">
        <v>2</v>
      </c>
      <c r="J104" s="96">
        <v>2</v>
      </c>
      <c r="K104" s="77">
        <v>5282.54</v>
      </c>
      <c r="L104" s="77">
        <v>5282.54</v>
      </c>
      <c r="M104" s="78">
        <f t="shared" si="4"/>
        <v>0</v>
      </c>
      <c r="N104" s="100">
        <v>20</v>
      </c>
      <c r="O104" s="224">
        <v>64481.79</v>
      </c>
      <c r="P104" s="224">
        <v>64481.79</v>
      </c>
      <c r="Q104" s="79">
        <f t="shared" si="3"/>
        <v>0</v>
      </c>
    </row>
    <row r="105" spans="1:19" s="13" customFormat="1" x14ac:dyDescent="0.25">
      <c r="A105" s="229"/>
      <c r="B105" s="30" t="s">
        <v>68</v>
      </c>
      <c r="C105" s="181" t="s">
        <v>17</v>
      </c>
      <c r="D105" s="182"/>
      <c r="E105" s="194" t="s">
        <v>32</v>
      </c>
      <c r="F105" s="73" t="s">
        <v>371</v>
      </c>
      <c r="G105" s="74" t="s">
        <v>112</v>
      </c>
      <c r="H105" s="75">
        <v>17</v>
      </c>
      <c r="I105" s="76">
        <v>16</v>
      </c>
      <c r="J105" s="96">
        <f>2+1+2+5+5+3</f>
        <v>18</v>
      </c>
      <c r="K105" s="77">
        <f>1128.59+422.62+1152.6+4557.81+10981.59+5362.88+4996.85+4352.15</f>
        <v>32955.090000000004</v>
      </c>
      <c r="L105" s="77">
        <f>1128.59+422.62+1152.6+4557.81+10981.59+5362.88+4996.85+4352.15</f>
        <v>32955.090000000004</v>
      </c>
      <c r="M105" s="78">
        <f>K105-L105</f>
        <v>0</v>
      </c>
      <c r="N105" s="100">
        <f>6+5+1+4+2+2</f>
        <v>20</v>
      </c>
      <c r="O105" s="81">
        <f>7813.73+8523.5+1452.28+12582.19+18077.76+4987.46</f>
        <v>53436.919999999991</v>
      </c>
      <c r="P105" s="81">
        <f>7813.73+8523.5+1452.28+12582.19+18077.76+4987.46</f>
        <v>53436.919999999991</v>
      </c>
      <c r="Q105" s="232">
        <f t="shared" si="3"/>
        <v>0</v>
      </c>
      <c r="R105" s="141"/>
    </row>
    <row r="106" spans="1:19" s="13" customFormat="1" x14ac:dyDescent="0.25">
      <c r="A106" s="229"/>
      <c r="B106" s="30" t="s">
        <v>68</v>
      </c>
      <c r="C106" s="181" t="s">
        <v>17</v>
      </c>
      <c r="D106" s="182"/>
      <c r="E106" s="194" t="s">
        <v>32</v>
      </c>
      <c r="F106" s="73" t="s">
        <v>430</v>
      </c>
      <c r="G106" s="235" t="s">
        <v>117</v>
      </c>
      <c r="H106" s="181">
        <v>2</v>
      </c>
      <c r="I106" s="231"/>
      <c r="J106" s="96"/>
      <c r="K106" s="77"/>
      <c r="L106" s="77"/>
      <c r="M106" s="78">
        <f t="shared" si="4"/>
        <v>0</v>
      </c>
      <c r="N106" s="100"/>
      <c r="O106" s="77"/>
      <c r="P106" s="77"/>
      <c r="Q106" s="79">
        <f t="shared" si="3"/>
        <v>0</v>
      </c>
    </row>
    <row r="107" spans="1:19" s="15" customFormat="1" x14ac:dyDescent="0.25">
      <c r="A107" s="229"/>
      <c r="B107" s="27" t="s">
        <v>69</v>
      </c>
      <c r="C107" s="181" t="s">
        <v>17</v>
      </c>
      <c r="D107" s="182"/>
      <c r="E107" s="183" t="s">
        <v>20</v>
      </c>
      <c r="F107" s="73" t="s">
        <v>372</v>
      </c>
      <c r="G107" s="74" t="s">
        <v>112</v>
      </c>
      <c r="H107" s="75">
        <v>6</v>
      </c>
      <c r="I107" s="76">
        <v>3</v>
      </c>
      <c r="J107" s="96">
        <f>1+1+1+1</f>
        <v>4</v>
      </c>
      <c r="K107" s="77">
        <f>422.62+17390.69+3114.71+475.45</f>
        <v>21403.469999999998</v>
      </c>
      <c r="L107" s="77">
        <f>422.62+17390.69+3114.71+475.45</f>
        <v>21403.469999999998</v>
      </c>
      <c r="M107" s="78">
        <f t="shared" si="4"/>
        <v>0</v>
      </c>
      <c r="N107" s="100">
        <f>3+2+1+1+1+1</f>
        <v>9</v>
      </c>
      <c r="O107" s="77">
        <f>7210.31+3647.96+1306.28+1267.86+2697.06</f>
        <v>16129.470000000001</v>
      </c>
      <c r="P107" s="77">
        <f>7210.31+3647.96+1306.28+1267.86+2697.06</f>
        <v>16129.470000000001</v>
      </c>
      <c r="Q107" s="232">
        <f t="shared" si="3"/>
        <v>0</v>
      </c>
      <c r="R107" s="141"/>
    </row>
    <row r="108" spans="1:19" s="15" customFormat="1" x14ac:dyDescent="0.25">
      <c r="A108" s="229"/>
      <c r="B108" s="236" t="s">
        <v>502</v>
      </c>
      <c r="C108" s="181"/>
      <c r="D108" s="182"/>
      <c r="E108" s="183"/>
      <c r="F108" s="73" t="s">
        <v>508</v>
      </c>
      <c r="G108" s="74" t="s">
        <v>112</v>
      </c>
      <c r="H108" s="75">
        <v>9</v>
      </c>
      <c r="I108" s="76">
        <v>5</v>
      </c>
      <c r="J108" s="96">
        <f>4+1</f>
        <v>5</v>
      </c>
      <c r="K108" s="77">
        <f>6145.3+993.47</f>
        <v>7138.77</v>
      </c>
      <c r="L108" s="77">
        <f>6145.3+993.47</f>
        <v>7138.77</v>
      </c>
      <c r="M108" s="78">
        <f t="shared" si="4"/>
        <v>0</v>
      </c>
      <c r="N108" s="100"/>
      <c r="O108" s="77"/>
      <c r="P108" s="77"/>
      <c r="Q108" s="232">
        <f t="shared" si="3"/>
        <v>0</v>
      </c>
      <c r="R108" s="141"/>
    </row>
    <row r="109" spans="1:19" s="15" customFormat="1" x14ac:dyDescent="0.25">
      <c r="A109" s="229"/>
      <c r="B109" s="236" t="s">
        <v>502</v>
      </c>
      <c r="C109" s="181"/>
      <c r="D109" s="182"/>
      <c r="E109" s="183"/>
      <c r="F109" s="73" t="s">
        <v>511</v>
      </c>
      <c r="G109" s="235" t="s">
        <v>117</v>
      </c>
      <c r="H109" s="75">
        <v>3</v>
      </c>
      <c r="I109" s="76"/>
      <c r="J109" s="96"/>
      <c r="K109" s="77"/>
      <c r="L109" s="77"/>
      <c r="M109" s="78">
        <f t="shared" si="4"/>
        <v>0</v>
      </c>
      <c r="N109" s="100"/>
      <c r="O109" s="77"/>
      <c r="P109" s="77"/>
      <c r="Q109" s="232">
        <f t="shared" si="3"/>
        <v>0</v>
      </c>
      <c r="R109" s="141"/>
    </row>
    <row r="110" spans="1:19" s="13" customFormat="1" x14ac:dyDescent="0.25">
      <c r="A110" s="229"/>
      <c r="B110" s="62" t="s">
        <v>70</v>
      </c>
      <c r="C110" s="181" t="s">
        <v>17</v>
      </c>
      <c r="D110" s="182"/>
      <c r="E110" s="183" t="s">
        <v>20</v>
      </c>
      <c r="F110" s="73" t="s">
        <v>373</v>
      </c>
      <c r="G110" s="74" t="s">
        <v>112</v>
      </c>
      <c r="H110" s="75">
        <v>12</v>
      </c>
      <c r="I110" s="76">
        <v>8</v>
      </c>
      <c r="J110" s="96">
        <f>2+2+2+3</f>
        <v>9</v>
      </c>
      <c r="K110" s="77">
        <f>19498+3011.17+8156.45</f>
        <v>30665.62</v>
      </c>
      <c r="L110" s="77">
        <f>19498+3011.17+8156.45</f>
        <v>30665.62</v>
      </c>
      <c r="M110" s="78">
        <f>K110-L110</f>
        <v>0</v>
      </c>
      <c r="N110" s="100">
        <f>2+3+4+2</f>
        <v>11</v>
      </c>
      <c r="O110" s="81">
        <f>7606.2+16795.84</f>
        <v>24402.04</v>
      </c>
      <c r="P110" s="81">
        <f>7606.2+16795.84</f>
        <v>24402.04</v>
      </c>
      <c r="Q110" s="79">
        <f t="shared" si="3"/>
        <v>0</v>
      </c>
      <c r="R110" s="141"/>
    </row>
    <row r="111" spans="1:19" s="13" customFormat="1" x14ac:dyDescent="0.25">
      <c r="A111" s="229"/>
      <c r="B111" s="62" t="s">
        <v>70</v>
      </c>
      <c r="C111" s="181" t="s">
        <v>17</v>
      </c>
      <c r="D111" s="182"/>
      <c r="E111" s="183" t="s">
        <v>20</v>
      </c>
      <c r="F111" s="73" t="s">
        <v>460</v>
      </c>
      <c r="G111" s="230" t="s">
        <v>114</v>
      </c>
      <c r="H111" s="181">
        <v>31</v>
      </c>
      <c r="I111" s="231">
        <v>11</v>
      </c>
      <c r="J111" s="190">
        <v>11</v>
      </c>
      <c r="K111" s="77">
        <v>15164.14</v>
      </c>
      <c r="L111" s="77">
        <v>15164.14</v>
      </c>
      <c r="M111" s="187">
        <f t="shared" ref="M111" si="6">K111-L111</f>
        <v>0</v>
      </c>
      <c r="N111" s="100">
        <v>31</v>
      </c>
      <c r="O111" s="224">
        <v>72927.77</v>
      </c>
      <c r="P111" s="224">
        <v>72927.77</v>
      </c>
      <c r="Q111" s="232">
        <f t="shared" si="3"/>
        <v>0</v>
      </c>
    </row>
    <row r="112" spans="1:19" s="15" customFormat="1" x14ac:dyDescent="0.25">
      <c r="A112" s="229"/>
      <c r="B112" s="62" t="s">
        <v>71</v>
      </c>
      <c r="C112" s="181" t="s">
        <v>17</v>
      </c>
      <c r="D112" s="182"/>
      <c r="E112" s="183" t="s">
        <v>32</v>
      </c>
      <c r="F112" s="73" t="s">
        <v>374</v>
      </c>
      <c r="G112" s="74" t="s">
        <v>112</v>
      </c>
      <c r="H112" s="75">
        <v>16</v>
      </c>
      <c r="I112" s="76">
        <v>10</v>
      </c>
      <c r="J112" s="96">
        <f>3+1+2+1+1+3</f>
        <v>11</v>
      </c>
      <c r="K112" s="77">
        <f>1536.8+461.04+1748.88+633.93+3169.65+2435.83</f>
        <v>9986.130000000001</v>
      </c>
      <c r="L112" s="77">
        <f>1536.8+461.04+1748.88+633.93+3169.65+2435.83</f>
        <v>9986.130000000001</v>
      </c>
      <c r="M112" s="78">
        <f>K112-L112</f>
        <v>0</v>
      </c>
      <c r="N112" s="100">
        <f>3+2+1+1+2+1</f>
        <v>10</v>
      </c>
      <c r="O112" s="81">
        <f>9567.93+3616.67+403.41+14275.52+10922.18+12907.41</f>
        <v>51693.119999999995</v>
      </c>
      <c r="P112" s="81">
        <f>9567.93+3616.67+403.41+14275.52+10922.18+12907.41</f>
        <v>51693.119999999995</v>
      </c>
      <c r="Q112" s="79">
        <f t="shared" si="3"/>
        <v>0</v>
      </c>
      <c r="R112" s="141"/>
      <c r="S112" s="36"/>
    </row>
    <row r="113" spans="1:18" s="15" customFormat="1" x14ac:dyDescent="0.25">
      <c r="A113" s="229"/>
      <c r="B113" s="62" t="s">
        <v>71</v>
      </c>
      <c r="C113" s="181" t="s">
        <v>17</v>
      </c>
      <c r="D113" s="182"/>
      <c r="E113" s="183" t="s">
        <v>32</v>
      </c>
      <c r="F113" s="73" t="s">
        <v>431</v>
      </c>
      <c r="G113" s="230" t="s">
        <v>115</v>
      </c>
      <c r="H113" s="181">
        <v>7</v>
      </c>
      <c r="I113" s="231">
        <v>4</v>
      </c>
      <c r="J113" s="96">
        <v>4</v>
      </c>
      <c r="K113" s="237">
        <v>6627.45</v>
      </c>
      <c r="L113" s="237">
        <v>6627.45</v>
      </c>
      <c r="M113" s="187">
        <f t="shared" si="4"/>
        <v>0</v>
      </c>
      <c r="N113" s="114">
        <f>5</f>
        <v>5</v>
      </c>
      <c r="O113" s="77">
        <v>6595.5</v>
      </c>
      <c r="P113" s="77">
        <v>6595.5</v>
      </c>
      <c r="Q113" s="232">
        <f t="shared" si="3"/>
        <v>0</v>
      </c>
    </row>
    <row r="114" spans="1:18" s="13" customFormat="1" x14ac:dyDescent="0.25">
      <c r="A114" s="229"/>
      <c r="B114" s="62" t="s">
        <v>319</v>
      </c>
      <c r="C114" s="181" t="s">
        <v>17</v>
      </c>
      <c r="D114" s="182"/>
      <c r="E114" s="183" t="s">
        <v>20</v>
      </c>
      <c r="F114" s="73" t="s">
        <v>375</v>
      </c>
      <c r="G114" s="74" t="s">
        <v>112</v>
      </c>
      <c r="H114" s="75">
        <v>27</v>
      </c>
      <c r="I114" s="76">
        <v>21</v>
      </c>
      <c r="J114" s="96">
        <f>2+1+4+3+6+2+7+1</f>
        <v>26</v>
      </c>
      <c r="K114" s="77">
        <f>710.77+1523.35+6753.23+7215.52+1437.48+28056.52+6091.99</f>
        <v>51788.859999999993</v>
      </c>
      <c r="L114" s="77">
        <f>710.77+1523.35+6753.23+7215.52+1437.48+28056.52+6091.99</f>
        <v>51788.859999999993</v>
      </c>
      <c r="M114" s="78">
        <f t="shared" si="4"/>
        <v>0</v>
      </c>
      <c r="N114" s="100">
        <f>3+1+2+1+2</f>
        <v>9</v>
      </c>
      <c r="O114" s="77">
        <f>13419.94+726.71+2846.77+3770.56+4653.31</f>
        <v>25417.290000000005</v>
      </c>
      <c r="P114" s="77">
        <f>13419.94+726.71+2846.77+3770.56+4653.31</f>
        <v>25417.290000000005</v>
      </c>
      <c r="Q114" s="79">
        <f>O114-P114</f>
        <v>0</v>
      </c>
      <c r="R114" s="141"/>
    </row>
    <row r="115" spans="1:18" s="15" customFormat="1" x14ac:dyDescent="0.25">
      <c r="A115" s="229"/>
      <c r="B115" s="62" t="s">
        <v>150</v>
      </c>
      <c r="C115" s="181" t="s">
        <v>17</v>
      </c>
      <c r="D115" s="182"/>
      <c r="E115" s="183" t="s">
        <v>35</v>
      </c>
      <c r="F115" s="73" t="s">
        <v>376</v>
      </c>
      <c r="G115" s="74" t="s">
        <v>112</v>
      </c>
      <c r="H115" s="75">
        <v>21</v>
      </c>
      <c r="I115" s="76">
        <v>7</v>
      </c>
      <c r="J115" s="96">
        <f>1+1+2+2+1+3</f>
        <v>10</v>
      </c>
      <c r="K115" s="77">
        <f>1343.65+384.2+1690.4+4889.84</f>
        <v>8308.09</v>
      </c>
      <c r="L115" s="77">
        <f>1343.65+384.2+1690.4+4889.84</f>
        <v>8308.09</v>
      </c>
      <c r="M115" s="78">
        <f t="shared" si="4"/>
        <v>0</v>
      </c>
      <c r="N115" s="114">
        <f>8+1+1+2+3+1+1+1</f>
        <v>18</v>
      </c>
      <c r="O115" s="77">
        <f>5997.32+3719.39+3054.34+13138.17+6578.46+6198.68</f>
        <v>38686.36</v>
      </c>
      <c r="P115" s="77">
        <f>5997.32+3719.39+3054.34+13138.17+6578.46+6198.68</f>
        <v>38686.36</v>
      </c>
      <c r="Q115" s="79">
        <f t="shared" si="3"/>
        <v>0</v>
      </c>
      <c r="R115" s="141"/>
    </row>
    <row r="116" spans="1:18" s="15" customFormat="1" x14ac:dyDescent="0.25">
      <c r="A116" s="229"/>
      <c r="B116" s="233" t="s">
        <v>150</v>
      </c>
      <c r="C116" s="181" t="s">
        <v>17</v>
      </c>
      <c r="D116" s="182"/>
      <c r="E116" s="183" t="s">
        <v>32</v>
      </c>
      <c r="F116" s="73" t="s">
        <v>487</v>
      </c>
      <c r="G116" s="230" t="s">
        <v>117</v>
      </c>
      <c r="H116" s="181">
        <v>4</v>
      </c>
      <c r="I116" s="231">
        <v>2</v>
      </c>
      <c r="J116" s="96">
        <v>2</v>
      </c>
      <c r="K116" s="77">
        <v>6823.8</v>
      </c>
      <c r="L116" s="77">
        <v>6823.8</v>
      </c>
      <c r="M116" s="187">
        <f t="shared" si="4"/>
        <v>0</v>
      </c>
      <c r="N116" s="100">
        <v>2</v>
      </c>
      <c r="O116" s="77">
        <v>8240.2000000000007</v>
      </c>
      <c r="P116" s="77">
        <v>8240.2000000000007</v>
      </c>
      <c r="Q116" s="232">
        <f t="shared" si="3"/>
        <v>0</v>
      </c>
    </row>
    <row r="117" spans="1:18" s="13" customFormat="1" x14ac:dyDescent="0.25">
      <c r="A117" s="229"/>
      <c r="B117" s="30" t="s">
        <v>72</v>
      </c>
      <c r="C117" s="181" t="s">
        <v>17</v>
      </c>
      <c r="D117" s="182"/>
      <c r="E117" s="183" t="s">
        <v>21</v>
      </c>
      <c r="F117" s="73" t="s">
        <v>377</v>
      </c>
      <c r="G117" s="74" t="s">
        <v>112</v>
      </c>
      <c r="H117" s="75">
        <v>21</v>
      </c>
      <c r="I117" s="76">
        <v>9</v>
      </c>
      <c r="J117" s="96">
        <f>1+1+1+1+6+2+1</f>
        <v>13</v>
      </c>
      <c r="K117" s="77">
        <f>633.93+1415.78+1610.18+1394.65+18140.86+2440.63</f>
        <v>25636.030000000002</v>
      </c>
      <c r="L117" s="77">
        <f>633.93+1415.78+1610.18+1394.65+18140.86+2440.63</f>
        <v>25636.030000000002</v>
      </c>
      <c r="M117" s="78">
        <f>K117-L117</f>
        <v>0</v>
      </c>
      <c r="N117" s="100">
        <f>1+3+1+1+1+3+1+3+1</f>
        <v>15</v>
      </c>
      <c r="O117" s="81">
        <f>1950.74+10237.13+6595.95+3861.21+1348.53+10328.94+50451.86-19567+15859.78</f>
        <v>81067.14</v>
      </c>
      <c r="P117" s="81">
        <f>1950.74+10237.13+6595.95+3861.21+1348.53+10328.94+50451.86-19567+15859.78</f>
        <v>81067.14</v>
      </c>
      <c r="Q117" s="79">
        <f t="shared" si="3"/>
        <v>0</v>
      </c>
      <c r="R117" s="141"/>
    </row>
    <row r="118" spans="1:18" s="13" customFormat="1" x14ac:dyDescent="0.25">
      <c r="A118" s="229"/>
      <c r="B118" s="30" t="s">
        <v>72</v>
      </c>
      <c r="C118" s="181" t="s">
        <v>17</v>
      </c>
      <c r="D118" s="182"/>
      <c r="E118" s="183" t="s">
        <v>21</v>
      </c>
      <c r="F118" s="73" t="s">
        <v>441</v>
      </c>
      <c r="G118" s="230" t="s">
        <v>118</v>
      </c>
      <c r="H118" s="181">
        <v>7</v>
      </c>
      <c r="I118" s="231">
        <v>1</v>
      </c>
      <c r="J118" s="96">
        <v>1</v>
      </c>
      <c r="K118" s="77">
        <v>1728.9</v>
      </c>
      <c r="L118" s="77">
        <v>1728.9</v>
      </c>
      <c r="M118" s="187">
        <f t="shared" si="4"/>
        <v>0</v>
      </c>
      <c r="N118" s="100">
        <v>13</v>
      </c>
      <c r="O118" s="224">
        <v>45577.03</v>
      </c>
      <c r="P118" s="224">
        <v>45577.03</v>
      </c>
      <c r="Q118" s="232">
        <f t="shared" si="3"/>
        <v>0</v>
      </c>
    </row>
    <row r="119" spans="1:18" s="15" customFormat="1" x14ac:dyDescent="0.25">
      <c r="A119" s="229"/>
      <c r="B119" s="30" t="s">
        <v>73</v>
      </c>
      <c r="C119" s="181" t="s">
        <v>17</v>
      </c>
      <c r="D119" s="182"/>
      <c r="E119" s="183" t="s">
        <v>74</v>
      </c>
      <c r="F119" s="73" t="s">
        <v>378</v>
      </c>
      <c r="G119" s="74" t="s">
        <v>112</v>
      </c>
      <c r="H119" s="75">
        <v>28</v>
      </c>
      <c r="I119" s="76">
        <v>27</v>
      </c>
      <c r="J119" s="96">
        <f>9+8+2+2+10+1+6</f>
        <v>38</v>
      </c>
      <c r="K119" s="77">
        <f>6305.33+12574.83+14899.84+13657.06</f>
        <v>47437.06</v>
      </c>
      <c r="L119" s="77">
        <f>6305.33+12574.83+14899.84+13657.06</f>
        <v>47437.06</v>
      </c>
      <c r="M119" s="78">
        <f>K119-L119</f>
        <v>0</v>
      </c>
      <c r="N119" s="100">
        <f>5+3+3+1+1+2</f>
        <v>15</v>
      </c>
      <c r="O119" s="81">
        <f>5416.39+9506.99+12269.39+7610.68+1928.68</f>
        <v>36732.129999999997</v>
      </c>
      <c r="P119" s="81">
        <f>5416.39+9506.99+12269.39+7610.68+1928.68</f>
        <v>36732.129999999997</v>
      </c>
      <c r="Q119" s="79">
        <f t="shared" si="3"/>
        <v>0</v>
      </c>
      <c r="R119" s="141"/>
    </row>
    <row r="120" spans="1:18" s="15" customFormat="1" x14ac:dyDescent="0.25">
      <c r="A120" s="229"/>
      <c r="B120" s="30" t="s">
        <v>73</v>
      </c>
      <c r="C120" s="181" t="s">
        <v>17</v>
      </c>
      <c r="D120" s="182"/>
      <c r="E120" s="183" t="s">
        <v>74</v>
      </c>
      <c r="F120" s="73" t="s">
        <v>282</v>
      </c>
      <c r="G120" s="230" t="s">
        <v>114</v>
      </c>
      <c r="H120" s="181"/>
      <c r="I120" s="231"/>
      <c r="J120" s="190"/>
      <c r="K120" s="77"/>
      <c r="L120" s="77"/>
      <c r="M120" s="187">
        <f t="shared" ref="M120" si="7">K120-L120</f>
        <v>0</v>
      </c>
      <c r="N120" s="100">
        <v>1</v>
      </c>
      <c r="O120" s="224">
        <v>1728.9</v>
      </c>
      <c r="P120" s="224">
        <v>1728.9</v>
      </c>
      <c r="Q120" s="232">
        <f t="shared" si="3"/>
        <v>0</v>
      </c>
    </row>
    <row r="121" spans="1:18" s="13" customFormat="1" x14ac:dyDescent="0.25">
      <c r="A121" s="229"/>
      <c r="B121" s="30" t="s">
        <v>135</v>
      </c>
      <c r="C121" s="181" t="s">
        <v>17</v>
      </c>
      <c r="D121" s="182"/>
      <c r="E121" s="194" t="s">
        <v>35</v>
      </c>
      <c r="F121" s="73" t="s">
        <v>379</v>
      </c>
      <c r="G121" s="74" t="s">
        <v>112</v>
      </c>
      <c r="H121" s="75">
        <v>28</v>
      </c>
      <c r="I121" s="76">
        <v>17</v>
      </c>
      <c r="J121" s="96">
        <f>1+6+5+3+3</f>
        <v>18</v>
      </c>
      <c r="K121" s="77">
        <f>697.32+4374.12+5747.44+4426.94+15712.05</f>
        <v>30957.87</v>
      </c>
      <c r="L121" s="77">
        <f>697.32+4374.12+5747.44+4426.94+15712.05</f>
        <v>30957.87</v>
      </c>
      <c r="M121" s="78">
        <f>K121-L121</f>
        <v>0</v>
      </c>
      <c r="N121" s="100">
        <f>2+5+1+2+2+2</f>
        <v>14</v>
      </c>
      <c r="O121" s="81">
        <f>6432.89+2283.68+4932.13</f>
        <v>13648.7</v>
      </c>
      <c r="P121" s="81">
        <f>6432.89+2283.68+4932.13</f>
        <v>13648.7</v>
      </c>
      <c r="Q121" s="232">
        <f t="shared" si="3"/>
        <v>0</v>
      </c>
      <c r="R121" s="141"/>
    </row>
    <row r="122" spans="1:18" s="13" customFormat="1" x14ac:dyDescent="0.25">
      <c r="A122" s="229"/>
      <c r="B122" s="30" t="s">
        <v>135</v>
      </c>
      <c r="C122" s="181" t="s">
        <v>17</v>
      </c>
      <c r="D122" s="182"/>
      <c r="E122" s="194" t="s">
        <v>35</v>
      </c>
      <c r="F122" s="73" t="s">
        <v>432</v>
      </c>
      <c r="G122" s="230" t="s">
        <v>115</v>
      </c>
      <c r="H122" s="181"/>
      <c r="I122" s="231"/>
      <c r="J122" s="96"/>
      <c r="K122" s="77"/>
      <c r="L122" s="77"/>
      <c r="M122" s="78">
        <f t="shared" si="4"/>
        <v>0</v>
      </c>
      <c r="N122" s="100">
        <v>1</v>
      </c>
      <c r="O122" s="224">
        <v>2689.4</v>
      </c>
      <c r="P122" s="224">
        <v>2689.4</v>
      </c>
      <c r="Q122" s="79">
        <f t="shared" si="3"/>
        <v>0</v>
      </c>
    </row>
    <row r="123" spans="1:18" s="13" customFormat="1" x14ac:dyDescent="0.25">
      <c r="A123" s="229"/>
      <c r="B123" s="30" t="s">
        <v>145</v>
      </c>
      <c r="C123" s="181" t="s">
        <v>17</v>
      </c>
      <c r="D123" s="182"/>
      <c r="E123" s="194" t="s">
        <v>20</v>
      </c>
      <c r="F123" s="73" t="s">
        <v>380</v>
      </c>
      <c r="G123" s="74" t="s">
        <v>112</v>
      </c>
      <c r="H123" s="75">
        <v>14</v>
      </c>
      <c r="I123" s="82">
        <v>12</v>
      </c>
      <c r="J123" s="96">
        <f>2+1+1+2+2+5+3</f>
        <v>16</v>
      </c>
      <c r="K123" s="77">
        <f>5169.72+1100+538.84+4293.82+3949.22+3361.76</f>
        <v>18413.36</v>
      </c>
      <c r="L123" s="77">
        <f>5169.72+1100+538.84+4293.82+3949.22+3361.76</f>
        <v>18413.36</v>
      </c>
      <c r="M123" s="78">
        <f>K123-L123</f>
        <v>0</v>
      </c>
      <c r="N123" s="100">
        <f>1+1+2+1+2</f>
        <v>7</v>
      </c>
      <c r="O123" s="81">
        <f>5120.23+3915.15+1114.12+14002.49</f>
        <v>24151.989999999998</v>
      </c>
      <c r="P123" s="81">
        <f>5120.23+3915.15+1114.12+14002.49</f>
        <v>24151.989999999998</v>
      </c>
      <c r="Q123" s="232">
        <f t="shared" si="3"/>
        <v>0</v>
      </c>
      <c r="R123" s="141"/>
    </row>
    <row r="124" spans="1:18" s="13" customFormat="1" x14ac:dyDescent="0.25">
      <c r="A124" s="229"/>
      <c r="B124" s="30" t="s">
        <v>145</v>
      </c>
      <c r="C124" s="181" t="s">
        <v>17</v>
      </c>
      <c r="D124" s="182"/>
      <c r="E124" s="194" t="s">
        <v>20</v>
      </c>
      <c r="F124" s="73" t="s">
        <v>461</v>
      </c>
      <c r="G124" s="230" t="s">
        <v>114</v>
      </c>
      <c r="H124" s="181">
        <v>5</v>
      </c>
      <c r="I124" s="231">
        <v>1</v>
      </c>
      <c r="J124" s="190">
        <v>1</v>
      </c>
      <c r="K124" s="77">
        <v>1921</v>
      </c>
      <c r="L124" s="77"/>
      <c r="M124" s="187">
        <f t="shared" ref="M124" si="8">K124-L124</f>
        <v>1921</v>
      </c>
      <c r="N124" s="100">
        <v>10</v>
      </c>
      <c r="O124" s="224">
        <v>22933.25</v>
      </c>
      <c r="P124" s="224">
        <v>22933.25</v>
      </c>
      <c r="Q124" s="232">
        <f t="shared" si="3"/>
        <v>0</v>
      </c>
    </row>
    <row r="125" spans="1:18" s="13" customFormat="1" x14ac:dyDescent="0.25">
      <c r="A125" s="229"/>
      <c r="B125" s="62" t="s">
        <v>76</v>
      </c>
      <c r="C125" s="181" t="s">
        <v>17</v>
      </c>
      <c r="D125" s="182"/>
      <c r="E125" s="183" t="s">
        <v>20</v>
      </c>
      <c r="F125" s="73" t="s">
        <v>381</v>
      </c>
      <c r="G125" s="74" t="s">
        <v>112</v>
      </c>
      <c r="H125" s="75">
        <v>22</v>
      </c>
      <c r="I125" s="76">
        <v>15</v>
      </c>
      <c r="J125" s="96">
        <f>1+6+3+1+3+1+2+2+2</f>
        <v>21</v>
      </c>
      <c r="K125" s="77">
        <f>6556.06+2806.39+2697.06+1267.86+11775.51+1557.35+2113.1</f>
        <v>28773.329999999998</v>
      </c>
      <c r="L125" s="77">
        <f>6556.06+2806.39+2697.06+1267.86+11775.51+1557.35+2113.1</f>
        <v>28773.329999999998</v>
      </c>
      <c r="M125" s="78">
        <f>K125-L125</f>
        <v>0</v>
      </c>
      <c r="N125" s="100">
        <f>5+6+2+1+1+1+1</f>
        <v>17</v>
      </c>
      <c r="O125" s="81">
        <f>11527.9+19846.52+1011.91+9641+2451.87+10072.83+11307.66+2243.83</f>
        <v>68103.520000000004</v>
      </c>
      <c r="P125" s="81">
        <f>11527.9+19846.52+1011.91+9641+2451.87+10072.83+11307.66+2243.83</f>
        <v>68103.520000000004</v>
      </c>
      <c r="Q125" s="232">
        <f t="shared" si="3"/>
        <v>0</v>
      </c>
      <c r="R125" s="141"/>
    </row>
    <row r="126" spans="1:18" s="13" customFormat="1" x14ac:dyDescent="0.25">
      <c r="A126" s="229"/>
      <c r="B126" s="62" t="s">
        <v>76</v>
      </c>
      <c r="C126" s="181" t="s">
        <v>17</v>
      </c>
      <c r="D126" s="182"/>
      <c r="E126" s="183" t="s">
        <v>20</v>
      </c>
      <c r="F126" s="73" t="s">
        <v>462</v>
      </c>
      <c r="G126" s="230" t="s">
        <v>114</v>
      </c>
      <c r="H126" s="181">
        <v>13</v>
      </c>
      <c r="I126" s="231">
        <v>1</v>
      </c>
      <c r="J126" s="190">
        <v>1</v>
      </c>
      <c r="K126" s="77">
        <v>2113.1</v>
      </c>
      <c r="L126" s="77">
        <v>2113.1</v>
      </c>
      <c r="M126" s="187">
        <f t="shared" ref="M126" si="9">K126-L126</f>
        <v>0</v>
      </c>
      <c r="N126" s="100">
        <v>8</v>
      </c>
      <c r="O126" s="224">
        <v>27398.29</v>
      </c>
      <c r="P126" s="224">
        <v>27398.29</v>
      </c>
      <c r="Q126" s="232">
        <f t="shared" si="3"/>
        <v>0</v>
      </c>
    </row>
    <row r="127" spans="1:18" s="13" customFormat="1" x14ac:dyDescent="0.25">
      <c r="A127" s="229"/>
      <c r="B127" s="30" t="s">
        <v>77</v>
      </c>
      <c r="C127" s="181" t="s">
        <v>17</v>
      </c>
      <c r="D127" s="182"/>
      <c r="E127" s="183" t="s">
        <v>32</v>
      </c>
      <c r="F127" s="73" t="s">
        <v>388</v>
      </c>
      <c r="G127" s="74" t="s">
        <v>112</v>
      </c>
      <c r="H127" s="75">
        <v>15</v>
      </c>
      <c r="I127" s="76">
        <v>9</v>
      </c>
      <c r="J127" s="96">
        <f>2+2+2+6+1+1</f>
        <v>14</v>
      </c>
      <c r="K127" s="77">
        <f>2440.63+1507.02+2101.48+13625.7+1324.62</f>
        <v>20999.45</v>
      </c>
      <c r="L127" s="77">
        <f>2440.63+1507.02+2101.48+13625.7+1324.62</f>
        <v>20999.45</v>
      </c>
      <c r="M127" s="78">
        <f>K127-L127</f>
        <v>0</v>
      </c>
      <c r="N127" s="100">
        <f>5+2+3+3+1+1</f>
        <v>15</v>
      </c>
      <c r="O127" s="81">
        <f>11716.73+6848.82+4046.18+11166.34+8845.95</f>
        <v>42624.020000000004</v>
      </c>
      <c r="P127" s="81">
        <f>11716.73+6848.82+4046.18+11166.34+8845.95</f>
        <v>42624.020000000004</v>
      </c>
      <c r="Q127" s="232">
        <f t="shared" si="3"/>
        <v>0</v>
      </c>
      <c r="R127" s="141"/>
    </row>
    <row r="128" spans="1:18" s="13" customFormat="1" x14ac:dyDescent="0.25">
      <c r="A128" s="229"/>
      <c r="B128" s="30" t="s">
        <v>77</v>
      </c>
      <c r="C128" s="181" t="s">
        <v>17</v>
      </c>
      <c r="D128" s="182"/>
      <c r="E128" s="183" t="s">
        <v>32</v>
      </c>
      <c r="F128" s="73" t="s">
        <v>433</v>
      </c>
      <c r="G128" s="230" t="s">
        <v>117</v>
      </c>
      <c r="H128" s="181">
        <v>1</v>
      </c>
      <c r="I128" s="231">
        <v>1</v>
      </c>
      <c r="J128" s="96">
        <v>1</v>
      </c>
      <c r="K128" s="77">
        <v>1921</v>
      </c>
      <c r="L128" s="77">
        <v>1921</v>
      </c>
      <c r="M128" s="78">
        <f t="shared" si="4"/>
        <v>0</v>
      </c>
      <c r="N128" s="100">
        <v>6</v>
      </c>
      <c r="O128" s="224">
        <v>18164.11</v>
      </c>
      <c r="P128" s="224">
        <v>18164.11</v>
      </c>
      <c r="Q128" s="79">
        <f t="shared" si="3"/>
        <v>0</v>
      </c>
    </row>
    <row r="129" spans="1:18" s="13" customFormat="1" x14ac:dyDescent="0.25">
      <c r="A129" s="229"/>
      <c r="B129" s="30" t="s">
        <v>321</v>
      </c>
      <c r="C129" s="181" t="s">
        <v>17</v>
      </c>
      <c r="D129" s="182"/>
      <c r="E129" s="183" t="s">
        <v>21</v>
      </c>
      <c r="F129" s="73" t="s">
        <v>489</v>
      </c>
      <c r="G129" s="230" t="s">
        <v>112</v>
      </c>
      <c r="H129" s="181">
        <v>6</v>
      </c>
      <c r="I129" s="231">
        <v>1</v>
      </c>
      <c r="J129" s="96">
        <f>1</f>
        <v>1</v>
      </c>
      <c r="K129" s="77">
        <f>2547.89</f>
        <v>2547.89</v>
      </c>
      <c r="L129" s="77">
        <f>2547.89</f>
        <v>2547.89</v>
      </c>
      <c r="M129" s="78">
        <f t="shared" si="4"/>
        <v>0</v>
      </c>
      <c r="N129" s="100"/>
      <c r="O129" s="224"/>
      <c r="P129" s="224"/>
      <c r="Q129" s="79">
        <f t="shared" si="3"/>
        <v>0</v>
      </c>
      <c r="R129" s="141"/>
    </row>
    <row r="130" spans="1:18" s="13" customFormat="1" ht="30" x14ac:dyDescent="0.25">
      <c r="A130" s="229"/>
      <c r="B130" s="62" t="s">
        <v>79</v>
      </c>
      <c r="C130" s="181" t="s">
        <v>304</v>
      </c>
      <c r="D130" s="182" t="s">
        <v>385</v>
      </c>
      <c r="E130" s="183" t="s">
        <v>18</v>
      </c>
      <c r="F130" s="73" t="s">
        <v>389</v>
      </c>
      <c r="G130" s="74" t="s">
        <v>112</v>
      </c>
      <c r="H130" s="75">
        <v>17</v>
      </c>
      <c r="I130" s="76">
        <v>11</v>
      </c>
      <c r="J130" s="96">
        <f>2+5+2+3+2</f>
        <v>14</v>
      </c>
      <c r="K130" s="77">
        <f>2091.97+3190.2+5703.08+6368.88+4029.68</f>
        <v>21383.81</v>
      </c>
      <c r="L130" s="77">
        <f>2091.97+3190.2+5703.08+6368.88+4029.68</f>
        <v>21383.81</v>
      </c>
      <c r="M130" s="78">
        <f t="shared" si="4"/>
        <v>0</v>
      </c>
      <c r="N130" s="100">
        <f>2+2+1+2+1+1</f>
        <v>9</v>
      </c>
      <c r="O130" s="81">
        <f>1547.4+4166.12+7835.61+1675.01+4717.63+6039.62+18829.39</f>
        <v>44810.78</v>
      </c>
      <c r="P130" s="81">
        <f>1547.4+4166.12+7835.61+1675.01+4717.63+6039.62+18829.39</f>
        <v>44810.78</v>
      </c>
      <c r="Q130" s="232">
        <f t="shared" si="3"/>
        <v>0</v>
      </c>
      <c r="R130" s="141"/>
    </row>
    <row r="131" spans="1:18" s="13" customFormat="1" ht="30" x14ac:dyDescent="0.25">
      <c r="A131" s="229"/>
      <c r="B131" s="62" t="s">
        <v>79</v>
      </c>
      <c r="C131" s="181" t="s">
        <v>304</v>
      </c>
      <c r="D131" s="182" t="s">
        <v>475</v>
      </c>
      <c r="E131" s="183" t="s">
        <v>18</v>
      </c>
      <c r="F131" s="73" t="s">
        <v>329</v>
      </c>
      <c r="G131" s="230" t="s">
        <v>113</v>
      </c>
      <c r="H131" s="181">
        <v>39</v>
      </c>
      <c r="I131" s="234">
        <v>15</v>
      </c>
      <c r="J131" s="98">
        <v>17</v>
      </c>
      <c r="K131" s="224">
        <v>27151</v>
      </c>
      <c r="L131" s="224">
        <v>27151</v>
      </c>
      <c r="M131" s="78">
        <f t="shared" si="4"/>
        <v>0</v>
      </c>
      <c r="N131" s="100">
        <v>15</v>
      </c>
      <c r="O131" s="224">
        <v>54906</v>
      </c>
      <c r="P131" s="224">
        <v>54906</v>
      </c>
      <c r="Q131" s="79">
        <f t="shared" si="3"/>
        <v>0</v>
      </c>
    </row>
    <row r="132" spans="1:18" s="13" customFormat="1" x14ac:dyDescent="0.25">
      <c r="A132" s="229"/>
      <c r="B132" s="62" t="s">
        <v>151</v>
      </c>
      <c r="C132" s="181" t="s">
        <v>17</v>
      </c>
      <c r="D132" s="182"/>
      <c r="E132" s="183" t="s">
        <v>32</v>
      </c>
      <c r="F132" s="73" t="s">
        <v>390</v>
      </c>
      <c r="G132" s="74" t="s">
        <v>112</v>
      </c>
      <c r="H132" s="75">
        <v>47</v>
      </c>
      <c r="I132" s="82">
        <v>29</v>
      </c>
      <c r="J132" s="96">
        <f>1+3+3+5+3+9+4+6+3</f>
        <v>37</v>
      </c>
      <c r="K132" s="81">
        <f>2317+4640.19+5864.19+10765+12519.53+4514.35+14486.46+3421.94</f>
        <v>58528.659999999996</v>
      </c>
      <c r="L132" s="81">
        <f>2317+4640.19+5864.19+10765+12519.53+4514.35+14486.46+3421.94</f>
        <v>58528.659999999996</v>
      </c>
      <c r="M132" s="78">
        <f>K132-L132</f>
        <v>0</v>
      </c>
      <c r="N132" s="100">
        <f>9+3+5+1+4+4</f>
        <v>26</v>
      </c>
      <c r="O132" s="81">
        <f>10726.94+18822.65+5703.53+12846.53+1320.36+4050.1+22728.38</f>
        <v>76198.490000000005</v>
      </c>
      <c r="P132" s="81">
        <f>10726.94+18822.65+5703.53+12846.53+1320.36+4050.1+22728.38</f>
        <v>76198.490000000005</v>
      </c>
      <c r="Q132" s="232">
        <f t="shared" si="3"/>
        <v>0</v>
      </c>
      <c r="R132" s="141"/>
    </row>
    <row r="133" spans="1:18" s="13" customFormat="1" x14ac:dyDescent="0.25">
      <c r="A133" s="229"/>
      <c r="B133" s="62" t="s">
        <v>151</v>
      </c>
      <c r="C133" s="181" t="s">
        <v>17</v>
      </c>
      <c r="D133" s="182"/>
      <c r="E133" s="183" t="s">
        <v>32</v>
      </c>
      <c r="F133" s="73" t="s">
        <v>434</v>
      </c>
      <c r="G133" s="230" t="s">
        <v>117</v>
      </c>
      <c r="H133" s="181">
        <v>11</v>
      </c>
      <c r="I133" s="231">
        <v>3</v>
      </c>
      <c r="J133" s="96">
        <v>3</v>
      </c>
      <c r="K133" s="77">
        <v>602.1</v>
      </c>
      <c r="L133" s="77">
        <v>602.1</v>
      </c>
      <c r="M133" s="78">
        <f t="shared" si="4"/>
        <v>0</v>
      </c>
      <c r="N133" s="100">
        <v>13</v>
      </c>
      <c r="O133" s="224">
        <v>24537.7</v>
      </c>
      <c r="P133" s="224">
        <v>24537.7</v>
      </c>
      <c r="Q133" s="79">
        <f t="shared" si="3"/>
        <v>0</v>
      </c>
    </row>
    <row r="134" spans="1:18" s="13" customFormat="1" x14ac:dyDescent="0.25">
      <c r="A134" s="229"/>
      <c r="B134" s="62" t="s">
        <v>80</v>
      </c>
      <c r="C134" s="181" t="s">
        <v>17</v>
      </c>
      <c r="D134" s="182"/>
      <c r="E134" s="183" t="s">
        <v>81</v>
      </c>
      <c r="F134" s="73" t="s">
        <v>417</v>
      </c>
      <c r="G134" s="74" t="s">
        <v>112</v>
      </c>
      <c r="H134" s="75"/>
      <c r="I134" s="76"/>
      <c r="J134" s="96"/>
      <c r="K134" s="77">
        <f>749.19+8649.27</f>
        <v>9398.4600000000009</v>
      </c>
      <c r="L134" s="77">
        <f>749.19+8649.27</f>
        <v>9398.4600000000009</v>
      </c>
      <c r="M134" s="78">
        <f>K134-L134</f>
        <v>0</v>
      </c>
      <c r="N134" s="100">
        <f>2+2</f>
        <v>4</v>
      </c>
      <c r="O134" s="81">
        <f>3040.94</f>
        <v>3040.94</v>
      </c>
      <c r="P134" s="81">
        <f>3040.94</f>
        <v>3040.94</v>
      </c>
      <c r="Q134" s="232">
        <f t="shared" si="3"/>
        <v>0</v>
      </c>
      <c r="R134" s="141"/>
    </row>
    <row r="135" spans="1:18" s="13" customFormat="1" x14ac:dyDescent="0.25">
      <c r="A135" s="229"/>
      <c r="B135" s="62" t="s">
        <v>80</v>
      </c>
      <c r="C135" s="181" t="s">
        <v>17</v>
      </c>
      <c r="D135" s="182"/>
      <c r="E135" s="183" t="s">
        <v>81</v>
      </c>
      <c r="F135" s="73" t="s">
        <v>285</v>
      </c>
      <c r="G135" s="230" t="s">
        <v>114</v>
      </c>
      <c r="H135" s="181"/>
      <c r="I135" s="231"/>
      <c r="J135" s="190"/>
      <c r="K135" s="77"/>
      <c r="L135" s="77"/>
      <c r="M135" s="187">
        <f t="shared" ref="M135" si="10">K135-L135</f>
        <v>0</v>
      </c>
      <c r="N135" s="100">
        <v>23</v>
      </c>
      <c r="O135" s="224">
        <v>58735.99</v>
      </c>
      <c r="P135" s="224">
        <v>58735.99</v>
      </c>
      <c r="Q135" s="232">
        <f t="shared" si="3"/>
        <v>0</v>
      </c>
    </row>
    <row r="136" spans="1:18" s="13" customFormat="1" x14ac:dyDescent="0.25">
      <c r="A136" s="229"/>
      <c r="B136" s="30" t="s">
        <v>82</v>
      </c>
      <c r="C136" s="181" t="s">
        <v>17</v>
      </c>
      <c r="D136" s="182"/>
      <c r="E136" s="183" t="s">
        <v>20</v>
      </c>
      <c r="F136" s="73" t="s">
        <v>394</v>
      </c>
      <c r="G136" s="74" t="s">
        <v>112</v>
      </c>
      <c r="H136" s="75">
        <v>13</v>
      </c>
      <c r="I136" s="76">
        <v>10</v>
      </c>
      <c r="J136" s="96">
        <f>4+3+2+2+1+1</f>
        <v>13</v>
      </c>
      <c r="K136" s="77">
        <f>7750.47+2207.69</f>
        <v>9958.16</v>
      </c>
      <c r="L136" s="77">
        <f>7750.47+2207.69</f>
        <v>9958.16</v>
      </c>
      <c r="M136" s="78">
        <f>K136-L136</f>
        <v>0</v>
      </c>
      <c r="N136" s="100">
        <f>3+5+1+1+1</f>
        <v>11</v>
      </c>
      <c r="O136" s="81">
        <f>5975.84+23579.15+1426.34</f>
        <v>30981.33</v>
      </c>
      <c r="P136" s="81">
        <f>5975.84+23579.15+1426.34</f>
        <v>30981.33</v>
      </c>
      <c r="Q136" s="232">
        <f t="shared" si="3"/>
        <v>0</v>
      </c>
      <c r="R136" s="141"/>
    </row>
    <row r="137" spans="1:18" s="13" customFormat="1" x14ac:dyDescent="0.25">
      <c r="A137" s="229"/>
      <c r="B137" s="30" t="s">
        <v>82</v>
      </c>
      <c r="C137" s="181" t="s">
        <v>17</v>
      </c>
      <c r="D137" s="182"/>
      <c r="E137" s="183" t="s">
        <v>20</v>
      </c>
      <c r="F137" s="73" t="s">
        <v>463</v>
      </c>
      <c r="G137" s="230" t="s">
        <v>114</v>
      </c>
      <c r="H137" s="181">
        <v>18</v>
      </c>
      <c r="I137" s="231">
        <v>5</v>
      </c>
      <c r="J137" s="190">
        <v>5</v>
      </c>
      <c r="K137" s="77">
        <v>10181.299999999999</v>
      </c>
      <c r="L137" s="77">
        <v>10181.299999999999</v>
      </c>
      <c r="M137" s="187">
        <f t="shared" ref="M137" si="11">K137-L137</f>
        <v>0</v>
      </c>
      <c r="N137" s="100">
        <v>14</v>
      </c>
      <c r="O137" s="224">
        <v>48620.71</v>
      </c>
      <c r="P137" s="224">
        <v>48620.71</v>
      </c>
      <c r="Q137" s="232">
        <f t="shared" si="3"/>
        <v>0</v>
      </c>
    </row>
    <row r="138" spans="1:18" s="13" customFormat="1" x14ac:dyDescent="0.25">
      <c r="A138" s="229"/>
      <c r="B138" s="30" t="s">
        <v>309</v>
      </c>
      <c r="C138" s="181"/>
      <c r="D138" s="182"/>
      <c r="E138" s="183" t="s">
        <v>20</v>
      </c>
      <c r="F138" s="73" t="s">
        <v>391</v>
      </c>
      <c r="G138" s="230" t="s">
        <v>112</v>
      </c>
      <c r="H138" s="181">
        <v>13</v>
      </c>
      <c r="I138" s="231">
        <v>7</v>
      </c>
      <c r="J138" s="190">
        <f>1+5+2+1</f>
        <v>9</v>
      </c>
      <c r="K138" s="77">
        <f>3606.1+3402.77</f>
        <v>7008.87</v>
      </c>
      <c r="L138" s="77">
        <f>3606.1+3402.77</f>
        <v>7008.87</v>
      </c>
      <c r="M138" s="78">
        <f t="shared" si="4"/>
        <v>0</v>
      </c>
      <c r="N138" s="100">
        <f>1+5+1+3</f>
        <v>10</v>
      </c>
      <c r="O138" s="224">
        <f>3088.97+13147.65+1267.86+5955.71</f>
        <v>23460.19</v>
      </c>
      <c r="P138" s="224">
        <f>3088.97+13147.65+1267.86+5955.71</f>
        <v>23460.19</v>
      </c>
      <c r="Q138" s="232">
        <f t="shared" si="3"/>
        <v>0</v>
      </c>
      <c r="R138" s="141"/>
    </row>
    <row r="139" spans="1:18" s="13" customFormat="1" x14ac:dyDescent="0.25">
      <c r="A139" s="229"/>
      <c r="B139" s="30" t="s">
        <v>152</v>
      </c>
      <c r="C139" s="181" t="s">
        <v>17</v>
      </c>
      <c r="D139" s="182"/>
      <c r="E139" s="183" t="s">
        <v>35</v>
      </c>
      <c r="F139" s="73" t="s">
        <v>392</v>
      </c>
      <c r="G139" s="74" t="s">
        <v>112</v>
      </c>
      <c r="H139" s="75">
        <v>7</v>
      </c>
      <c r="I139" s="76">
        <v>6</v>
      </c>
      <c r="J139" s="96">
        <f>1+1+2+1+1+1</f>
        <v>7</v>
      </c>
      <c r="K139" s="77">
        <f>403.41+845.24+2113.1</f>
        <v>3361.75</v>
      </c>
      <c r="L139" s="77">
        <f>403.41+845.24+2113.1</f>
        <v>3361.75</v>
      </c>
      <c r="M139" s="78">
        <f t="shared" si="4"/>
        <v>0</v>
      </c>
      <c r="N139" s="100">
        <f>2+2+2+1+1+1+2</f>
        <v>11</v>
      </c>
      <c r="O139" s="81">
        <f>1690.48+3050.26+3661.61+4648.82+1267.86+1690.48+9282.42+4052.53</f>
        <v>29344.46</v>
      </c>
      <c r="P139" s="81">
        <f>1690.48+3050.26+3661.61+4648.82+1267.86+1690.48+9282.42+4052.53</f>
        <v>29344.46</v>
      </c>
      <c r="Q139" s="232">
        <f t="shared" si="3"/>
        <v>0</v>
      </c>
      <c r="R139" s="141"/>
    </row>
    <row r="140" spans="1:18" s="13" customFormat="1" x14ac:dyDescent="0.25">
      <c r="A140" s="229"/>
      <c r="B140" s="30" t="s">
        <v>83</v>
      </c>
      <c r="C140" s="181" t="s">
        <v>17</v>
      </c>
      <c r="D140" s="182"/>
      <c r="E140" s="183" t="s">
        <v>20</v>
      </c>
      <c r="F140" s="73" t="s">
        <v>393</v>
      </c>
      <c r="G140" s="74" t="s">
        <v>112</v>
      </c>
      <c r="H140" s="75">
        <v>12</v>
      </c>
      <c r="I140" s="76">
        <v>8</v>
      </c>
      <c r="J140" s="96">
        <f>1+1+2+1+1+1+1+1</f>
        <v>9</v>
      </c>
      <c r="K140" s="77">
        <f>768.4+2535.72+845.24+14407.5+883.08</f>
        <v>19439.940000000002</v>
      </c>
      <c r="L140" s="77">
        <f>768.4+2535.72+845.24+14407.5+883.08</f>
        <v>19439.940000000002</v>
      </c>
      <c r="M140" s="78">
        <f>K140-L140</f>
        <v>0</v>
      </c>
      <c r="N140" s="100">
        <f>1+2+1+1+1+2</f>
        <v>8</v>
      </c>
      <c r="O140" s="81">
        <f>5837.09+1922.92+4288.54+1686.25</f>
        <v>13734.8</v>
      </c>
      <c r="P140" s="81">
        <f>5837.09+1922.92+4288.54+1686.25</f>
        <v>13734.8</v>
      </c>
      <c r="Q140" s="232">
        <f t="shared" si="3"/>
        <v>0</v>
      </c>
      <c r="R140" s="141"/>
    </row>
    <row r="141" spans="1:18" s="13" customFormat="1" x14ac:dyDescent="0.25">
      <c r="A141" s="229"/>
      <c r="B141" s="30" t="s">
        <v>83</v>
      </c>
      <c r="C141" s="181" t="s">
        <v>17</v>
      </c>
      <c r="D141" s="182"/>
      <c r="E141" s="183" t="s">
        <v>20</v>
      </c>
      <c r="F141" s="73" t="s">
        <v>464</v>
      </c>
      <c r="G141" s="230" t="s">
        <v>114</v>
      </c>
      <c r="H141" s="181">
        <v>30</v>
      </c>
      <c r="I141" s="231">
        <v>9</v>
      </c>
      <c r="J141" s="190">
        <v>9</v>
      </c>
      <c r="K141" s="77">
        <v>24797.49</v>
      </c>
      <c r="L141" s="77">
        <v>19177.89</v>
      </c>
      <c r="M141" s="187">
        <f t="shared" ref="M141" si="12">K141-L141</f>
        <v>5619.6000000000022</v>
      </c>
      <c r="N141" s="100">
        <v>28</v>
      </c>
      <c r="O141" s="224">
        <v>85315.86</v>
      </c>
      <c r="P141" s="224">
        <v>85315.86</v>
      </c>
      <c r="Q141" s="232">
        <f t="shared" si="3"/>
        <v>0</v>
      </c>
    </row>
    <row r="142" spans="1:18" s="13" customFormat="1" ht="45" x14ac:dyDescent="0.25">
      <c r="A142" s="229"/>
      <c r="B142" s="30" t="s">
        <v>85</v>
      </c>
      <c r="C142" s="181" t="s">
        <v>304</v>
      </c>
      <c r="D142" s="182" t="s">
        <v>415</v>
      </c>
      <c r="E142" s="183" t="s">
        <v>20</v>
      </c>
      <c r="F142" s="73" t="s">
        <v>395</v>
      </c>
      <c r="G142" s="74" t="s">
        <v>112</v>
      </c>
      <c r="H142" s="75">
        <v>18</v>
      </c>
      <c r="I142" s="76">
        <v>6</v>
      </c>
      <c r="J142" s="96">
        <f>2</f>
        <v>2</v>
      </c>
      <c r="K142" s="77">
        <f>4800.58+2591.84</f>
        <v>7392.42</v>
      </c>
      <c r="L142" s="77">
        <f>4800.58+2591.84</f>
        <v>7392.42</v>
      </c>
      <c r="M142" s="78">
        <f t="shared" si="4"/>
        <v>0</v>
      </c>
      <c r="N142" s="100">
        <f>2+1</f>
        <v>3</v>
      </c>
      <c r="O142" s="81">
        <f>3917.73+8936.21+5669.37+31185.72</f>
        <v>49709.03</v>
      </c>
      <c r="P142" s="81">
        <f>3917.73+8936.21+5669.37+31185.72</f>
        <v>49709.03</v>
      </c>
      <c r="Q142" s="79">
        <f t="shared" si="3"/>
        <v>0</v>
      </c>
      <c r="R142" s="141"/>
    </row>
    <row r="143" spans="1:18" s="13" customFormat="1" x14ac:dyDescent="0.25">
      <c r="A143" s="229"/>
      <c r="B143" s="27" t="s">
        <v>86</v>
      </c>
      <c r="C143" s="181" t="s">
        <v>17</v>
      </c>
      <c r="D143" s="182"/>
      <c r="E143" s="194" t="s">
        <v>20</v>
      </c>
      <c r="F143" s="73" t="s">
        <v>396</v>
      </c>
      <c r="G143" s="74" t="s">
        <v>112</v>
      </c>
      <c r="H143" s="75">
        <v>11</v>
      </c>
      <c r="I143" s="76">
        <v>10</v>
      </c>
      <c r="J143" s="96">
        <f>1+3+1+7+2+2</f>
        <v>16</v>
      </c>
      <c r="K143" s="77">
        <f>950.9+5134.06+2091.97+528.03+8954.46+5719.74</f>
        <v>23379.159999999996</v>
      </c>
      <c r="L143" s="77">
        <f>950.9+5134.06+2091.97+528.03+8954.46+5719.74</f>
        <v>23379.159999999996</v>
      </c>
      <c r="M143" s="78">
        <f t="shared" si="4"/>
        <v>0</v>
      </c>
      <c r="N143" s="100">
        <f>15+4+2+1+2+2</f>
        <v>26</v>
      </c>
      <c r="O143" s="81">
        <f>30236.61+18366.75+8887.09+1077.68+8961.95</f>
        <v>67530.080000000002</v>
      </c>
      <c r="P143" s="81">
        <f>30236.61+18366.75+8887.09+1077.68+8961.95</f>
        <v>67530.080000000002</v>
      </c>
      <c r="Q143" s="232">
        <f t="shared" si="3"/>
        <v>0</v>
      </c>
      <c r="R143" s="141"/>
    </row>
    <row r="144" spans="1:18" s="13" customFormat="1" x14ac:dyDescent="0.25">
      <c r="A144" s="229"/>
      <c r="B144" s="27" t="s">
        <v>86</v>
      </c>
      <c r="C144" s="181" t="s">
        <v>17</v>
      </c>
      <c r="D144" s="182"/>
      <c r="E144" s="194" t="s">
        <v>20</v>
      </c>
      <c r="F144" s="73" t="s">
        <v>465</v>
      </c>
      <c r="G144" s="230" t="s">
        <v>114</v>
      </c>
      <c r="H144" s="181">
        <v>5</v>
      </c>
      <c r="I144" s="231">
        <v>1</v>
      </c>
      <c r="J144" s="190">
        <v>1</v>
      </c>
      <c r="K144" s="77">
        <v>3933.72</v>
      </c>
      <c r="L144" s="77"/>
      <c r="M144" s="187">
        <f t="shared" si="4"/>
        <v>3933.72</v>
      </c>
      <c r="N144" s="100">
        <v>9</v>
      </c>
      <c r="O144" s="224">
        <v>15209.53</v>
      </c>
      <c r="P144" s="224">
        <v>15209.53</v>
      </c>
      <c r="Q144" s="232">
        <f t="shared" si="3"/>
        <v>0</v>
      </c>
    </row>
    <row r="145" spans="1:18" s="13" customFormat="1" x14ac:dyDescent="0.25">
      <c r="A145" s="229"/>
      <c r="B145" s="62" t="s">
        <v>312</v>
      </c>
      <c r="C145" s="181" t="s">
        <v>17</v>
      </c>
      <c r="D145" s="182"/>
      <c r="E145" s="194" t="s">
        <v>20</v>
      </c>
      <c r="F145" s="73" t="s">
        <v>320</v>
      </c>
      <c r="G145" s="74" t="s">
        <v>112</v>
      </c>
      <c r="H145" s="75">
        <v>14</v>
      </c>
      <c r="I145" s="76">
        <v>5</v>
      </c>
      <c r="J145" s="96">
        <f>1+1+1+2+3</f>
        <v>8</v>
      </c>
      <c r="K145" s="77">
        <f>3319.49+845.24+4965.79</f>
        <v>9130.52</v>
      </c>
      <c r="L145" s="77">
        <f>3319.49+845.24+4965.79</f>
        <v>9130.52</v>
      </c>
      <c r="M145" s="78">
        <f t="shared" si="4"/>
        <v>0</v>
      </c>
      <c r="N145" s="100">
        <f>5+6+1+1</f>
        <v>13</v>
      </c>
      <c r="O145" s="81">
        <f>4226.2+6627.45+4360.59</f>
        <v>15214.24</v>
      </c>
      <c r="P145" s="81">
        <f>4226.2+6627.45+4360.59</f>
        <v>15214.24</v>
      </c>
      <c r="Q145" s="232">
        <f t="shared" si="3"/>
        <v>0</v>
      </c>
      <c r="R145" s="141"/>
    </row>
    <row r="146" spans="1:18" s="13" customFormat="1" x14ac:dyDescent="0.25">
      <c r="A146" s="229"/>
      <c r="B146" s="62" t="s">
        <v>494</v>
      </c>
      <c r="C146" s="181" t="s">
        <v>17</v>
      </c>
      <c r="D146" s="182"/>
      <c r="E146" s="194" t="s">
        <v>20</v>
      </c>
      <c r="F146" s="73" t="s">
        <v>497</v>
      </c>
      <c r="G146" s="74" t="s">
        <v>112</v>
      </c>
      <c r="H146" s="75">
        <v>13</v>
      </c>
      <c r="I146" s="76">
        <v>7</v>
      </c>
      <c r="J146" s="96">
        <f>1+1+1+1+2+1+2</f>
        <v>9</v>
      </c>
      <c r="K146" s="77">
        <f>3379+5494.06+576.3+2417.43+3057.66</f>
        <v>14924.45</v>
      </c>
      <c r="L146" s="77">
        <f>3379+5494.06+576.3+2417.43+3057.66</f>
        <v>14924.45</v>
      </c>
      <c r="M146" s="78">
        <f t="shared" si="4"/>
        <v>0</v>
      </c>
      <c r="N146" s="100"/>
      <c r="O146" s="81"/>
      <c r="P146" s="81"/>
      <c r="Q146" s="232">
        <f t="shared" ref="Q146:Q188" si="13">O146-P146</f>
        <v>0</v>
      </c>
      <c r="R146" s="141"/>
    </row>
    <row r="147" spans="1:18" s="13" customFormat="1" x14ac:dyDescent="0.25">
      <c r="A147" s="229"/>
      <c r="B147" s="62" t="s">
        <v>494</v>
      </c>
      <c r="C147" s="181" t="s">
        <v>17</v>
      </c>
      <c r="D147" s="182"/>
      <c r="E147" s="194" t="s">
        <v>20</v>
      </c>
      <c r="F147" s="73" t="s">
        <v>507</v>
      </c>
      <c r="G147" s="74" t="s">
        <v>114</v>
      </c>
      <c r="H147" s="75">
        <v>30</v>
      </c>
      <c r="I147" s="76">
        <v>4</v>
      </c>
      <c r="J147" s="96">
        <v>4</v>
      </c>
      <c r="K147" s="77">
        <v>8300.42</v>
      </c>
      <c r="L147" s="77">
        <v>8300.42</v>
      </c>
      <c r="M147" s="187">
        <f t="shared" si="4"/>
        <v>0</v>
      </c>
      <c r="N147" s="100"/>
      <c r="O147" s="81"/>
      <c r="P147" s="81"/>
      <c r="Q147" s="232">
        <f t="shared" si="13"/>
        <v>0</v>
      </c>
      <c r="R147" s="141"/>
    </row>
    <row r="148" spans="1:18" s="13" customFormat="1" x14ac:dyDescent="0.25">
      <c r="A148" s="229"/>
      <c r="B148" s="30" t="s">
        <v>88</v>
      </c>
      <c r="C148" s="181" t="s">
        <v>17</v>
      </c>
      <c r="D148" s="182"/>
      <c r="E148" s="183" t="s">
        <v>89</v>
      </c>
      <c r="F148" s="73" t="s">
        <v>397</v>
      </c>
      <c r="G148" s="74" t="s">
        <v>112</v>
      </c>
      <c r="H148" s="75">
        <v>15</v>
      </c>
      <c r="I148" s="76">
        <v>7</v>
      </c>
      <c r="J148" s="96">
        <f>1+3+1+2</f>
        <v>7</v>
      </c>
      <c r="K148" s="77">
        <f>4226.2+2394.91+6485.1+556.71+4126.31</f>
        <v>17789.23</v>
      </c>
      <c r="L148" s="77">
        <f>4226.2+2394.91+6485.1+556.71+4126.31</f>
        <v>17789.23</v>
      </c>
      <c r="M148" s="78">
        <f>K148-L148</f>
        <v>0</v>
      </c>
      <c r="N148" s="100">
        <f>4+1+3+1+2+2+1+1+2</f>
        <v>17</v>
      </c>
      <c r="O148" s="81">
        <f>11967.83+2831.55+10544.37+9418.99+3799.13+1798.04+2548.4-12193.52+4083.77</f>
        <v>34798.559999999998</v>
      </c>
      <c r="P148" s="81">
        <f>11967.83+2831.55+10544.37+9418.99+3799.13+1798.04+2548.4-12193.52+4083.77</f>
        <v>34798.559999999998</v>
      </c>
      <c r="Q148" s="79">
        <f t="shared" si="13"/>
        <v>0</v>
      </c>
      <c r="R148" s="141"/>
    </row>
    <row r="149" spans="1:18" s="13" customFormat="1" x14ac:dyDescent="0.25">
      <c r="A149" s="229"/>
      <c r="B149" s="30" t="s">
        <v>88</v>
      </c>
      <c r="C149" s="181" t="s">
        <v>17</v>
      </c>
      <c r="D149" s="182"/>
      <c r="E149" s="183" t="s">
        <v>89</v>
      </c>
      <c r="F149" s="73" t="s">
        <v>442</v>
      </c>
      <c r="G149" s="230" t="s">
        <v>118</v>
      </c>
      <c r="H149" s="181">
        <v>7</v>
      </c>
      <c r="I149" s="231"/>
      <c r="J149" s="96"/>
      <c r="K149" s="77"/>
      <c r="L149" s="77"/>
      <c r="M149" s="187">
        <f t="shared" si="4"/>
        <v>0</v>
      </c>
      <c r="N149" s="100">
        <v>3</v>
      </c>
      <c r="O149" s="224">
        <v>11020.82</v>
      </c>
      <c r="P149" s="224">
        <v>11020.82</v>
      </c>
      <c r="Q149" s="232">
        <f t="shared" si="13"/>
        <v>0</v>
      </c>
    </row>
    <row r="150" spans="1:18" s="13" customFormat="1" x14ac:dyDescent="0.25">
      <c r="A150" s="229"/>
      <c r="B150" s="30" t="s">
        <v>88</v>
      </c>
      <c r="C150" s="181" t="s">
        <v>17</v>
      </c>
      <c r="D150" s="182"/>
      <c r="E150" s="194" t="s">
        <v>505</v>
      </c>
      <c r="F150" s="73" t="s">
        <v>506</v>
      </c>
      <c r="G150" s="230" t="s">
        <v>114</v>
      </c>
      <c r="H150" s="181">
        <v>5</v>
      </c>
      <c r="I150" s="231">
        <v>1</v>
      </c>
      <c r="J150" s="96">
        <v>1</v>
      </c>
      <c r="K150" s="77">
        <v>3763.9</v>
      </c>
      <c r="L150" s="77">
        <v>3763.9</v>
      </c>
      <c r="M150" s="187">
        <f t="shared" si="4"/>
        <v>0</v>
      </c>
      <c r="N150" s="100"/>
      <c r="O150" s="224"/>
      <c r="P150" s="224"/>
      <c r="Q150" s="232">
        <f t="shared" si="13"/>
        <v>0</v>
      </c>
    </row>
    <row r="151" spans="1:18" s="13" customFormat="1" x14ac:dyDescent="0.25">
      <c r="A151" s="229"/>
      <c r="B151" s="30" t="s">
        <v>90</v>
      </c>
      <c r="C151" s="181" t="s">
        <v>17</v>
      </c>
      <c r="D151" s="182"/>
      <c r="E151" s="194" t="s">
        <v>20</v>
      </c>
      <c r="F151" s="73" t="s">
        <v>398</v>
      </c>
      <c r="G151" s="74" t="s">
        <v>112</v>
      </c>
      <c r="H151" s="75">
        <v>9</v>
      </c>
      <c r="I151" s="76">
        <v>6</v>
      </c>
      <c r="J151" s="96">
        <f>1+1+1+4</f>
        <v>7</v>
      </c>
      <c r="K151" s="77">
        <f>422.62+4662.44+7580.13</f>
        <v>12665.189999999999</v>
      </c>
      <c r="L151" s="77">
        <f>422.62+4662.44+7580.13</f>
        <v>12665.189999999999</v>
      </c>
      <c r="M151" s="78">
        <f>K151-L151</f>
        <v>0</v>
      </c>
      <c r="N151" s="100">
        <f>1+1+1+1+2</f>
        <v>6</v>
      </c>
      <c r="O151" s="81">
        <f>2122.67+787.61+15453.48+6194.26</f>
        <v>24558.019999999997</v>
      </c>
      <c r="P151" s="81">
        <f>2122.67+787.61+15453.48+6194.26</f>
        <v>24558.019999999997</v>
      </c>
      <c r="Q151" s="79">
        <f t="shared" si="13"/>
        <v>0</v>
      </c>
      <c r="R151" s="141"/>
    </row>
    <row r="152" spans="1:18" s="13" customFormat="1" x14ac:dyDescent="0.25">
      <c r="A152" s="229"/>
      <c r="B152" s="30" t="s">
        <v>90</v>
      </c>
      <c r="C152" s="181" t="s">
        <v>17</v>
      </c>
      <c r="D152" s="182"/>
      <c r="E152" s="194" t="s">
        <v>20</v>
      </c>
      <c r="F152" s="73" t="s">
        <v>466</v>
      </c>
      <c r="G152" s="230" t="s">
        <v>114</v>
      </c>
      <c r="H152" s="181">
        <v>15</v>
      </c>
      <c r="I152" s="231">
        <v>4</v>
      </c>
      <c r="J152" s="190">
        <v>4</v>
      </c>
      <c r="K152" s="77">
        <v>10468.56</v>
      </c>
      <c r="L152" s="77">
        <v>10468.56</v>
      </c>
      <c r="M152" s="187">
        <f t="shared" ref="M152" si="14">K152-L152</f>
        <v>0</v>
      </c>
      <c r="N152" s="100">
        <v>25</v>
      </c>
      <c r="O152" s="224">
        <v>81936.800000000003</v>
      </c>
      <c r="P152" s="224">
        <v>81936.800000000003</v>
      </c>
      <c r="Q152" s="232">
        <f t="shared" si="13"/>
        <v>0</v>
      </c>
    </row>
    <row r="153" spans="1:18" s="13" customFormat="1" x14ac:dyDescent="0.25">
      <c r="A153" s="229"/>
      <c r="B153" s="30" t="s">
        <v>91</v>
      </c>
      <c r="C153" s="181" t="s">
        <v>17</v>
      </c>
      <c r="D153" s="182"/>
      <c r="E153" s="194" t="s">
        <v>20</v>
      </c>
      <c r="F153" s="73" t="s">
        <v>399</v>
      </c>
      <c r="G153" s="74" t="s">
        <v>112</v>
      </c>
      <c r="H153" s="75"/>
      <c r="I153" s="76"/>
      <c r="J153" s="96"/>
      <c r="K153" s="77"/>
      <c r="L153" s="77"/>
      <c r="M153" s="78">
        <f>K153-L153</f>
        <v>0</v>
      </c>
      <c r="N153" s="100"/>
      <c r="O153" s="81"/>
      <c r="P153" s="81"/>
      <c r="Q153" s="79">
        <f t="shared" si="13"/>
        <v>0</v>
      </c>
      <c r="R153" s="141"/>
    </row>
    <row r="154" spans="1:18" s="13" customFormat="1" x14ac:dyDescent="0.25">
      <c r="A154" s="229"/>
      <c r="B154" s="62" t="s">
        <v>138</v>
      </c>
      <c r="C154" s="181" t="s">
        <v>17</v>
      </c>
      <c r="D154" s="182"/>
      <c r="E154" s="194" t="s">
        <v>20</v>
      </c>
      <c r="F154" s="73" t="s">
        <v>467</v>
      </c>
      <c r="G154" s="230" t="s">
        <v>114</v>
      </c>
      <c r="H154" s="181">
        <v>8</v>
      </c>
      <c r="I154" s="231">
        <v>3</v>
      </c>
      <c r="J154" s="190">
        <v>3</v>
      </c>
      <c r="K154" s="193">
        <v>5542.2</v>
      </c>
      <c r="L154" s="193">
        <v>5542.2</v>
      </c>
      <c r="M154" s="187">
        <f t="shared" ref="M154" si="15">K154-L154</f>
        <v>0</v>
      </c>
      <c r="N154" s="114">
        <v>7</v>
      </c>
      <c r="O154" s="224">
        <v>16429.099999999999</v>
      </c>
      <c r="P154" s="224">
        <v>16429.099999999999</v>
      </c>
      <c r="Q154" s="232">
        <f t="shared" si="13"/>
        <v>0</v>
      </c>
    </row>
    <row r="155" spans="1:18" s="13" customFormat="1" x14ac:dyDescent="0.25">
      <c r="A155" s="229"/>
      <c r="B155" s="62" t="s">
        <v>138</v>
      </c>
      <c r="C155" s="181" t="s">
        <v>17</v>
      </c>
      <c r="D155" s="182"/>
      <c r="E155" s="194" t="s">
        <v>20</v>
      </c>
      <c r="F155" s="73" t="s">
        <v>400</v>
      </c>
      <c r="G155" s="74" t="s">
        <v>112</v>
      </c>
      <c r="H155" s="75">
        <v>10</v>
      </c>
      <c r="I155" s="82">
        <v>6</v>
      </c>
      <c r="J155" s="96">
        <f>3+1+1+2</f>
        <v>7</v>
      </c>
      <c r="K155" s="77">
        <f>2224.52+9639.33+3232.07+1625.67</f>
        <v>16721.59</v>
      </c>
      <c r="L155" s="77">
        <f>2224.52+9639.33+3232.07+1625.67</f>
        <v>16721.59</v>
      </c>
      <c r="M155" s="78">
        <f t="shared" si="4"/>
        <v>0</v>
      </c>
      <c r="N155" s="100">
        <f>5+4+2</f>
        <v>11</v>
      </c>
      <c r="O155" s="81">
        <f>8995.87+8641.99+5740.02</f>
        <v>23377.88</v>
      </c>
      <c r="P155" s="81">
        <f>8995.87+8641.99+5740.02</f>
        <v>23377.88</v>
      </c>
      <c r="Q155" s="79">
        <f t="shared" si="13"/>
        <v>0</v>
      </c>
      <c r="R155" s="141"/>
    </row>
    <row r="156" spans="1:18" s="13" customFormat="1" x14ac:dyDescent="0.25">
      <c r="A156" s="229"/>
      <c r="B156" s="62" t="s">
        <v>157</v>
      </c>
      <c r="C156" s="181" t="s">
        <v>17</v>
      </c>
      <c r="D156" s="182"/>
      <c r="E156" s="194" t="s">
        <v>20</v>
      </c>
      <c r="F156" s="73" t="s">
        <v>401</v>
      </c>
      <c r="G156" s="74" t="s">
        <v>112</v>
      </c>
      <c r="H156" s="75">
        <v>11</v>
      </c>
      <c r="I156" s="82"/>
      <c r="J156" s="96"/>
      <c r="K156" s="77"/>
      <c r="L156" s="77"/>
      <c r="M156" s="78">
        <f t="shared" ref="M156:M186" si="16">K156-L156</f>
        <v>0</v>
      </c>
      <c r="N156" s="100"/>
      <c r="O156" s="81"/>
      <c r="P156" s="81"/>
      <c r="Q156" s="232">
        <f t="shared" si="13"/>
        <v>0</v>
      </c>
      <c r="R156" s="141"/>
    </row>
    <row r="157" spans="1:18" s="15" customFormat="1" x14ac:dyDescent="0.25">
      <c r="A157" s="229"/>
      <c r="B157" s="62" t="s">
        <v>92</v>
      </c>
      <c r="C157" s="181" t="s">
        <v>17</v>
      </c>
      <c r="D157" s="182"/>
      <c r="E157" s="194" t="s">
        <v>20</v>
      </c>
      <c r="F157" s="73" t="s">
        <v>402</v>
      </c>
      <c r="G157" s="74" t="s">
        <v>112</v>
      </c>
      <c r="H157" s="75">
        <v>10</v>
      </c>
      <c r="I157" s="76">
        <v>8</v>
      </c>
      <c r="J157" s="96">
        <f>1+2+5</f>
        <v>8</v>
      </c>
      <c r="K157" s="77">
        <f>1951.74+1335.1+2996.76</f>
        <v>6283.6</v>
      </c>
      <c r="L157" s="77">
        <f>1951.74+1335.1+2996.76</f>
        <v>6283.6</v>
      </c>
      <c r="M157" s="78">
        <f>K157-L157</f>
        <v>0</v>
      </c>
      <c r="N157" s="100">
        <f>4+1+1</f>
        <v>6</v>
      </c>
      <c r="O157" s="81">
        <f>12624.74+2697.06+1225.93</f>
        <v>16547.73</v>
      </c>
      <c r="P157" s="81">
        <f>12624.74+2697.06+1225.93</f>
        <v>16547.73</v>
      </c>
      <c r="Q157" s="232">
        <f t="shared" si="13"/>
        <v>0</v>
      </c>
      <c r="R157" s="141"/>
    </row>
    <row r="158" spans="1:18" s="15" customFormat="1" x14ac:dyDescent="0.25">
      <c r="A158" s="229"/>
      <c r="B158" s="62" t="s">
        <v>92</v>
      </c>
      <c r="C158" s="181" t="s">
        <v>17</v>
      </c>
      <c r="D158" s="182"/>
      <c r="E158" s="194" t="s">
        <v>20</v>
      </c>
      <c r="F158" s="73" t="s">
        <v>129</v>
      </c>
      <c r="G158" s="230" t="s">
        <v>114</v>
      </c>
      <c r="H158" s="181"/>
      <c r="I158" s="231"/>
      <c r="J158" s="190"/>
      <c r="K158" s="77"/>
      <c r="L158" s="77"/>
      <c r="M158" s="187">
        <f t="shared" ref="M158" si="17">K158-L158</f>
        <v>0</v>
      </c>
      <c r="N158" s="114"/>
      <c r="O158" s="224"/>
      <c r="P158" s="224"/>
      <c r="Q158" s="232">
        <f t="shared" si="13"/>
        <v>0</v>
      </c>
    </row>
    <row r="159" spans="1:18" s="13" customFormat="1" x14ac:dyDescent="0.25">
      <c r="A159" s="229"/>
      <c r="B159" s="30" t="s">
        <v>93</v>
      </c>
      <c r="C159" s="181" t="s">
        <v>17</v>
      </c>
      <c r="D159" s="182"/>
      <c r="E159" s="183" t="s">
        <v>94</v>
      </c>
      <c r="F159" s="73" t="s">
        <v>403</v>
      </c>
      <c r="G159" s="74" t="s">
        <v>112</v>
      </c>
      <c r="H159" s="75">
        <v>7</v>
      </c>
      <c r="I159" s="76">
        <v>2</v>
      </c>
      <c r="J159" s="96">
        <f>2</f>
        <v>2</v>
      </c>
      <c r="K159" s="77">
        <f>2336.84</f>
        <v>2336.84</v>
      </c>
      <c r="L159" s="77">
        <f>2336.84</f>
        <v>2336.84</v>
      </c>
      <c r="M159" s="78">
        <f>K159-L159</f>
        <v>0</v>
      </c>
      <c r="N159" s="100">
        <f>3+8</f>
        <v>11</v>
      </c>
      <c r="O159" s="81">
        <f>20117.75</f>
        <v>20117.75</v>
      </c>
      <c r="P159" s="81">
        <f>20117.75</f>
        <v>20117.75</v>
      </c>
      <c r="Q159" s="232">
        <f t="shared" si="13"/>
        <v>0</v>
      </c>
      <c r="R159" s="141"/>
    </row>
    <row r="160" spans="1:18" s="13" customFormat="1" x14ac:dyDescent="0.25">
      <c r="A160" s="229"/>
      <c r="B160" s="30" t="s">
        <v>93</v>
      </c>
      <c r="C160" s="181" t="s">
        <v>17</v>
      </c>
      <c r="D160" s="182"/>
      <c r="E160" s="183" t="s">
        <v>94</v>
      </c>
      <c r="F160" s="73" t="s">
        <v>130</v>
      </c>
      <c r="G160" s="230" t="s">
        <v>114</v>
      </c>
      <c r="H160" s="181"/>
      <c r="I160" s="231"/>
      <c r="J160" s="190"/>
      <c r="K160" s="77"/>
      <c r="L160" s="77"/>
      <c r="M160" s="187">
        <f t="shared" ref="M160" si="18">K160-L160</f>
        <v>0</v>
      </c>
      <c r="N160" s="100"/>
      <c r="O160" s="224"/>
      <c r="P160" s="224"/>
      <c r="Q160" s="232">
        <f t="shared" si="13"/>
        <v>0</v>
      </c>
    </row>
    <row r="161" spans="1:18" s="13" customFormat="1" x14ac:dyDescent="0.25">
      <c r="A161" s="229"/>
      <c r="B161" s="30" t="s">
        <v>93</v>
      </c>
      <c r="C161" s="181" t="s">
        <v>17</v>
      </c>
      <c r="D161" s="182"/>
      <c r="E161" s="183" t="s">
        <v>94</v>
      </c>
      <c r="F161" s="73" t="s">
        <v>240</v>
      </c>
      <c r="G161" s="230" t="s">
        <v>118</v>
      </c>
      <c r="H161" s="181"/>
      <c r="I161" s="231"/>
      <c r="J161" s="96"/>
      <c r="K161" s="77"/>
      <c r="L161" s="77"/>
      <c r="M161" s="78">
        <f t="shared" si="16"/>
        <v>0</v>
      </c>
      <c r="N161" s="100"/>
      <c r="O161" s="224"/>
      <c r="P161" s="224"/>
      <c r="Q161" s="232">
        <f t="shared" si="13"/>
        <v>0</v>
      </c>
    </row>
    <row r="162" spans="1:18" s="13" customFormat="1" x14ac:dyDescent="0.25">
      <c r="A162" s="229"/>
      <c r="B162" s="30" t="s">
        <v>95</v>
      </c>
      <c r="C162" s="181" t="s">
        <v>17</v>
      </c>
      <c r="D162" s="182"/>
      <c r="E162" s="194" t="s">
        <v>20</v>
      </c>
      <c r="F162" s="73" t="s">
        <v>404</v>
      </c>
      <c r="G162" s="74" t="s">
        <v>112</v>
      </c>
      <c r="H162" s="75">
        <v>16</v>
      </c>
      <c r="I162" s="76">
        <v>10</v>
      </c>
      <c r="J162" s="96">
        <f>1+4+4+5+2</f>
        <v>16</v>
      </c>
      <c r="K162" s="77">
        <f>1061.35+5770.05+5238.9</f>
        <v>12070.3</v>
      </c>
      <c r="L162" s="77">
        <f>1061.35+5770.05+5238.9</f>
        <v>12070.3</v>
      </c>
      <c r="M162" s="78">
        <f>K162-L162</f>
        <v>0</v>
      </c>
      <c r="N162" s="100">
        <f>1+6+1+4+1+1</f>
        <v>14</v>
      </c>
      <c r="O162" s="81">
        <f>11603.82+7559.28+6777.29+24757.02</f>
        <v>50697.41</v>
      </c>
      <c r="P162" s="81">
        <f>11603.82+7559.28+6777.29+24757.02</f>
        <v>50697.41</v>
      </c>
      <c r="Q162" s="79">
        <f t="shared" si="13"/>
        <v>0</v>
      </c>
      <c r="R162" s="141"/>
    </row>
    <row r="163" spans="1:18" s="13" customFormat="1" x14ac:dyDescent="0.25">
      <c r="A163" s="229"/>
      <c r="B163" s="30" t="s">
        <v>95</v>
      </c>
      <c r="C163" s="181" t="s">
        <v>17</v>
      </c>
      <c r="D163" s="182"/>
      <c r="E163" s="194" t="s">
        <v>20</v>
      </c>
      <c r="F163" s="73" t="s">
        <v>291</v>
      </c>
      <c r="G163" s="230" t="s">
        <v>114</v>
      </c>
      <c r="H163" s="181">
        <v>8</v>
      </c>
      <c r="I163" s="231">
        <v>2</v>
      </c>
      <c r="J163" s="190">
        <v>2</v>
      </c>
      <c r="K163" s="77">
        <v>2356.8000000000002</v>
      </c>
      <c r="L163" s="77">
        <v>2356.8000000000002</v>
      </c>
      <c r="M163" s="187">
        <f t="shared" ref="M163" si="19">K163-L163</f>
        <v>0</v>
      </c>
      <c r="N163" s="100">
        <v>12</v>
      </c>
      <c r="O163" s="224">
        <v>29189.15</v>
      </c>
      <c r="P163" s="224">
        <v>29189.15</v>
      </c>
      <c r="Q163" s="232">
        <f t="shared" si="13"/>
        <v>0</v>
      </c>
    </row>
    <row r="164" spans="1:18" s="13" customFormat="1" x14ac:dyDescent="0.25">
      <c r="A164" s="229"/>
      <c r="B164" s="30" t="s">
        <v>96</v>
      </c>
      <c r="C164" s="181" t="s">
        <v>17</v>
      </c>
      <c r="D164" s="182"/>
      <c r="E164" s="194" t="s">
        <v>97</v>
      </c>
      <c r="F164" s="73" t="s">
        <v>405</v>
      </c>
      <c r="G164" s="74" t="s">
        <v>112</v>
      </c>
      <c r="H164" s="75">
        <v>1</v>
      </c>
      <c r="I164" s="76">
        <v>1</v>
      </c>
      <c r="J164" s="96">
        <f>2</f>
        <v>2</v>
      </c>
      <c r="K164" s="77"/>
      <c r="L164" s="77"/>
      <c r="M164" s="78">
        <f>K164-L164</f>
        <v>0</v>
      </c>
      <c r="N164" s="103">
        <f>1+2+1</f>
        <v>4</v>
      </c>
      <c r="O164" s="77">
        <f>1742.31+9358.48</f>
        <v>11100.789999999999</v>
      </c>
      <c r="P164" s="77">
        <f>1742.31+9358.48</f>
        <v>11100.789999999999</v>
      </c>
      <c r="Q164" s="79">
        <f t="shared" si="13"/>
        <v>0</v>
      </c>
      <c r="R164" s="141"/>
    </row>
    <row r="165" spans="1:18" s="13" customFormat="1" x14ac:dyDescent="0.25">
      <c r="A165" s="229"/>
      <c r="B165" s="30" t="s">
        <v>96</v>
      </c>
      <c r="C165" s="181" t="s">
        <v>17</v>
      </c>
      <c r="D165" s="182"/>
      <c r="E165" s="194" t="s">
        <v>97</v>
      </c>
      <c r="F165" s="73" t="s">
        <v>468</v>
      </c>
      <c r="G165" s="230" t="s">
        <v>114</v>
      </c>
      <c r="H165" s="181">
        <v>1</v>
      </c>
      <c r="I165" s="231"/>
      <c r="J165" s="190"/>
      <c r="K165" s="77"/>
      <c r="L165" s="77"/>
      <c r="M165" s="187">
        <f t="shared" ref="M165" si="20">K165-L165</f>
        <v>0</v>
      </c>
      <c r="N165" s="100">
        <v>4</v>
      </c>
      <c r="O165" s="224">
        <v>8676.6</v>
      </c>
      <c r="P165" s="224">
        <v>8676.6</v>
      </c>
      <c r="Q165" s="232">
        <f t="shared" si="13"/>
        <v>0</v>
      </c>
    </row>
    <row r="166" spans="1:18" s="13" customFormat="1" x14ac:dyDescent="0.25">
      <c r="A166" s="229"/>
      <c r="B166" s="30" t="s">
        <v>98</v>
      </c>
      <c r="C166" s="181" t="s">
        <v>17</v>
      </c>
      <c r="D166" s="182"/>
      <c r="E166" s="194" t="s">
        <v>35</v>
      </c>
      <c r="F166" s="73" t="s">
        <v>406</v>
      </c>
      <c r="G166" s="74" t="s">
        <v>112</v>
      </c>
      <c r="H166" s="75">
        <v>26</v>
      </c>
      <c r="I166" s="76">
        <v>20</v>
      </c>
      <c r="J166" s="96">
        <f>1+2+1+1+4+4+1</f>
        <v>14</v>
      </c>
      <c r="K166" s="77">
        <f>845.24+1764.25+8353.03+1298.98+7610.68+13826.64+2752.31+9720.26+116979.76-2616.91</f>
        <v>160534.24</v>
      </c>
      <c r="L166" s="77">
        <f>845.24+1764.25+8353.03+1298.98+7610.68+13826.64+2752.31+9720.26+116979.76-2616.91</f>
        <v>160534.24</v>
      </c>
      <c r="M166" s="78">
        <f>K166-L166</f>
        <v>0</v>
      </c>
      <c r="N166" s="100">
        <f>9+1+1+4+2+1+2+4+2+1</f>
        <v>27</v>
      </c>
      <c r="O166" s="81">
        <f>73585.55+12034.56+5680.01-5067.39</f>
        <v>86232.73</v>
      </c>
      <c r="P166" s="81">
        <f>73585.55+12034.56+5680.01-5067.39</f>
        <v>86232.73</v>
      </c>
      <c r="Q166" s="79">
        <f t="shared" si="13"/>
        <v>0</v>
      </c>
      <c r="R166" s="141"/>
    </row>
    <row r="167" spans="1:18" s="13" customFormat="1" x14ac:dyDescent="0.25">
      <c r="A167" s="229"/>
      <c r="B167" s="30" t="s">
        <v>98</v>
      </c>
      <c r="C167" s="181" t="s">
        <v>17</v>
      </c>
      <c r="D167" s="182"/>
      <c r="E167" s="194" t="s">
        <v>35</v>
      </c>
      <c r="F167" s="73" t="s">
        <v>435</v>
      </c>
      <c r="G167" s="235" t="s">
        <v>117</v>
      </c>
      <c r="H167" s="181">
        <v>3</v>
      </c>
      <c r="I167" s="231">
        <v>2</v>
      </c>
      <c r="J167" s="96">
        <v>2</v>
      </c>
      <c r="K167" s="77">
        <v>2486.83</v>
      </c>
      <c r="L167" s="77">
        <v>2486.83</v>
      </c>
      <c r="M167" s="78">
        <f t="shared" si="16"/>
        <v>0</v>
      </c>
      <c r="N167" s="100">
        <v>5</v>
      </c>
      <c r="O167" s="77">
        <v>18950.45</v>
      </c>
      <c r="P167" s="77">
        <v>18950.45</v>
      </c>
      <c r="Q167" s="232">
        <f t="shared" si="13"/>
        <v>0</v>
      </c>
    </row>
    <row r="168" spans="1:18" s="13" customFormat="1" x14ac:dyDescent="0.25">
      <c r="A168" s="229"/>
      <c r="B168" s="30" t="s">
        <v>488</v>
      </c>
      <c r="C168" s="181" t="s">
        <v>17</v>
      </c>
      <c r="D168" s="182"/>
      <c r="E168" s="194" t="s">
        <v>97</v>
      </c>
      <c r="F168" s="73" t="s">
        <v>498</v>
      </c>
      <c r="G168" s="235" t="s">
        <v>112</v>
      </c>
      <c r="H168" s="181">
        <v>12</v>
      </c>
      <c r="I168" s="231">
        <v>5</v>
      </c>
      <c r="J168" s="96">
        <f>4+1</f>
        <v>5</v>
      </c>
      <c r="K168" s="77">
        <f>1535.8+576.3</f>
        <v>2112.1</v>
      </c>
      <c r="L168" s="77">
        <f>1535.8+576.3</f>
        <v>2112.1</v>
      </c>
      <c r="M168" s="78">
        <f t="shared" si="16"/>
        <v>0</v>
      </c>
      <c r="N168" s="100"/>
      <c r="O168" s="77"/>
      <c r="P168" s="77"/>
      <c r="Q168" s="232"/>
    </row>
    <row r="169" spans="1:18" s="15" customFormat="1" x14ac:dyDescent="0.25">
      <c r="A169" s="229"/>
      <c r="B169" s="30" t="s">
        <v>99</v>
      </c>
      <c r="C169" s="181" t="s">
        <v>17</v>
      </c>
      <c r="D169" s="182"/>
      <c r="E169" s="183" t="s">
        <v>32</v>
      </c>
      <c r="F169" s="73" t="s">
        <v>418</v>
      </c>
      <c r="G169" s="74" t="s">
        <v>112</v>
      </c>
      <c r="H169" s="75"/>
      <c r="I169" s="76"/>
      <c r="J169" s="96"/>
      <c r="K169" s="77"/>
      <c r="L169" s="77"/>
      <c r="M169" s="78">
        <f t="shared" si="16"/>
        <v>0</v>
      </c>
      <c r="N169" s="100"/>
      <c r="O169" s="81"/>
      <c r="P169" s="81"/>
      <c r="Q169" s="79">
        <f t="shared" si="13"/>
        <v>0</v>
      </c>
      <c r="R169" s="141"/>
    </row>
    <row r="170" spans="1:18" s="15" customFormat="1" x14ac:dyDescent="0.25">
      <c r="A170" s="229"/>
      <c r="B170" s="30" t="s">
        <v>99</v>
      </c>
      <c r="C170" s="181" t="s">
        <v>17</v>
      </c>
      <c r="D170" s="182"/>
      <c r="E170" s="183" t="s">
        <v>32</v>
      </c>
      <c r="F170" s="73" t="s">
        <v>423</v>
      </c>
      <c r="G170" s="235" t="s">
        <v>117</v>
      </c>
      <c r="H170" s="181"/>
      <c r="I170" s="231"/>
      <c r="J170" s="190"/>
      <c r="K170" s="77"/>
      <c r="L170" s="77"/>
      <c r="M170" s="78">
        <f t="shared" si="16"/>
        <v>0</v>
      </c>
      <c r="N170" s="114"/>
      <c r="O170" s="77"/>
      <c r="P170" s="77"/>
      <c r="Q170" s="232">
        <f t="shared" si="13"/>
        <v>0</v>
      </c>
    </row>
    <row r="171" spans="1:18" s="15" customFormat="1" ht="30" x14ac:dyDescent="0.25">
      <c r="A171" s="229"/>
      <c r="B171" s="30" t="s">
        <v>144</v>
      </c>
      <c r="C171" s="181" t="s">
        <v>304</v>
      </c>
      <c r="D171" s="182" t="s">
        <v>313</v>
      </c>
      <c r="E171" s="194" t="s">
        <v>97</v>
      </c>
      <c r="F171" s="73" t="s">
        <v>407</v>
      </c>
      <c r="G171" s="66" t="s">
        <v>112</v>
      </c>
      <c r="H171" s="75">
        <v>16</v>
      </c>
      <c r="I171" s="76">
        <v>14</v>
      </c>
      <c r="J171" s="98">
        <f>2+2+1+3+1+1+5+2+1</f>
        <v>18</v>
      </c>
      <c r="K171" s="77">
        <f>950.9+1449.39+2272.32+2785.92+5112.01+6655.23</f>
        <v>19225.77</v>
      </c>
      <c r="L171" s="77">
        <f>950.9+1449.39+2272.32+2785.92+5112.01+6655.23</f>
        <v>19225.77</v>
      </c>
      <c r="M171" s="78">
        <f>K171-L171</f>
        <v>0</v>
      </c>
      <c r="N171" s="100">
        <f>3+2+1+1+1+1</f>
        <v>9</v>
      </c>
      <c r="O171" s="77">
        <f>5020.57+5566.06+2694.94+845.24</f>
        <v>14126.810000000001</v>
      </c>
      <c r="P171" s="77">
        <f>5020.57+5566.06+2694.94+845.24</f>
        <v>14126.810000000001</v>
      </c>
      <c r="Q171" s="79">
        <f t="shared" si="13"/>
        <v>0</v>
      </c>
      <c r="R171" s="141"/>
    </row>
    <row r="172" spans="1:18" s="15" customFormat="1" x14ac:dyDescent="0.25">
      <c r="A172" s="229"/>
      <c r="B172" s="30" t="s">
        <v>488</v>
      </c>
      <c r="C172" s="181"/>
      <c r="D172" s="182"/>
      <c r="E172" s="194"/>
      <c r="F172" s="73" t="s">
        <v>509</v>
      </c>
      <c r="G172" s="66" t="s">
        <v>114</v>
      </c>
      <c r="H172" s="75">
        <v>22</v>
      </c>
      <c r="I172" s="76">
        <v>8</v>
      </c>
      <c r="J172" s="98">
        <v>8</v>
      </c>
      <c r="K172" s="77">
        <v>13216.48</v>
      </c>
      <c r="L172" s="77">
        <v>13216.48</v>
      </c>
      <c r="M172" s="187">
        <f t="shared" ref="M172:M174" si="21">K172-L172</f>
        <v>0</v>
      </c>
      <c r="N172" s="100"/>
      <c r="O172" s="77"/>
      <c r="P172" s="77"/>
      <c r="Q172" s="232">
        <f t="shared" si="13"/>
        <v>0</v>
      </c>
    </row>
    <row r="173" spans="1:18" s="15" customFormat="1" x14ac:dyDescent="0.25">
      <c r="A173" s="229"/>
      <c r="B173" s="30" t="s">
        <v>488</v>
      </c>
      <c r="C173" s="181"/>
      <c r="D173" s="182"/>
      <c r="E173" s="194"/>
      <c r="F173" s="73" t="s">
        <v>512</v>
      </c>
      <c r="G173" s="66" t="s">
        <v>113</v>
      </c>
      <c r="H173" s="75">
        <v>11</v>
      </c>
      <c r="I173" s="76">
        <v>5</v>
      </c>
      <c r="J173" s="98">
        <v>5</v>
      </c>
      <c r="K173" s="77">
        <v>7271</v>
      </c>
      <c r="L173" s="77">
        <v>7271</v>
      </c>
      <c r="M173" s="78">
        <f t="shared" si="21"/>
        <v>0</v>
      </c>
      <c r="N173" s="100"/>
      <c r="O173" s="77"/>
      <c r="P173" s="77"/>
      <c r="Q173" s="79"/>
    </row>
    <row r="174" spans="1:18" s="15" customFormat="1" ht="30" x14ac:dyDescent="0.25">
      <c r="A174" s="229"/>
      <c r="B174" s="238" t="s">
        <v>144</v>
      </c>
      <c r="C174" s="181" t="s">
        <v>446</v>
      </c>
      <c r="D174" s="182" t="s">
        <v>313</v>
      </c>
      <c r="E174" s="183" t="s">
        <v>20</v>
      </c>
      <c r="F174" s="73" t="s">
        <v>485</v>
      </c>
      <c r="G174" s="235" t="s">
        <v>114</v>
      </c>
      <c r="H174" s="181">
        <v>27</v>
      </c>
      <c r="I174" s="234">
        <v>7</v>
      </c>
      <c r="J174" s="202">
        <v>7</v>
      </c>
      <c r="K174" s="77">
        <v>26994.22</v>
      </c>
      <c r="L174" s="77">
        <v>26994.22</v>
      </c>
      <c r="M174" s="187">
        <f t="shared" si="21"/>
        <v>0</v>
      </c>
      <c r="N174" s="100">
        <v>21</v>
      </c>
      <c r="O174" s="224">
        <v>53276.800000000003</v>
      </c>
      <c r="P174" s="224">
        <v>53276.800000000003</v>
      </c>
      <c r="Q174" s="232">
        <f t="shared" ref="Q174" si="22">O174-P174</f>
        <v>0</v>
      </c>
    </row>
    <row r="175" spans="1:18" s="21" customFormat="1" ht="45" x14ac:dyDescent="0.25">
      <c r="A175" s="181"/>
      <c r="B175" s="30" t="s">
        <v>100</v>
      </c>
      <c r="C175" s="181" t="s">
        <v>304</v>
      </c>
      <c r="D175" s="182" t="s">
        <v>416</v>
      </c>
      <c r="E175" s="194" t="s">
        <v>20</v>
      </c>
      <c r="F175" s="73" t="s">
        <v>408</v>
      </c>
      <c r="G175" s="27" t="s">
        <v>112</v>
      </c>
      <c r="H175" s="75">
        <v>16</v>
      </c>
      <c r="I175" s="76">
        <v>8</v>
      </c>
      <c r="J175" s="98">
        <f>5+1+4</f>
        <v>10</v>
      </c>
      <c r="K175" s="86">
        <f>6524.55+600.31+19349.45</f>
        <v>26474.31</v>
      </c>
      <c r="L175" s="86">
        <f>6524.55+600.31+19349.45</f>
        <v>26474.31</v>
      </c>
      <c r="M175" s="78">
        <f>K175-L175</f>
        <v>0</v>
      </c>
      <c r="N175" s="100">
        <f>1+3+2+3</f>
        <v>9</v>
      </c>
      <c r="O175" s="87">
        <f>10770.58+2113.01+3508.24</f>
        <v>16391.830000000002</v>
      </c>
      <c r="P175" s="87">
        <f>10770.58+2113.01+3508.24</f>
        <v>16391.830000000002</v>
      </c>
      <c r="Q175" s="79">
        <f t="shared" si="13"/>
        <v>0</v>
      </c>
      <c r="R175" s="141"/>
    </row>
    <row r="176" spans="1:18" s="21" customFormat="1" ht="60" x14ac:dyDescent="0.25">
      <c r="A176" s="181"/>
      <c r="B176" s="30" t="s">
        <v>100</v>
      </c>
      <c r="C176" s="203" t="s">
        <v>125</v>
      </c>
      <c r="D176" s="182" t="s">
        <v>126</v>
      </c>
      <c r="E176" s="194" t="s">
        <v>20</v>
      </c>
      <c r="F176" s="73" t="s">
        <v>486</v>
      </c>
      <c r="G176" s="236" t="s">
        <v>114</v>
      </c>
      <c r="H176" s="181">
        <v>9</v>
      </c>
      <c r="I176" s="234"/>
      <c r="J176" s="202"/>
      <c r="K176" s="86"/>
      <c r="L176" s="86"/>
      <c r="M176" s="187">
        <f t="shared" ref="M176" si="23">K176-L176</f>
        <v>0</v>
      </c>
      <c r="N176" s="100">
        <v>9</v>
      </c>
      <c r="O176" s="239">
        <v>57415.9</v>
      </c>
      <c r="P176" s="239">
        <v>16544.900000000001</v>
      </c>
      <c r="Q176" s="232">
        <f t="shared" si="13"/>
        <v>40871</v>
      </c>
    </row>
    <row r="177" spans="1:18" s="13" customFormat="1" x14ac:dyDescent="0.25">
      <c r="A177" s="229"/>
      <c r="B177" s="62" t="s">
        <v>101</v>
      </c>
      <c r="C177" s="181" t="s">
        <v>17</v>
      </c>
      <c r="D177" s="182"/>
      <c r="E177" s="194" t="s">
        <v>20</v>
      </c>
      <c r="F177" s="73" t="s">
        <v>409</v>
      </c>
      <c r="G177" s="74" t="s">
        <v>112</v>
      </c>
      <c r="H177" s="75">
        <v>11</v>
      </c>
      <c r="I177" s="76">
        <v>7</v>
      </c>
      <c r="J177" s="96">
        <f>1+5+1+1+2</f>
        <v>10</v>
      </c>
      <c r="K177" s="77">
        <f>1045.98+3354.45+1225.93+742.59</f>
        <v>6368.9500000000007</v>
      </c>
      <c r="L177" s="77">
        <f>1045.98+3354.45+1225.93+742.59</f>
        <v>6368.9500000000007</v>
      </c>
      <c r="M177" s="78">
        <f t="shared" si="16"/>
        <v>0</v>
      </c>
      <c r="N177" s="100">
        <f>5+2+1+1</f>
        <v>9</v>
      </c>
      <c r="O177" s="81">
        <f>6288.07+3061.62+3426.18+12951.18</f>
        <v>25727.05</v>
      </c>
      <c r="P177" s="81">
        <f>6288.07+3061.62+3426.18+12951.18</f>
        <v>25727.05</v>
      </c>
      <c r="Q177" s="79">
        <f t="shared" si="13"/>
        <v>0</v>
      </c>
      <c r="R177" s="141"/>
    </row>
    <row r="178" spans="1:18" s="13" customFormat="1" x14ac:dyDescent="0.25">
      <c r="A178" s="229"/>
      <c r="B178" s="62" t="s">
        <v>146</v>
      </c>
      <c r="C178" s="181" t="s">
        <v>17</v>
      </c>
      <c r="D178" s="182"/>
      <c r="E178" s="194" t="s">
        <v>20</v>
      </c>
      <c r="F178" s="73" t="s">
        <v>410</v>
      </c>
      <c r="G178" s="74" t="s">
        <v>112</v>
      </c>
      <c r="H178" s="75">
        <v>12</v>
      </c>
      <c r="I178" s="76">
        <v>9</v>
      </c>
      <c r="J178" s="96">
        <f>4+1+1+2+1</f>
        <v>9</v>
      </c>
      <c r="K178" s="77">
        <f>4610.77+1568.98+1854.88+422.62+1334.13</f>
        <v>9791.380000000001</v>
      </c>
      <c r="L178" s="77">
        <f>4610.77+1568.98+1854.88+422.62+1334.13</f>
        <v>9791.380000000001</v>
      </c>
      <c r="M178" s="78">
        <f t="shared" si="16"/>
        <v>0</v>
      </c>
      <c r="N178" s="100">
        <f>5+1+1+2+1+1</f>
        <v>11</v>
      </c>
      <c r="O178" s="81">
        <f>13579.06+1287.07+2636.18+26196.83</f>
        <v>43699.14</v>
      </c>
      <c r="P178" s="81">
        <f>13579.06+1287.07+2636.18+26196.83</f>
        <v>43699.14</v>
      </c>
      <c r="Q178" s="232">
        <f t="shared" si="13"/>
        <v>0</v>
      </c>
      <c r="R178" s="141"/>
    </row>
    <row r="179" spans="1:18" s="13" customFormat="1" x14ac:dyDescent="0.25">
      <c r="A179" s="229"/>
      <c r="B179" s="62" t="s">
        <v>146</v>
      </c>
      <c r="C179" s="181" t="s">
        <v>17</v>
      </c>
      <c r="D179" s="182"/>
      <c r="E179" s="183" t="s">
        <v>21</v>
      </c>
      <c r="F179" s="73" t="s">
        <v>443</v>
      </c>
      <c r="G179" s="230" t="s">
        <v>118</v>
      </c>
      <c r="H179" s="181">
        <v>9</v>
      </c>
      <c r="I179" s="234">
        <v>2</v>
      </c>
      <c r="J179" s="190">
        <v>2</v>
      </c>
      <c r="K179" s="193">
        <v>1754.7</v>
      </c>
      <c r="L179" s="193">
        <v>1754.7</v>
      </c>
      <c r="M179" s="187">
        <f t="shared" si="16"/>
        <v>0</v>
      </c>
      <c r="N179" s="114">
        <v>5</v>
      </c>
      <c r="O179" s="224">
        <v>5349.99</v>
      </c>
      <c r="P179" s="224">
        <v>5349.99</v>
      </c>
      <c r="Q179" s="79">
        <f t="shared" si="13"/>
        <v>0</v>
      </c>
    </row>
    <row r="180" spans="1:18" s="13" customFormat="1" x14ac:dyDescent="0.25">
      <c r="A180" s="229"/>
      <c r="B180" s="27" t="s">
        <v>102</v>
      </c>
      <c r="C180" s="181" t="s">
        <v>17</v>
      </c>
      <c r="D180" s="182"/>
      <c r="E180" s="194" t="s">
        <v>20</v>
      </c>
      <c r="F180" s="73" t="s">
        <v>411</v>
      </c>
      <c r="G180" s="74" t="s">
        <v>112</v>
      </c>
      <c r="H180" s="75">
        <v>11</v>
      </c>
      <c r="I180" s="76">
        <v>7</v>
      </c>
      <c r="J180" s="96">
        <f>1+1+2+1+2</f>
        <v>7</v>
      </c>
      <c r="K180" s="77">
        <f>845.24+845.24+1690.48+1394.65+2689.38</f>
        <v>7464.9900000000007</v>
      </c>
      <c r="L180" s="77">
        <f>845.24+845.24+1690.48+1394.65+2689.38</f>
        <v>7464.9900000000007</v>
      </c>
      <c r="M180" s="78">
        <f>K180-L180</f>
        <v>0</v>
      </c>
      <c r="N180" s="100">
        <f>3+1+1</f>
        <v>5</v>
      </c>
      <c r="O180" s="81">
        <f>7808.21+30833.77-12193.52+9963.17</f>
        <v>36411.630000000005</v>
      </c>
      <c r="P180" s="81">
        <f>7808.21+30833.77-12193.52+9963.17</f>
        <v>36411.630000000005</v>
      </c>
      <c r="Q180" s="232">
        <f t="shared" si="13"/>
        <v>0</v>
      </c>
      <c r="R180" s="141"/>
    </row>
    <row r="181" spans="1:18" s="13" customFormat="1" x14ac:dyDescent="0.25">
      <c r="A181" s="229"/>
      <c r="B181" s="27" t="s">
        <v>102</v>
      </c>
      <c r="C181" s="181" t="s">
        <v>17</v>
      </c>
      <c r="D181" s="182"/>
      <c r="E181" s="194" t="s">
        <v>20</v>
      </c>
      <c r="F181" s="73" t="s">
        <v>469</v>
      </c>
      <c r="G181" s="230" t="s">
        <v>114</v>
      </c>
      <c r="H181" s="181">
        <v>10</v>
      </c>
      <c r="I181" s="231">
        <v>3</v>
      </c>
      <c r="J181" s="190">
        <v>3</v>
      </c>
      <c r="K181" s="77">
        <v>1267.8599999999999</v>
      </c>
      <c r="L181" s="77">
        <v>1267.8599999999999</v>
      </c>
      <c r="M181" s="187">
        <f t="shared" ref="M181" si="24">K181-L181</f>
        <v>0</v>
      </c>
      <c r="N181" s="100">
        <v>8</v>
      </c>
      <c r="O181" s="224">
        <v>24770.92</v>
      </c>
      <c r="P181" s="224">
        <v>24770.92</v>
      </c>
      <c r="Q181" s="232">
        <f t="shared" si="13"/>
        <v>0</v>
      </c>
    </row>
    <row r="182" spans="1:18" s="13" customFormat="1" x14ac:dyDescent="0.25">
      <c r="A182" s="229"/>
      <c r="B182" s="27" t="s">
        <v>103</v>
      </c>
      <c r="C182" s="181" t="s">
        <v>17</v>
      </c>
      <c r="D182" s="182"/>
      <c r="E182" s="183" t="s">
        <v>20</v>
      </c>
      <c r="F182" s="73" t="s">
        <v>412</v>
      </c>
      <c r="G182" s="74" t="s">
        <v>112</v>
      </c>
      <c r="H182" s="75">
        <v>12</v>
      </c>
      <c r="I182" s="76">
        <v>9</v>
      </c>
      <c r="J182" s="96">
        <f>4+1+2+3</f>
        <v>10</v>
      </c>
      <c r="K182" s="77">
        <f>16248.67+1092.81+2003.49</f>
        <v>19344.97</v>
      </c>
      <c r="L182" s="77">
        <f>16248.67+1092.81+2003.49</f>
        <v>19344.97</v>
      </c>
      <c r="M182" s="78">
        <f>K182-L182</f>
        <v>0</v>
      </c>
      <c r="N182" s="100">
        <f>7+2+1+1+2</f>
        <v>13</v>
      </c>
      <c r="O182" s="77">
        <f>20193.14+7541.5</f>
        <v>27734.639999999999</v>
      </c>
      <c r="P182" s="77">
        <f>20193.14+7541.5</f>
        <v>27734.639999999999</v>
      </c>
      <c r="Q182" s="232">
        <f t="shared" si="13"/>
        <v>0</v>
      </c>
      <c r="R182" s="141"/>
    </row>
    <row r="183" spans="1:18" s="13" customFormat="1" x14ac:dyDescent="0.25">
      <c r="A183" s="229"/>
      <c r="B183" s="27" t="s">
        <v>103</v>
      </c>
      <c r="C183" s="181" t="s">
        <v>17</v>
      </c>
      <c r="D183" s="182"/>
      <c r="E183" s="183" t="s">
        <v>20</v>
      </c>
      <c r="F183" s="73" t="s">
        <v>470</v>
      </c>
      <c r="G183" s="230" t="s">
        <v>114</v>
      </c>
      <c r="H183" s="181">
        <v>12</v>
      </c>
      <c r="I183" s="231">
        <v>1</v>
      </c>
      <c r="J183" s="190">
        <v>1</v>
      </c>
      <c r="K183" s="77">
        <v>4940.1000000000004</v>
      </c>
      <c r="L183" s="77">
        <v>4940.1000000000004</v>
      </c>
      <c r="M183" s="187">
        <f t="shared" ref="M183:M185" si="25">K183-L183</f>
        <v>0</v>
      </c>
      <c r="N183" s="100">
        <v>4</v>
      </c>
      <c r="O183" s="224">
        <v>10431.89</v>
      </c>
      <c r="P183" s="224">
        <v>10431.89</v>
      </c>
      <c r="Q183" s="232">
        <f t="shared" si="13"/>
        <v>0</v>
      </c>
    </row>
    <row r="184" spans="1:18" s="15" customFormat="1" x14ac:dyDescent="0.25">
      <c r="A184" s="229"/>
      <c r="B184" s="27" t="s">
        <v>104</v>
      </c>
      <c r="C184" s="181" t="s">
        <v>17</v>
      </c>
      <c r="D184" s="182"/>
      <c r="E184" s="183" t="s">
        <v>20</v>
      </c>
      <c r="F184" s="73" t="s">
        <v>413</v>
      </c>
      <c r="G184" s="74" t="s">
        <v>112</v>
      </c>
      <c r="H184" s="75">
        <v>13</v>
      </c>
      <c r="I184" s="76">
        <v>10</v>
      </c>
      <c r="J184" s="96">
        <f>3+1+2+4+1</f>
        <v>11</v>
      </c>
      <c r="K184" s="77">
        <f>5112.82+422.64+8302.14</f>
        <v>13837.599999999999</v>
      </c>
      <c r="L184" s="77">
        <f>5112.82+422.64+8302.14</f>
        <v>13837.599999999999</v>
      </c>
      <c r="M184" s="78">
        <f>K184-L184</f>
        <v>0</v>
      </c>
      <c r="N184" s="100">
        <f>4+1+1+2</f>
        <v>8</v>
      </c>
      <c r="O184" s="81">
        <f>7087.22+3426.18+3496.22</f>
        <v>14009.619999999999</v>
      </c>
      <c r="P184" s="81">
        <f>7087.22+3426.18+3496.22</f>
        <v>14009.619999999999</v>
      </c>
      <c r="Q184" s="232">
        <f t="shared" si="13"/>
        <v>0</v>
      </c>
      <c r="R184" s="141"/>
    </row>
    <row r="185" spans="1:18" s="15" customFormat="1" x14ac:dyDescent="0.25">
      <c r="A185" s="229"/>
      <c r="B185" s="27" t="s">
        <v>104</v>
      </c>
      <c r="C185" s="181" t="s">
        <v>17</v>
      </c>
      <c r="D185" s="182"/>
      <c r="E185" s="183" t="s">
        <v>20</v>
      </c>
      <c r="F185" s="73" t="s">
        <v>471</v>
      </c>
      <c r="G185" s="230" t="s">
        <v>114</v>
      </c>
      <c r="H185" s="181">
        <v>32</v>
      </c>
      <c r="I185" s="231">
        <v>8</v>
      </c>
      <c r="J185" s="190">
        <v>8</v>
      </c>
      <c r="K185" s="77">
        <v>18969.46</v>
      </c>
      <c r="L185" s="77">
        <v>10700.62</v>
      </c>
      <c r="M185" s="187">
        <f t="shared" si="25"/>
        <v>8268.8399999999983</v>
      </c>
      <c r="N185" s="114">
        <v>19</v>
      </c>
      <c r="O185" s="224">
        <v>40887.050000000003</v>
      </c>
      <c r="P185" s="224">
        <v>36873.050000000003</v>
      </c>
      <c r="Q185" s="232">
        <f t="shared" si="13"/>
        <v>4014</v>
      </c>
    </row>
    <row r="186" spans="1:18" s="13" customFormat="1" x14ac:dyDescent="0.25">
      <c r="A186" s="229"/>
      <c r="B186" s="30" t="s">
        <v>26</v>
      </c>
      <c r="C186" s="181" t="s">
        <v>17</v>
      </c>
      <c r="D186" s="182"/>
      <c r="E186" s="183" t="s">
        <v>32</v>
      </c>
      <c r="F186" s="73" t="s">
        <v>246</v>
      </c>
      <c r="G186" s="74" t="s">
        <v>117</v>
      </c>
      <c r="H186" s="75"/>
      <c r="I186" s="76"/>
      <c r="J186" s="96"/>
      <c r="K186" s="77"/>
      <c r="L186" s="77"/>
      <c r="M186" s="78">
        <f t="shared" si="16"/>
        <v>0</v>
      </c>
      <c r="N186" s="100">
        <v>5</v>
      </c>
      <c r="O186" s="81">
        <v>7808.15</v>
      </c>
      <c r="P186" s="81">
        <v>7808.15</v>
      </c>
      <c r="Q186" s="232">
        <f t="shared" si="13"/>
        <v>0</v>
      </c>
    </row>
    <row r="187" spans="1:18" s="13" customFormat="1" x14ac:dyDescent="0.25">
      <c r="A187" s="229"/>
      <c r="B187" s="62" t="s">
        <v>106</v>
      </c>
      <c r="C187" s="181" t="s">
        <v>17</v>
      </c>
      <c r="D187" s="205"/>
      <c r="E187" s="194" t="s">
        <v>20</v>
      </c>
      <c r="F187" s="73" t="s">
        <v>414</v>
      </c>
      <c r="G187" s="74" t="s">
        <v>112</v>
      </c>
      <c r="H187" s="75">
        <v>11</v>
      </c>
      <c r="I187" s="76">
        <v>4</v>
      </c>
      <c r="J187" s="96">
        <f>1+4</f>
        <v>5</v>
      </c>
      <c r="K187" s="77">
        <f>3125.9</f>
        <v>3125.9</v>
      </c>
      <c r="L187" s="77">
        <f>3125.9</f>
        <v>3125.9</v>
      </c>
      <c r="M187" s="78">
        <f>K187-L187</f>
        <v>0</v>
      </c>
      <c r="N187" s="100">
        <f>3+1</f>
        <v>4</v>
      </c>
      <c r="O187" s="81">
        <f>15956.85+4551.62+19965.34</f>
        <v>40473.81</v>
      </c>
      <c r="P187" s="81">
        <f>15956.85+4551.62+19965.34</f>
        <v>40473.81</v>
      </c>
      <c r="Q187" s="232">
        <f t="shared" si="13"/>
        <v>0</v>
      </c>
      <c r="R187" s="141"/>
    </row>
    <row r="188" spans="1:18" x14ac:dyDescent="0.25">
      <c r="A188" s="251"/>
      <c r="B188" s="66"/>
      <c r="C188" s="252"/>
      <c r="D188" s="235"/>
      <c r="E188" s="235"/>
      <c r="F188" s="73"/>
      <c r="G188" s="235" t="s">
        <v>131</v>
      </c>
      <c r="H188" s="240">
        <f>SUM(H10:H187)</f>
        <v>2196</v>
      </c>
      <c r="I188" s="253">
        <f>SUM(I10:I187)</f>
        <v>1114</v>
      </c>
      <c r="J188" s="208">
        <f>SUM(J10:J187)</f>
        <v>1366</v>
      </c>
      <c r="K188" s="209">
        <f>SUM(K10:K187)</f>
        <v>2430607.2650000011</v>
      </c>
      <c r="L188" s="209">
        <f>SUM(L10:L187)</f>
        <v>2401568.245000001</v>
      </c>
      <c r="M188" s="210">
        <f>K188-L188</f>
        <v>29039.020000000019</v>
      </c>
      <c r="N188" s="208">
        <f>SUM(N10:N187)</f>
        <v>1710</v>
      </c>
      <c r="O188" s="241">
        <f>SUM(O10:O187)</f>
        <v>5187049.2499999991</v>
      </c>
      <c r="P188" s="241">
        <f>SUM(P10:P187)</f>
        <v>5142164.2499999991</v>
      </c>
      <c r="Q188" s="79">
        <f t="shared" si="13"/>
        <v>44885</v>
      </c>
      <c r="R188" s="129"/>
    </row>
    <row r="189" spans="1:18" x14ac:dyDescent="0.25">
      <c r="K189" s="91" t="s">
        <v>305</v>
      </c>
    </row>
    <row r="190" spans="1:18" ht="45" x14ac:dyDescent="0.25">
      <c r="B190" s="89" t="s">
        <v>316</v>
      </c>
      <c r="F190" s="104" t="s">
        <v>317</v>
      </c>
      <c r="M190" s="142"/>
      <c r="Q190" s="133"/>
    </row>
    <row r="191" spans="1:18" x14ac:dyDescent="0.25">
      <c r="M191" s="216"/>
    </row>
  </sheetData>
  <mergeCells count="7">
    <mergeCell ref="O1:Q1"/>
    <mergeCell ref="A3:Q3"/>
    <mergeCell ref="A4:Q4"/>
    <mergeCell ref="A5:Q5"/>
    <mergeCell ref="B7:G7"/>
    <mergeCell ref="H7:M7"/>
    <mergeCell ref="N7:Q7"/>
  </mergeCell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91"/>
  <sheetViews>
    <sheetView workbookViewId="0">
      <selection activeCell="A9" sqref="A9:XFD9"/>
    </sheetView>
  </sheetViews>
  <sheetFormatPr defaultRowHeight="15" x14ac:dyDescent="0.25"/>
  <cols>
    <col min="1" max="1" width="1.85546875" style="6" customWidth="1"/>
    <col min="2" max="2" width="38.28515625" style="88" customWidth="1"/>
    <col min="3" max="3" width="6.5703125" style="19" customWidth="1"/>
    <col min="4" max="4" width="17.42578125" style="19" customWidth="1"/>
    <col min="5" max="5" width="19" style="19" customWidth="1"/>
    <col min="6" max="6" width="19" style="89" customWidth="1"/>
    <col min="7" max="7" width="20.140625" style="89" customWidth="1"/>
    <col min="8" max="9" width="15.7109375" style="90" customWidth="1"/>
    <col min="10" max="10" width="15.7109375" style="99" customWidth="1"/>
    <col min="11" max="13" width="15.7109375" style="91" customWidth="1"/>
    <col min="14" max="14" width="15.7109375" style="99" customWidth="1"/>
    <col min="15" max="17" width="15.7109375" style="92" customWidth="1"/>
    <col min="18" max="18" width="11.7109375" style="6" customWidth="1"/>
    <col min="19" max="19" width="9.42578125" style="6" customWidth="1"/>
    <col min="20" max="21" width="9.140625" style="6" customWidth="1"/>
    <col min="22" max="16384" width="9.140625" style="6"/>
  </cols>
  <sheetData>
    <row r="1" spans="1:18" s="105" customFormat="1" x14ac:dyDescent="0.25">
      <c r="A1" s="60"/>
      <c r="B1" s="60"/>
      <c r="C1" s="225"/>
      <c r="D1" s="225"/>
      <c r="E1" s="225"/>
      <c r="F1" s="63"/>
      <c r="G1" s="63"/>
      <c r="H1" s="64"/>
      <c r="I1" s="64"/>
      <c r="J1" s="93"/>
      <c r="K1" s="65"/>
      <c r="L1" s="65"/>
      <c r="M1" s="65"/>
      <c r="N1" s="93"/>
      <c r="O1" s="362" t="s">
        <v>15</v>
      </c>
      <c r="P1" s="362"/>
      <c r="Q1" s="362"/>
    </row>
    <row r="2" spans="1:18" s="105" customFormat="1" x14ac:dyDescent="0.25">
      <c r="A2" s="256"/>
      <c r="B2" s="256"/>
      <c r="C2" s="257"/>
      <c r="D2" s="257"/>
      <c r="E2" s="257"/>
      <c r="F2" s="66"/>
      <c r="G2" s="66"/>
      <c r="H2" s="255"/>
      <c r="I2" s="255"/>
      <c r="J2" s="94"/>
      <c r="K2" s="67"/>
      <c r="L2" s="67"/>
      <c r="M2" s="67"/>
      <c r="N2" s="94"/>
      <c r="O2" s="68"/>
      <c r="P2" s="68"/>
      <c r="Q2" s="68"/>
    </row>
    <row r="3" spans="1:18" s="105" customFormat="1" x14ac:dyDescent="0.25">
      <c r="A3" s="380" t="s">
        <v>318</v>
      </c>
      <c r="B3" s="367"/>
      <c r="C3" s="380"/>
      <c r="D3" s="380"/>
      <c r="E3" s="380"/>
      <c r="F3" s="367"/>
      <c r="G3" s="367"/>
      <c r="H3" s="366"/>
      <c r="I3" s="366"/>
      <c r="J3" s="367"/>
      <c r="K3" s="367"/>
      <c r="L3" s="367"/>
      <c r="M3" s="367"/>
      <c r="N3" s="367"/>
      <c r="O3" s="367"/>
      <c r="P3" s="367"/>
      <c r="Q3" s="367"/>
    </row>
    <row r="4" spans="1:18" s="105" customFormat="1" x14ac:dyDescent="0.25">
      <c r="A4" s="381">
        <v>43704</v>
      </c>
      <c r="B4" s="373"/>
      <c r="C4" s="382"/>
      <c r="D4" s="382"/>
      <c r="E4" s="382"/>
      <c r="F4" s="373"/>
      <c r="G4" s="373"/>
      <c r="H4" s="372"/>
      <c r="I4" s="372"/>
      <c r="J4" s="373"/>
      <c r="K4" s="373"/>
      <c r="L4" s="373"/>
      <c r="M4" s="373"/>
      <c r="N4" s="373"/>
      <c r="O4" s="373"/>
      <c r="P4" s="373"/>
      <c r="Q4" s="373"/>
    </row>
    <row r="5" spans="1:18" s="105" customFormat="1" x14ac:dyDescent="0.25">
      <c r="A5" s="367" t="s">
        <v>14</v>
      </c>
      <c r="B5" s="367"/>
      <c r="C5" s="367"/>
      <c r="D5" s="367"/>
      <c r="E5" s="367"/>
      <c r="F5" s="367"/>
      <c r="G5" s="367"/>
      <c r="H5" s="366"/>
      <c r="I5" s="366"/>
      <c r="J5" s="367"/>
      <c r="K5" s="367"/>
      <c r="L5" s="367"/>
      <c r="M5" s="367"/>
      <c r="N5" s="367"/>
      <c r="O5" s="367"/>
      <c r="P5" s="367"/>
      <c r="Q5" s="367"/>
    </row>
    <row r="6" spans="1:18" s="105" customFormat="1" x14ac:dyDescent="0.25">
      <c r="A6" s="256"/>
      <c r="B6" s="256"/>
      <c r="C6" s="257"/>
      <c r="D6" s="257"/>
      <c r="E6" s="257"/>
      <c r="F6" s="66"/>
      <c r="G6" s="66"/>
      <c r="H6" s="255"/>
      <c r="I6" s="255"/>
      <c r="J6" s="94"/>
      <c r="K6" s="67"/>
      <c r="L6" s="67"/>
      <c r="M6" s="67"/>
      <c r="N6" s="94"/>
      <c r="O6" s="68"/>
      <c r="P6" s="68"/>
      <c r="Q6" s="68"/>
    </row>
    <row r="7" spans="1:18" x14ac:dyDescent="0.25">
      <c r="A7" s="227" t="s">
        <v>0</v>
      </c>
      <c r="B7" s="367" t="s">
        <v>10</v>
      </c>
      <c r="C7" s="380"/>
      <c r="D7" s="380"/>
      <c r="E7" s="380"/>
      <c r="F7" s="367"/>
      <c r="G7" s="367"/>
      <c r="H7" s="366" t="s">
        <v>472</v>
      </c>
      <c r="I7" s="366"/>
      <c r="J7" s="367"/>
      <c r="K7" s="367"/>
      <c r="L7" s="367"/>
      <c r="M7" s="367"/>
      <c r="N7" s="367" t="s">
        <v>132</v>
      </c>
      <c r="O7" s="367"/>
      <c r="P7" s="367"/>
      <c r="Q7" s="367"/>
    </row>
    <row r="8" spans="1:18" ht="195" x14ac:dyDescent="0.25">
      <c r="A8" s="227"/>
      <c r="B8" s="256" t="s">
        <v>4</v>
      </c>
      <c r="C8" s="257" t="s">
        <v>1</v>
      </c>
      <c r="D8" s="257" t="s">
        <v>3</v>
      </c>
      <c r="E8" s="257" t="s">
        <v>2</v>
      </c>
      <c r="F8" s="256" t="s">
        <v>6</v>
      </c>
      <c r="G8" s="66" t="s">
        <v>5</v>
      </c>
      <c r="H8" s="256" t="s">
        <v>7</v>
      </c>
      <c r="I8" s="256" t="s">
        <v>8</v>
      </c>
      <c r="J8" s="94" t="s">
        <v>9</v>
      </c>
      <c r="K8" s="67" t="s">
        <v>11</v>
      </c>
      <c r="L8" s="67" t="s">
        <v>12</v>
      </c>
      <c r="M8" s="67" t="s">
        <v>13</v>
      </c>
      <c r="N8" s="94" t="s">
        <v>9</v>
      </c>
      <c r="O8" s="68" t="s">
        <v>11</v>
      </c>
      <c r="P8" s="68" t="s">
        <v>12</v>
      </c>
      <c r="Q8" s="68" t="s">
        <v>13</v>
      </c>
    </row>
    <row r="9" spans="1:18" x14ac:dyDescent="0.25">
      <c r="A9" s="228">
        <v>1</v>
      </c>
      <c r="B9" s="61">
        <f>A9+1</f>
        <v>2</v>
      </c>
      <c r="C9" s="228">
        <f t="shared" ref="C9:Q9" si="0">B9+1</f>
        <v>3</v>
      </c>
      <c r="D9" s="228">
        <f t="shared" si="0"/>
        <v>4</v>
      </c>
      <c r="E9" s="228">
        <f t="shared" si="0"/>
        <v>5</v>
      </c>
      <c r="F9" s="69">
        <f t="shared" si="0"/>
        <v>6</v>
      </c>
      <c r="G9" s="69">
        <f t="shared" si="0"/>
        <v>7</v>
      </c>
      <c r="H9" s="70">
        <f t="shared" si="0"/>
        <v>8</v>
      </c>
      <c r="I9" s="70">
        <f t="shared" si="0"/>
        <v>9</v>
      </c>
      <c r="J9" s="95">
        <f t="shared" si="0"/>
        <v>10</v>
      </c>
      <c r="K9" s="71">
        <f t="shared" si="0"/>
        <v>11</v>
      </c>
      <c r="L9" s="71">
        <f t="shared" si="0"/>
        <v>12</v>
      </c>
      <c r="M9" s="71">
        <f t="shared" si="0"/>
        <v>13</v>
      </c>
      <c r="N9" s="95">
        <f t="shared" si="0"/>
        <v>14</v>
      </c>
      <c r="O9" s="72">
        <f t="shared" si="0"/>
        <v>15</v>
      </c>
      <c r="P9" s="72">
        <f t="shared" si="0"/>
        <v>16</v>
      </c>
      <c r="Q9" s="72">
        <f t="shared" si="0"/>
        <v>17</v>
      </c>
    </row>
    <row r="10" spans="1:18" s="13" customFormat="1" ht="30" x14ac:dyDescent="0.25">
      <c r="A10" s="229"/>
      <c r="B10" s="62" t="s">
        <v>16</v>
      </c>
      <c r="C10" s="181" t="s">
        <v>304</v>
      </c>
      <c r="D10" s="182" t="s">
        <v>315</v>
      </c>
      <c r="E10" s="183" t="s">
        <v>18</v>
      </c>
      <c r="F10" s="73" t="s">
        <v>322</v>
      </c>
      <c r="G10" s="74" t="s">
        <v>112</v>
      </c>
      <c r="H10" s="75">
        <v>12</v>
      </c>
      <c r="I10" s="76">
        <v>10</v>
      </c>
      <c r="J10" s="98">
        <f>2+1+3+3+1</f>
        <v>10</v>
      </c>
      <c r="K10" s="77">
        <f>4792.51+1138.19+504.26+11366.06+4859.68+3954.5</f>
        <v>26615.200000000001</v>
      </c>
      <c r="L10" s="77">
        <f>4792.51+1138.19+504.26+11366.06+4859.68+3954.5</f>
        <v>26615.200000000001</v>
      </c>
      <c r="M10" s="78">
        <f>K10-L10</f>
        <v>0</v>
      </c>
      <c r="N10" s="100">
        <f>2+5+1+2+1</f>
        <v>11</v>
      </c>
      <c r="O10" s="77">
        <f>9108.77+6924.32+22366.06+8197.52</f>
        <v>46596.67</v>
      </c>
      <c r="P10" s="77">
        <f>9108.77+6924.32+22366.06+8197.52</f>
        <v>46596.67</v>
      </c>
      <c r="Q10" s="79">
        <f>O10-P10</f>
        <v>0</v>
      </c>
      <c r="R10" s="141"/>
    </row>
    <row r="11" spans="1:18" s="13" customFormat="1" ht="30" x14ac:dyDescent="0.25">
      <c r="A11" s="229"/>
      <c r="B11" s="62" t="s">
        <v>16</v>
      </c>
      <c r="C11" s="181" t="s">
        <v>304</v>
      </c>
      <c r="D11" s="182" t="s">
        <v>315</v>
      </c>
      <c r="E11" s="183" t="s">
        <v>18</v>
      </c>
      <c r="F11" s="73" t="s">
        <v>322</v>
      </c>
      <c r="G11" s="230" t="s">
        <v>116</v>
      </c>
      <c r="H11" s="181">
        <v>10</v>
      </c>
      <c r="I11" s="231">
        <v>4</v>
      </c>
      <c r="J11" s="96">
        <v>4</v>
      </c>
      <c r="K11" s="224">
        <v>7070</v>
      </c>
      <c r="L11" s="224">
        <v>7070</v>
      </c>
      <c r="M11" s="187">
        <f t="shared" ref="M11:M90" si="1">K11-L11</f>
        <v>0</v>
      </c>
      <c r="N11" s="100">
        <v>0</v>
      </c>
      <c r="O11" s="224">
        <v>2945</v>
      </c>
      <c r="P11" s="224">
        <v>2945</v>
      </c>
      <c r="Q11" s="232">
        <f t="shared" ref="Q11:Q80" si="2">O11-P11</f>
        <v>0</v>
      </c>
    </row>
    <row r="12" spans="1:18" s="13" customFormat="1" x14ac:dyDescent="0.25">
      <c r="A12" s="229"/>
      <c r="B12" s="62" t="s">
        <v>490</v>
      </c>
      <c r="C12" s="181" t="s">
        <v>304</v>
      </c>
      <c r="D12" s="182"/>
      <c r="E12" s="183"/>
      <c r="F12" s="189" t="s">
        <v>501</v>
      </c>
      <c r="G12" s="230" t="s">
        <v>112</v>
      </c>
      <c r="H12" s="181">
        <v>14</v>
      </c>
      <c r="I12" s="231">
        <v>9</v>
      </c>
      <c r="J12" s="96">
        <f>5+1+3+1+1+2</f>
        <v>13</v>
      </c>
      <c r="K12" s="224">
        <f>8352.39+384.2+1463.8+3720.67+546.41</f>
        <v>14467.47</v>
      </c>
      <c r="L12" s="224">
        <f>8352.39+384.2+1463.8+3720.67+546.41</f>
        <v>14467.47</v>
      </c>
      <c r="M12" s="78">
        <f t="shared" si="1"/>
        <v>0</v>
      </c>
      <c r="N12" s="100"/>
      <c r="O12" s="224"/>
      <c r="P12" s="224"/>
      <c r="Q12" s="79">
        <f t="shared" si="2"/>
        <v>0</v>
      </c>
    </row>
    <row r="13" spans="1:18" s="15" customFormat="1" x14ac:dyDescent="0.25">
      <c r="A13" s="229"/>
      <c r="B13" s="62" t="s">
        <v>19</v>
      </c>
      <c r="C13" s="181" t="s">
        <v>17</v>
      </c>
      <c r="D13" s="182"/>
      <c r="E13" s="183" t="s">
        <v>20</v>
      </c>
      <c r="F13" s="73" t="s">
        <v>323</v>
      </c>
      <c r="G13" s="74" t="s">
        <v>112</v>
      </c>
      <c r="H13" s="75">
        <v>12</v>
      </c>
      <c r="I13" s="76">
        <v>8</v>
      </c>
      <c r="J13" s="96">
        <f>1+2+5+2+1+5+1</f>
        <v>17</v>
      </c>
      <c r="K13" s="77">
        <f>422.62+4792.51+1796.14+1373.52</f>
        <v>8384.7900000000009</v>
      </c>
      <c r="L13" s="77">
        <f>422.62+4792.51+1796.14+1373.52</f>
        <v>8384.7900000000009</v>
      </c>
      <c r="M13" s="78">
        <f t="shared" si="1"/>
        <v>0</v>
      </c>
      <c r="N13" s="100">
        <f>8+3+1+2</f>
        <v>14</v>
      </c>
      <c r="O13" s="81">
        <f>6459.36+7124.45</f>
        <v>13583.81</v>
      </c>
      <c r="P13" s="81">
        <f>6459.36+7124.45</f>
        <v>13583.81</v>
      </c>
      <c r="Q13" s="79">
        <f t="shared" si="2"/>
        <v>0</v>
      </c>
      <c r="R13" s="141"/>
    </row>
    <row r="14" spans="1:18" s="15" customFormat="1" x14ac:dyDescent="0.25">
      <c r="A14" s="229"/>
      <c r="B14" s="62" t="s">
        <v>19</v>
      </c>
      <c r="C14" s="181" t="s">
        <v>17</v>
      </c>
      <c r="D14" s="182"/>
      <c r="E14" s="183" t="s">
        <v>20</v>
      </c>
      <c r="F14" s="73" t="s">
        <v>451</v>
      </c>
      <c r="G14" s="230" t="s">
        <v>114</v>
      </c>
      <c r="H14" s="181">
        <v>8</v>
      </c>
      <c r="I14" s="231">
        <v>1</v>
      </c>
      <c r="J14" s="190">
        <v>1</v>
      </c>
      <c r="K14" s="77">
        <v>2592.3000000000002</v>
      </c>
      <c r="L14" s="77">
        <v>2592.3000000000002</v>
      </c>
      <c r="M14" s="187">
        <f t="shared" si="1"/>
        <v>0</v>
      </c>
      <c r="N14" s="100">
        <v>9</v>
      </c>
      <c r="O14" s="224">
        <v>16688.7</v>
      </c>
      <c r="P14" s="224">
        <v>16688.7</v>
      </c>
      <c r="Q14" s="232">
        <f t="shared" si="2"/>
        <v>0</v>
      </c>
    </row>
    <row r="15" spans="1:18" s="15" customFormat="1" x14ac:dyDescent="0.25">
      <c r="A15" s="229"/>
      <c r="B15" s="62" t="s">
        <v>153</v>
      </c>
      <c r="C15" s="181" t="s">
        <v>17</v>
      </c>
      <c r="D15" s="182"/>
      <c r="E15" s="183" t="s">
        <v>20</v>
      </c>
      <c r="F15" s="73" t="s">
        <v>324</v>
      </c>
      <c r="G15" s="74" t="s">
        <v>112</v>
      </c>
      <c r="H15" s="75">
        <v>10</v>
      </c>
      <c r="I15" s="82">
        <v>7</v>
      </c>
      <c r="J15" s="96">
        <f>1+1+2+1+1+2+1</f>
        <v>9</v>
      </c>
      <c r="K15" s="77">
        <f>950.9+2451.87+3074.57+845.24+1977.86+1284.48+883.08</f>
        <v>11468</v>
      </c>
      <c r="L15" s="77">
        <f>950.9+2451.87+3074.57+845.24+1977.86+1284.48+883.08</f>
        <v>11468</v>
      </c>
      <c r="M15" s="78">
        <f>K15-L15</f>
        <v>0</v>
      </c>
      <c r="N15" s="114">
        <f>1+2+1+2+1+1</f>
        <v>8</v>
      </c>
      <c r="O15" s="81">
        <f>422.62+945.61+2484.69+7964.81+1536.8+2498.17</f>
        <v>15852.699999999999</v>
      </c>
      <c r="P15" s="81">
        <f>422.62+945.61+2484.69+7964.81+1536.8+2498.17</f>
        <v>15852.699999999999</v>
      </c>
      <c r="Q15" s="79">
        <f t="shared" si="2"/>
        <v>0</v>
      </c>
      <c r="R15" s="141"/>
    </row>
    <row r="16" spans="1:18" s="15" customFormat="1" x14ac:dyDescent="0.25">
      <c r="A16" s="229"/>
      <c r="B16" s="233" t="s">
        <v>153</v>
      </c>
      <c r="C16" s="181" t="s">
        <v>17</v>
      </c>
      <c r="D16" s="182"/>
      <c r="E16" s="183" t="s">
        <v>20</v>
      </c>
      <c r="F16" s="73" t="s">
        <v>452</v>
      </c>
      <c r="G16" s="230" t="s">
        <v>114</v>
      </c>
      <c r="H16" s="181">
        <v>15</v>
      </c>
      <c r="I16" s="231">
        <v>3</v>
      </c>
      <c r="J16" s="190">
        <v>3</v>
      </c>
      <c r="K16" s="77">
        <v>12185.96</v>
      </c>
      <c r="L16" s="77">
        <v>12185.96</v>
      </c>
      <c r="M16" s="187">
        <f t="shared" si="1"/>
        <v>0</v>
      </c>
      <c r="N16" s="100">
        <v>9</v>
      </c>
      <c r="O16" s="224">
        <v>23692.400000000001</v>
      </c>
      <c r="P16" s="224">
        <v>23692.400000000001</v>
      </c>
      <c r="Q16" s="232">
        <f t="shared" si="2"/>
        <v>0</v>
      </c>
    </row>
    <row r="17" spans="1:18" s="13" customFormat="1" x14ac:dyDescent="0.25">
      <c r="A17" s="229"/>
      <c r="B17" s="30" t="s">
        <v>22</v>
      </c>
      <c r="C17" s="181" t="s">
        <v>17</v>
      </c>
      <c r="D17" s="182"/>
      <c r="E17" s="183" t="s">
        <v>23</v>
      </c>
      <c r="F17" s="73" t="s">
        <v>325</v>
      </c>
      <c r="G17" s="74" t="s">
        <v>112</v>
      </c>
      <c r="H17" s="75">
        <v>31</v>
      </c>
      <c r="I17" s="76">
        <v>10</v>
      </c>
      <c r="J17" s="96">
        <f>1+2+1+9</f>
        <v>13</v>
      </c>
      <c r="K17" s="77">
        <f>2698.64+1402.33+11601.84</f>
        <v>15702.81</v>
      </c>
      <c r="L17" s="77">
        <f>2698.64+1402.33+11601.84</f>
        <v>15702.81</v>
      </c>
      <c r="M17" s="78">
        <f>K17-L17</f>
        <v>0</v>
      </c>
      <c r="N17" s="100">
        <f>14+3+7+1+1</f>
        <v>26</v>
      </c>
      <c r="O17" s="81">
        <f>22716.4+4171.06+18768.39+8172.47</f>
        <v>53828.320000000007</v>
      </c>
      <c r="P17" s="81">
        <f>22716.4+4171.06+18768.39+8172.47</f>
        <v>53828.320000000007</v>
      </c>
      <c r="Q17" s="79">
        <f t="shared" si="2"/>
        <v>0</v>
      </c>
      <c r="R17" s="141"/>
    </row>
    <row r="18" spans="1:18" s="13" customFormat="1" x14ac:dyDescent="0.25">
      <c r="A18" s="229"/>
      <c r="B18" s="30" t="s">
        <v>154</v>
      </c>
      <c r="C18" s="181" t="s">
        <v>17</v>
      </c>
      <c r="D18" s="182"/>
      <c r="E18" s="183" t="s">
        <v>20</v>
      </c>
      <c r="F18" s="73" t="s">
        <v>453</v>
      </c>
      <c r="G18" s="230" t="s">
        <v>114</v>
      </c>
      <c r="H18" s="181">
        <v>25</v>
      </c>
      <c r="I18" s="234">
        <v>2</v>
      </c>
      <c r="J18" s="190">
        <v>2</v>
      </c>
      <c r="K18" s="193">
        <v>2938.2</v>
      </c>
      <c r="L18" s="193">
        <v>2938.2</v>
      </c>
      <c r="M18" s="187">
        <f t="shared" si="1"/>
        <v>0</v>
      </c>
      <c r="N18" s="114">
        <v>16</v>
      </c>
      <c r="O18" s="224">
        <v>41112.769999999997</v>
      </c>
      <c r="P18" s="224">
        <v>41112.769999999997</v>
      </c>
      <c r="Q18" s="232">
        <f t="shared" si="2"/>
        <v>0</v>
      </c>
    </row>
    <row r="19" spans="1:18" s="13" customFormat="1" x14ac:dyDescent="0.25">
      <c r="A19" s="229"/>
      <c r="B19" s="30" t="s">
        <v>154</v>
      </c>
      <c r="C19" s="181" t="s">
        <v>17</v>
      </c>
      <c r="D19" s="182"/>
      <c r="E19" s="183" t="s">
        <v>20</v>
      </c>
      <c r="F19" s="73" t="s">
        <v>326</v>
      </c>
      <c r="G19" s="74" t="s">
        <v>112</v>
      </c>
      <c r="H19" s="75">
        <v>20</v>
      </c>
      <c r="I19" s="76">
        <v>15</v>
      </c>
      <c r="J19" s="96">
        <f>1+1+2+2+2+6+1+4+1</f>
        <v>20</v>
      </c>
      <c r="K19" s="77">
        <f>950.9+864.46+845.24+405.02+739.59+6850.57+12952.58+883.08</f>
        <v>24491.440000000002</v>
      </c>
      <c r="L19" s="77">
        <f>950.9+864.46+845.24+405.02+739.59+6850.57+12952.58+883.08</f>
        <v>24491.440000000002</v>
      </c>
      <c r="M19" s="78">
        <f t="shared" si="1"/>
        <v>0</v>
      </c>
      <c r="N19" s="100">
        <f>6+3+1+1+1+2+1+1</f>
        <v>16</v>
      </c>
      <c r="O19" s="81">
        <f>6681.33+7017+1523.5+9094.74+3532.32</f>
        <v>27848.89</v>
      </c>
      <c r="P19" s="81">
        <f>6681.33+7017+1523.5+9094.74+3532.32</f>
        <v>27848.89</v>
      </c>
      <c r="Q19" s="79">
        <f t="shared" si="2"/>
        <v>0</v>
      </c>
      <c r="R19" s="141"/>
    </row>
    <row r="20" spans="1:18" s="13" customFormat="1" x14ac:dyDescent="0.25">
      <c r="A20" s="229"/>
      <c r="B20" s="62" t="s">
        <v>24</v>
      </c>
      <c r="C20" s="181" t="s">
        <v>17</v>
      </c>
      <c r="D20" s="182"/>
      <c r="E20" s="183" t="s">
        <v>20</v>
      </c>
      <c r="F20" s="73" t="s">
        <v>327</v>
      </c>
      <c r="G20" s="74" t="s">
        <v>112</v>
      </c>
      <c r="H20" s="75">
        <v>7</v>
      </c>
      <c r="I20" s="76">
        <v>4</v>
      </c>
      <c r="J20" s="96">
        <f>3+1+1</f>
        <v>5</v>
      </c>
      <c r="K20" s="77">
        <f>1191.02</f>
        <v>1191.02</v>
      </c>
      <c r="L20" s="77">
        <f>1191.02</f>
        <v>1191.02</v>
      </c>
      <c r="M20" s="78">
        <f t="shared" si="1"/>
        <v>0</v>
      </c>
      <c r="N20" s="100">
        <f>1+1</f>
        <v>2</v>
      </c>
      <c r="O20" s="81">
        <f>576.3+1810.93</f>
        <v>2387.23</v>
      </c>
      <c r="P20" s="81">
        <f>576.3+1810.93</f>
        <v>2387.23</v>
      </c>
      <c r="Q20" s="232">
        <f t="shared" si="2"/>
        <v>0</v>
      </c>
      <c r="R20" s="141"/>
    </row>
    <row r="21" spans="1:18" s="13" customFormat="1" x14ac:dyDescent="0.25">
      <c r="A21" s="229"/>
      <c r="B21" s="62" t="s">
        <v>24</v>
      </c>
      <c r="C21" s="181" t="s">
        <v>17</v>
      </c>
      <c r="D21" s="182"/>
      <c r="E21" s="183" t="s">
        <v>20</v>
      </c>
      <c r="F21" s="73" t="s">
        <v>454</v>
      </c>
      <c r="G21" s="230" t="s">
        <v>114</v>
      </c>
      <c r="H21" s="181">
        <v>12</v>
      </c>
      <c r="I21" s="231"/>
      <c r="J21" s="190"/>
      <c r="K21" s="77"/>
      <c r="L21" s="77"/>
      <c r="M21" s="187">
        <f t="shared" si="1"/>
        <v>0</v>
      </c>
      <c r="N21" s="100">
        <v>16</v>
      </c>
      <c r="O21" s="224">
        <v>35336.5</v>
      </c>
      <c r="P21" s="224">
        <v>35336.5</v>
      </c>
      <c r="Q21" s="232">
        <f t="shared" si="2"/>
        <v>0</v>
      </c>
    </row>
    <row r="22" spans="1:18" s="13" customFormat="1" x14ac:dyDescent="0.25">
      <c r="A22" s="229"/>
      <c r="B22" s="62" t="s">
        <v>25</v>
      </c>
      <c r="C22" s="181" t="s">
        <v>17</v>
      </c>
      <c r="D22" s="182"/>
      <c r="E22" s="183" t="s">
        <v>20</v>
      </c>
      <c r="F22" s="73" t="s">
        <v>328</v>
      </c>
      <c r="G22" s="74" t="s">
        <v>112</v>
      </c>
      <c r="H22" s="75">
        <v>9</v>
      </c>
      <c r="I22" s="76">
        <v>5</v>
      </c>
      <c r="J22" s="96">
        <f>1+1+1+1+1</f>
        <v>5</v>
      </c>
      <c r="K22" s="173">
        <f>403.41+1605.6+3697.9</f>
        <v>5706.91</v>
      </c>
      <c r="L22" s="173">
        <f>403.41+1605.6+3697.9</f>
        <v>5706.91</v>
      </c>
      <c r="M22" s="78">
        <f>K22-L22</f>
        <v>0</v>
      </c>
      <c r="N22" s="100">
        <f>6+1+2+2+1</f>
        <v>12</v>
      </c>
      <c r="O22" s="81">
        <f>14526.7+5595.3+2440.62+2839.24</f>
        <v>25401.86</v>
      </c>
      <c r="P22" s="81">
        <f>14526.7+5595.3+2440.62+2839.24</f>
        <v>25401.86</v>
      </c>
      <c r="Q22" s="232">
        <f t="shared" si="2"/>
        <v>0</v>
      </c>
      <c r="R22" s="141"/>
    </row>
    <row r="23" spans="1:18" s="13" customFormat="1" x14ac:dyDescent="0.25">
      <c r="A23" s="229"/>
      <c r="B23" s="62" t="s">
        <v>25</v>
      </c>
      <c r="C23" s="181" t="s">
        <v>17</v>
      </c>
      <c r="D23" s="182"/>
      <c r="E23" s="183" t="s">
        <v>20</v>
      </c>
      <c r="F23" s="73" t="s">
        <v>455</v>
      </c>
      <c r="G23" s="230" t="s">
        <v>114</v>
      </c>
      <c r="H23" s="181">
        <v>5</v>
      </c>
      <c r="I23" s="231"/>
      <c r="J23" s="190"/>
      <c r="K23" s="77"/>
      <c r="L23" s="77"/>
      <c r="M23" s="187">
        <f t="shared" si="1"/>
        <v>0</v>
      </c>
      <c r="N23" s="100">
        <v>3</v>
      </c>
      <c r="O23" s="224">
        <v>7219.8</v>
      </c>
      <c r="P23" s="224">
        <v>7219.8</v>
      </c>
      <c r="Q23" s="232">
        <f t="shared" si="2"/>
        <v>0</v>
      </c>
    </row>
    <row r="24" spans="1:18" s="13" customFormat="1" x14ac:dyDescent="0.25">
      <c r="A24" s="229"/>
      <c r="B24" s="62" t="s">
        <v>26</v>
      </c>
      <c r="C24" s="181" t="s">
        <v>17</v>
      </c>
      <c r="D24" s="182"/>
      <c r="E24" s="183" t="s">
        <v>27</v>
      </c>
      <c r="F24" s="73" t="s">
        <v>329</v>
      </c>
      <c r="G24" s="74" t="s">
        <v>112</v>
      </c>
      <c r="H24" s="75">
        <v>15</v>
      </c>
      <c r="I24" s="76">
        <v>12</v>
      </c>
      <c r="J24" s="96">
        <f>2+2+4+1+4+1</f>
        <v>14</v>
      </c>
      <c r="K24" s="77">
        <f>845.24+1056.55+5121.1+26225.35+422.62+16490.35</f>
        <v>50161.21</v>
      </c>
      <c r="L24" s="77">
        <f>845.24+1056.55+5121.1+26225.35+422.62+16490.35</f>
        <v>50161.21</v>
      </c>
      <c r="M24" s="78">
        <f t="shared" si="1"/>
        <v>0</v>
      </c>
      <c r="N24" s="100">
        <f>6+1+1+2+1</f>
        <v>11</v>
      </c>
      <c r="O24" s="81">
        <f>17838.53+2535.75+7238.9</f>
        <v>27613.18</v>
      </c>
      <c r="P24" s="81">
        <f>17838.53+2535.75+7238.9</f>
        <v>27613.18</v>
      </c>
      <c r="Q24" s="232">
        <f t="shared" si="2"/>
        <v>0</v>
      </c>
      <c r="R24" s="141"/>
    </row>
    <row r="25" spans="1:18" s="15" customFormat="1" x14ac:dyDescent="0.25">
      <c r="A25" s="229"/>
      <c r="B25" s="62" t="s">
        <v>28</v>
      </c>
      <c r="C25" s="181" t="s">
        <v>17</v>
      </c>
      <c r="D25" s="182"/>
      <c r="E25" s="194" t="s">
        <v>29</v>
      </c>
      <c r="F25" s="73" t="s">
        <v>330</v>
      </c>
      <c r="G25" s="74" t="s">
        <v>112</v>
      </c>
      <c r="H25" s="75">
        <v>7</v>
      </c>
      <c r="I25" s="76">
        <v>7</v>
      </c>
      <c r="J25" s="96">
        <f>2+1+2+1+1</f>
        <v>7</v>
      </c>
      <c r="K25" s="77">
        <f>6135.14+2440.63+9722.07+968.96</f>
        <v>19266.8</v>
      </c>
      <c r="L25" s="77">
        <f>6135.14+2440.63+9722.07+968.96</f>
        <v>19266.8</v>
      </c>
      <c r="M25" s="78">
        <f t="shared" si="1"/>
        <v>0</v>
      </c>
      <c r="N25" s="100">
        <f>3+2+4+3+1+1</f>
        <v>14</v>
      </c>
      <c r="O25" s="81">
        <f>5310.83+4630.52+14679.01+36087.29+8956.5</f>
        <v>69664.149999999994</v>
      </c>
      <c r="P25" s="81">
        <f>5310.83+4630.52+14679.01+36087.29+8956.5</f>
        <v>69664.149999999994</v>
      </c>
      <c r="Q25" s="232">
        <f t="shared" si="2"/>
        <v>0</v>
      </c>
      <c r="R25" s="141"/>
    </row>
    <row r="26" spans="1:18" s="15" customFormat="1" x14ac:dyDescent="0.25">
      <c r="A26" s="229"/>
      <c r="B26" s="62" t="s">
        <v>28</v>
      </c>
      <c r="C26" s="181" t="s">
        <v>17</v>
      </c>
      <c r="D26" s="182"/>
      <c r="E26" s="194" t="s">
        <v>29</v>
      </c>
      <c r="F26" s="73" t="s">
        <v>420</v>
      </c>
      <c r="G26" s="235" t="s">
        <v>117</v>
      </c>
      <c r="H26" s="181">
        <v>2</v>
      </c>
      <c r="I26" s="231"/>
      <c r="J26" s="96"/>
      <c r="K26" s="77"/>
      <c r="L26" s="77"/>
      <c r="M26" s="78">
        <f t="shared" si="1"/>
        <v>0</v>
      </c>
      <c r="N26" s="100">
        <v>2</v>
      </c>
      <c r="O26" s="224">
        <v>2766.24</v>
      </c>
      <c r="P26" s="224">
        <v>2766.24</v>
      </c>
      <c r="Q26" s="79">
        <f t="shared" si="2"/>
        <v>0</v>
      </c>
    </row>
    <row r="27" spans="1:18" s="15" customFormat="1" x14ac:dyDescent="0.25">
      <c r="A27" s="229"/>
      <c r="B27" s="233" t="s">
        <v>500</v>
      </c>
      <c r="C27" s="181" t="s">
        <v>17</v>
      </c>
      <c r="D27" s="182"/>
      <c r="E27" s="194"/>
      <c r="F27" s="73" t="s">
        <v>503</v>
      </c>
      <c r="G27" s="235" t="s">
        <v>112</v>
      </c>
      <c r="H27" s="181">
        <v>19</v>
      </c>
      <c r="I27" s="231">
        <v>5</v>
      </c>
      <c r="J27" s="96">
        <f>2+2+2+1</f>
        <v>7</v>
      </c>
      <c r="K27" s="77">
        <f>1202.51+3555.1+602.1</f>
        <v>5359.71</v>
      </c>
      <c r="L27" s="77">
        <f>1202.51+3555.1+602.1</f>
        <v>5359.71</v>
      </c>
      <c r="M27" s="78">
        <f t="shared" si="1"/>
        <v>0</v>
      </c>
      <c r="N27" s="100"/>
      <c r="O27" s="224"/>
      <c r="P27" s="224"/>
      <c r="Q27" s="79">
        <f t="shared" si="2"/>
        <v>0</v>
      </c>
    </row>
    <row r="28" spans="1:18" s="13" customFormat="1" x14ac:dyDescent="0.25">
      <c r="A28" s="229"/>
      <c r="B28" s="27" t="s">
        <v>30</v>
      </c>
      <c r="C28" s="181" t="s">
        <v>17</v>
      </c>
      <c r="D28" s="182"/>
      <c r="E28" s="194" t="s">
        <v>21</v>
      </c>
      <c r="F28" s="73" t="s">
        <v>333</v>
      </c>
      <c r="G28" s="74" t="s">
        <v>112</v>
      </c>
      <c r="H28" s="75">
        <v>17</v>
      </c>
      <c r="I28" s="76">
        <v>11</v>
      </c>
      <c r="J28" s="96">
        <f>3+1+3+1+4+1+1+2</f>
        <v>16</v>
      </c>
      <c r="K28" s="77">
        <f>16637.24+1045.98</f>
        <v>17683.22</v>
      </c>
      <c r="L28" s="77">
        <f>16637.24+1045.98</f>
        <v>17683.22</v>
      </c>
      <c r="M28" s="78">
        <f t="shared" si="1"/>
        <v>0</v>
      </c>
      <c r="N28" s="100">
        <f>9+1+3+1+1+1+2+1+1+2</f>
        <v>22</v>
      </c>
      <c r="O28" s="81">
        <f>77047.8+15703.07+7288.94</f>
        <v>100039.81</v>
      </c>
      <c r="P28" s="81">
        <f>77047.8+15703.07+7288.94</f>
        <v>100039.81</v>
      </c>
      <c r="Q28" s="79">
        <f>O28-P28</f>
        <v>0</v>
      </c>
      <c r="R28" s="141"/>
    </row>
    <row r="29" spans="1:18" s="13" customFormat="1" x14ac:dyDescent="0.25">
      <c r="A29" s="229"/>
      <c r="B29" s="27" t="s">
        <v>491</v>
      </c>
      <c r="C29" s="181" t="s">
        <v>17</v>
      </c>
      <c r="D29" s="182"/>
      <c r="E29" s="183" t="s">
        <v>20</v>
      </c>
      <c r="F29" s="73" t="s">
        <v>495</v>
      </c>
      <c r="G29" s="74" t="s">
        <v>112</v>
      </c>
      <c r="H29" s="75">
        <v>8</v>
      </c>
      <c r="I29" s="76">
        <v>6</v>
      </c>
      <c r="J29" s="96">
        <f>2+2+1+1</f>
        <v>6</v>
      </c>
      <c r="K29" s="77">
        <f>1727.9+2093.89+728.54</f>
        <v>4550.33</v>
      </c>
      <c r="L29" s="77">
        <f>1727.9+2093.89+728.54</f>
        <v>4550.33</v>
      </c>
      <c r="M29" s="78">
        <f t="shared" si="1"/>
        <v>0</v>
      </c>
      <c r="N29" s="100"/>
      <c r="O29" s="81"/>
      <c r="P29" s="81"/>
      <c r="Q29" s="79">
        <f t="shared" si="2"/>
        <v>0</v>
      </c>
      <c r="R29" s="141"/>
    </row>
    <row r="30" spans="1:18" s="13" customFormat="1" x14ac:dyDescent="0.25">
      <c r="A30" s="229"/>
      <c r="B30" s="27" t="s">
        <v>491</v>
      </c>
      <c r="C30" s="181" t="s">
        <v>17</v>
      </c>
      <c r="D30" s="182"/>
      <c r="E30" s="183" t="s">
        <v>20</v>
      </c>
      <c r="F30" s="73" t="s">
        <v>504</v>
      </c>
      <c r="G30" s="74" t="s">
        <v>114</v>
      </c>
      <c r="H30" s="75">
        <v>7</v>
      </c>
      <c r="I30" s="76">
        <v>1</v>
      </c>
      <c r="J30" s="96">
        <v>1</v>
      </c>
      <c r="K30" s="77">
        <v>1267.8599999999999</v>
      </c>
      <c r="L30" s="77"/>
      <c r="M30" s="187">
        <f t="shared" si="1"/>
        <v>1267.8599999999999</v>
      </c>
      <c r="N30" s="100"/>
      <c r="O30" s="81"/>
      <c r="P30" s="81"/>
      <c r="Q30" s="232">
        <f t="shared" si="2"/>
        <v>0</v>
      </c>
      <c r="R30" s="141"/>
    </row>
    <row r="31" spans="1:18" s="13" customFormat="1" x14ac:dyDescent="0.25">
      <c r="A31" s="229"/>
      <c r="B31" s="27" t="s">
        <v>491</v>
      </c>
      <c r="C31" s="181" t="s">
        <v>17</v>
      </c>
      <c r="D31" s="182"/>
      <c r="E31" s="183"/>
      <c r="F31" s="73" t="s">
        <v>510</v>
      </c>
      <c r="G31" s="235" t="s">
        <v>117</v>
      </c>
      <c r="H31" s="75">
        <v>1</v>
      </c>
      <c r="I31" s="76"/>
      <c r="J31" s="96"/>
      <c r="K31" s="77"/>
      <c r="L31" s="77"/>
      <c r="M31" s="187">
        <f t="shared" si="1"/>
        <v>0</v>
      </c>
      <c r="N31" s="100"/>
      <c r="O31" s="81"/>
      <c r="P31" s="81"/>
      <c r="Q31" s="232">
        <f t="shared" si="2"/>
        <v>0</v>
      </c>
      <c r="R31" s="141"/>
    </row>
    <row r="32" spans="1:18" s="13" customFormat="1" x14ac:dyDescent="0.25">
      <c r="A32" s="229"/>
      <c r="B32" s="30" t="s">
        <v>31</v>
      </c>
      <c r="C32" s="181" t="s">
        <v>17</v>
      </c>
      <c r="D32" s="182"/>
      <c r="E32" s="183" t="s">
        <v>32</v>
      </c>
      <c r="F32" s="73" t="s">
        <v>331</v>
      </c>
      <c r="G32" s="74" t="s">
        <v>112</v>
      </c>
      <c r="H32" s="75">
        <v>11</v>
      </c>
      <c r="I32" s="76">
        <v>10</v>
      </c>
      <c r="J32" s="96">
        <f>1+2+3+1+4+3</f>
        <v>14</v>
      </c>
      <c r="K32" s="77">
        <f>633.93+1045.98+5377.62+950.9+6004.09+4598.82+8410.14</f>
        <v>27021.48</v>
      </c>
      <c r="L32" s="77">
        <f>633.93+1045.98+5377.62+950.9+6004.09+4598.82+8410.14</f>
        <v>27021.48</v>
      </c>
      <c r="M32" s="187">
        <f t="shared" si="1"/>
        <v>0</v>
      </c>
      <c r="N32" s="100">
        <f>1+3+3+1+1+2+1</f>
        <v>12</v>
      </c>
      <c r="O32" s="81">
        <f>2299.8+15239.58+6152.75+2720.49+1483.38+7043.49+11175.04</f>
        <v>46114.530000000006</v>
      </c>
      <c r="P32" s="81">
        <f>2299.8+15239.58+6152.75+2720.49+1483.38+7043.49+11175.04</f>
        <v>46114.530000000006</v>
      </c>
      <c r="Q32" s="232">
        <f t="shared" si="2"/>
        <v>0</v>
      </c>
      <c r="R32" s="141"/>
    </row>
    <row r="33" spans="1:18" s="13" customFormat="1" x14ac:dyDescent="0.25">
      <c r="A33" s="229"/>
      <c r="B33" s="30" t="s">
        <v>31</v>
      </c>
      <c r="C33" s="181" t="s">
        <v>17</v>
      </c>
      <c r="D33" s="182"/>
      <c r="E33" s="183" t="s">
        <v>32</v>
      </c>
      <c r="F33" s="73" t="s">
        <v>422</v>
      </c>
      <c r="G33" s="235" t="s">
        <v>117</v>
      </c>
      <c r="H33" s="181">
        <v>10</v>
      </c>
      <c r="I33" s="231">
        <v>3</v>
      </c>
      <c r="J33" s="96">
        <v>3</v>
      </c>
      <c r="K33" s="77">
        <v>7586.5</v>
      </c>
      <c r="L33" s="77">
        <v>7586.5</v>
      </c>
      <c r="M33" s="187">
        <f t="shared" si="1"/>
        <v>0</v>
      </c>
      <c r="N33" s="100">
        <v>10</v>
      </c>
      <c r="O33" s="77">
        <v>21507.42</v>
      </c>
      <c r="P33" s="77">
        <v>20403.57</v>
      </c>
      <c r="Q33" s="232">
        <f t="shared" si="2"/>
        <v>1103.8499999999985</v>
      </c>
    </row>
    <row r="34" spans="1:18" s="15" customFormat="1" x14ac:dyDescent="0.25">
      <c r="A34" s="229"/>
      <c r="B34" s="62" t="s">
        <v>33</v>
      </c>
      <c r="C34" s="181" t="s">
        <v>17</v>
      </c>
      <c r="D34" s="182"/>
      <c r="E34" s="183" t="s">
        <v>20</v>
      </c>
      <c r="F34" s="73" t="s">
        <v>332</v>
      </c>
      <c r="G34" s="74" t="s">
        <v>112</v>
      </c>
      <c r="H34" s="75">
        <v>10</v>
      </c>
      <c r="I34" s="76">
        <v>7</v>
      </c>
      <c r="J34" s="96">
        <f>1+1+1+1+1+2+1</f>
        <v>8</v>
      </c>
      <c r="K34" s="77">
        <f>845.245+5363.43+5912.72+845.24+12887.16+2852.15+6514.08</f>
        <v>35220.025000000001</v>
      </c>
      <c r="L34" s="77">
        <f>845.245+5363.43+5912.72+845.24+12887.16+2852.15+6514.08</f>
        <v>35220.025000000001</v>
      </c>
      <c r="M34" s="78">
        <f>K34-L34</f>
        <v>0</v>
      </c>
      <c r="N34" s="100">
        <f>2+1+1+1+1+2+1+1</f>
        <v>10</v>
      </c>
      <c r="O34" s="81">
        <f>845.24+1613.64+3380.96+3639.33+1152.6</f>
        <v>10631.77</v>
      </c>
      <c r="P34" s="81">
        <f>845.24+1613.64+3380.96+3639.33+1152.6</f>
        <v>10631.77</v>
      </c>
      <c r="Q34" s="79">
        <f t="shared" si="2"/>
        <v>0</v>
      </c>
      <c r="R34" s="141"/>
    </row>
    <row r="35" spans="1:18" s="15" customFormat="1" x14ac:dyDescent="0.25">
      <c r="A35" s="229"/>
      <c r="B35" s="62" t="s">
        <v>33</v>
      </c>
      <c r="C35" s="181" t="s">
        <v>17</v>
      </c>
      <c r="D35" s="182"/>
      <c r="E35" s="183" t="s">
        <v>20</v>
      </c>
      <c r="F35" s="73" t="s">
        <v>481</v>
      </c>
      <c r="G35" s="230" t="s">
        <v>114</v>
      </c>
      <c r="H35" s="181">
        <v>7</v>
      </c>
      <c r="I35" s="231"/>
      <c r="J35" s="190"/>
      <c r="K35" s="77"/>
      <c r="L35" s="77"/>
      <c r="M35" s="187">
        <f t="shared" si="1"/>
        <v>0</v>
      </c>
      <c r="N35" s="100">
        <v>15</v>
      </c>
      <c r="O35" s="224">
        <v>43782.74</v>
      </c>
      <c r="P35" s="224">
        <v>43782.74</v>
      </c>
      <c r="Q35" s="232">
        <f t="shared" si="2"/>
        <v>0</v>
      </c>
    </row>
    <row r="36" spans="1:18" s="15" customFormat="1" x14ac:dyDescent="0.25">
      <c r="A36" s="229"/>
      <c r="B36" s="62" t="s">
        <v>147</v>
      </c>
      <c r="C36" s="181" t="s">
        <v>17</v>
      </c>
      <c r="D36" s="182"/>
      <c r="E36" s="183" t="s">
        <v>29</v>
      </c>
      <c r="F36" s="73" t="s">
        <v>334</v>
      </c>
      <c r="G36" s="74" t="s">
        <v>112</v>
      </c>
      <c r="H36" s="75">
        <v>8</v>
      </c>
      <c r="I36" s="234">
        <v>4</v>
      </c>
      <c r="J36" s="96">
        <f>1+1+2+1</f>
        <v>5</v>
      </c>
      <c r="K36" s="77">
        <f>1854.88+2824.48+3058.67</f>
        <v>7738.0300000000007</v>
      </c>
      <c r="L36" s="77">
        <f>1854.88+2824.48+3058.67</f>
        <v>7738.0300000000007</v>
      </c>
      <c r="M36" s="78">
        <f>K36-L36</f>
        <v>0</v>
      </c>
      <c r="N36" s="114">
        <f>1+1+1</f>
        <v>3</v>
      </c>
      <c r="O36" s="81">
        <f>1394.65+2473.17+1961.49</f>
        <v>5829.31</v>
      </c>
      <c r="P36" s="81">
        <f>1394.65+2473.17+1961.49</f>
        <v>5829.31</v>
      </c>
      <c r="Q36" s="79">
        <f t="shared" si="2"/>
        <v>0</v>
      </c>
      <c r="R36" s="141"/>
    </row>
    <row r="37" spans="1:18" s="15" customFormat="1" x14ac:dyDescent="0.25">
      <c r="A37" s="229"/>
      <c r="B37" s="233" t="s">
        <v>147</v>
      </c>
      <c r="C37" s="181" t="s">
        <v>17</v>
      </c>
      <c r="D37" s="182"/>
      <c r="E37" s="183" t="s">
        <v>29</v>
      </c>
      <c r="F37" s="73" t="s">
        <v>423</v>
      </c>
      <c r="G37" s="230" t="s">
        <v>117</v>
      </c>
      <c r="H37" s="181">
        <v>7</v>
      </c>
      <c r="I37" s="231">
        <v>4</v>
      </c>
      <c r="J37" s="96">
        <v>4</v>
      </c>
      <c r="K37" s="77">
        <v>6847.1</v>
      </c>
      <c r="L37" s="77">
        <v>6847.1</v>
      </c>
      <c r="M37" s="187">
        <f t="shared" si="1"/>
        <v>0</v>
      </c>
      <c r="N37" s="100">
        <v>4</v>
      </c>
      <c r="O37" s="224">
        <v>4706.45</v>
      </c>
      <c r="P37" s="224">
        <v>4706.45</v>
      </c>
      <c r="Q37" s="232">
        <f t="shared" si="2"/>
        <v>0</v>
      </c>
    </row>
    <row r="38" spans="1:18" s="13" customFormat="1" x14ac:dyDescent="0.25">
      <c r="A38" s="229"/>
      <c r="B38" s="62" t="s">
        <v>34</v>
      </c>
      <c r="C38" s="181" t="s">
        <v>17</v>
      </c>
      <c r="D38" s="182"/>
      <c r="E38" s="194" t="s">
        <v>35</v>
      </c>
      <c r="F38" s="73" t="s">
        <v>335</v>
      </c>
      <c r="G38" s="74" t="s">
        <v>112</v>
      </c>
      <c r="H38" s="75">
        <v>28</v>
      </c>
      <c r="I38" s="76">
        <v>12</v>
      </c>
      <c r="J38" s="96">
        <f>4+2+2+7+4</f>
        <v>19</v>
      </c>
      <c r="K38" s="77">
        <f>8288.4+1267.86+845.24+13964.6+11418.26</f>
        <v>35784.36</v>
      </c>
      <c r="L38" s="77">
        <f>8288.4+1267.86+845.24+13964.6+11418.26</f>
        <v>35784.36</v>
      </c>
      <c r="M38" s="78">
        <f>K38-L38</f>
        <v>0</v>
      </c>
      <c r="N38" s="100">
        <f>4+4+6+1+3+1+3+1+2</f>
        <v>25</v>
      </c>
      <c r="O38" s="81">
        <f>23915.04+21171.88+6399.1+11460.81+1501.24</f>
        <v>64448.069999999992</v>
      </c>
      <c r="P38" s="81">
        <f>23915.04+21171.88+6399.1+11460.81+1501.24</f>
        <v>64448.069999999992</v>
      </c>
      <c r="Q38" s="79">
        <f t="shared" si="2"/>
        <v>0</v>
      </c>
      <c r="R38" s="141"/>
    </row>
    <row r="39" spans="1:18" s="13" customFormat="1" x14ac:dyDescent="0.25">
      <c r="A39" s="229"/>
      <c r="B39" s="62" t="s">
        <v>34</v>
      </c>
      <c r="C39" s="181" t="s">
        <v>17</v>
      </c>
      <c r="D39" s="182"/>
      <c r="E39" s="194" t="s">
        <v>35</v>
      </c>
      <c r="F39" s="73" t="s">
        <v>424</v>
      </c>
      <c r="G39" s="235" t="s">
        <v>117</v>
      </c>
      <c r="H39" s="181">
        <v>2</v>
      </c>
      <c r="I39" s="231">
        <v>1</v>
      </c>
      <c r="J39" s="96">
        <v>2</v>
      </c>
      <c r="K39" s="77">
        <v>3842</v>
      </c>
      <c r="L39" s="77">
        <v>3842</v>
      </c>
      <c r="M39" s="187">
        <f t="shared" si="1"/>
        <v>0</v>
      </c>
      <c r="N39" s="100">
        <v>3</v>
      </c>
      <c r="O39" s="224">
        <v>9220.7999999999993</v>
      </c>
      <c r="P39" s="224">
        <v>9220.7999999999993</v>
      </c>
      <c r="Q39" s="232">
        <f t="shared" si="2"/>
        <v>0</v>
      </c>
    </row>
    <row r="40" spans="1:18" s="13" customFormat="1" x14ac:dyDescent="0.25">
      <c r="A40" s="229"/>
      <c r="B40" s="27" t="s">
        <v>36</v>
      </c>
      <c r="C40" s="181" t="s">
        <v>17</v>
      </c>
      <c r="D40" s="182"/>
      <c r="E40" s="194" t="s">
        <v>32</v>
      </c>
      <c r="F40" s="73" t="s">
        <v>336</v>
      </c>
      <c r="G40" s="74" t="s">
        <v>112</v>
      </c>
      <c r="H40" s="75">
        <v>21</v>
      </c>
      <c r="I40" s="76">
        <v>10</v>
      </c>
      <c r="J40" s="96">
        <f>1+3+4+2+2+7</f>
        <v>19</v>
      </c>
      <c r="K40" s="77">
        <f>2091.97+4201.22+3643.94+998.92</f>
        <v>10936.050000000001</v>
      </c>
      <c r="L40" s="77">
        <f>2091.97+4201.22+3643.94+998.92</f>
        <v>10936.050000000001</v>
      </c>
      <c r="M40" s="78">
        <f t="shared" si="1"/>
        <v>0</v>
      </c>
      <c r="N40" s="100">
        <f>4+2+5+1+1+4+1</f>
        <v>18</v>
      </c>
      <c r="O40" s="81">
        <f>26828.22+3116.2+14162+4691+13237.22+22342.31</f>
        <v>84376.95</v>
      </c>
      <c r="P40" s="81">
        <f>26828.22+3116.2+14162+4691+13237.22+22342.31</f>
        <v>84376.95</v>
      </c>
      <c r="Q40" s="79">
        <f t="shared" si="2"/>
        <v>0</v>
      </c>
      <c r="R40" s="141"/>
    </row>
    <row r="41" spans="1:18" s="13" customFormat="1" x14ac:dyDescent="0.25">
      <c r="A41" s="229"/>
      <c r="B41" s="27" t="s">
        <v>38</v>
      </c>
      <c r="C41" s="181" t="s">
        <v>17</v>
      </c>
      <c r="D41" s="182"/>
      <c r="E41" s="183" t="s">
        <v>20</v>
      </c>
      <c r="F41" s="73" t="s">
        <v>338</v>
      </c>
      <c r="G41" s="74" t="s">
        <v>112</v>
      </c>
      <c r="H41" s="75">
        <v>38</v>
      </c>
      <c r="I41" s="76">
        <v>31</v>
      </c>
      <c r="J41" s="96">
        <f>5+9+3+4+4+2+3+3+11</f>
        <v>44</v>
      </c>
      <c r="K41" s="77">
        <f>4427.07+14262.52+23391.74+11108.38+9141.17+3923.07+23674.29</f>
        <v>89928.239999999991</v>
      </c>
      <c r="L41" s="77">
        <f>4427.07+14262.52+23391.74+11108.38+9141.17+3923.07+23674.29</f>
        <v>89928.239999999991</v>
      </c>
      <c r="M41" s="78">
        <f t="shared" si="1"/>
        <v>0</v>
      </c>
      <c r="N41" s="100">
        <f>1+14+2+2+2+3+1</f>
        <v>25</v>
      </c>
      <c r="O41" s="81">
        <f>34449.99+27363.78+23604.86+16739.26+15240.34+16003.48</f>
        <v>133401.71</v>
      </c>
      <c r="P41" s="81">
        <f>34449.99+27363.78+23604.86+16739.26+15240.34+16003.48</f>
        <v>133401.71</v>
      </c>
      <c r="Q41" s="79">
        <f t="shared" si="2"/>
        <v>0</v>
      </c>
      <c r="R41" s="141"/>
    </row>
    <row r="42" spans="1:18" s="13" customFormat="1" x14ac:dyDescent="0.25">
      <c r="A42" s="229"/>
      <c r="B42" s="27" t="s">
        <v>38</v>
      </c>
      <c r="C42" s="181" t="s">
        <v>17</v>
      </c>
      <c r="D42" s="182"/>
      <c r="E42" s="183" t="s">
        <v>20</v>
      </c>
      <c r="F42" s="73" t="s">
        <v>268</v>
      </c>
      <c r="G42" s="230" t="s">
        <v>114</v>
      </c>
      <c r="H42" s="181"/>
      <c r="I42" s="231"/>
      <c r="J42" s="190"/>
      <c r="K42" s="77"/>
      <c r="L42" s="77"/>
      <c r="M42" s="187">
        <f t="shared" si="1"/>
        <v>0</v>
      </c>
      <c r="N42" s="100"/>
      <c r="O42" s="224"/>
      <c r="P42" s="224"/>
      <c r="Q42" s="232">
        <f t="shared" si="2"/>
        <v>0</v>
      </c>
    </row>
    <row r="43" spans="1:18" s="13" customFormat="1" x14ac:dyDescent="0.25">
      <c r="A43" s="229"/>
      <c r="B43" s="27" t="s">
        <v>38</v>
      </c>
      <c r="C43" s="181" t="s">
        <v>17</v>
      </c>
      <c r="D43" s="182"/>
      <c r="E43" s="183" t="s">
        <v>18</v>
      </c>
      <c r="F43" s="73" t="s">
        <v>324</v>
      </c>
      <c r="G43" s="230" t="s">
        <v>116</v>
      </c>
      <c r="H43" s="181">
        <v>3</v>
      </c>
      <c r="I43" s="231">
        <v>3</v>
      </c>
      <c r="J43" s="190">
        <v>3</v>
      </c>
      <c r="K43" s="77"/>
      <c r="L43" s="77"/>
      <c r="M43" s="187">
        <f t="shared" si="1"/>
        <v>0</v>
      </c>
      <c r="N43" s="100"/>
      <c r="O43" s="224"/>
      <c r="P43" s="224"/>
      <c r="Q43" s="232">
        <f t="shared" si="2"/>
        <v>0</v>
      </c>
    </row>
    <row r="44" spans="1:18" s="13" customFormat="1" x14ac:dyDescent="0.25">
      <c r="A44" s="229"/>
      <c r="B44" s="62" t="s">
        <v>39</v>
      </c>
      <c r="C44" s="181" t="s">
        <v>17</v>
      </c>
      <c r="D44" s="182"/>
      <c r="E44" s="183" t="s">
        <v>20</v>
      </c>
      <c r="F44" s="73" t="s">
        <v>269</v>
      </c>
      <c r="G44" s="230" t="s">
        <v>114</v>
      </c>
      <c r="H44" s="181"/>
      <c r="I44" s="231"/>
      <c r="J44" s="190"/>
      <c r="K44" s="77"/>
      <c r="L44" s="77"/>
      <c r="M44" s="187">
        <f t="shared" si="1"/>
        <v>0</v>
      </c>
      <c r="N44" s="100"/>
      <c r="O44" s="224"/>
      <c r="P44" s="224"/>
      <c r="Q44" s="232">
        <f t="shared" si="2"/>
        <v>0</v>
      </c>
    </row>
    <row r="45" spans="1:18" s="13" customFormat="1" x14ac:dyDescent="0.25">
      <c r="A45" s="229"/>
      <c r="B45" s="27" t="s">
        <v>40</v>
      </c>
      <c r="C45" s="181" t="s">
        <v>17</v>
      </c>
      <c r="D45" s="182"/>
      <c r="E45" s="194" t="s">
        <v>41</v>
      </c>
      <c r="F45" s="73" t="s">
        <v>339</v>
      </c>
      <c r="G45" s="74" t="s">
        <v>112</v>
      </c>
      <c r="H45" s="75">
        <v>19</v>
      </c>
      <c r="I45" s="76">
        <v>16</v>
      </c>
      <c r="J45" s="96">
        <f>1+1+3+9+4+4+3+2+1+1+2</f>
        <v>31</v>
      </c>
      <c r="K45" s="77">
        <f>1045.98+3271.86+15658.52+8166.35+6035.99+8024.36+2759.63</f>
        <v>44962.689999999995</v>
      </c>
      <c r="L45" s="77">
        <f>1045.98+3271.86+15658.52+8166.35+6035.99+8024.36+2759.63</f>
        <v>44962.689999999995</v>
      </c>
      <c r="M45" s="78">
        <f>K45-L45</f>
        <v>0</v>
      </c>
      <c r="N45" s="100">
        <f>3+13+6+5+4+2+1+1</f>
        <v>35</v>
      </c>
      <c r="O45" s="81">
        <f>17269.31+39990.78+16582.12+23492.44+7068.31+4243.84</f>
        <v>108646.79999999999</v>
      </c>
      <c r="P45" s="81">
        <f>17269.31+39990.78+16582.12+23492.44+7068.31+4243.84</f>
        <v>108646.79999999999</v>
      </c>
      <c r="Q45" s="79">
        <f t="shared" si="2"/>
        <v>0</v>
      </c>
      <c r="R45" s="141"/>
    </row>
    <row r="46" spans="1:18" s="13" customFormat="1" x14ac:dyDescent="0.25">
      <c r="A46" s="229"/>
      <c r="B46" s="27" t="s">
        <v>40</v>
      </c>
      <c r="C46" s="181" t="s">
        <v>17</v>
      </c>
      <c r="D46" s="182"/>
      <c r="E46" s="194" t="s">
        <v>41</v>
      </c>
      <c r="F46" s="73" t="s">
        <v>482</v>
      </c>
      <c r="G46" s="230" t="s">
        <v>114</v>
      </c>
      <c r="H46" s="181"/>
      <c r="I46" s="231"/>
      <c r="J46" s="190"/>
      <c r="K46" s="77"/>
      <c r="L46" s="77"/>
      <c r="M46" s="187">
        <f t="shared" si="1"/>
        <v>0</v>
      </c>
      <c r="N46" s="100">
        <v>1</v>
      </c>
      <c r="O46" s="224">
        <v>3073.6</v>
      </c>
      <c r="P46" s="224">
        <f>3073.6</f>
        <v>3073.6</v>
      </c>
      <c r="Q46" s="232">
        <f t="shared" si="2"/>
        <v>0</v>
      </c>
    </row>
    <row r="47" spans="1:18" s="13" customFormat="1" x14ac:dyDescent="0.25">
      <c r="A47" s="229"/>
      <c r="B47" s="27" t="s">
        <v>148</v>
      </c>
      <c r="C47" s="181" t="s">
        <v>17</v>
      </c>
      <c r="D47" s="182"/>
      <c r="E47" s="183" t="s">
        <v>20</v>
      </c>
      <c r="F47" s="73" t="s">
        <v>340</v>
      </c>
      <c r="G47" s="74" t="s">
        <v>112</v>
      </c>
      <c r="H47" s="75">
        <v>16</v>
      </c>
      <c r="I47" s="82">
        <v>10</v>
      </c>
      <c r="J47" s="96">
        <f>1+2+1+4+4+2</f>
        <v>14</v>
      </c>
      <c r="K47" s="77">
        <f>537.88+2110.03+6723.98+8914.21</f>
        <v>18286.099999999999</v>
      </c>
      <c r="L47" s="77">
        <f>537.88+2110.03+6723.98+8914.21</f>
        <v>18286.099999999999</v>
      </c>
      <c r="M47" s="78">
        <f>K47-L47</f>
        <v>0</v>
      </c>
      <c r="N47" s="100">
        <f>6+5+3+1+1+1+1</f>
        <v>18</v>
      </c>
      <c r="O47" s="81">
        <f>9370.6+9456.38+8868.69+5367.27+11572.62</f>
        <v>44635.560000000005</v>
      </c>
      <c r="P47" s="81">
        <f>9370.6+9456.38+8868.69+5367.27+11572.62</f>
        <v>44635.560000000005</v>
      </c>
      <c r="Q47" s="79">
        <f t="shared" si="2"/>
        <v>0</v>
      </c>
      <c r="R47" s="141"/>
    </row>
    <row r="48" spans="1:18" s="13" customFormat="1" x14ac:dyDescent="0.25">
      <c r="A48" s="229"/>
      <c r="B48" s="27" t="s">
        <v>148</v>
      </c>
      <c r="C48" s="181" t="s">
        <v>17</v>
      </c>
      <c r="D48" s="182"/>
      <c r="E48" s="194" t="s">
        <v>32</v>
      </c>
      <c r="F48" s="73" t="s">
        <v>425</v>
      </c>
      <c r="G48" s="230" t="s">
        <v>117</v>
      </c>
      <c r="H48" s="181">
        <v>9</v>
      </c>
      <c r="I48" s="231">
        <v>2</v>
      </c>
      <c r="J48" s="96">
        <v>2</v>
      </c>
      <c r="K48" s="77">
        <v>1344.7</v>
      </c>
      <c r="L48" s="77">
        <v>1344.7</v>
      </c>
      <c r="M48" s="187">
        <f t="shared" si="1"/>
        <v>0</v>
      </c>
      <c r="N48" s="100">
        <v>4</v>
      </c>
      <c r="O48" s="224">
        <v>12851.49</v>
      </c>
      <c r="P48" s="224">
        <v>12851.49</v>
      </c>
      <c r="Q48" s="232">
        <f t="shared" si="2"/>
        <v>0</v>
      </c>
    </row>
    <row r="49" spans="1:18" s="13" customFormat="1" x14ac:dyDescent="0.25">
      <c r="A49" s="229"/>
      <c r="B49" s="30" t="s">
        <v>42</v>
      </c>
      <c r="C49" s="181" t="s">
        <v>17</v>
      </c>
      <c r="D49" s="182"/>
      <c r="E49" s="183" t="s">
        <v>23</v>
      </c>
      <c r="F49" s="73" t="s">
        <v>341</v>
      </c>
      <c r="G49" s="74" t="s">
        <v>112</v>
      </c>
      <c r="H49" s="75">
        <v>36</v>
      </c>
      <c r="I49" s="76">
        <v>30</v>
      </c>
      <c r="J49" s="96">
        <f>5+3+5+3+8+3+8+5</f>
        <v>40</v>
      </c>
      <c r="K49" s="77">
        <f>7156.22+3849.11+8154.25+4149.36+15912.38+18649.91</f>
        <v>57871.229999999996</v>
      </c>
      <c r="L49" s="77">
        <f>7156.22+3849.11+8154.25+4149.36+15912.38+18649.91</f>
        <v>57871.229999999996</v>
      </c>
      <c r="M49" s="78">
        <f>K49-L49</f>
        <v>0</v>
      </c>
      <c r="N49" s="100">
        <f>4+6+9+2+4+2+2+3+3+2</f>
        <v>37</v>
      </c>
      <c r="O49" s="81">
        <f>5364.2+26170.88+2849.25+18965.6+9565.56+9423.5+18214.56</f>
        <v>90553.549999999988</v>
      </c>
      <c r="P49" s="81">
        <f>5364.2+26170.88+2849.25+18965.6+9565.56+9423.5+18214.56</f>
        <v>90553.549999999988</v>
      </c>
      <c r="Q49" s="79">
        <f t="shared" si="2"/>
        <v>0</v>
      </c>
      <c r="R49" s="141"/>
    </row>
    <row r="50" spans="1:18" s="13" customFormat="1" x14ac:dyDescent="0.25">
      <c r="A50" s="229"/>
      <c r="B50" s="30" t="s">
        <v>42</v>
      </c>
      <c r="C50" s="181" t="s">
        <v>17</v>
      </c>
      <c r="D50" s="182"/>
      <c r="E50" s="183" t="s">
        <v>23</v>
      </c>
      <c r="F50" s="73" t="s">
        <v>437</v>
      </c>
      <c r="G50" s="230" t="s">
        <v>118</v>
      </c>
      <c r="H50" s="181">
        <v>2</v>
      </c>
      <c r="I50" s="231"/>
      <c r="J50" s="96"/>
      <c r="K50" s="77"/>
      <c r="L50" s="77"/>
      <c r="M50" s="187">
        <f t="shared" si="1"/>
        <v>0</v>
      </c>
      <c r="N50" s="100">
        <v>1</v>
      </c>
      <c r="O50" s="224">
        <v>7766.4</v>
      </c>
      <c r="P50" s="224">
        <v>7766.4</v>
      </c>
      <c r="Q50" s="232">
        <f t="shared" si="2"/>
        <v>0</v>
      </c>
    </row>
    <row r="51" spans="1:18" s="13" customFormat="1" x14ac:dyDescent="0.25">
      <c r="A51" s="229"/>
      <c r="B51" s="30" t="s">
        <v>173</v>
      </c>
      <c r="C51" s="181" t="s">
        <v>17</v>
      </c>
      <c r="D51" s="182"/>
      <c r="E51" s="230" t="s">
        <v>118</v>
      </c>
      <c r="F51" s="73" t="s">
        <v>342</v>
      </c>
      <c r="G51" s="74" t="s">
        <v>112</v>
      </c>
      <c r="H51" s="75">
        <v>4</v>
      </c>
      <c r="I51" s="76">
        <v>4</v>
      </c>
      <c r="J51" s="96">
        <f>1+2+1</f>
        <v>4</v>
      </c>
      <c r="K51" s="77">
        <f>6833.76+696.36</f>
        <v>7530.12</v>
      </c>
      <c r="L51" s="77">
        <f>6833.76+696.36</f>
        <v>7530.12</v>
      </c>
      <c r="M51" s="78">
        <f>K51-L51</f>
        <v>0</v>
      </c>
      <c r="N51" s="100">
        <f>4+2</f>
        <v>6</v>
      </c>
      <c r="O51" s="81">
        <f>5931.9+4183.92+3158.95</f>
        <v>13274.77</v>
      </c>
      <c r="P51" s="81">
        <f>5931.9+4183.92+3158.95</f>
        <v>13274.77</v>
      </c>
      <c r="Q51" s="79">
        <f t="shared" si="2"/>
        <v>0</v>
      </c>
      <c r="R51" s="141"/>
    </row>
    <row r="52" spans="1:18" s="13" customFormat="1" x14ac:dyDescent="0.25">
      <c r="A52" s="229"/>
      <c r="B52" s="62" t="s">
        <v>143</v>
      </c>
      <c r="C52" s="181" t="s">
        <v>64</v>
      </c>
      <c r="D52" s="182" t="s">
        <v>444</v>
      </c>
      <c r="E52" s="183" t="s">
        <v>20</v>
      </c>
      <c r="F52" s="73" t="s">
        <v>445</v>
      </c>
      <c r="G52" s="230" t="s">
        <v>114</v>
      </c>
      <c r="H52" s="181">
        <v>17</v>
      </c>
      <c r="I52" s="234">
        <v>7</v>
      </c>
      <c r="J52" s="190">
        <v>7</v>
      </c>
      <c r="K52" s="193">
        <v>10823.5</v>
      </c>
      <c r="L52" s="193">
        <v>4802.5</v>
      </c>
      <c r="M52" s="187">
        <f t="shared" si="1"/>
        <v>6021</v>
      </c>
      <c r="N52" s="114">
        <v>18</v>
      </c>
      <c r="O52" s="224">
        <v>27390.400000000001</v>
      </c>
      <c r="P52" s="224">
        <v>27390.400000000001</v>
      </c>
      <c r="Q52" s="232">
        <f t="shared" si="2"/>
        <v>0</v>
      </c>
    </row>
    <row r="53" spans="1:18" s="13" customFormat="1" x14ac:dyDescent="0.25">
      <c r="A53" s="229"/>
      <c r="B53" s="30" t="s">
        <v>158</v>
      </c>
      <c r="C53" s="181" t="s">
        <v>17</v>
      </c>
      <c r="D53" s="182"/>
      <c r="E53" s="194" t="s">
        <v>32</v>
      </c>
      <c r="F53" s="73" t="s">
        <v>426</v>
      </c>
      <c r="G53" s="230" t="s">
        <v>117</v>
      </c>
      <c r="H53" s="181">
        <v>7</v>
      </c>
      <c r="I53" s="234">
        <v>5</v>
      </c>
      <c r="J53" s="190">
        <v>6</v>
      </c>
      <c r="K53" s="193">
        <v>9666.64</v>
      </c>
      <c r="L53" s="193">
        <v>9666.64</v>
      </c>
      <c r="M53" s="187">
        <f t="shared" si="1"/>
        <v>0</v>
      </c>
      <c r="N53" s="114">
        <v>5</v>
      </c>
      <c r="O53" s="224">
        <v>16813.7</v>
      </c>
      <c r="P53" s="224">
        <v>16813.7</v>
      </c>
      <c r="Q53" s="232">
        <f t="shared" si="2"/>
        <v>0</v>
      </c>
    </row>
    <row r="54" spans="1:18" s="15" customFormat="1" x14ac:dyDescent="0.25">
      <c r="A54" s="229"/>
      <c r="B54" s="62" t="s">
        <v>43</v>
      </c>
      <c r="C54" s="181" t="s">
        <v>17</v>
      </c>
      <c r="D54" s="182"/>
      <c r="E54" s="183" t="s">
        <v>18</v>
      </c>
      <c r="F54" s="73" t="s">
        <v>344</v>
      </c>
      <c r="G54" s="74" t="s">
        <v>112</v>
      </c>
      <c r="H54" s="75">
        <v>22</v>
      </c>
      <c r="I54" s="76">
        <v>16</v>
      </c>
      <c r="J54" s="96">
        <f>1+2+2+5+2+3+2+3</f>
        <v>20</v>
      </c>
      <c r="K54" s="77">
        <f>1776.93+926.88+3328.29+3172.19</f>
        <v>9204.2900000000009</v>
      </c>
      <c r="L54" s="77">
        <f>1776.93+926.88+3328.29+3172.19</f>
        <v>9204.2900000000009</v>
      </c>
      <c r="M54" s="78">
        <f>K54-L54</f>
        <v>0</v>
      </c>
      <c r="N54" s="100">
        <f>1+5+4+1+1+1+1</f>
        <v>14</v>
      </c>
      <c r="O54" s="81">
        <f>1223.8+3810.29+4959.02+10043.87+2769.48+2146.91+11926.24-1465.64</f>
        <v>35413.97</v>
      </c>
      <c r="P54" s="81">
        <f>1223.8+3810.29+4959.02+10043.87+2769.48+2146.91+11926.24-1465.64</f>
        <v>35413.97</v>
      </c>
      <c r="Q54" s="79">
        <f t="shared" si="2"/>
        <v>0</v>
      </c>
      <c r="R54" s="141"/>
    </row>
    <row r="55" spans="1:18" s="15" customFormat="1" ht="30" x14ac:dyDescent="0.25">
      <c r="A55" s="229"/>
      <c r="B55" s="62" t="s">
        <v>43</v>
      </c>
      <c r="C55" s="181" t="s">
        <v>304</v>
      </c>
      <c r="D55" s="182" t="s">
        <v>473</v>
      </c>
      <c r="E55" s="183" t="s">
        <v>18</v>
      </c>
      <c r="F55" s="73" t="s">
        <v>323</v>
      </c>
      <c r="G55" s="230" t="s">
        <v>113</v>
      </c>
      <c r="H55" s="181">
        <v>21</v>
      </c>
      <c r="I55" s="234">
        <v>16</v>
      </c>
      <c r="J55" s="98">
        <v>17</v>
      </c>
      <c r="K55" s="77">
        <v>19054</v>
      </c>
      <c r="L55" s="77">
        <v>19054</v>
      </c>
      <c r="M55" s="187">
        <f t="shared" si="1"/>
        <v>0</v>
      </c>
      <c r="N55" s="114">
        <v>18</v>
      </c>
      <c r="O55" s="224">
        <v>60535</v>
      </c>
      <c r="P55" s="224">
        <v>58327</v>
      </c>
      <c r="Q55" s="232">
        <f t="shared" si="2"/>
        <v>2208</v>
      </c>
    </row>
    <row r="56" spans="1:18" s="13" customFormat="1" x14ac:dyDescent="0.25">
      <c r="A56" s="229"/>
      <c r="B56" s="30" t="s">
        <v>44</v>
      </c>
      <c r="C56" s="181" t="s">
        <v>17</v>
      </c>
      <c r="D56" s="182"/>
      <c r="E56" s="183" t="s">
        <v>20</v>
      </c>
      <c r="F56" s="73" t="s">
        <v>345</v>
      </c>
      <c r="G56" s="74" t="s">
        <v>112</v>
      </c>
      <c r="H56" s="75">
        <v>11</v>
      </c>
      <c r="I56" s="76">
        <v>6</v>
      </c>
      <c r="J56" s="96">
        <f>1+1+1+4+2+1</f>
        <v>10</v>
      </c>
      <c r="K56" s="77">
        <f>2422.38+1267.86+15410.58</f>
        <v>19100.82</v>
      </c>
      <c r="L56" s="77">
        <f>2422.38+1267.86+15410.58</f>
        <v>19100.82</v>
      </c>
      <c r="M56" s="78">
        <f>K56-L56</f>
        <v>0</v>
      </c>
      <c r="N56" s="100">
        <f>1+11</f>
        <v>12</v>
      </c>
      <c r="O56" s="81">
        <f>421.62+4603.39+10559.77+72902.04</f>
        <v>88486.819999999992</v>
      </c>
      <c r="P56" s="81">
        <f>421.62+4603.39+10559.77+72902.04</f>
        <v>88486.819999999992</v>
      </c>
      <c r="Q56" s="79">
        <f t="shared" si="2"/>
        <v>0</v>
      </c>
      <c r="R56" s="141"/>
    </row>
    <row r="57" spans="1:18" s="13" customFormat="1" x14ac:dyDescent="0.25">
      <c r="A57" s="229"/>
      <c r="B57" s="30" t="s">
        <v>44</v>
      </c>
      <c r="C57" s="181" t="s">
        <v>17</v>
      </c>
      <c r="D57" s="182"/>
      <c r="E57" s="183" t="s">
        <v>20</v>
      </c>
      <c r="F57" s="73" t="s">
        <v>483</v>
      </c>
      <c r="G57" s="230" t="s">
        <v>114</v>
      </c>
      <c r="H57" s="181"/>
      <c r="I57" s="231"/>
      <c r="J57" s="190"/>
      <c r="K57" s="77"/>
      <c r="L57" s="77"/>
      <c r="M57" s="187">
        <f t="shared" si="1"/>
        <v>0</v>
      </c>
      <c r="N57" s="100">
        <v>2</v>
      </c>
      <c r="O57" s="224">
        <v>6723.5</v>
      </c>
      <c r="P57" s="224">
        <v>6723.5</v>
      </c>
      <c r="Q57" s="232">
        <f t="shared" si="2"/>
        <v>0</v>
      </c>
    </row>
    <row r="58" spans="1:18" s="13" customFormat="1" x14ac:dyDescent="0.25">
      <c r="A58" s="229"/>
      <c r="B58" s="30" t="s">
        <v>492</v>
      </c>
      <c r="C58" s="181" t="s">
        <v>17</v>
      </c>
      <c r="D58" s="182"/>
      <c r="E58" s="183" t="s">
        <v>20</v>
      </c>
      <c r="F58" s="73" t="s">
        <v>499</v>
      </c>
      <c r="G58" s="230" t="s">
        <v>112</v>
      </c>
      <c r="H58" s="181">
        <v>10</v>
      </c>
      <c r="I58" s="231">
        <v>1</v>
      </c>
      <c r="J58" s="190">
        <f>1+8</f>
        <v>9</v>
      </c>
      <c r="K58" s="77">
        <f>1044.98</f>
        <v>1044.98</v>
      </c>
      <c r="L58" s="77">
        <f>1044.98</f>
        <v>1044.98</v>
      </c>
      <c r="M58" s="78">
        <f t="shared" si="1"/>
        <v>0</v>
      </c>
      <c r="N58" s="100"/>
      <c r="O58" s="224"/>
      <c r="P58" s="224"/>
      <c r="Q58" s="79">
        <f t="shared" si="2"/>
        <v>0</v>
      </c>
    </row>
    <row r="59" spans="1:18" s="13" customFormat="1" x14ac:dyDescent="0.25">
      <c r="A59" s="229"/>
      <c r="B59" s="27" t="s">
        <v>45</v>
      </c>
      <c r="C59" s="181" t="s">
        <v>17</v>
      </c>
      <c r="D59" s="182"/>
      <c r="E59" s="183" t="s">
        <v>20</v>
      </c>
      <c r="F59" s="73" t="s">
        <v>346</v>
      </c>
      <c r="G59" s="74" t="s">
        <v>112</v>
      </c>
      <c r="H59" s="75"/>
      <c r="I59" s="76"/>
      <c r="J59" s="96"/>
      <c r="K59" s="77"/>
      <c r="L59" s="77"/>
      <c r="M59" s="78">
        <f t="shared" si="1"/>
        <v>0</v>
      </c>
      <c r="N59" s="100">
        <f>1</f>
        <v>1</v>
      </c>
      <c r="O59" s="81">
        <f>17995.91+2729.8</f>
        <v>20725.71</v>
      </c>
      <c r="P59" s="81">
        <f>17995.91+2729.8</f>
        <v>20725.71</v>
      </c>
      <c r="Q59" s="79">
        <f t="shared" si="2"/>
        <v>0</v>
      </c>
      <c r="R59" s="141"/>
    </row>
    <row r="60" spans="1:18" s="13" customFormat="1" x14ac:dyDescent="0.25">
      <c r="A60" s="229"/>
      <c r="B60" s="27" t="s">
        <v>45</v>
      </c>
      <c r="C60" s="181" t="s">
        <v>17</v>
      </c>
      <c r="D60" s="182"/>
      <c r="E60" s="183" t="s">
        <v>20</v>
      </c>
      <c r="F60" s="73" t="s">
        <v>484</v>
      </c>
      <c r="G60" s="230" t="s">
        <v>114</v>
      </c>
      <c r="H60" s="181"/>
      <c r="I60" s="231"/>
      <c r="J60" s="190"/>
      <c r="K60" s="77"/>
      <c r="L60" s="77"/>
      <c r="M60" s="187">
        <f t="shared" si="1"/>
        <v>0</v>
      </c>
      <c r="N60" s="100"/>
      <c r="O60" s="224"/>
      <c r="P60" s="224"/>
      <c r="Q60" s="232">
        <f t="shared" si="2"/>
        <v>0</v>
      </c>
    </row>
    <row r="61" spans="1:18" s="15" customFormat="1" x14ac:dyDescent="0.25">
      <c r="A61" s="229"/>
      <c r="B61" s="27" t="s">
        <v>46</v>
      </c>
      <c r="C61" s="181" t="s">
        <v>17</v>
      </c>
      <c r="D61" s="182"/>
      <c r="E61" s="183" t="s">
        <v>20</v>
      </c>
      <c r="F61" s="73" t="s">
        <v>347</v>
      </c>
      <c r="G61" s="74" t="s">
        <v>112</v>
      </c>
      <c r="H61" s="75">
        <v>15</v>
      </c>
      <c r="I61" s="76">
        <v>13</v>
      </c>
      <c r="J61" s="96">
        <f>1+2+3+2+4+1+4+2+1</f>
        <v>20</v>
      </c>
      <c r="K61" s="77">
        <f>1045.98+1068.08+8157.32+1778.85+9152.67+11156.63+11271.63+1490.2</f>
        <v>45121.359999999993</v>
      </c>
      <c r="L61" s="77">
        <f>1045.98+1068.08+8157.32+1778.85+9152.67+11156.63+11271.63+1490.2</f>
        <v>45121.359999999993</v>
      </c>
      <c r="M61" s="78">
        <f>K61-L61</f>
        <v>0</v>
      </c>
      <c r="N61" s="100">
        <f>4+4+1+1+1</f>
        <v>11</v>
      </c>
      <c r="O61" s="81">
        <f>10759.2+10685.34+7362.04</f>
        <v>28806.58</v>
      </c>
      <c r="P61" s="81">
        <f>10759.2+10685.34+7362.04</f>
        <v>28806.58</v>
      </c>
      <c r="Q61" s="79">
        <f t="shared" si="2"/>
        <v>0</v>
      </c>
      <c r="R61" s="141"/>
    </row>
    <row r="62" spans="1:18" s="15" customFormat="1" x14ac:dyDescent="0.25">
      <c r="A62" s="229"/>
      <c r="B62" s="27" t="s">
        <v>46</v>
      </c>
      <c r="C62" s="181" t="s">
        <v>17</v>
      </c>
      <c r="D62" s="182"/>
      <c r="E62" s="183" t="s">
        <v>20</v>
      </c>
      <c r="F62" s="73" t="s">
        <v>273</v>
      </c>
      <c r="G62" s="230" t="s">
        <v>114</v>
      </c>
      <c r="H62" s="181">
        <v>4</v>
      </c>
      <c r="I62" s="231">
        <v>1</v>
      </c>
      <c r="J62" s="190">
        <v>1</v>
      </c>
      <c r="K62" s="77">
        <v>576.29999999999995</v>
      </c>
      <c r="L62" s="77">
        <v>576.29999999999995</v>
      </c>
      <c r="M62" s="187">
        <f t="shared" si="1"/>
        <v>0</v>
      </c>
      <c r="N62" s="100">
        <v>3</v>
      </c>
      <c r="O62" s="224">
        <v>9356.9</v>
      </c>
      <c r="P62" s="224">
        <v>9356.9</v>
      </c>
      <c r="Q62" s="232">
        <f t="shared" si="2"/>
        <v>0</v>
      </c>
    </row>
    <row r="63" spans="1:18" s="13" customFormat="1" ht="45" x14ac:dyDescent="0.25">
      <c r="A63" s="229"/>
      <c r="B63" s="30" t="s">
        <v>47</v>
      </c>
      <c r="C63" s="181" t="s">
        <v>304</v>
      </c>
      <c r="D63" s="182" t="s">
        <v>474</v>
      </c>
      <c r="E63" s="183" t="s">
        <v>18</v>
      </c>
      <c r="F63" s="73" t="s">
        <v>348</v>
      </c>
      <c r="G63" s="74" t="s">
        <v>112</v>
      </c>
      <c r="H63" s="75">
        <v>44</v>
      </c>
      <c r="I63" s="76">
        <v>32</v>
      </c>
      <c r="J63" s="98">
        <f>1+1+3+21+7+2+5+2+7+15</f>
        <v>64</v>
      </c>
      <c r="K63" s="77">
        <f>30728.27+19236.99+22614.7</f>
        <v>72579.960000000006</v>
      </c>
      <c r="L63" s="77">
        <f>30728.27+19236.99+22614.7</f>
        <v>72579.960000000006</v>
      </c>
      <c r="M63" s="78">
        <f>K63-L63</f>
        <v>0</v>
      </c>
      <c r="N63" s="100">
        <f>7+3+4+10+6+1+2+1+3</f>
        <v>37</v>
      </c>
      <c r="O63" s="81">
        <f>8477.51+15159.83+14079.46+15414.2+17995.91+2065.56+1859.53+9543.86+1728.53+14526.84</f>
        <v>100851.23</v>
      </c>
      <c r="P63" s="81">
        <f>8477.51+15159.83+14079.46+15414.2+17995.91+2065.56+1859.53+9543.86+1728.53+14526.84</f>
        <v>100851.23</v>
      </c>
      <c r="Q63" s="79">
        <f t="shared" si="2"/>
        <v>0</v>
      </c>
      <c r="R63" s="141"/>
    </row>
    <row r="64" spans="1:18" s="13" customFormat="1" ht="45" x14ac:dyDescent="0.25">
      <c r="A64" s="229"/>
      <c r="B64" s="62" t="s">
        <v>120</v>
      </c>
      <c r="C64" s="181" t="s">
        <v>304</v>
      </c>
      <c r="D64" s="182" t="s">
        <v>474</v>
      </c>
      <c r="E64" s="183" t="s">
        <v>18</v>
      </c>
      <c r="F64" s="73" t="s">
        <v>334</v>
      </c>
      <c r="G64" s="230" t="s">
        <v>116</v>
      </c>
      <c r="H64" s="181">
        <v>26</v>
      </c>
      <c r="I64" s="234">
        <v>17</v>
      </c>
      <c r="J64" s="98">
        <v>18</v>
      </c>
      <c r="K64" s="77">
        <v>23264</v>
      </c>
      <c r="L64" s="77">
        <v>23264</v>
      </c>
      <c r="M64" s="78">
        <f t="shared" si="1"/>
        <v>0</v>
      </c>
      <c r="N64" s="100">
        <v>15</v>
      </c>
      <c r="O64" s="224">
        <v>60831</v>
      </c>
      <c r="P64" s="224">
        <v>58623</v>
      </c>
      <c r="Q64" s="232">
        <f t="shared" si="2"/>
        <v>2208</v>
      </c>
    </row>
    <row r="65" spans="1:18" s="13" customFormat="1" x14ac:dyDescent="0.25">
      <c r="A65" s="229"/>
      <c r="B65" s="30" t="s">
        <v>134</v>
      </c>
      <c r="C65" s="181" t="s">
        <v>17</v>
      </c>
      <c r="D65" s="182"/>
      <c r="E65" s="183" t="s">
        <v>20</v>
      </c>
      <c r="F65" s="73" t="s">
        <v>349</v>
      </c>
      <c r="G65" s="74" t="s">
        <v>112</v>
      </c>
      <c r="H65" s="75">
        <v>12</v>
      </c>
      <c r="I65" s="76">
        <v>12</v>
      </c>
      <c r="J65" s="96">
        <f>1+4+1+1+2+1+1+7</f>
        <v>18</v>
      </c>
      <c r="K65" s="77">
        <f>7301.48+1473.89+1911.09+1690.48+845.24+6268.51+441.51</f>
        <v>19932.199999999997</v>
      </c>
      <c r="L65" s="77">
        <f>7301.48+1473.89+1911.09+1690.48+845.24+6268.51+441.51</f>
        <v>19932.199999999997</v>
      </c>
      <c r="M65" s="78">
        <f>K65-L65</f>
        <v>0</v>
      </c>
      <c r="N65" s="100">
        <f>4+1+1+1+1</f>
        <v>8</v>
      </c>
      <c r="O65" s="81">
        <f>5020.05+3215.31+12312.39+4648.82+32425.98+7889.42</f>
        <v>65511.97</v>
      </c>
      <c r="P65" s="81">
        <f>5020.05+3215.31+12312.39+4648.82+32425.98+7889.42</f>
        <v>65511.97</v>
      </c>
      <c r="Q65" s="79">
        <f t="shared" si="2"/>
        <v>0</v>
      </c>
      <c r="R65" s="141"/>
    </row>
    <row r="66" spans="1:18" s="13" customFormat="1" x14ac:dyDescent="0.25">
      <c r="A66" s="229"/>
      <c r="B66" s="30" t="s">
        <v>134</v>
      </c>
      <c r="C66" s="181" t="s">
        <v>17</v>
      </c>
      <c r="D66" s="182"/>
      <c r="E66" s="183" t="s">
        <v>20</v>
      </c>
      <c r="F66" s="73" t="s">
        <v>456</v>
      </c>
      <c r="G66" s="230" t="s">
        <v>114</v>
      </c>
      <c r="H66" s="181">
        <v>19</v>
      </c>
      <c r="I66" s="231">
        <v>5</v>
      </c>
      <c r="J66" s="190">
        <v>5</v>
      </c>
      <c r="K66" s="77">
        <v>10236.9</v>
      </c>
      <c r="L66" s="77">
        <v>10236.9</v>
      </c>
      <c r="M66" s="187">
        <f t="shared" si="1"/>
        <v>0</v>
      </c>
      <c r="N66" s="100">
        <v>27</v>
      </c>
      <c r="O66" s="224">
        <v>61494.8</v>
      </c>
      <c r="P66" s="224">
        <v>61494.8</v>
      </c>
      <c r="Q66" s="232">
        <f t="shared" si="2"/>
        <v>0</v>
      </c>
    </row>
    <row r="67" spans="1:18" s="13" customFormat="1" x14ac:dyDescent="0.25">
      <c r="A67" s="229"/>
      <c r="B67" s="62" t="s">
        <v>48</v>
      </c>
      <c r="C67" s="181" t="s">
        <v>17</v>
      </c>
      <c r="D67" s="182"/>
      <c r="E67" s="183" t="s">
        <v>20</v>
      </c>
      <c r="F67" s="73" t="s">
        <v>350</v>
      </c>
      <c r="G67" s="74" t="s">
        <v>112</v>
      </c>
      <c r="H67" s="75">
        <v>15</v>
      </c>
      <c r="I67" s="76">
        <v>9</v>
      </c>
      <c r="J67" s="96">
        <f>1+1+2+1+3</f>
        <v>8</v>
      </c>
      <c r="K67" s="77">
        <f>4805.96+2585.78+3065.92+2588.55+14407.5+9289.05</f>
        <v>36742.759999999995</v>
      </c>
      <c r="L67" s="77">
        <f>4805.96+2585.78+3065.92+2588.55+14407.5+9289.05</f>
        <v>36742.759999999995</v>
      </c>
      <c r="M67" s="78">
        <f t="shared" si="1"/>
        <v>0</v>
      </c>
      <c r="N67" s="100">
        <f>2+1+2+1</f>
        <v>6</v>
      </c>
      <c r="O67" s="81">
        <f>23174.33+2535.72+11633.02+6993.42+20756.4</f>
        <v>65092.890000000007</v>
      </c>
      <c r="P67" s="81">
        <f>23174.33+2535.72+11633.02+6993.42+20756.4</f>
        <v>65092.890000000007</v>
      </c>
      <c r="Q67" s="79">
        <f t="shared" si="2"/>
        <v>0</v>
      </c>
      <c r="R67" s="141"/>
    </row>
    <row r="68" spans="1:18" s="13" customFormat="1" x14ac:dyDescent="0.25">
      <c r="A68" s="229"/>
      <c r="B68" s="62" t="s">
        <v>49</v>
      </c>
      <c r="C68" s="181" t="s">
        <v>17</v>
      </c>
      <c r="D68" s="182"/>
      <c r="E68" s="183" t="s">
        <v>50</v>
      </c>
      <c r="F68" s="73" t="s">
        <v>351</v>
      </c>
      <c r="G68" s="74" t="s">
        <v>112</v>
      </c>
      <c r="H68" s="75">
        <v>26</v>
      </c>
      <c r="I68" s="76">
        <v>15</v>
      </c>
      <c r="J68" s="96">
        <f>1+4+8+6</f>
        <v>19</v>
      </c>
      <c r="K68" s="77">
        <f>525.65+1267.86+6544.72+13939.57+1896.54+9712.48</f>
        <v>33886.82</v>
      </c>
      <c r="L68" s="77">
        <f>525.65+1267.86+6544.72+13939.57+1896.54+9712.48</f>
        <v>33886.82</v>
      </c>
      <c r="M68" s="78">
        <f t="shared" si="1"/>
        <v>0</v>
      </c>
      <c r="N68" s="100">
        <f>5+1+3+1</f>
        <v>10</v>
      </c>
      <c r="O68" s="81">
        <f>7374+1806.93+7275.53+4666.9+2684.03+6682.03</f>
        <v>30489.42</v>
      </c>
      <c r="P68" s="81">
        <f>7374+1806.93+7275.53+4666.9+2684.03+6682.03</f>
        <v>30489.42</v>
      </c>
      <c r="Q68" s="232">
        <f t="shared" si="2"/>
        <v>0</v>
      </c>
      <c r="R68" s="141"/>
    </row>
    <row r="69" spans="1:18" s="13" customFormat="1" x14ac:dyDescent="0.25">
      <c r="A69" s="229"/>
      <c r="B69" s="62" t="s">
        <v>49</v>
      </c>
      <c r="C69" s="181" t="s">
        <v>17</v>
      </c>
      <c r="D69" s="182"/>
      <c r="E69" s="183" t="s">
        <v>50</v>
      </c>
      <c r="F69" s="73" t="s">
        <v>427</v>
      </c>
      <c r="G69" s="230" t="s">
        <v>115</v>
      </c>
      <c r="H69" s="181">
        <v>12</v>
      </c>
      <c r="I69" s="231">
        <v>5</v>
      </c>
      <c r="J69" s="96">
        <v>5</v>
      </c>
      <c r="K69" s="77">
        <v>7514.63</v>
      </c>
      <c r="L69" s="77">
        <v>7514.63</v>
      </c>
      <c r="M69" s="187">
        <f t="shared" si="1"/>
        <v>0</v>
      </c>
      <c r="N69" s="100">
        <v>10</v>
      </c>
      <c r="O69" s="224">
        <v>17660.3</v>
      </c>
      <c r="P69" s="224">
        <v>11237.9</v>
      </c>
      <c r="Q69" s="79">
        <f t="shared" si="2"/>
        <v>6422.4</v>
      </c>
    </row>
    <row r="70" spans="1:18" s="13" customFormat="1" x14ac:dyDescent="0.25">
      <c r="A70" s="229"/>
      <c r="B70" s="27" t="s">
        <v>51</v>
      </c>
      <c r="C70" s="181" t="s">
        <v>17</v>
      </c>
      <c r="D70" s="182"/>
      <c r="E70" s="183" t="s">
        <v>20</v>
      </c>
      <c r="F70" s="73" t="s">
        <v>186</v>
      </c>
      <c r="G70" s="74" t="s">
        <v>112</v>
      </c>
      <c r="H70" s="75"/>
      <c r="I70" s="76"/>
      <c r="J70" s="96"/>
      <c r="K70" s="77"/>
      <c r="L70" s="77"/>
      <c r="M70" s="78">
        <f>K70-L70</f>
        <v>0</v>
      </c>
      <c r="N70" s="100">
        <f>1</f>
        <v>1</v>
      </c>
      <c r="O70" s="81">
        <v>2451.87</v>
      </c>
      <c r="P70" s="81">
        <v>2451.87</v>
      </c>
      <c r="Q70" s="232">
        <f t="shared" si="2"/>
        <v>0</v>
      </c>
      <c r="R70" s="141"/>
    </row>
    <row r="71" spans="1:18" s="13" customFormat="1" x14ac:dyDescent="0.25">
      <c r="A71" s="229"/>
      <c r="B71" s="27" t="s">
        <v>51</v>
      </c>
      <c r="C71" s="181" t="s">
        <v>17</v>
      </c>
      <c r="D71" s="182"/>
      <c r="E71" s="183" t="s">
        <v>20</v>
      </c>
      <c r="F71" s="73" t="s">
        <v>276</v>
      </c>
      <c r="G71" s="230" t="s">
        <v>114</v>
      </c>
      <c r="H71" s="181"/>
      <c r="I71" s="231"/>
      <c r="J71" s="190"/>
      <c r="K71" s="77"/>
      <c r="L71" s="77"/>
      <c r="M71" s="187">
        <f t="shared" si="1"/>
        <v>0</v>
      </c>
      <c r="N71" s="100">
        <v>3</v>
      </c>
      <c r="O71" s="224">
        <v>6763.6</v>
      </c>
      <c r="P71" s="224">
        <v>6763.6</v>
      </c>
      <c r="Q71" s="232">
        <f t="shared" si="2"/>
        <v>0</v>
      </c>
    </row>
    <row r="72" spans="1:18" s="13" customFormat="1" x14ac:dyDescent="0.25">
      <c r="A72" s="229"/>
      <c r="B72" s="62" t="s">
        <v>52</v>
      </c>
      <c r="C72" s="181" t="s">
        <v>17</v>
      </c>
      <c r="D72" s="182"/>
      <c r="E72" s="183" t="s">
        <v>20</v>
      </c>
      <c r="F72" s="73" t="s">
        <v>352</v>
      </c>
      <c r="G72" s="74" t="s">
        <v>112</v>
      </c>
      <c r="H72" s="75">
        <v>13</v>
      </c>
      <c r="I72" s="76">
        <v>7</v>
      </c>
      <c r="J72" s="96">
        <f>1+1+1+1+2+3+1+1</f>
        <v>11</v>
      </c>
      <c r="K72" s="77">
        <f>10714.2+2747.14+2138.07+6709.4+7033.21</f>
        <v>29342.019999999997</v>
      </c>
      <c r="L72" s="77">
        <f>10714.2+2747.14+2138.07+6709.4+7033.21</f>
        <v>29342.019999999997</v>
      </c>
      <c r="M72" s="78">
        <f>K72-L72</f>
        <v>0</v>
      </c>
      <c r="N72" s="100">
        <f>4+3+1+1+2+3+1+1</f>
        <v>16</v>
      </c>
      <c r="O72" s="81">
        <f>5977.15+48296.91+7596.86+1061.83+8902.9+6856.31+2935.36</f>
        <v>81627.320000000007</v>
      </c>
      <c r="P72" s="81">
        <f>5977.15+48296.91+7596.86+1061.83+8902.9+6856.31+2935.36</f>
        <v>81627.320000000007</v>
      </c>
      <c r="Q72" s="232">
        <f t="shared" si="2"/>
        <v>0</v>
      </c>
      <c r="R72" s="141"/>
    </row>
    <row r="73" spans="1:18" s="13" customFormat="1" x14ac:dyDescent="0.25">
      <c r="A73" s="229"/>
      <c r="B73" s="62" t="s">
        <v>52</v>
      </c>
      <c r="C73" s="181" t="s">
        <v>17</v>
      </c>
      <c r="D73" s="182"/>
      <c r="E73" s="183" t="s">
        <v>20</v>
      </c>
      <c r="F73" s="73" t="s">
        <v>457</v>
      </c>
      <c r="G73" s="230" t="s">
        <v>114</v>
      </c>
      <c r="H73" s="181">
        <v>11</v>
      </c>
      <c r="I73" s="231">
        <v>4</v>
      </c>
      <c r="J73" s="190">
        <v>4</v>
      </c>
      <c r="K73" s="77">
        <v>11041.4</v>
      </c>
      <c r="L73" s="77">
        <v>11041.4</v>
      </c>
      <c r="M73" s="187">
        <f t="shared" si="1"/>
        <v>0</v>
      </c>
      <c r="N73" s="100">
        <v>20</v>
      </c>
      <c r="O73" s="224">
        <v>52565.919999999998</v>
      </c>
      <c r="P73" s="224">
        <v>52565.919999999998</v>
      </c>
      <c r="Q73" s="232">
        <f t="shared" si="2"/>
        <v>0</v>
      </c>
    </row>
    <row r="74" spans="1:18" s="13" customFormat="1" x14ac:dyDescent="0.25">
      <c r="A74" s="229"/>
      <c r="B74" s="27" t="s">
        <v>53</v>
      </c>
      <c r="C74" s="181" t="s">
        <v>17</v>
      </c>
      <c r="D74" s="182"/>
      <c r="E74" s="183" t="s">
        <v>20</v>
      </c>
      <c r="F74" s="73" t="s">
        <v>353</v>
      </c>
      <c r="G74" s="74" t="s">
        <v>112</v>
      </c>
      <c r="H74" s="75">
        <v>10</v>
      </c>
      <c r="I74" s="76">
        <v>6</v>
      </c>
      <c r="J74" s="96">
        <f>2+2+2+1+2</f>
        <v>9</v>
      </c>
      <c r="K74" s="77">
        <f>3655.66+6862.24+2535.72</f>
        <v>13053.619999999999</v>
      </c>
      <c r="L74" s="77">
        <f>3655.66+6862.24+2535.72</f>
        <v>13053.619999999999</v>
      </c>
      <c r="M74" s="78">
        <f t="shared" si="1"/>
        <v>0</v>
      </c>
      <c r="N74" s="100">
        <f>1+2+2+1+1+1</f>
        <v>8</v>
      </c>
      <c r="O74" s="81">
        <f>1743.3+3921.71+422.62+5626.45</f>
        <v>11714.08</v>
      </c>
      <c r="P74" s="81">
        <f>1743.3+3921.71+422.62+5626.45</f>
        <v>11714.08</v>
      </c>
      <c r="Q74" s="232">
        <f t="shared" si="2"/>
        <v>0</v>
      </c>
      <c r="R74" s="141"/>
    </row>
    <row r="75" spans="1:18" s="13" customFormat="1" x14ac:dyDescent="0.25">
      <c r="A75" s="229"/>
      <c r="B75" s="27" t="s">
        <v>149</v>
      </c>
      <c r="C75" s="181" t="s">
        <v>17</v>
      </c>
      <c r="D75" s="182"/>
      <c r="E75" s="183" t="s">
        <v>383</v>
      </c>
      <c r="F75" s="73" t="s">
        <v>354</v>
      </c>
      <c r="G75" s="74" t="s">
        <v>112</v>
      </c>
      <c r="H75" s="75">
        <v>35</v>
      </c>
      <c r="I75" s="76">
        <v>6</v>
      </c>
      <c r="J75" s="96">
        <f>7+3</f>
        <v>10</v>
      </c>
      <c r="K75" s="77">
        <f>7743.07</f>
        <v>7743.07</v>
      </c>
      <c r="L75" s="77">
        <f>7743.07</f>
        <v>7743.07</v>
      </c>
      <c r="M75" s="78">
        <f t="shared" si="1"/>
        <v>0</v>
      </c>
      <c r="N75" s="100">
        <f>2+2+2</f>
        <v>6</v>
      </c>
      <c r="O75" s="81">
        <f>3676.8+3431.65+6320.35</f>
        <v>13428.800000000001</v>
      </c>
      <c r="P75" s="81">
        <f>3676.8+3431.65+6320.35</f>
        <v>13428.800000000001</v>
      </c>
      <c r="Q75" s="79">
        <f t="shared" si="2"/>
        <v>0</v>
      </c>
      <c r="R75" s="141"/>
    </row>
    <row r="76" spans="1:18" s="13" customFormat="1" x14ac:dyDescent="0.25">
      <c r="A76" s="229"/>
      <c r="B76" s="27" t="s">
        <v>149</v>
      </c>
      <c r="C76" s="181" t="s">
        <v>17</v>
      </c>
      <c r="D76" s="182"/>
      <c r="E76" s="183" t="s">
        <v>383</v>
      </c>
      <c r="F76" s="73" t="s">
        <v>438</v>
      </c>
      <c r="G76" s="230" t="s">
        <v>118</v>
      </c>
      <c r="H76" s="181">
        <v>10</v>
      </c>
      <c r="I76" s="234">
        <v>1</v>
      </c>
      <c r="J76" s="190">
        <v>1</v>
      </c>
      <c r="K76" s="193">
        <v>576.29999999999995</v>
      </c>
      <c r="L76" s="193">
        <v>576.29999999999995</v>
      </c>
      <c r="M76" s="78">
        <f t="shared" si="1"/>
        <v>0</v>
      </c>
      <c r="N76" s="114">
        <v>7</v>
      </c>
      <c r="O76" s="224">
        <v>9835.52</v>
      </c>
      <c r="P76" s="224">
        <v>9835.52</v>
      </c>
      <c r="Q76" s="232">
        <f t="shared" si="2"/>
        <v>0</v>
      </c>
    </row>
    <row r="77" spans="1:18" s="13" customFormat="1" x14ac:dyDescent="0.25">
      <c r="A77" s="229"/>
      <c r="B77" s="62" t="s">
        <v>107</v>
      </c>
      <c r="C77" s="181" t="s">
        <v>17</v>
      </c>
      <c r="D77" s="182"/>
      <c r="E77" s="194" t="s">
        <v>20</v>
      </c>
      <c r="F77" s="73" t="s">
        <v>355</v>
      </c>
      <c r="G77" s="74" t="s">
        <v>112</v>
      </c>
      <c r="H77" s="75">
        <v>11</v>
      </c>
      <c r="I77" s="76">
        <v>7</v>
      </c>
      <c r="J77" s="96">
        <f>1+3+3+2+1</f>
        <v>10</v>
      </c>
      <c r="K77" s="77">
        <f>666.63+7071.2+5333.38+13316.37+23091.24+4686.95</f>
        <v>54165.770000000004</v>
      </c>
      <c r="L77" s="77">
        <f>666.63+7071.2+5333.38+13316.37+23091.24+4686.95</f>
        <v>54165.770000000004</v>
      </c>
      <c r="M77" s="78">
        <f t="shared" si="1"/>
        <v>0</v>
      </c>
      <c r="N77" s="100">
        <f>2+6+1+1+2</f>
        <v>12</v>
      </c>
      <c r="O77" s="81">
        <f>7612.92+18804.48+9163.33+3260.98+6297.63</f>
        <v>45139.340000000004</v>
      </c>
      <c r="P77" s="81">
        <f>7612.92+18804.48+9163.33+3260.98+6297.63</f>
        <v>45139.340000000004</v>
      </c>
      <c r="Q77" s="79">
        <f t="shared" si="2"/>
        <v>0</v>
      </c>
      <c r="R77" s="141"/>
    </row>
    <row r="78" spans="1:18" s="13" customFormat="1" x14ac:dyDescent="0.25">
      <c r="A78" s="229"/>
      <c r="B78" s="30" t="s">
        <v>54</v>
      </c>
      <c r="C78" s="181" t="s">
        <v>17</v>
      </c>
      <c r="D78" s="182"/>
      <c r="E78" s="194" t="s">
        <v>20</v>
      </c>
      <c r="F78" s="73" t="s">
        <v>356</v>
      </c>
      <c r="G78" s="74" t="s">
        <v>112</v>
      </c>
      <c r="H78" s="75"/>
      <c r="I78" s="76"/>
      <c r="J78" s="96"/>
      <c r="K78" s="77">
        <f>9075.37</f>
        <v>9075.3700000000008</v>
      </c>
      <c r="L78" s="77">
        <f>9075.37</f>
        <v>9075.3700000000008</v>
      </c>
      <c r="M78" s="78">
        <f t="shared" si="1"/>
        <v>0</v>
      </c>
      <c r="N78" s="100">
        <f>4+1+1+2+1</f>
        <v>9</v>
      </c>
      <c r="O78" s="81">
        <f>17895.28+17443.73+5473.41</f>
        <v>40812.42</v>
      </c>
      <c r="P78" s="81">
        <f>17895.28+17443.73+5473.41</f>
        <v>40812.42</v>
      </c>
      <c r="Q78" s="79">
        <f t="shared" si="2"/>
        <v>0</v>
      </c>
      <c r="R78" s="141"/>
    </row>
    <row r="79" spans="1:18" s="13" customFormat="1" ht="30" x14ac:dyDescent="0.25">
      <c r="A79" s="229"/>
      <c r="B79" s="27" t="s">
        <v>55</v>
      </c>
      <c r="C79" s="181" t="s">
        <v>304</v>
      </c>
      <c r="D79" s="182" t="s">
        <v>387</v>
      </c>
      <c r="E79" s="183" t="s">
        <v>20</v>
      </c>
      <c r="F79" s="73" t="s">
        <v>357</v>
      </c>
      <c r="G79" s="74" t="s">
        <v>112</v>
      </c>
      <c r="H79" s="75">
        <v>17</v>
      </c>
      <c r="I79" s="76">
        <v>12</v>
      </c>
      <c r="J79" s="96">
        <f>3+1+1+2+1+1+1</f>
        <v>10</v>
      </c>
      <c r="K79" s="77">
        <f>1267.86+6667.8+5756.15+1180.38+4780.37+4352.43+2850.42</f>
        <v>26855.409999999996</v>
      </c>
      <c r="L79" s="77">
        <f>1267.86+6667.8+5756.15+1180.38+4780.37+4352.43+2850.42</f>
        <v>26855.409999999996</v>
      </c>
      <c r="M79" s="78">
        <f t="shared" si="1"/>
        <v>0</v>
      </c>
      <c r="N79" s="100">
        <f>2+1+2+2+2+1+2+1</f>
        <v>13</v>
      </c>
      <c r="O79" s="81">
        <f>34854.19+2113.1+6430.67+5463.42+39145.22+2535.72+5132.44+12985.86</f>
        <v>108660.62000000001</v>
      </c>
      <c r="P79" s="81">
        <f>34854.19+2113.1+6430.67+5463.42+39145.22+2535.72+5132.44+12985.86</f>
        <v>108660.62000000001</v>
      </c>
      <c r="Q79" s="232">
        <f t="shared" si="2"/>
        <v>0</v>
      </c>
      <c r="R79" s="141"/>
    </row>
    <row r="80" spans="1:18" s="13" customFormat="1" ht="30" x14ac:dyDescent="0.25">
      <c r="A80" s="229"/>
      <c r="B80" s="62" t="s">
        <v>56</v>
      </c>
      <c r="C80" s="181" t="s">
        <v>17</v>
      </c>
      <c r="D80" s="182" t="s">
        <v>386</v>
      </c>
      <c r="E80" s="183" t="s">
        <v>18</v>
      </c>
      <c r="F80" s="73" t="s">
        <v>358</v>
      </c>
      <c r="G80" s="74" t="s">
        <v>112</v>
      </c>
      <c r="H80" s="75">
        <v>9</v>
      </c>
      <c r="I80" s="76">
        <v>4</v>
      </c>
      <c r="J80" s="96">
        <f>1+1+2</f>
        <v>4</v>
      </c>
      <c r="K80" s="77">
        <f>678.11+678.11+4865.7</f>
        <v>6221.92</v>
      </c>
      <c r="L80" s="77">
        <f>678.11+678.11+4865.7</f>
        <v>6221.92</v>
      </c>
      <c r="M80" s="78">
        <f t="shared" si="1"/>
        <v>0</v>
      </c>
      <c r="N80" s="100">
        <f>1</f>
        <v>1</v>
      </c>
      <c r="O80" s="81">
        <f>4395.5</f>
        <v>4395.5</v>
      </c>
      <c r="P80" s="81">
        <f>4395.5</f>
        <v>4395.5</v>
      </c>
      <c r="Q80" s="79">
        <f t="shared" si="2"/>
        <v>0</v>
      </c>
      <c r="R80" s="141"/>
    </row>
    <row r="81" spans="1:18" s="13" customFormat="1" ht="30" x14ac:dyDescent="0.25">
      <c r="A81" s="229"/>
      <c r="B81" s="62" t="s">
        <v>56</v>
      </c>
      <c r="C81" s="181" t="s">
        <v>304</v>
      </c>
      <c r="D81" s="182" t="s">
        <v>386</v>
      </c>
      <c r="E81" s="183" t="s">
        <v>18</v>
      </c>
      <c r="F81" s="73" t="s">
        <v>476</v>
      </c>
      <c r="G81" s="230" t="s">
        <v>113</v>
      </c>
      <c r="H81" s="181">
        <v>8</v>
      </c>
      <c r="I81" s="231">
        <v>6</v>
      </c>
      <c r="J81" s="96">
        <v>6</v>
      </c>
      <c r="K81" s="77">
        <v>11288</v>
      </c>
      <c r="L81" s="77">
        <v>11288</v>
      </c>
      <c r="M81" s="78">
        <f t="shared" si="1"/>
        <v>0</v>
      </c>
      <c r="N81" s="100"/>
      <c r="O81" s="224">
        <v>7612</v>
      </c>
      <c r="P81" s="224">
        <v>7612</v>
      </c>
      <c r="Q81" s="232">
        <f t="shared" ref="Q81:Q145" si="3">O81-P81</f>
        <v>0</v>
      </c>
    </row>
    <row r="82" spans="1:18" s="13" customFormat="1" x14ac:dyDescent="0.25">
      <c r="A82" s="229"/>
      <c r="B82" s="62" t="s">
        <v>156</v>
      </c>
      <c r="C82" s="181" t="s">
        <v>304</v>
      </c>
      <c r="D82" s="182"/>
      <c r="E82" s="183" t="s">
        <v>20</v>
      </c>
      <c r="F82" s="73" t="s">
        <v>359</v>
      </c>
      <c r="G82" s="74" t="s">
        <v>112</v>
      </c>
      <c r="H82" s="75">
        <v>4</v>
      </c>
      <c r="I82" s="76">
        <v>2</v>
      </c>
      <c r="J82" s="96">
        <f>2</f>
        <v>2</v>
      </c>
      <c r="K82" s="77">
        <f>1690.48+993.47</f>
        <v>2683.95</v>
      </c>
      <c r="L82" s="77">
        <f>1690.48+993.47</f>
        <v>2683.95</v>
      </c>
      <c r="M82" s="78">
        <f t="shared" si="1"/>
        <v>0</v>
      </c>
      <c r="N82" s="100">
        <f>3+1+1</f>
        <v>5</v>
      </c>
      <c r="O82" s="81">
        <f>5488.54+2398.37+422.62+1605.6</f>
        <v>9915.130000000001</v>
      </c>
      <c r="P82" s="81">
        <f>5488.54+2398.37+422.62+1605.6</f>
        <v>9915.130000000001</v>
      </c>
      <c r="Q82" s="79">
        <f t="shared" si="3"/>
        <v>0</v>
      </c>
      <c r="R82" s="141"/>
    </row>
    <row r="83" spans="1:18" s="15" customFormat="1" x14ac:dyDescent="0.25">
      <c r="A83" s="229"/>
      <c r="B83" s="62" t="s">
        <v>57</v>
      </c>
      <c r="C83" s="181" t="s">
        <v>17</v>
      </c>
      <c r="D83" s="182"/>
      <c r="E83" s="183" t="s">
        <v>20</v>
      </c>
      <c r="F83" s="73" t="s">
        <v>360</v>
      </c>
      <c r="G83" s="74" t="s">
        <v>112</v>
      </c>
      <c r="H83" s="75">
        <v>7</v>
      </c>
      <c r="I83" s="76">
        <v>6</v>
      </c>
      <c r="J83" s="96">
        <f>2+1+1+2</f>
        <v>6</v>
      </c>
      <c r="K83" s="77">
        <f>806.82+1728.9+422.62+2958.34</f>
        <v>5916.68</v>
      </c>
      <c r="L83" s="77">
        <f>806.82+1728.9+422.62+2958.34</f>
        <v>5916.68</v>
      </c>
      <c r="M83" s="78">
        <f t="shared" si="1"/>
        <v>0</v>
      </c>
      <c r="N83" s="100">
        <f>2+1</f>
        <v>3</v>
      </c>
      <c r="O83" s="81">
        <f>2745.3</f>
        <v>2745.3</v>
      </c>
      <c r="P83" s="81">
        <f>2745.3</f>
        <v>2745.3</v>
      </c>
      <c r="Q83" s="232">
        <f t="shared" si="3"/>
        <v>0</v>
      </c>
      <c r="R83" s="141"/>
    </row>
    <row r="84" spans="1:18" s="15" customFormat="1" x14ac:dyDescent="0.25">
      <c r="A84" s="229"/>
      <c r="B84" s="62" t="s">
        <v>57</v>
      </c>
      <c r="C84" s="181" t="s">
        <v>17</v>
      </c>
      <c r="D84" s="182"/>
      <c r="E84" s="183" t="s">
        <v>20</v>
      </c>
      <c r="F84" s="73" t="s">
        <v>458</v>
      </c>
      <c r="G84" s="230" t="s">
        <v>114</v>
      </c>
      <c r="H84" s="181">
        <v>31</v>
      </c>
      <c r="I84" s="231">
        <v>9</v>
      </c>
      <c r="J84" s="190">
        <v>9</v>
      </c>
      <c r="K84" s="77">
        <v>15092.7</v>
      </c>
      <c r="L84" s="77">
        <v>15092.7</v>
      </c>
      <c r="M84" s="187">
        <f t="shared" si="1"/>
        <v>0</v>
      </c>
      <c r="N84" s="100">
        <v>19</v>
      </c>
      <c r="O84" s="224">
        <v>42687.199999999997</v>
      </c>
      <c r="P84" s="224">
        <v>42687.199999999997</v>
      </c>
      <c r="Q84" s="232">
        <f t="shared" si="3"/>
        <v>0</v>
      </c>
    </row>
    <row r="85" spans="1:18" s="13" customFormat="1" x14ac:dyDescent="0.25">
      <c r="A85" s="229"/>
      <c r="B85" s="62" t="s">
        <v>58</v>
      </c>
      <c r="C85" s="181" t="s">
        <v>17</v>
      </c>
      <c r="D85" s="182"/>
      <c r="E85" s="183" t="s">
        <v>20</v>
      </c>
      <c r="F85" s="73" t="s">
        <v>361</v>
      </c>
      <c r="G85" s="74" t="s">
        <v>112</v>
      </c>
      <c r="H85" s="75">
        <v>8</v>
      </c>
      <c r="I85" s="76">
        <v>4</v>
      </c>
      <c r="J85" s="96">
        <f>1+2+1+1+1</f>
        <v>6</v>
      </c>
      <c r="K85" s="77">
        <f>1892.47+3118.94+422.62</f>
        <v>5434.03</v>
      </c>
      <c r="L85" s="77">
        <f>1892.47+3118.94+422.62</f>
        <v>5434.03</v>
      </c>
      <c r="M85" s="78">
        <f>K85-L85</f>
        <v>0</v>
      </c>
      <c r="N85" s="100">
        <f>1+1+3</f>
        <v>5</v>
      </c>
      <c r="O85" s="81">
        <f>9196.24+2480.78+2954.11+15214.32</f>
        <v>29845.45</v>
      </c>
      <c r="P85" s="81">
        <f>9196.24+2480.78+2954.11+15214.32</f>
        <v>29845.45</v>
      </c>
      <c r="Q85" s="232">
        <f t="shared" si="3"/>
        <v>0</v>
      </c>
      <c r="R85" s="141"/>
    </row>
    <row r="86" spans="1:18" s="13" customFormat="1" x14ac:dyDescent="0.25">
      <c r="A86" s="229"/>
      <c r="B86" s="62" t="s">
        <v>58</v>
      </c>
      <c r="C86" s="181" t="s">
        <v>17</v>
      </c>
      <c r="D86" s="182"/>
      <c r="E86" s="183" t="s">
        <v>20</v>
      </c>
      <c r="F86" s="73" t="s">
        <v>478</v>
      </c>
      <c r="G86" s="230" t="s">
        <v>114</v>
      </c>
      <c r="H86" s="181">
        <v>15</v>
      </c>
      <c r="I86" s="231">
        <v>2</v>
      </c>
      <c r="J86" s="190">
        <v>2</v>
      </c>
      <c r="K86" s="77">
        <v>3765.16</v>
      </c>
      <c r="L86" s="77">
        <v>3765.16</v>
      </c>
      <c r="M86" s="187">
        <f t="shared" si="1"/>
        <v>0</v>
      </c>
      <c r="N86" s="100">
        <v>21</v>
      </c>
      <c r="O86" s="224">
        <v>54215.77</v>
      </c>
      <c r="P86" s="224">
        <v>54215.77</v>
      </c>
      <c r="Q86" s="232">
        <f t="shared" si="3"/>
        <v>0</v>
      </c>
    </row>
    <row r="87" spans="1:18" s="13" customFormat="1" x14ac:dyDescent="0.25">
      <c r="A87" s="229"/>
      <c r="B87" s="62" t="s">
        <v>59</v>
      </c>
      <c r="C87" s="181" t="s">
        <v>17</v>
      </c>
      <c r="D87" s="182"/>
      <c r="E87" s="183" t="s">
        <v>20</v>
      </c>
      <c r="F87" s="73" t="s">
        <v>362</v>
      </c>
      <c r="G87" s="74" t="s">
        <v>112</v>
      </c>
      <c r="H87" s="75">
        <v>11</v>
      </c>
      <c r="I87" s="76">
        <v>8</v>
      </c>
      <c r="J87" s="96">
        <f>1+1+1+3+1+1</f>
        <v>8</v>
      </c>
      <c r="K87" s="77">
        <f>403.41+1431.16+845.24+998.92+3059.87</f>
        <v>6738.6</v>
      </c>
      <c r="L87" s="77">
        <f>403.41+1431.16+845.24+998.92+3059.87</f>
        <v>6738.6</v>
      </c>
      <c r="M87" s="78">
        <f>K87-L87</f>
        <v>0</v>
      </c>
      <c r="N87" s="100">
        <f>1+2+2+1+1+1+1</f>
        <v>9</v>
      </c>
      <c r="O87" s="81">
        <f>6646.05+1267.86+979.71</f>
        <v>8893.619999999999</v>
      </c>
      <c r="P87" s="81">
        <f>2353.23+5561.68+978.71</f>
        <v>8893.619999999999</v>
      </c>
      <c r="Q87" s="232">
        <f t="shared" si="3"/>
        <v>0</v>
      </c>
      <c r="R87" s="141"/>
    </row>
    <row r="88" spans="1:18" s="13" customFormat="1" x14ac:dyDescent="0.25">
      <c r="A88" s="229"/>
      <c r="B88" s="62" t="s">
        <v>59</v>
      </c>
      <c r="C88" s="181" t="s">
        <v>17</v>
      </c>
      <c r="D88" s="182"/>
      <c r="E88" s="183" t="s">
        <v>20</v>
      </c>
      <c r="F88" s="73" t="s">
        <v>128</v>
      </c>
      <c r="G88" s="230" t="s">
        <v>114</v>
      </c>
      <c r="H88" s="181"/>
      <c r="I88" s="231"/>
      <c r="J88" s="190"/>
      <c r="K88" s="77"/>
      <c r="L88" s="77"/>
      <c r="M88" s="187">
        <f t="shared" si="1"/>
        <v>0</v>
      </c>
      <c r="N88" s="100"/>
      <c r="O88" s="224"/>
      <c r="P88" s="224"/>
      <c r="Q88" s="232">
        <f t="shared" si="3"/>
        <v>0</v>
      </c>
    </row>
    <row r="89" spans="1:18" s="13" customFormat="1" x14ac:dyDescent="0.25">
      <c r="A89" s="229"/>
      <c r="B89" s="27" t="s">
        <v>60</v>
      </c>
      <c r="C89" s="181" t="s">
        <v>17</v>
      </c>
      <c r="D89" s="182"/>
      <c r="E89" s="183" t="s">
        <v>20</v>
      </c>
      <c r="F89" s="73" t="s">
        <v>364</v>
      </c>
      <c r="G89" s="74" t="s">
        <v>112</v>
      </c>
      <c r="H89" s="75">
        <v>16</v>
      </c>
      <c r="I89" s="76">
        <v>9</v>
      </c>
      <c r="J89" s="96">
        <f>1+1+1+4+4+2</f>
        <v>13</v>
      </c>
      <c r="K89" s="77">
        <f>634.93+893.27+2930.22+8503.46</f>
        <v>12961.88</v>
      </c>
      <c r="L89" s="77">
        <f>634.93+893.27+2930.22+8503.46</f>
        <v>12961.88</v>
      </c>
      <c r="M89" s="78">
        <f>K89-L89</f>
        <v>0</v>
      </c>
      <c r="N89" s="100">
        <f>4+1+3+1+1</f>
        <v>10</v>
      </c>
      <c r="O89" s="81">
        <f>15124.53+2065.75+8492.52</f>
        <v>25682.799999999999</v>
      </c>
      <c r="P89" s="81">
        <f>15124.53+2065.75+8492.52</f>
        <v>25682.799999999999</v>
      </c>
      <c r="Q89" s="232">
        <f t="shared" si="3"/>
        <v>0</v>
      </c>
      <c r="R89" s="141"/>
    </row>
    <row r="90" spans="1:18" s="13" customFormat="1" x14ac:dyDescent="0.25">
      <c r="A90" s="229"/>
      <c r="B90" s="27" t="s">
        <v>60</v>
      </c>
      <c r="C90" s="181" t="s">
        <v>17</v>
      </c>
      <c r="D90" s="182"/>
      <c r="E90" s="183" t="s">
        <v>20</v>
      </c>
      <c r="F90" s="73" t="s">
        <v>479</v>
      </c>
      <c r="G90" s="230" t="s">
        <v>114</v>
      </c>
      <c r="H90" s="181">
        <v>11</v>
      </c>
      <c r="I90" s="231">
        <v>2</v>
      </c>
      <c r="J90" s="190">
        <v>2</v>
      </c>
      <c r="K90" s="77">
        <v>5186.7</v>
      </c>
      <c r="L90" s="77">
        <v>5186.7</v>
      </c>
      <c r="M90" s="187">
        <f t="shared" si="1"/>
        <v>0</v>
      </c>
      <c r="N90" s="100">
        <v>12</v>
      </c>
      <c r="O90" s="224">
        <v>41221.599999999999</v>
      </c>
      <c r="P90" s="224">
        <v>41221.599999999999</v>
      </c>
      <c r="Q90" s="232">
        <f t="shared" si="3"/>
        <v>0</v>
      </c>
    </row>
    <row r="91" spans="1:18" s="13" customFormat="1" x14ac:dyDescent="0.25">
      <c r="A91" s="229"/>
      <c r="B91" s="27" t="s">
        <v>493</v>
      </c>
      <c r="C91" s="181" t="s">
        <v>17</v>
      </c>
      <c r="D91" s="182"/>
      <c r="E91" s="183" t="s">
        <v>20</v>
      </c>
      <c r="F91" s="73" t="s">
        <v>496</v>
      </c>
      <c r="G91" s="230" t="s">
        <v>112</v>
      </c>
      <c r="H91" s="181">
        <v>12</v>
      </c>
      <c r="I91" s="231">
        <v>8</v>
      </c>
      <c r="J91" s="190">
        <f>3+2+1+3+1+2+1</f>
        <v>13</v>
      </c>
      <c r="K91" s="77">
        <f>3387.04+3467.41+1267.86+2218.74</f>
        <v>10341.049999999999</v>
      </c>
      <c r="L91" s="77">
        <f>3387.04+3467.41+1267.86+2218.74</f>
        <v>10341.049999999999</v>
      </c>
      <c r="M91" s="78">
        <f t="shared" ref="M91:M155" si="4">K91-L91</f>
        <v>0</v>
      </c>
      <c r="N91" s="100"/>
      <c r="O91" s="224"/>
      <c r="P91" s="224"/>
      <c r="Q91" s="232">
        <f t="shared" si="3"/>
        <v>0</v>
      </c>
    </row>
    <row r="92" spans="1:18" s="15" customFormat="1" x14ac:dyDescent="0.25">
      <c r="A92" s="229"/>
      <c r="B92" s="27" t="s">
        <v>61</v>
      </c>
      <c r="C92" s="181" t="s">
        <v>17</v>
      </c>
      <c r="D92" s="182"/>
      <c r="E92" s="183" t="s">
        <v>20</v>
      </c>
      <c r="F92" s="73" t="s">
        <v>363</v>
      </c>
      <c r="G92" s="74" t="s">
        <v>112</v>
      </c>
      <c r="H92" s="75"/>
      <c r="I92" s="76"/>
      <c r="J92" s="96"/>
      <c r="K92" s="77"/>
      <c r="L92" s="77"/>
      <c r="M92" s="78">
        <f t="shared" si="4"/>
        <v>0</v>
      </c>
      <c r="N92" s="100"/>
      <c r="O92" s="81"/>
      <c r="P92" s="81"/>
      <c r="Q92" s="232">
        <f t="shared" si="3"/>
        <v>0</v>
      </c>
      <c r="R92" s="141"/>
    </row>
    <row r="93" spans="1:18" s="15" customFormat="1" x14ac:dyDescent="0.25">
      <c r="A93" s="229"/>
      <c r="B93" s="236" t="s">
        <v>306</v>
      </c>
      <c r="C93" s="181" t="s">
        <v>17</v>
      </c>
      <c r="D93" s="182"/>
      <c r="E93" s="183" t="s">
        <v>35</v>
      </c>
      <c r="F93" s="73" t="s">
        <v>365</v>
      </c>
      <c r="G93" s="230" t="s">
        <v>112</v>
      </c>
      <c r="H93" s="181">
        <v>32</v>
      </c>
      <c r="I93" s="231">
        <v>18</v>
      </c>
      <c r="J93" s="190">
        <f>1+2+1+3+3+2+3+1+2+1</f>
        <v>19</v>
      </c>
      <c r="K93" s="77">
        <f>1045.98+2658.7+35696.14+4892.46+1024.04+2384.53+10793.24+5320.79+2075.24+1324.62</f>
        <v>67215.739999999991</v>
      </c>
      <c r="L93" s="77">
        <f>1045.98+2658.7+35696.14+4892.46+1024.04+2384.53+10793.24+5320.79+2075.24+1324.62</f>
        <v>67215.739999999991</v>
      </c>
      <c r="M93" s="78">
        <f>K93-L93</f>
        <v>0</v>
      </c>
      <c r="N93" s="114">
        <f>7+2+2+2+1+1+1</f>
        <v>16</v>
      </c>
      <c r="O93" s="224">
        <f>2313.84+6162.57+2330.32+1690.48+3706.14+3107.65</f>
        <v>19311</v>
      </c>
      <c r="P93" s="224">
        <f>2313.84+6162.57+2330.32+1690.48+3706.14+3107.65</f>
        <v>19311</v>
      </c>
      <c r="Q93" s="232">
        <f t="shared" si="3"/>
        <v>0</v>
      </c>
      <c r="R93" s="141"/>
    </row>
    <row r="94" spans="1:18" s="13" customFormat="1" x14ac:dyDescent="0.25">
      <c r="A94" s="229"/>
      <c r="B94" s="62" t="s">
        <v>306</v>
      </c>
      <c r="C94" s="181" t="s">
        <v>17</v>
      </c>
      <c r="D94" s="182"/>
      <c r="E94" s="183" t="s">
        <v>27</v>
      </c>
      <c r="F94" s="73" t="s">
        <v>421</v>
      </c>
      <c r="G94" s="230" t="s">
        <v>117</v>
      </c>
      <c r="H94" s="181">
        <v>3</v>
      </c>
      <c r="I94" s="231"/>
      <c r="J94" s="96"/>
      <c r="K94" s="77"/>
      <c r="L94" s="77"/>
      <c r="M94" s="78">
        <f>K94-L94</f>
        <v>0</v>
      </c>
      <c r="N94" s="100"/>
      <c r="O94" s="77"/>
      <c r="P94" s="77"/>
      <c r="Q94" s="79">
        <f>O94-P94</f>
        <v>0</v>
      </c>
    </row>
    <row r="95" spans="1:18" s="13" customFormat="1" x14ac:dyDescent="0.25">
      <c r="A95" s="229"/>
      <c r="B95" s="27" t="s">
        <v>62</v>
      </c>
      <c r="C95" s="181" t="s">
        <v>17</v>
      </c>
      <c r="D95" s="182"/>
      <c r="E95" s="183" t="s">
        <v>35</v>
      </c>
      <c r="F95" s="73" t="s">
        <v>366</v>
      </c>
      <c r="G95" s="74" t="s">
        <v>112</v>
      </c>
      <c r="H95" s="75">
        <v>24</v>
      </c>
      <c r="I95" s="76">
        <v>12</v>
      </c>
      <c r="J95" s="96">
        <f>1+3+1+1+2+4+4</f>
        <v>16</v>
      </c>
      <c r="K95" s="77">
        <f>3613.4+1872.01+1394.65+3518.32+15902.72</f>
        <v>26301.1</v>
      </c>
      <c r="L95" s="77">
        <f>3613.4+1872.01+1394.65+3518.32+15902.72</f>
        <v>26301.1</v>
      </c>
      <c r="M95" s="78">
        <f>K95-L95</f>
        <v>0</v>
      </c>
      <c r="N95" s="100">
        <f>6+2+1+2+1+3</f>
        <v>15</v>
      </c>
      <c r="O95" s="81">
        <f>19511.33+1270.93+3979.74+2500.85+8530.18+845.24+12787.47</f>
        <v>49425.74</v>
      </c>
      <c r="P95" s="81">
        <f>19511.33+1270.93+3979.74+2500.85+8530.18+845.24+12787.47</f>
        <v>49425.74</v>
      </c>
      <c r="Q95" s="79">
        <f t="shared" si="3"/>
        <v>0</v>
      </c>
      <c r="R95" s="141"/>
    </row>
    <row r="96" spans="1:18" s="13" customFormat="1" x14ac:dyDescent="0.25">
      <c r="A96" s="229"/>
      <c r="B96" s="27" t="s">
        <v>62</v>
      </c>
      <c r="C96" s="181" t="s">
        <v>17</v>
      </c>
      <c r="D96" s="182"/>
      <c r="E96" s="183" t="s">
        <v>35</v>
      </c>
      <c r="F96" s="73" t="s">
        <v>428</v>
      </c>
      <c r="G96" s="230" t="s">
        <v>117</v>
      </c>
      <c r="H96" s="181">
        <v>2</v>
      </c>
      <c r="I96" s="231"/>
      <c r="J96" s="96"/>
      <c r="K96" s="77"/>
      <c r="L96" s="77"/>
      <c r="M96" s="78">
        <f t="shared" si="4"/>
        <v>0</v>
      </c>
      <c r="N96" s="100">
        <v>9</v>
      </c>
      <c r="O96" s="224">
        <v>22788.1</v>
      </c>
      <c r="P96" s="224">
        <v>22788.1</v>
      </c>
      <c r="Q96" s="232">
        <f t="shared" si="3"/>
        <v>0</v>
      </c>
    </row>
    <row r="97" spans="1:19" s="13" customFormat="1" x14ac:dyDescent="0.25">
      <c r="A97" s="229"/>
      <c r="B97" s="27" t="s">
        <v>155</v>
      </c>
      <c r="C97" s="181" t="s">
        <v>17</v>
      </c>
      <c r="D97" s="182"/>
      <c r="E97" s="183" t="s">
        <v>20</v>
      </c>
      <c r="F97" s="73" t="s">
        <v>367</v>
      </c>
      <c r="G97" s="74" t="s">
        <v>112</v>
      </c>
      <c r="H97" s="75">
        <v>9</v>
      </c>
      <c r="I97" s="82">
        <v>6</v>
      </c>
      <c r="J97" s="96">
        <f>1+2+3+1+2</f>
        <v>9</v>
      </c>
      <c r="K97" s="77">
        <f>3117.56+2266.78+5307.72</f>
        <v>10692.060000000001</v>
      </c>
      <c r="L97" s="77">
        <f>3117.56+2266.78+5307.72</f>
        <v>10692.060000000001</v>
      </c>
      <c r="M97" s="78">
        <f>K97-L97</f>
        <v>0</v>
      </c>
      <c r="N97" s="100">
        <f>1+1+1</f>
        <v>3</v>
      </c>
      <c r="O97" s="81">
        <f>1798.06+2123.67</f>
        <v>3921.73</v>
      </c>
      <c r="P97" s="81">
        <f>1798.06+2123.67</f>
        <v>3921.73</v>
      </c>
      <c r="Q97" s="232">
        <f t="shared" si="3"/>
        <v>0</v>
      </c>
      <c r="R97" s="141"/>
    </row>
    <row r="98" spans="1:19" s="13" customFormat="1" x14ac:dyDescent="0.25">
      <c r="A98" s="229"/>
      <c r="B98" s="27" t="s">
        <v>155</v>
      </c>
      <c r="C98" s="181" t="s">
        <v>17</v>
      </c>
      <c r="D98" s="182"/>
      <c r="E98" s="183" t="s">
        <v>20</v>
      </c>
      <c r="F98" s="73" t="s">
        <v>459</v>
      </c>
      <c r="G98" s="230" t="s">
        <v>114</v>
      </c>
      <c r="H98" s="181">
        <v>11</v>
      </c>
      <c r="I98" s="231">
        <v>5</v>
      </c>
      <c r="J98" s="190">
        <v>5</v>
      </c>
      <c r="K98" s="77">
        <v>8154.2</v>
      </c>
      <c r="L98" s="77">
        <v>6147.2</v>
      </c>
      <c r="M98" s="187">
        <f t="shared" ref="M98" si="5">K98-L98</f>
        <v>2007</v>
      </c>
      <c r="N98" s="100">
        <v>15</v>
      </c>
      <c r="O98" s="224">
        <v>33202.26</v>
      </c>
      <c r="P98" s="224">
        <v>33202.26</v>
      </c>
      <c r="Q98" s="232">
        <f t="shared" si="3"/>
        <v>0</v>
      </c>
    </row>
    <row r="99" spans="1:19" s="13" customFormat="1" x14ac:dyDescent="0.25">
      <c r="A99" s="229"/>
      <c r="B99" s="30" t="s">
        <v>66</v>
      </c>
      <c r="C99" s="181" t="s">
        <v>17</v>
      </c>
      <c r="D99" s="182"/>
      <c r="E99" s="183" t="s">
        <v>21</v>
      </c>
      <c r="F99" s="73" t="s">
        <v>368</v>
      </c>
      <c r="G99" s="74" t="s">
        <v>112</v>
      </c>
      <c r="H99" s="75">
        <v>25</v>
      </c>
      <c r="I99" s="76">
        <v>19</v>
      </c>
      <c r="J99" s="96">
        <f>1+3+2+3+2+1+2+1+3+7+4</f>
        <v>29</v>
      </c>
      <c r="K99" s="77">
        <f>1045.98+4309.04+3820.12+1872.01+4253.49+3044.79+1191.19+4942.84+9299.2+9796.16</f>
        <v>43574.820000000007</v>
      </c>
      <c r="L99" s="77">
        <f>1045.98+4309.04+3820.12+1872.01+4253.49+3044.79+1191.19+4942.84+9299.2+9796.16</f>
        <v>43574.820000000007</v>
      </c>
      <c r="M99" s="78">
        <f>K99-L99</f>
        <v>0</v>
      </c>
      <c r="N99" s="100">
        <f>6+3+8+7+1+1+1+2+1+1+1+1+1+1</f>
        <v>35</v>
      </c>
      <c r="O99" s="81">
        <f>11911.17+23136+18060.17+1977.84+2091.97+19535.65+19124.11+3199.71+4430.07+5418.9</f>
        <v>108885.59</v>
      </c>
      <c r="P99" s="81">
        <f>11911.17+23136+18060.17+1977.84+2091.97+19535.65+19124.11+3199.71+4430.07+5418.9</f>
        <v>108885.59</v>
      </c>
      <c r="Q99" s="232">
        <f t="shared" si="3"/>
        <v>0</v>
      </c>
      <c r="R99" s="141"/>
    </row>
    <row r="100" spans="1:19" s="13" customFormat="1" x14ac:dyDescent="0.25">
      <c r="A100" s="229"/>
      <c r="B100" s="30" t="s">
        <v>66</v>
      </c>
      <c r="C100" s="181" t="s">
        <v>17</v>
      </c>
      <c r="D100" s="182"/>
      <c r="E100" s="183" t="s">
        <v>21</v>
      </c>
      <c r="F100" s="73" t="s">
        <v>439</v>
      </c>
      <c r="G100" s="230" t="s">
        <v>118</v>
      </c>
      <c r="H100" s="181">
        <v>6</v>
      </c>
      <c r="I100" s="231">
        <v>3</v>
      </c>
      <c r="J100" s="96">
        <v>3</v>
      </c>
      <c r="K100" s="77">
        <v>2958.9</v>
      </c>
      <c r="L100" s="77">
        <v>2958.9</v>
      </c>
      <c r="M100" s="187">
        <f t="shared" si="4"/>
        <v>0</v>
      </c>
      <c r="N100" s="100">
        <v>17</v>
      </c>
      <c r="O100" s="224">
        <v>66871.69</v>
      </c>
      <c r="P100" s="224">
        <v>66871.69</v>
      </c>
      <c r="Q100" s="79">
        <f t="shared" si="3"/>
        <v>0</v>
      </c>
    </row>
    <row r="101" spans="1:19" s="13" customFormat="1" x14ac:dyDescent="0.25">
      <c r="A101" s="229"/>
      <c r="B101" s="62" t="s">
        <v>137</v>
      </c>
      <c r="C101" s="181" t="s">
        <v>17</v>
      </c>
      <c r="D101" s="182"/>
      <c r="E101" s="194" t="s">
        <v>35</v>
      </c>
      <c r="F101" s="73" t="s">
        <v>369</v>
      </c>
      <c r="G101" s="74" t="s">
        <v>112</v>
      </c>
      <c r="H101" s="75">
        <v>30</v>
      </c>
      <c r="I101" s="76">
        <v>15</v>
      </c>
      <c r="J101" s="96">
        <f>3+3+1+4+1+3</f>
        <v>15</v>
      </c>
      <c r="K101" s="77">
        <f>504.26+845.24+3380.96+422.62+2535.72+6256.62</f>
        <v>13945.419999999998</v>
      </c>
      <c r="L101" s="77">
        <f>504.26+845.24+3380.96+422.62+2535.72+6256.62</f>
        <v>13945.419999999998</v>
      </c>
      <c r="M101" s="78">
        <f>K101-L101</f>
        <v>0</v>
      </c>
      <c r="N101" s="100">
        <f>5+1+1+2+1</f>
        <v>10</v>
      </c>
      <c r="O101" s="81">
        <f>2617.36+422.62+3852.18+3380.96+422.62</f>
        <v>10695.74</v>
      </c>
      <c r="P101" s="81">
        <f>2617.36+422.62+3852.18+3380.96+422.62</f>
        <v>10695.74</v>
      </c>
      <c r="Q101" s="232">
        <f t="shared" si="3"/>
        <v>0</v>
      </c>
      <c r="R101" s="141"/>
    </row>
    <row r="102" spans="1:19" s="13" customFormat="1" x14ac:dyDescent="0.25">
      <c r="A102" s="229"/>
      <c r="B102" s="62" t="s">
        <v>137</v>
      </c>
      <c r="C102" s="181" t="s">
        <v>17</v>
      </c>
      <c r="D102" s="182"/>
      <c r="E102" s="194" t="s">
        <v>35</v>
      </c>
      <c r="F102" s="73" t="s">
        <v>429</v>
      </c>
      <c r="G102" s="230" t="s">
        <v>117</v>
      </c>
      <c r="H102" s="181">
        <v>4</v>
      </c>
      <c r="I102" s="231">
        <v>1</v>
      </c>
      <c r="J102" s="190">
        <v>1</v>
      </c>
      <c r="K102" s="193">
        <v>1921</v>
      </c>
      <c r="L102" s="193">
        <v>1921</v>
      </c>
      <c r="M102" s="78">
        <f t="shared" si="4"/>
        <v>0</v>
      </c>
      <c r="N102" s="114">
        <v>2</v>
      </c>
      <c r="O102" s="224">
        <v>10565.5</v>
      </c>
      <c r="P102" s="224">
        <v>10565.5</v>
      </c>
      <c r="Q102" s="79">
        <f t="shared" si="3"/>
        <v>0</v>
      </c>
    </row>
    <row r="103" spans="1:19" s="13" customFormat="1" x14ac:dyDescent="0.25">
      <c r="A103" s="229"/>
      <c r="B103" s="30" t="s">
        <v>67</v>
      </c>
      <c r="C103" s="181" t="s">
        <v>17</v>
      </c>
      <c r="D103" s="182"/>
      <c r="E103" s="194" t="s">
        <v>21</v>
      </c>
      <c r="F103" s="73" t="s">
        <v>370</v>
      </c>
      <c r="G103" s="74" t="s">
        <v>112</v>
      </c>
      <c r="H103" s="75">
        <v>28</v>
      </c>
      <c r="I103" s="76">
        <v>16</v>
      </c>
      <c r="J103" s="96">
        <f>2+1+1+2+1+1+2+2+1+2+5+5</f>
        <v>25</v>
      </c>
      <c r="K103" s="77">
        <f>3319.85+1198.9+864.45+7235.32+1947.89+5377.75+8701.73+3581.7+8737.54</f>
        <v>40965.130000000005</v>
      </c>
      <c r="L103" s="77">
        <f>3319.85+1198.9+864.45+7235.32+1947.89+5377.75+8701.73+3581.7+8737.54</f>
        <v>40965.130000000005</v>
      </c>
      <c r="M103" s="78">
        <f>K103-L103</f>
        <v>0</v>
      </c>
      <c r="N103" s="100">
        <f>4+9+4+4+1+3+1+3+1+1+1+1+1+1</f>
        <v>35</v>
      </c>
      <c r="O103" s="81">
        <f>29696.65+38129.03+13567.9+20687.05+2022.79+8145.77+17250.05+1233.28+5568.04</f>
        <v>136300.56</v>
      </c>
      <c r="P103" s="81">
        <f>29696.65+38129.03+13567.9+20687.05+2022.79+8145.77+17250.05+1233.28+5568.04</f>
        <v>136300.56</v>
      </c>
      <c r="Q103" s="232">
        <f t="shared" si="3"/>
        <v>0</v>
      </c>
      <c r="R103" s="141"/>
    </row>
    <row r="104" spans="1:19" s="13" customFormat="1" x14ac:dyDescent="0.25">
      <c r="A104" s="229"/>
      <c r="B104" s="30" t="s">
        <v>67</v>
      </c>
      <c r="C104" s="181" t="s">
        <v>17</v>
      </c>
      <c r="D104" s="182"/>
      <c r="E104" s="194" t="s">
        <v>21</v>
      </c>
      <c r="F104" s="73" t="s">
        <v>440</v>
      </c>
      <c r="G104" s="230" t="s">
        <v>118</v>
      </c>
      <c r="H104" s="181">
        <v>14</v>
      </c>
      <c r="I104" s="231">
        <v>2</v>
      </c>
      <c r="J104" s="96">
        <v>2</v>
      </c>
      <c r="K104" s="77">
        <v>5282.54</v>
      </c>
      <c r="L104" s="77">
        <v>5282.54</v>
      </c>
      <c r="M104" s="78">
        <f t="shared" si="4"/>
        <v>0</v>
      </c>
      <c r="N104" s="100">
        <v>20</v>
      </c>
      <c r="O104" s="224">
        <v>66027.179999999993</v>
      </c>
      <c r="P104" s="224">
        <v>66027.179999999993</v>
      </c>
      <c r="Q104" s="79">
        <f t="shared" si="3"/>
        <v>0</v>
      </c>
    </row>
    <row r="105" spans="1:19" s="13" customFormat="1" x14ac:dyDescent="0.25">
      <c r="A105" s="229"/>
      <c r="B105" s="30" t="s">
        <v>68</v>
      </c>
      <c r="C105" s="181" t="s">
        <v>17</v>
      </c>
      <c r="D105" s="182"/>
      <c r="E105" s="194" t="s">
        <v>32</v>
      </c>
      <c r="F105" s="73" t="s">
        <v>371</v>
      </c>
      <c r="G105" s="74" t="s">
        <v>112</v>
      </c>
      <c r="H105" s="75">
        <v>17</v>
      </c>
      <c r="I105" s="76">
        <v>16</v>
      </c>
      <c r="J105" s="96">
        <f>2+1+2+5+5+3+1</f>
        <v>19</v>
      </c>
      <c r="K105" s="77">
        <f>1128.59+422.62+1152.6+4557.81+10981.59+5362.88+4996.85+4352.15</f>
        <v>32955.090000000004</v>
      </c>
      <c r="L105" s="77">
        <f>1128.59+422.62+1152.6+4557.81+10981.59+5362.88+4996.85+4352.15</f>
        <v>32955.090000000004</v>
      </c>
      <c r="M105" s="78">
        <f>K105-L105</f>
        <v>0</v>
      </c>
      <c r="N105" s="100">
        <f>6+5+1+4+2+2+1</f>
        <v>21</v>
      </c>
      <c r="O105" s="81">
        <f>7813.73+8523.5+1452.28+12582.19+18077.76+4987.46</f>
        <v>53436.919999999991</v>
      </c>
      <c r="P105" s="81">
        <f>7813.73+8523.5+1452.28+12582.19+18077.76+4987.46</f>
        <v>53436.919999999991</v>
      </c>
      <c r="Q105" s="232">
        <f t="shared" si="3"/>
        <v>0</v>
      </c>
      <c r="R105" s="141"/>
    </row>
    <row r="106" spans="1:19" s="13" customFormat="1" x14ac:dyDescent="0.25">
      <c r="A106" s="229"/>
      <c r="B106" s="30" t="s">
        <v>68</v>
      </c>
      <c r="C106" s="181" t="s">
        <v>17</v>
      </c>
      <c r="D106" s="182"/>
      <c r="E106" s="194" t="s">
        <v>32</v>
      </c>
      <c r="F106" s="73" t="s">
        <v>430</v>
      </c>
      <c r="G106" s="235" t="s">
        <v>117</v>
      </c>
      <c r="H106" s="181">
        <v>2</v>
      </c>
      <c r="I106" s="231"/>
      <c r="J106" s="96"/>
      <c r="K106" s="77"/>
      <c r="L106" s="77"/>
      <c r="M106" s="78">
        <f t="shared" si="4"/>
        <v>0</v>
      </c>
      <c r="N106" s="100"/>
      <c r="O106" s="77"/>
      <c r="P106" s="77"/>
      <c r="Q106" s="79">
        <f t="shared" si="3"/>
        <v>0</v>
      </c>
    </row>
    <row r="107" spans="1:19" s="15" customFormat="1" x14ac:dyDescent="0.25">
      <c r="A107" s="229"/>
      <c r="B107" s="27" t="s">
        <v>69</v>
      </c>
      <c r="C107" s="181" t="s">
        <v>17</v>
      </c>
      <c r="D107" s="182"/>
      <c r="E107" s="183" t="s">
        <v>20</v>
      </c>
      <c r="F107" s="73" t="s">
        <v>372</v>
      </c>
      <c r="G107" s="74" t="s">
        <v>112</v>
      </c>
      <c r="H107" s="75">
        <v>6</v>
      </c>
      <c r="I107" s="76">
        <v>3</v>
      </c>
      <c r="J107" s="96">
        <f>1+1+1+1</f>
        <v>4</v>
      </c>
      <c r="K107" s="77">
        <f>422.62+17390.69+3114.71+475.45</f>
        <v>21403.469999999998</v>
      </c>
      <c r="L107" s="77">
        <f>422.62+17390.69+3114.71+475.45</f>
        <v>21403.469999999998</v>
      </c>
      <c r="M107" s="78">
        <f t="shared" si="4"/>
        <v>0</v>
      </c>
      <c r="N107" s="100">
        <f>3+2+1+1+1+1</f>
        <v>9</v>
      </c>
      <c r="O107" s="77">
        <f>7210.31+3647.96+1306.28+1267.86+2697.06</f>
        <v>16129.470000000001</v>
      </c>
      <c r="P107" s="77">
        <f>7210.31+3647.96+1306.28+1267.86+2697.06</f>
        <v>16129.470000000001</v>
      </c>
      <c r="Q107" s="232">
        <f t="shared" si="3"/>
        <v>0</v>
      </c>
      <c r="R107" s="141"/>
    </row>
    <row r="108" spans="1:19" s="15" customFormat="1" x14ac:dyDescent="0.25">
      <c r="A108" s="229"/>
      <c r="B108" s="236" t="s">
        <v>502</v>
      </c>
      <c r="C108" s="181"/>
      <c r="D108" s="182"/>
      <c r="E108" s="183"/>
      <c r="F108" s="73" t="s">
        <v>508</v>
      </c>
      <c r="G108" s="74" t="s">
        <v>112</v>
      </c>
      <c r="H108" s="75">
        <v>9</v>
      </c>
      <c r="I108" s="76">
        <v>5</v>
      </c>
      <c r="J108" s="96">
        <f>4+1</f>
        <v>5</v>
      </c>
      <c r="K108" s="77">
        <f>6145.3+993.47</f>
        <v>7138.77</v>
      </c>
      <c r="L108" s="77">
        <f>6145.3+993.47</f>
        <v>7138.77</v>
      </c>
      <c r="M108" s="78">
        <f t="shared" si="4"/>
        <v>0</v>
      </c>
      <c r="N108" s="100"/>
      <c r="O108" s="77"/>
      <c r="P108" s="77"/>
      <c r="Q108" s="232">
        <f t="shared" si="3"/>
        <v>0</v>
      </c>
      <c r="R108" s="141"/>
    </row>
    <row r="109" spans="1:19" s="15" customFormat="1" x14ac:dyDescent="0.25">
      <c r="A109" s="229"/>
      <c r="B109" s="236" t="s">
        <v>502</v>
      </c>
      <c r="C109" s="181"/>
      <c r="D109" s="182"/>
      <c r="E109" s="183"/>
      <c r="F109" s="73" t="s">
        <v>511</v>
      </c>
      <c r="G109" s="235" t="s">
        <v>117</v>
      </c>
      <c r="H109" s="75">
        <v>3</v>
      </c>
      <c r="I109" s="76"/>
      <c r="J109" s="96"/>
      <c r="K109" s="77"/>
      <c r="L109" s="77"/>
      <c r="M109" s="78">
        <f t="shared" si="4"/>
        <v>0</v>
      </c>
      <c r="N109" s="100"/>
      <c r="O109" s="77"/>
      <c r="P109" s="77"/>
      <c r="Q109" s="232">
        <f t="shared" si="3"/>
        <v>0</v>
      </c>
      <c r="R109" s="141"/>
    </row>
    <row r="110" spans="1:19" s="13" customFormat="1" x14ac:dyDescent="0.25">
      <c r="A110" s="229"/>
      <c r="B110" s="62" t="s">
        <v>70</v>
      </c>
      <c r="C110" s="181" t="s">
        <v>17</v>
      </c>
      <c r="D110" s="182"/>
      <c r="E110" s="183" t="s">
        <v>20</v>
      </c>
      <c r="F110" s="73" t="s">
        <v>373</v>
      </c>
      <c r="G110" s="74" t="s">
        <v>112</v>
      </c>
      <c r="H110" s="75">
        <v>12</v>
      </c>
      <c r="I110" s="76">
        <v>8</v>
      </c>
      <c r="J110" s="96">
        <f>2+2+2+3+1</f>
        <v>10</v>
      </c>
      <c r="K110" s="77">
        <f>19498+3011.17+8156.45</f>
        <v>30665.62</v>
      </c>
      <c r="L110" s="77">
        <f>19498+3011.17+8156.45</f>
        <v>30665.62</v>
      </c>
      <c r="M110" s="78">
        <f>K110-L110</f>
        <v>0</v>
      </c>
      <c r="N110" s="100">
        <f>2+3+4+2+1</f>
        <v>12</v>
      </c>
      <c r="O110" s="81">
        <f>7606.2+16795.84</f>
        <v>24402.04</v>
      </c>
      <c r="P110" s="81">
        <f>7606.2+16795.84</f>
        <v>24402.04</v>
      </c>
      <c r="Q110" s="79">
        <f t="shared" si="3"/>
        <v>0</v>
      </c>
      <c r="R110" s="141"/>
    </row>
    <row r="111" spans="1:19" s="13" customFormat="1" x14ac:dyDescent="0.25">
      <c r="A111" s="229"/>
      <c r="B111" s="62" t="s">
        <v>70</v>
      </c>
      <c r="C111" s="181" t="s">
        <v>17</v>
      </c>
      <c r="D111" s="182"/>
      <c r="E111" s="183" t="s">
        <v>20</v>
      </c>
      <c r="F111" s="73" t="s">
        <v>460</v>
      </c>
      <c r="G111" s="230" t="s">
        <v>114</v>
      </c>
      <c r="H111" s="181">
        <v>31</v>
      </c>
      <c r="I111" s="231">
        <v>11</v>
      </c>
      <c r="J111" s="190">
        <v>11</v>
      </c>
      <c r="K111" s="77">
        <v>15164.14</v>
      </c>
      <c r="L111" s="77">
        <v>15164.14</v>
      </c>
      <c r="M111" s="187">
        <f t="shared" ref="M111" si="6">K111-L111</f>
        <v>0</v>
      </c>
      <c r="N111" s="100">
        <v>31</v>
      </c>
      <c r="O111" s="224">
        <v>72927.77</v>
      </c>
      <c r="P111" s="224">
        <v>72927.77</v>
      </c>
      <c r="Q111" s="232">
        <f t="shared" si="3"/>
        <v>0</v>
      </c>
    </row>
    <row r="112" spans="1:19" s="15" customFormat="1" x14ac:dyDescent="0.25">
      <c r="A112" s="229"/>
      <c r="B112" s="62" t="s">
        <v>71</v>
      </c>
      <c r="C112" s="181" t="s">
        <v>17</v>
      </c>
      <c r="D112" s="182"/>
      <c r="E112" s="183" t="s">
        <v>32</v>
      </c>
      <c r="F112" s="73" t="s">
        <v>374</v>
      </c>
      <c r="G112" s="74" t="s">
        <v>112</v>
      </c>
      <c r="H112" s="75">
        <v>16</v>
      </c>
      <c r="I112" s="76">
        <v>10</v>
      </c>
      <c r="J112" s="96">
        <f>3+1+2+1+1+3+3</f>
        <v>14</v>
      </c>
      <c r="K112" s="77">
        <f>1536.8+461.04+1748.88+633.93+3169.65+2435.83</f>
        <v>9986.130000000001</v>
      </c>
      <c r="L112" s="77">
        <f>1536.8+461.04+1748.88+633.93+3169.65+2435.83</f>
        <v>9986.130000000001</v>
      </c>
      <c r="M112" s="78">
        <f>K112-L112</f>
        <v>0</v>
      </c>
      <c r="N112" s="100">
        <f>3+2+1+1+2+1</f>
        <v>10</v>
      </c>
      <c r="O112" s="81">
        <f>9567.93+3616.67+403.41+14275.52+10922.18+12907.41</f>
        <v>51693.119999999995</v>
      </c>
      <c r="P112" s="81">
        <f>9567.93+3616.67+403.41+14275.52+10922.18+12907.41</f>
        <v>51693.119999999995</v>
      </c>
      <c r="Q112" s="79">
        <f t="shared" si="3"/>
        <v>0</v>
      </c>
      <c r="R112" s="141"/>
      <c r="S112" s="36"/>
    </row>
    <row r="113" spans="1:18" s="15" customFormat="1" x14ac:dyDescent="0.25">
      <c r="A113" s="229"/>
      <c r="B113" s="62" t="s">
        <v>71</v>
      </c>
      <c r="C113" s="181" t="s">
        <v>17</v>
      </c>
      <c r="D113" s="182"/>
      <c r="E113" s="183" t="s">
        <v>32</v>
      </c>
      <c r="F113" s="73" t="s">
        <v>431</v>
      </c>
      <c r="G113" s="230" t="s">
        <v>115</v>
      </c>
      <c r="H113" s="181">
        <v>7</v>
      </c>
      <c r="I113" s="231">
        <v>4</v>
      </c>
      <c r="J113" s="96">
        <v>4</v>
      </c>
      <c r="K113" s="237">
        <v>6627.45</v>
      </c>
      <c r="L113" s="237">
        <v>6627.45</v>
      </c>
      <c r="M113" s="187">
        <f t="shared" si="4"/>
        <v>0</v>
      </c>
      <c r="N113" s="114">
        <f>5</f>
        <v>5</v>
      </c>
      <c r="O113" s="77">
        <v>6595.5</v>
      </c>
      <c r="P113" s="77">
        <v>6595.5</v>
      </c>
      <c r="Q113" s="232">
        <f t="shared" si="3"/>
        <v>0</v>
      </c>
    </row>
    <row r="114" spans="1:18" s="13" customFormat="1" x14ac:dyDescent="0.25">
      <c r="A114" s="229"/>
      <c r="B114" s="62" t="s">
        <v>319</v>
      </c>
      <c r="C114" s="181" t="s">
        <v>17</v>
      </c>
      <c r="D114" s="182"/>
      <c r="E114" s="183" t="s">
        <v>20</v>
      </c>
      <c r="F114" s="73" t="s">
        <v>375</v>
      </c>
      <c r="G114" s="74" t="s">
        <v>112</v>
      </c>
      <c r="H114" s="75">
        <v>27</v>
      </c>
      <c r="I114" s="76">
        <v>21</v>
      </c>
      <c r="J114" s="96">
        <f>2+1+4+3+6+2+7+1</f>
        <v>26</v>
      </c>
      <c r="K114" s="77">
        <f>710.77+1523.35+6753.23+7215.52+1437.48+28056.52+6091.99</f>
        <v>51788.859999999993</v>
      </c>
      <c r="L114" s="77">
        <f>710.77+1523.35+6753.23+7215.52+1437.48+28056.52+6091.99</f>
        <v>51788.859999999993</v>
      </c>
      <c r="M114" s="78">
        <f t="shared" si="4"/>
        <v>0</v>
      </c>
      <c r="N114" s="100">
        <f>3+1+2+1+2</f>
        <v>9</v>
      </c>
      <c r="O114" s="77">
        <f>13419.94+726.71+2846.77+3770.56+4653.31</f>
        <v>25417.290000000005</v>
      </c>
      <c r="P114" s="77">
        <f>13419.94+726.71+2846.77+3770.56+4653.31</f>
        <v>25417.290000000005</v>
      </c>
      <c r="Q114" s="79">
        <f>O114-P114</f>
        <v>0</v>
      </c>
      <c r="R114" s="141"/>
    </row>
    <row r="115" spans="1:18" s="15" customFormat="1" x14ac:dyDescent="0.25">
      <c r="A115" s="229"/>
      <c r="B115" s="62" t="s">
        <v>150</v>
      </c>
      <c r="C115" s="181" t="s">
        <v>17</v>
      </c>
      <c r="D115" s="182"/>
      <c r="E115" s="183" t="s">
        <v>35</v>
      </c>
      <c r="F115" s="73" t="s">
        <v>376</v>
      </c>
      <c r="G115" s="74" t="s">
        <v>112</v>
      </c>
      <c r="H115" s="75">
        <v>21</v>
      </c>
      <c r="I115" s="76">
        <v>7</v>
      </c>
      <c r="J115" s="96">
        <f>1+1+2+2+1+3</f>
        <v>10</v>
      </c>
      <c r="K115" s="77">
        <f>1343.65+384.2+1690.4+4889.84</f>
        <v>8308.09</v>
      </c>
      <c r="L115" s="77">
        <f>1343.65+384.2+1690.4+4889.84</f>
        <v>8308.09</v>
      </c>
      <c r="M115" s="78">
        <f t="shared" si="4"/>
        <v>0</v>
      </c>
      <c r="N115" s="114">
        <f>8+1+1+2+3+1+1+1</f>
        <v>18</v>
      </c>
      <c r="O115" s="77">
        <f>5997.32+3719.39+3054.34+13138.17+6578.46+6198.68</f>
        <v>38686.36</v>
      </c>
      <c r="P115" s="77">
        <f>5997.32+3719.39+3054.34+13138.17+6578.46+6198.68</f>
        <v>38686.36</v>
      </c>
      <c r="Q115" s="79">
        <f t="shared" si="3"/>
        <v>0</v>
      </c>
      <c r="R115" s="141"/>
    </row>
    <row r="116" spans="1:18" s="15" customFormat="1" x14ac:dyDescent="0.25">
      <c r="A116" s="229"/>
      <c r="B116" s="233" t="s">
        <v>150</v>
      </c>
      <c r="C116" s="181" t="s">
        <v>17</v>
      </c>
      <c r="D116" s="182"/>
      <c r="E116" s="183" t="s">
        <v>32</v>
      </c>
      <c r="F116" s="73" t="s">
        <v>487</v>
      </c>
      <c r="G116" s="230" t="s">
        <v>117</v>
      </c>
      <c r="H116" s="181">
        <v>4</v>
      </c>
      <c r="I116" s="231">
        <v>3</v>
      </c>
      <c r="J116" s="96">
        <v>3</v>
      </c>
      <c r="K116" s="77">
        <v>6823.8</v>
      </c>
      <c r="L116" s="77">
        <v>6823.8</v>
      </c>
      <c r="M116" s="187">
        <f t="shared" si="4"/>
        <v>0</v>
      </c>
      <c r="N116" s="100">
        <v>3</v>
      </c>
      <c r="O116" s="77">
        <v>8240.2000000000007</v>
      </c>
      <c r="P116" s="77">
        <v>8240.2000000000007</v>
      </c>
      <c r="Q116" s="232">
        <f t="shared" si="3"/>
        <v>0</v>
      </c>
    </row>
    <row r="117" spans="1:18" s="13" customFormat="1" x14ac:dyDescent="0.25">
      <c r="A117" s="229"/>
      <c r="B117" s="30" t="s">
        <v>72</v>
      </c>
      <c r="C117" s="181" t="s">
        <v>17</v>
      </c>
      <c r="D117" s="182"/>
      <c r="E117" s="183" t="s">
        <v>21</v>
      </c>
      <c r="F117" s="73" t="s">
        <v>377</v>
      </c>
      <c r="G117" s="74" t="s">
        <v>112</v>
      </c>
      <c r="H117" s="75">
        <v>21</v>
      </c>
      <c r="I117" s="76">
        <v>9</v>
      </c>
      <c r="J117" s="96">
        <f>1+1+1+1+6+2+1</f>
        <v>13</v>
      </c>
      <c r="K117" s="77">
        <f>633.93+1415.78+1610.18+1394.65+18140.86+2440.63</f>
        <v>25636.030000000002</v>
      </c>
      <c r="L117" s="77">
        <f>633.93+1415.78+1610.18+1394.65+18140.86+2440.63</f>
        <v>25636.030000000002</v>
      </c>
      <c r="M117" s="78">
        <f>K117-L117</f>
        <v>0</v>
      </c>
      <c r="N117" s="100">
        <f>1+3+1+1+1+3+1+3+1</f>
        <v>15</v>
      </c>
      <c r="O117" s="81">
        <f>1950.74+10237.13+6595.95+3861.21+1348.53+10328.94+50451.86-19567+15859.78</f>
        <v>81067.14</v>
      </c>
      <c r="P117" s="81">
        <f>1950.74+10237.13+6595.95+3861.21+1348.53+10328.94+50451.86-19567+15859.78</f>
        <v>81067.14</v>
      </c>
      <c r="Q117" s="79">
        <f t="shared" si="3"/>
        <v>0</v>
      </c>
      <c r="R117" s="141"/>
    </row>
    <row r="118" spans="1:18" s="13" customFormat="1" x14ac:dyDescent="0.25">
      <c r="A118" s="229"/>
      <c r="B118" s="30" t="s">
        <v>72</v>
      </c>
      <c r="C118" s="181" t="s">
        <v>17</v>
      </c>
      <c r="D118" s="182"/>
      <c r="E118" s="183" t="s">
        <v>21</v>
      </c>
      <c r="F118" s="73" t="s">
        <v>441</v>
      </c>
      <c r="G118" s="230" t="s">
        <v>118</v>
      </c>
      <c r="H118" s="181">
        <v>7</v>
      </c>
      <c r="I118" s="231">
        <v>1</v>
      </c>
      <c r="J118" s="96">
        <v>1</v>
      </c>
      <c r="K118" s="77">
        <v>1728.9</v>
      </c>
      <c r="L118" s="77">
        <v>1728.9</v>
      </c>
      <c r="M118" s="187">
        <f t="shared" si="4"/>
        <v>0</v>
      </c>
      <c r="N118" s="100">
        <v>14</v>
      </c>
      <c r="O118" s="224">
        <v>45577.03</v>
      </c>
      <c r="P118" s="224">
        <v>45577.03</v>
      </c>
      <c r="Q118" s="232">
        <f t="shared" si="3"/>
        <v>0</v>
      </c>
    </row>
    <row r="119" spans="1:18" s="15" customFormat="1" x14ac:dyDescent="0.25">
      <c r="A119" s="229"/>
      <c r="B119" s="30" t="s">
        <v>73</v>
      </c>
      <c r="C119" s="181" t="s">
        <v>17</v>
      </c>
      <c r="D119" s="182"/>
      <c r="E119" s="183" t="s">
        <v>74</v>
      </c>
      <c r="F119" s="73" t="s">
        <v>378</v>
      </c>
      <c r="G119" s="74" t="s">
        <v>112</v>
      </c>
      <c r="H119" s="75">
        <v>28</v>
      </c>
      <c r="I119" s="76">
        <v>27</v>
      </c>
      <c r="J119" s="96">
        <f>9+8+2+2+10+1+6</f>
        <v>38</v>
      </c>
      <c r="K119" s="77">
        <f>6305.33+12574.83+14899.84+13657.06</f>
        <v>47437.06</v>
      </c>
      <c r="L119" s="77">
        <f>6305.33+12574.83+14899.84+13657.06</f>
        <v>47437.06</v>
      </c>
      <c r="M119" s="78">
        <f>K119-L119</f>
        <v>0</v>
      </c>
      <c r="N119" s="100">
        <f>5+3+3+1+1+2</f>
        <v>15</v>
      </c>
      <c r="O119" s="81">
        <f>5416.39+9506.99+12269.39+7610.68+1928.68</f>
        <v>36732.129999999997</v>
      </c>
      <c r="P119" s="81">
        <f>5416.39+9506.99+12269.39+7610.68+1928.68</f>
        <v>36732.129999999997</v>
      </c>
      <c r="Q119" s="79">
        <f t="shared" si="3"/>
        <v>0</v>
      </c>
      <c r="R119" s="141"/>
    </row>
    <row r="120" spans="1:18" s="15" customFormat="1" x14ac:dyDescent="0.25">
      <c r="A120" s="229"/>
      <c r="B120" s="30" t="s">
        <v>73</v>
      </c>
      <c r="C120" s="181" t="s">
        <v>17</v>
      </c>
      <c r="D120" s="182"/>
      <c r="E120" s="183" t="s">
        <v>74</v>
      </c>
      <c r="F120" s="73" t="s">
        <v>282</v>
      </c>
      <c r="G120" s="230" t="s">
        <v>114</v>
      </c>
      <c r="H120" s="181"/>
      <c r="I120" s="231"/>
      <c r="J120" s="190"/>
      <c r="K120" s="77"/>
      <c r="L120" s="77"/>
      <c r="M120" s="187">
        <f t="shared" ref="M120" si="7">K120-L120</f>
        <v>0</v>
      </c>
      <c r="N120" s="100">
        <v>1</v>
      </c>
      <c r="O120" s="224">
        <v>1728.9</v>
      </c>
      <c r="P120" s="224">
        <v>1728.9</v>
      </c>
      <c r="Q120" s="232">
        <f t="shared" si="3"/>
        <v>0</v>
      </c>
    </row>
    <row r="121" spans="1:18" s="13" customFormat="1" x14ac:dyDescent="0.25">
      <c r="A121" s="229"/>
      <c r="B121" s="30" t="s">
        <v>135</v>
      </c>
      <c r="C121" s="181" t="s">
        <v>17</v>
      </c>
      <c r="D121" s="182"/>
      <c r="E121" s="194" t="s">
        <v>35</v>
      </c>
      <c r="F121" s="73" t="s">
        <v>379</v>
      </c>
      <c r="G121" s="74" t="s">
        <v>112</v>
      </c>
      <c r="H121" s="75">
        <v>28</v>
      </c>
      <c r="I121" s="76">
        <v>17</v>
      </c>
      <c r="J121" s="96">
        <f>1+6+5+3+3</f>
        <v>18</v>
      </c>
      <c r="K121" s="77">
        <f>697.32+4374.12+5747.44+4426.94+15712.05</f>
        <v>30957.87</v>
      </c>
      <c r="L121" s="77">
        <f>697.32+4374.12+5747.44+4426.94+15712.05</f>
        <v>30957.87</v>
      </c>
      <c r="M121" s="78">
        <f>K121-L121</f>
        <v>0</v>
      </c>
      <c r="N121" s="100">
        <f>2+5+1+2+2+2</f>
        <v>14</v>
      </c>
      <c r="O121" s="81">
        <f>6432.89+2283.68+4932.13</f>
        <v>13648.7</v>
      </c>
      <c r="P121" s="81">
        <f>6432.89+2283.68+4932.13</f>
        <v>13648.7</v>
      </c>
      <c r="Q121" s="232">
        <f t="shared" si="3"/>
        <v>0</v>
      </c>
      <c r="R121" s="141"/>
    </row>
    <row r="122" spans="1:18" s="13" customFormat="1" x14ac:dyDescent="0.25">
      <c r="A122" s="229"/>
      <c r="B122" s="30" t="s">
        <v>135</v>
      </c>
      <c r="C122" s="181" t="s">
        <v>17</v>
      </c>
      <c r="D122" s="182"/>
      <c r="E122" s="194" t="s">
        <v>35</v>
      </c>
      <c r="F122" s="73" t="s">
        <v>432</v>
      </c>
      <c r="G122" s="230" t="s">
        <v>115</v>
      </c>
      <c r="H122" s="181"/>
      <c r="I122" s="231"/>
      <c r="J122" s="96"/>
      <c r="K122" s="77"/>
      <c r="L122" s="77"/>
      <c r="M122" s="78">
        <f t="shared" si="4"/>
        <v>0</v>
      </c>
      <c r="N122" s="100">
        <v>1</v>
      </c>
      <c r="O122" s="224">
        <v>2689.4</v>
      </c>
      <c r="P122" s="224">
        <v>2689.4</v>
      </c>
      <c r="Q122" s="79">
        <f t="shared" si="3"/>
        <v>0</v>
      </c>
    </row>
    <row r="123" spans="1:18" s="13" customFormat="1" x14ac:dyDescent="0.25">
      <c r="A123" s="229"/>
      <c r="B123" s="30" t="s">
        <v>145</v>
      </c>
      <c r="C123" s="181" t="s">
        <v>17</v>
      </c>
      <c r="D123" s="182"/>
      <c r="E123" s="194" t="s">
        <v>20</v>
      </c>
      <c r="F123" s="73" t="s">
        <v>380</v>
      </c>
      <c r="G123" s="74" t="s">
        <v>112</v>
      </c>
      <c r="H123" s="75">
        <v>14</v>
      </c>
      <c r="I123" s="82">
        <v>12</v>
      </c>
      <c r="J123" s="96">
        <f>2+1+1+2+2+5+3+2</f>
        <v>18</v>
      </c>
      <c r="K123" s="77">
        <f>5169.72+1100+538.84+4293.82+3949.22+3361.76</f>
        <v>18413.36</v>
      </c>
      <c r="L123" s="77">
        <f>5169.72+1100+538.84+4293.82+3949.22+3361.76</f>
        <v>18413.36</v>
      </c>
      <c r="M123" s="78">
        <f>K123-L123</f>
        <v>0</v>
      </c>
      <c r="N123" s="100">
        <f>1+1+2+1+2</f>
        <v>7</v>
      </c>
      <c r="O123" s="81">
        <f>5120.23+3915.15+1114.12+14002.49</f>
        <v>24151.989999999998</v>
      </c>
      <c r="P123" s="81">
        <f>5120.23+3915.15+1114.12+14002.49</f>
        <v>24151.989999999998</v>
      </c>
      <c r="Q123" s="232">
        <f t="shared" si="3"/>
        <v>0</v>
      </c>
      <c r="R123" s="141"/>
    </row>
    <row r="124" spans="1:18" s="13" customFormat="1" x14ac:dyDescent="0.25">
      <c r="A124" s="229"/>
      <c r="B124" s="30" t="s">
        <v>145</v>
      </c>
      <c r="C124" s="181" t="s">
        <v>17</v>
      </c>
      <c r="D124" s="182"/>
      <c r="E124" s="194" t="s">
        <v>20</v>
      </c>
      <c r="F124" s="73" t="s">
        <v>461</v>
      </c>
      <c r="G124" s="230" t="s">
        <v>114</v>
      </c>
      <c r="H124" s="181">
        <v>5</v>
      </c>
      <c r="I124" s="231">
        <v>1</v>
      </c>
      <c r="J124" s="190">
        <v>1</v>
      </c>
      <c r="K124" s="77">
        <v>1921</v>
      </c>
      <c r="L124" s="77"/>
      <c r="M124" s="187">
        <f t="shared" ref="M124" si="8">K124-L124</f>
        <v>1921</v>
      </c>
      <c r="N124" s="100">
        <v>10</v>
      </c>
      <c r="O124" s="224">
        <v>22933.25</v>
      </c>
      <c r="P124" s="224">
        <v>22933.25</v>
      </c>
      <c r="Q124" s="232">
        <f t="shared" si="3"/>
        <v>0</v>
      </c>
    </row>
    <row r="125" spans="1:18" s="13" customFormat="1" x14ac:dyDescent="0.25">
      <c r="A125" s="229"/>
      <c r="B125" s="62" t="s">
        <v>76</v>
      </c>
      <c r="C125" s="181" t="s">
        <v>17</v>
      </c>
      <c r="D125" s="182"/>
      <c r="E125" s="183" t="s">
        <v>20</v>
      </c>
      <c r="F125" s="73" t="s">
        <v>381</v>
      </c>
      <c r="G125" s="74" t="s">
        <v>112</v>
      </c>
      <c r="H125" s="75">
        <v>22</v>
      </c>
      <c r="I125" s="76">
        <v>15</v>
      </c>
      <c r="J125" s="96">
        <f>1+6+3+1+3+1+2+2+2</f>
        <v>21</v>
      </c>
      <c r="K125" s="77">
        <f>6556.06+2806.39+2697.06+1267.86+11775.51+1557.35+2113.1</f>
        <v>28773.329999999998</v>
      </c>
      <c r="L125" s="77">
        <f>6556.06+2806.39+2697.06+1267.86+11775.51+1557.35+2113.1</f>
        <v>28773.329999999998</v>
      </c>
      <c r="M125" s="78">
        <f>K125-L125</f>
        <v>0</v>
      </c>
      <c r="N125" s="100">
        <f>5+6+2+1+1+1+1</f>
        <v>17</v>
      </c>
      <c r="O125" s="81">
        <f>11527.9+19846.52+1011.91+9641+2451.87+10072.83+11307.66+2243.83</f>
        <v>68103.520000000004</v>
      </c>
      <c r="P125" s="81">
        <f>11527.9+19846.52+1011.91+9641+2451.87+10072.83+11307.66+2243.83</f>
        <v>68103.520000000004</v>
      </c>
      <c r="Q125" s="232">
        <f t="shared" si="3"/>
        <v>0</v>
      </c>
      <c r="R125" s="141"/>
    </row>
    <row r="126" spans="1:18" s="13" customFormat="1" x14ac:dyDescent="0.25">
      <c r="A126" s="229"/>
      <c r="B126" s="62" t="s">
        <v>76</v>
      </c>
      <c r="C126" s="181" t="s">
        <v>17</v>
      </c>
      <c r="D126" s="182"/>
      <c r="E126" s="183" t="s">
        <v>20</v>
      </c>
      <c r="F126" s="73" t="s">
        <v>462</v>
      </c>
      <c r="G126" s="230" t="s">
        <v>114</v>
      </c>
      <c r="H126" s="181">
        <v>13</v>
      </c>
      <c r="I126" s="231">
        <v>1</v>
      </c>
      <c r="J126" s="190">
        <v>1</v>
      </c>
      <c r="K126" s="77">
        <v>2113.1</v>
      </c>
      <c r="L126" s="77">
        <v>2113.1</v>
      </c>
      <c r="M126" s="187">
        <f t="shared" ref="M126" si="9">K126-L126</f>
        <v>0</v>
      </c>
      <c r="N126" s="100">
        <v>8</v>
      </c>
      <c r="O126" s="224">
        <v>27398.29</v>
      </c>
      <c r="P126" s="224">
        <v>27398.29</v>
      </c>
      <c r="Q126" s="232">
        <f t="shared" si="3"/>
        <v>0</v>
      </c>
    </row>
    <row r="127" spans="1:18" s="13" customFormat="1" x14ac:dyDescent="0.25">
      <c r="A127" s="229"/>
      <c r="B127" s="30" t="s">
        <v>77</v>
      </c>
      <c r="C127" s="181" t="s">
        <v>17</v>
      </c>
      <c r="D127" s="182"/>
      <c r="E127" s="183" t="s">
        <v>32</v>
      </c>
      <c r="F127" s="73" t="s">
        <v>388</v>
      </c>
      <c r="G127" s="74" t="s">
        <v>112</v>
      </c>
      <c r="H127" s="75">
        <v>15</v>
      </c>
      <c r="I127" s="76">
        <v>9</v>
      </c>
      <c r="J127" s="96">
        <f>2+2+2+6+1+1</f>
        <v>14</v>
      </c>
      <c r="K127" s="77">
        <f>2440.63+1507.02+2101.48+13625.7+1324.62</f>
        <v>20999.45</v>
      </c>
      <c r="L127" s="77">
        <f>2440.63+1507.02+2101.48+13625.7+1324.62</f>
        <v>20999.45</v>
      </c>
      <c r="M127" s="78">
        <f>K127-L127</f>
        <v>0</v>
      </c>
      <c r="N127" s="100">
        <f>5+2+3+3+1+1</f>
        <v>15</v>
      </c>
      <c r="O127" s="81">
        <f>11716.73+6848.82+4046.18+11166.34+8845.95</f>
        <v>42624.020000000004</v>
      </c>
      <c r="P127" s="81">
        <f>11716.73+6848.82+4046.18+11166.34+8845.95</f>
        <v>42624.020000000004</v>
      </c>
      <c r="Q127" s="232">
        <f t="shared" si="3"/>
        <v>0</v>
      </c>
      <c r="R127" s="141"/>
    </row>
    <row r="128" spans="1:18" s="13" customFormat="1" x14ac:dyDescent="0.25">
      <c r="A128" s="229"/>
      <c r="B128" s="30" t="s">
        <v>77</v>
      </c>
      <c r="C128" s="181" t="s">
        <v>17</v>
      </c>
      <c r="D128" s="182"/>
      <c r="E128" s="183" t="s">
        <v>32</v>
      </c>
      <c r="F128" s="73" t="s">
        <v>433</v>
      </c>
      <c r="G128" s="230" t="s">
        <v>117</v>
      </c>
      <c r="H128" s="181">
        <v>1</v>
      </c>
      <c r="I128" s="231">
        <v>1</v>
      </c>
      <c r="J128" s="96">
        <v>1</v>
      </c>
      <c r="K128" s="77">
        <v>1921</v>
      </c>
      <c r="L128" s="77">
        <v>1921</v>
      </c>
      <c r="M128" s="78">
        <f t="shared" si="4"/>
        <v>0</v>
      </c>
      <c r="N128" s="100">
        <v>6</v>
      </c>
      <c r="O128" s="224">
        <v>18164.11</v>
      </c>
      <c r="P128" s="224">
        <v>18164.11</v>
      </c>
      <c r="Q128" s="79">
        <f t="shared" si="3"/>
        <v>0</v>
      </c>
    </row>
    <row r="129" spans="1:18" s="13" customFormat="1" x14ac:dyDescent="0.25">
      <c r="A129" s="229"/>
      <c r="B129" s="30" t="s">
        <v>321</v>
      </c>
      <c r="C129" s="181" t="s">
        <v>17</v>
      </c>
      <c r="D129" s="182"/>
      <c r="E129" s="183" t="s">
        <v>21</v>
      </c>
      <c r="F129" s="73" t="s">
        <v>489</v>
      </c>
      <c r="G129" s="230" t="s">
        <v>112</v>
      </c>
      <c r="H129" s="181">
        <v>6</v>
      </c>
      <c r="I129" s="231">
        <v>1</v>
      </c>
      <c r="J129" s="96">
        <f>1</f>
        <v>1</v>
      </c>
      <c r="K129" s="77">
        <f>2547.89</f>
        <v>2547.89</v>
      </c>
      <c r="L129" s="77">
        <f>2547.89</f>
        <v>2547.89</v>
      </c>
      <c r="M129" s="78">
        <f t="shared" si="4"/>
        <v>0</v>
      </c>
      <c r="N129" s="100"/>
      <c r="O129" s="224"/>
      <c r="P129" s="224"/>
      <c r="Q129" s="79">
        <f t="shared" si="3"/>
        <v>0</v>
      </c>
      <c r="R129" s="141"/>
    </row>
    <row r="130" spans="1:18" s="13" customFormat="1" ht="30" x14ac:dyDescent="0.25">
      <c r="A130" s="229"/>
      <c r="B130" s="62" t="s">
        <v>79</v>
      </c>
      <c r="C130" s="181" t="s">
        <v>304</v>
      </c>
      <c r="D130" s="182" t="s">
        <v>385</v>
      </c>
      <c r="E130" s="183" t="s">
        <v>18</v>
      </c>
      <c r="F130" s="73" t="s">
        <v>389</v>
      </c>
      <c r="G130" s="74" t="s">
        <v>112</v>
      </c>
      <c r="H130" s="75">
        <v>17</v>
      </c>
      <c r="I130" s="76">
        <v>11</v>
      </c>
      <c r="J130" s="96">
        <f>2+5+2+3+2</f>
        <v>14</v>
      </c>
      <c r="K130" s="77">
        <f>2091.97+3190.2+5703.08+6368.88+4029.68</f>
        <v>21383.81</v>
      </c>
      <c r="L130" s="77">
        <f>2091.97+3190.2+5703.08+6368.88+4029.68</f>
        <v>21383.81</v>
      </c>
      <c r="M130" s="78">
        <f t="shared" si="4"/>
        <v>0</v>
      </c>
      <c r="N130" s="100">
        <f>2+2+1+2+1+1</f>
        <v>9</v>
      </c>
      <c r="O130" s="81">
        <f>1547.4+4166.12+7835.61+1675.01+4717.63+6039.62+18829.39</f>
        <v>44810.78</v>
      </c>
      <c r="P130" s="81">
        <f>1547.4+4166.12+7835.61+1675.01+4717.63+6039.62+18829.39</f>
        <v>44810.78</v>
      </c>
      <c r="Q130" s="232">
        <f t="shared" si="3"/>
        <v>0</v>
      </c>
      <c r="R130" s="141"/>
    </row>
    <row r="131" spans="1:18" s="13" customFormat="1" ht="30" x14ac:dyDescent="0.25">
      <c r="A131" s="229"/>
      <c r="B131" s="62" t="s">
        <v>79</v>
      </c>
      <c r="C131" s="181" t="s">
        <v>304</v>
      </c>
      <c r="D131" s="182" t="s">
        <v>475</v>
      </c>
      <c r="E131" s="183" t="s">
        <v>18</v>
      </c>
      <c r="F131" s="73" t="s">
        <v>329</v>
      </c>
      <c r="G131" s="230" t="s">
        <v>113</v>
      </c>
      <c r="H131" s="181">
        <v>39</v>
      </c>
      <c r="I131" s="234">
        <v>19</v>
      </c>
      <c r="J131" s="98">
        <v>23</v>
      </c>
      <c r="K131" s="224">
        <v>27151</v>
      </c>
      <c r="L131" s="224">
        <v>27151</v>
      </c>
      <c r="M131" s="78">
        <f t="shared" si="4"/>
        <v>0</v>
      </c>
      <c r="N131" s="100">
        <v>15</v>
      </c>
      <c r="O131" s="224">
        <v>54906</v>
      </c>
      <c r="P131" s="224">
        <v>54906</v>
      </c>
      <c r="Q131" s="79">
        <f t="shared" si="3"/>
        <v>0</v>
      </c>
    </row>
    <row r="132" spans="1:18" s="13" customFormat="1" x14ac:dyDescent="0.25">
      <c r="A132" s="229"/>
      <c r="B132" s="62" t="s">
        <v>151</v>
      </c>
      <c r="C132" s="181" t="s">
        <v>17</v>
      </c>
      <c r="D132" s="182"/>
      <c r="E132" s="183" t="s">
        <v>32</v>
      </c>
      <c r="F132" s="73" t="s">
        <v>390</v>
      </c>
      <c r="G132" s="74" t="s">
        <v>112</v>
      </c>
      <c r="H132" s="75">
        <v>47</v>
      </c>
      <c r="I132" s="82">
        <v>29</v>
      </c>
      <c r="J132" s="96">
        <f>1+3+3+5+3+9+4+6+3+2+6+5</f>
        <v>50</v>
      </c>
      <c r="K132" s="81">
        <f>2317+4640.19+5864.19+10765+12519.53+4514.35+14486.46+3421.94</f>
        <v>58528.659999999996</v>
      </c>
      <c r="L132" s="81">
        <f>2317+4640.19+5864.19+10765+12519.53+4514.35+14486.46+3421.94</f>
        <v>58528.659999999996</v>
      </c>
      <c r="M132" s="78">
        <f>K132-L132</f>
        <v>0</v>
      </c>
      <c r="N132" s="100">
        <f>9+3+5+1+4+4+1</f>
        <v>27</v>
      </c>
      <c r="O132" s="81">
        <f>10726.94+18822.65+5703.53+12846.53+1320.36+4050.1+22728.38</f>
        <v>76198.490000000005</v>
      </c>
      <c r="P132" s="81">
        <f>10726.94+18822.65+5703.53+12846.53+1320.36+4050.1+22728.38</f>
        <v>76198.490000000005</v>
      </c>
      <c r="Q132" s="232">
        <f t="shared" si="3"/>
        <v>0</v>
      </c>
      <c r="R132" s="141"/>
    </row>
    <row r="133" spans="1:18" s="13" customFormat="1" x14ac:dyDescent="0.25">
      <c r="A133" s="229"/>
      <c r="B133" s="62" t="s">
        <v>151</v>
      </c>
      <c r="C133" s="181" t="s">
        <v>17</v>
      </c>
      <c r="D133" s="182"/>
      <c r="E133" s="183" t="s">
        <v>32</v>
      </c>
      <c r="F133" s="73" t="s">
        <v>434</v>
      </c>
      <c r="G133" s="230" t="s">
        <v>117</v>
      </c>
      <c r="H133" s="181">
        <v>11</v>
      </c>
      <c r="I133" s="231">
        <v>3</v>
      </c>
      <c r="J133" s="96">
        <v>3</v>
      </c>
      <c r="K133" s="77">
        <v>602.1</v>
      </c>
      <c r="L133" s="77">
        <v>602.1</v>
      </c>
      <c r="M133" s="78">
        <f t="shared" si="4"/>
        <v>0</v>
      </c>
      <c r="N133" s="100">
        <v>13</v>
      </c>
      <c r="O133" s="224">
        <v>24537.7</v>
      </c>
      <c r="P133" s="224">
        <v>24537.7</v>
      </c>
      <c r="Q133" s="79">
        <f t="shared" si="3"/>
        <v>0</v>
      </c>
    </row>
    <row r="134" spans="1:18" s="13" customFormat="1" x14ac:dyDescent="0.25">
      <c r="A134" s="229"/>
      <c r="B134" s="62" t="s">
        <v>80</v>
      </c>
      <c r="C134" s="181" t="s">
        <v>17</v>
      </c>
      <c r="D134" s="182"/>
      <c r="E134" s="183" t="s">
        <v>81</v>
      </c>
      <c r="F134" s="73" t="s">
        <v>417</v>
      </c>
      <c r="G134" s="74" t="s">
        <v>112</v>
      </c>
      <c r="H134" s="75"/>
      <c r="I134" s="76"/>
      <c r="J134" s="96"/>
      <c r="K134" s="77">
        <f>749.19+8649.27</f>
        <v>9398.4600000000009</v>
      </c>
      <c r="L134" s="77">
        <f>749.19+8649.27</f>
        <v>9398.4600000000009</v>
      </c>
      <c r="M134" s="78">
        <f>K134-L134</f>
        <v>0</v>
      </c>
      <c r="N134" s="100">
        <f>2+2</f>
        <v>4</v>
      </c>
      <c r="O134" s="81">
        <f>3040.94</f>
        <v>3040.94</v>
      </c>
      <c r="P134" s="81">
        <f>3040.94</f>
        <v>3040.94</v>
      </c>
      <c r="Q134" s="232">
        <f t="shared" si="3"/>
        <v>0</v>
      </c>
      <c r="R134" s="141"/>
    </row>
    <row r="135" spans="1:18" s="13" customFormat="1" x14ac:dyDescent="0.25">
      <c r="A135" s="229"/>
      <c r="B135" s="62" t="s">
        <v>80</v>
      </c>
      <c r="C135" s="181" t="s">
        <v>17</v>
      </c>
      <c r="D135" s="182"/>
      <c r="E135" s="183" t="s">
        <v>81</v>
      </c>
      <c r="F135" s="73" t="s">
        <v>285</v>
      </c>
      <c r="G135" s="230" t="s">
        <v>114</v>
      </c>
      <c r="H135" s="181"/>
      <c r="I135" s="231"/>
      <c r="J135" s="190"/>
      <c r="K135" s="77"/>
      <c r="L135" s="77"/>
      <c r="M135" s="187">
        <f t="shared" ref="M135" si="10">K135-L135</f>
        <v>0</v>
      </c>
      <c r="N135" s="100">
        <v>23</v>
      </c>
      <c r="O135" s="224">
        <v>58735.99</v>
      </c>
      <c r="P135" s="224">
        <v>58735.99</v>
      </c>
      <c r="Q135" s="232">
        <f t="shared" si="3"/>
        <v>0</v>
      </c>
    </row>
    <row r="136" spans="1:18" s="13" customFormat="1" x14ac:dyDescent="0.25">
      <c r="A136" s="229"/>
      <c r="B136" s="30" t="s">
        <v>82</v>
      </c>
      <c r="C136" s="181" t="s">
        <v>17</v>
      </c>
      <c r="D136" s="182"/>
      <c r="E136" s="183" t="s">
        <v>20</v>
      </c>
      <c r="F136" s="73" t="s">
        <v>394</v>
      </c>
      <c r="G136" s="74" t="s">
        <v>112</v>
      </c>
      <c r="H136" s="75">
        <v>13</v>
      </c>
      <c r="I136" s="76">
        <v>10</v>
      </c>
      <c r="J136" s="96">
        <f>4+3+2+2+1+1</f>
        <v>13</v>
      </c>
      <c r="K136" s="77">
        <f>7750.47+2207.69</f>
        <v>9958.16</v>
      </c>
      <c r="L136" s="77">
        <f>7750.47+2207.69</f>
        <v>9958.16</v>
      </c>
      <c r="M136" s="78">
        <f>K136-L136</f>
        <v>0</v>
      </c>
      <c r="N136" s="100">
        <f>3+5+1+1+1</f>
        <v>11</v>
      </c>
      <c r="O136" s="81">
        <f>5975.84+23579.15+1426.34</f>
        <v>30981.33</v>
      </c>
      <c r="P136" s="81">
        <f>5975.84+23579.15+1426.34</f>
        <v>30981.33</v>
      </c>
      <c r="Q136" s="232">
        <f t="shared" si="3"/>
        <v>0</v>
      </c>
      <c r="R136" s="141"/>
    </row>
    <row r="137" spans="1:18" s="13" customFormat="1" x14ac:dyDescent="0.25">
      <c r="A137" s="229"/>
      <c r="B137" s="30" t="s">
        <v>82</v>
      </c>
      <c r="C137" s="181" t="s">
        <v>17</v>
      </c>
      <c r="D137" s="182"/>
      <c r="E137" s="183" t="s">
        <v>20</v>
      </c>
      <c r="F137" s="73" t="s">
        <v>463</v>
      </c>
      <c r="G137" s="230" t="s">
        <v>114</v>
      </c>
      <c r="H137" s="181">
        <v>18</v>
      </c>
      <c r="I137" s="231">
        <v>5</v>
      </c>
      <c r="J137" s="190">
        <v>5</v>
      </c>
      <c r="K137" s="77">
        <v>10181.299999999999</v>
      </c>
      <c r="L137" s="77">
        <v>10181.299999999999</v>
      </c>
      <c r="M137" s="187">
        <f t="shared" ref="M137" si="11">K137-L137</f>
        <v>0</v>
      </c>
      <c r="N137" s="100">
        <v>14</v>
      </c>
      <c r="O137" s="224">
        <v>48620.71</v>
      </c>
      <c r="P137" s="224">
        <v>48620.71</v>
      </c>
      <c r="Q137" s="232">
        <f t="shared" si="3"/>
        <v>0</v>
      </c>
    </row>
    <row r="138" spans="1:18" s="13" customFormat="1" x14ac:dyDescent="0.25">
      <c r="A138" s="229"/>
      <c r="B138" s="30" t="s">
        <v>309</v>
      </c>
      <c r="C138" s="181"/>
      <c r="D138" s="182"/>
      <c r="E138" s="183" t="s">
        <v>20</v>
      </c>
      <c r="F138" s="73" t="s">
        <v>391</v>
      </c>
      <c r="G138" s="230" t="s">
        <v>112</v>
      </c>
      <c r="H138" s="181">
        <v>13</v>
      </c>
      <c r="I138" s="231">
        <v>7</v>
      </c>
      <c r="J138" s="190">
        <f>1+5+2+1+1</f>
        <v>10</v>
      </c>
      <c r="K138" s="77">
        <f>3606.1+3402.77</f>
        <v>7008.87</v>
      </c>
      <c r="L138" s="77">
        <f>3606.1+3402.77</f>
        <v>7008.87</v>
      </c>
      <c r="M138" s="78">
        <f t="shared" si="4"/>
        <v>0</v>
      </c>
      <c r="N138" s="100">
        <f>1+5+1+3</f>
        <v>10</v>
      </c>
      <c r="O138" s="224">
        <f>3088.97+13147.65+1267.86+5955.71</f>
        <v>23460.19</v>
      </c>
      <c r="P138" s="224">
        <f>3088.97+13147.65+1267.86+5955.71</f>
        <v>23460.19</v>
      </c>
      <c r="Q138" s="232">
        <f t="shared" si="3"/>
        <v>0</v>
      </c>
      <c r="R138" s="141"/>
    </row>
    <row r="139" spans="1:18" s="13" customFormat="1" x14ac:dyDescent="0.25">
      <c r="A139" s="229"/>
      <c r="B139" s="30" t="s">
        <v>152</v>
      </c>
      <c r="C139" s="181" t="s">
        <v>17</v>
      </c>
      <c r="D139" s="182"/>
      <c r="E139" s="183" t="s">
        <v>35</v>
      </c>
      <c r="F139" s="73" t="s">
        <v>392</v>
      </c>
      <c r="G139" s="74" t="s">
        <v>112</v>
      </c>
      <c r="H139" s="75">
        <v>7</v>
      </c>
      <c r="I139" s="76">
        <v>6</v>
      </c>
      <c r="J139" s="96">
        <f>1+1+2+1+1+1</f>
        <v>7</v>
      </c>
      <c r="K139" s="77">
        <f>403.41+845.24+2113.1</f>
        <v>3361.75</v>
      </c>
      <c r="L139" s="77">
        <f>403.41+845.24+2113.1</f>
        <v>3361.75</v>
      </c>
      <c r="M139" s="78">
        <f t="shared" si="4"/>
        <v>0</v>
      </c>
      <c r="N139" s="100">
        <f>2+2+2+1+1+1+2</f>
        <v>11</v>
      </c>
      <c r="O139" s="81">
        <f>1690.48+3050.26+3661.61+4648.82+1267.86+1690.48+9282.42+4052.53</f>
        <v>29344.46</v>
      </c>
      <c r="P139" s="81">
        <f>1690.48+3050.26+3661.61+4648.82+1267.86+1690.48+9282.42+4052.53</f>
        <v>29344.46</v>
      </c>
      <c r="Q139" s="232">
        <f t="shared" si="3"/>
        <v>0</v>
      </c>
      <c r="R139" s="141"/>
    </row>
    <row r="140" spans="1:18" s="13" customFormat="1" x14ac:dyDescent="0.25">
      <c r="A140" s="229"/>
      <c r="B140" s="30" t="s">
        <v>83</v>
      </c>
      <c r="C140" s="181" t="s">
        <v>17</v>
      </c>
      <c r="D140" s="182"/>
      <c r="E140" s="183" t="s">
        <v>20</v>
      </c>
      <c r="F140" s="73" t="s">
        <v>393</v>
      </c>
      <c r="G140" s="74" t="s">
        <v>112</v>
      </c>
      <c r="H140" s="75">
        <v>12</v>
      </c>
      <c r="I140" s="76">
        <v>8</v>
      </c>
      <c r="J140" s="96">
        <f>1+1+2+1+1+1+1+1</f>
        <v>9</v>
      </c>
      <c r="K140" s="77">
        <f>768.4+2535.72+845.24+14407.5+883.08</f>
        <v>19439.940000000002</v>
      </c>
      <c r="L140" s="77">
        <f>768.4+2535.72+845.24+14407.5+883.08</f>
        <v>19439.940000000002</v>
      </c>
      <c r="M140" s="78">
        <f>K140-L140</f>
        <v>0</v>
      </c>
      <c r="N140" s="100">
        <f>1+2+1+1+1+2</f>
        <v>8</v>
      </c>
      <c r="O140" s="81">
        <f>5837.09+1922.92+4288.54+1686.25</f>
        <v>13734.8</v>
      </c>
      <c r="P140" s="81">
        <f>5837.09+1922.92+4288.54+1686.25</f>
        <v>13734.8</v>
      </c>
      <c r="Q140" s="232">
        <f t="shared" si="3"/>
        <v>0</v>
      </c>
      <c r="R140" s="141"/>
    </row>
    <row r="141" spans="1:18" s="13" customFormat="1" x14ac:dyDescent="0.25">
      <c r="A141" s="229"/>
      <c r="B141" s="30" t="s">
        <v>83</v>
      </c>
      <c r="C141" s="181" t="s">
        <v>17</v>
      </c>
      <c r="D141" s="182"/>
      <c r="E141" s="183" t="s">
        <v>20</v>
      </c>
      <c r="F141" s="73" t="s">
        <v>464</v>
      </c>
      <c r="G141" s="230" t="s">
        <v>114</v>
      </c>
      <c r="H141" s="181">
        <v>30</v>
      </c>
      <c r="I141" s="231">
        <v>9</v>
      </c>
      <c r="J141" s="190">
        <v>9</v>
      </c>
      <c r="K141" s="77">
        <v>24797.49</v>
      </c>
      <c r="L141" s="77">
        <v>19177.89</v>
      </c>
      <c r="M141" s="187">
        <f t="shared" ref="M141" si="12">K141-L141</f>
        <v>5619.6000000000022</v>
      </c>
      <c r="N141" s="100">
        <v>28</v>
      </c>
      <c r="O141" s="224">
        <v>85315.86</v>
      </c>
      <c r="P141" s="224">
        <v>85315.86</v>
      </c>
      <c r="Q141" s="232">
        <f t="shared" si="3"/>
        <v>0</v>
      </c>
    </row>
    <row r="142" spans="1:18" s="13" customFormat="1" ht="45" x14ac:dyDescent="0.25">
      <c r="A142" s="229"/>
      <c r="B142" s="30" t="s">
        <v>85</v>
      </c>
      <c r="C142" s="181" t="s">
        <v>304</v>
      </c>
      <c r="D142" s="182" t="s">
        <v>415</v>
      </c>
      <c r="E142" s="183" t="s">
        <v>20</v>
      </c>
      <c r="F142" s="73" t="s">
        <v>395</v>
      </c>
      <c r="G142" s="74" t="s">
        <v>112</v>
      </c>
      <c r="H142" s="75">
        <v>18</v>
      </c>
      <c r="I142" s="76">
        <v>6</v>
      </c>
      <c r="J142" s="96">
        <f>2+1</f>
        <v>3</v>
      </c>
      <c r="K142" s="77">
        <f>4800.58+2591.84</f>
        <v>7392.42</v>
      </c>
      <c r="L142" s="77">
        <f>4800.58+2591.84</f>
        <v>7392.42</v>
      </c>
      <c r="M142" s="78">
        <f t="shared" si="4"/>
        <v>0</v>
      </c>
      <c r="N142" s="100">
        <f>2+1+2</f>
        <v>5</v>
      </c>
      <c r="O142" s="81">
        <f>3917.73+8936.21+5669.37+31185.72</f>
        <v>49709.03</v>
      </c>
      <c r="P142" s="81">
        <f>3917.73+8936.21+5669.37+31185.72</f>
        <v>49709.03</v>
      </c>
      <c r="Q142" s="79">
        <f t="shared" si="3"/>
        <v>0</v>
      </c>
      <c r="R142" s="141"/>
    </row>
    <row r="143" spans="1:18" s="13" customFormat="1" x14ac:dyDescent="0.25">
      <c r="A143" s="229"/>
      <c r="B143" s="27" t="s">
        <v>86</v>
      </c>
      <c r="C143" s="181" t="s">
        <v>17</v>
      </c>
      <c r="D143" s="182"/>
      <c r="E143" s="194" t="s">
        <v>20</v>
      </c>
      <c r="F143" s="73" t="s">
        <v>396</v>
      </c>
      <c r="G143" s="74" t="s">
        <v>112</v>
      </c>
      <c r="H143" s="75">
        <v>11</v>
      </c>
      <c r="I143" s="76">
        <v>10</v>
      </c>
      <c r="J143" s="96">
        <f>1+3+1+7+2+2</f>
        <v>16</v>
      </c>
      <c r="K143" s="77">
        <f>950.9+5134.06+2091.97+528.03+8954.46+5719.74</f>
        <v>23379.159999999996</v>
      </c>
      <c r="L143" s="77">
        <f>950.9+5134.06+2091.97+528.03+8954.46+5719.74</f>
        <v>23379.159999999996</v>
      </c>
      <c r="M143" s="78">
        <f t="shared" si="4"/>
        <v>0</v>
      </c>
      <c r="N143" s="100">
        <f>15+4+2+1+2+2</f>
        <v>26</v>
      </c>
      <c r="O143" s="81">
        <f>30236.61+18366.75+8887.09+1077.68+8961.95</f>
        <v>67530.080000000002</v>
      </c>
      <c r="P143" s="81">
        <f>30236.61+18366.75+8887.09+1077.68+8961.95</f>
        <v>67530.080000000002</v>
      </c>
      <c r="Q143" s="232">
        <f t="shared" si="3"/>
        <v>0</v>
      </c>
      <c r="R143" s="141"/>
    </row>
    <row r="144" spans="1:18" s="13" customFormat="1" x14ac:dyDescent="0.25">
      <c r="A144" s="229"/>
      <c r="B144" s="27" t="s">
        <v>86</v>
      </c>
      <c r="C144" s="181" t="s">
        <v>17</v>
      </c>
      <c r="D144" s="182"/>
      <c r="E144" s="194" t="s">
        <v>20</v>
      </c>
      <c r="F144" s="73" t="s">
        <v>465</v>
      </c>
      <c r="G144" s="230" t="s">
        <v>114</v>
      </c>
      <c r="H144" s="181">
        <v>5</v>
      </c>
      <c r="I144" s="231">
        <v>1</v>
      </c>
      <c r="J144" s="190">
        <v>1</v>
      </c>
      <c r="K144" s="77">
        <v>3933.72</v>
      </c>
      <c r="L144" s="77"/>
      <c r="M144" s="187">
        <f t="shared" si="4"/>
        <v>3933.72</v>
      </c>
      <c r="N144" s="100">
        <v>9</v>
      </c>
      <c r="O144" s="224">
        <v>15209.53</v>
      </c>
      <c r="P144" s="224">
        <v>15209.53</v>
      </c>
      <c r="Q144" s="232">
        <f t="shared" si="3"/>
        <v>0</v>
      </c>
    </row>
    <row r="145" spans="1:18" s="13" customFormat="1" x14ac:dyDescent="0.25">
      <c r="A145" s="229"/>
      <c r="B145" s="62" t="s">
        <v>312</v>
      </c>
      <c r="C145" s="181" t="s">
        <v>17</v>
      </c>
      <c r="D145" s="182"/>
      <c r="E145" s="194" t="s">
        <v>20</v>
      </c>
      <c r="F145" s="73" t="s">
        <v>320</v>
      </c>
      <c r="G145" s="74" t="s">
        <v>112</v>
      </c>
      <c r="H145" s="75">
        <v>14</v>
      </c>
      <c r="I145" s="76">
        <v>5</v>
      </c>
      <c r="J145" s="96">
        <f>1+1+1+2+3</f>
        <v>8</v>
      </c>
      <c r="K145" s="77">
        <f>3319.49+845.24+4965.79</f>
        <v>9130.52</v>
      </c>
      <c r="L145" s="77">
        <f>3319.49+845.24+4965.79</f>
        <v>9130.52</v>
      </c>
      <c r="M145" s="78">
        <f t="shared" si="4"/>
        <v>0</v>
      </c>
      <c r="N145" s="100">
        <f>5+6+1+1</f>
        <v>13</v>
      </c>
      <c r="O145" s="81">
        <f>4226.2+6627.45+4360.59</f>
        <v>15214.24</v>
      </c>
      <c r="P145" s="81">
        <f>4226.2+6627.45+4360.59</f>
        <v>15214.24</v>
      </c>
      <c r="Q145" s="232">
        <f t="shared" si="3"/>
        <v>0</v>
      </c>
      <c r="R145" s="141"/>
    </row>
    <row r="146" spans="1:18" s="13" customFormat="1" x14ac:dyDescent="0.25">
      <c r="A146" s="229"/>
      <c r="B146" s="62" t="s">
        <v>494</v>
      </c>
      <c r="C146" s="181" t="s">
        <v>17</v>
      </c>
      <c r="D146" s="182"/>
      <c r="E146" s="194" t="s">
        <v>20</v>
      </c>
      <c r="F146" s="73" t="s">
        <v>497</v>
      </c>
      <c r="G146" s="74" t="s">
        <v>112</v>
      </c>
      <c r="H146" s="75">
        <v>13</v>
      </c>
      <c r="I146" s="76">
        <v>7</v>
      </c>
      <c r="J146" s="96">
        <f>1+1+1+1+2+1+2</f>
        <v>9</v>
      </c>
      <c r="K146" s="77">
        <f>3379+5494.06+576.3+2417.43+3057.66</f>
        <v>14924.45</v>
      </c>
      <c r="L146" s="77">
        <f>3379+5494.06+576.3+2417.43+3057.66</f>
        <v>14924.45</v>
      </c>
      <c r="M146" s="78">
        <f t="shared" si="4"/>
        <v>0</v>
      </c>
      <c r="N146" s="100"/>
      <c r="O146" s="81"/>
      <c r="P146" s="81"/>
      <c r="Q146" s="232">
        <f t="shared" ref="Q146:Q188" si="13">O146-P146</f>
        <v>0</v>
      </c>
      <c r="R146" s="141"/>
    </row>
    <row r="147" spans="1:18" s="13" customFormat="1" x14ac:dyDescent="0.25">
      <c r="A147" s="229"/>
      <c r="B147" s="62" t="s">
        <v>494</v>
      </c>
      <c r="C147" s="181" t="s">
        <v>17</v>
      </c>
      <c r="D147" s="182"/>
      <c r="E147" s="194" t="s">
        <v>20</v>
      </c>
      <c r="F147" s="73" t="s">
        <v>507</v>
      </c>
      <c r="G147" s="74" t="s">
        <v>114</v>
      </c>
      <c r="H147" s="75">
        <v>30</v>
      </c>
      <c r="I147" s="76">
        <v>4</v>
      </c>
      <c r="J147" s="96">
        <v>4</v>
      </c>
      <c r="K147" s="77">
        <v>8300.42</v>
      </c>
      <c r="L147" s="77">
        <v>8300.42</v>
      </c>
      <c r="M147" s="187">
        <f t="shared" si="4"/>
        <v>0</v>
      </c>
      <c r="N147" s="100"/>
      <c r="O147" s="81"/>
      <c r="P147" s="81"/>
      <c r="Q147" s="232">
        <f t="shared" si="13"/>
        <v>0</v>
      </c>
      <c r="R147" s="141"/>
    </row>
    <row r="148" spans="1:18" s="13" customFormat="1" x14ac:dyDescent="0.25">
      <c r="A148" s="229"/>
      <c r="B148" s="30" t="s">
        <v>88</v>
      </c>
      <c r="C148" s="181" t="s">
        <v>17</v>
      </c>
      <c r="D148" s="182"/>
      <c r="E148" s="183" t="s">
        <v>89</v>
      </c>
      <c r="F148" s="73" t="s">
        <v>397</v>
      </c>
      <c r="G148" s="74" t="s">
        <v>112</v>
      </c>
      <c r="H148" s="75">
        <v>15</v>
      </c>
      <c r="I148" s="76">
        <v>7</v>
      </c>
      <c r="J148" s="96">
        <f>1+3+1+2</f>
        <v>7</v>
      </c>
      <c r="K148" s="77">
        <f>4226.2+2394.91+6485.1+556.71+4126.31</f>
        <v>17789.23</v>
      </c>
      <c r="L148" s="77">
        <f>4226.2+2394.91+6485.1+556.71+4126.31</f>
        <v>17789.23</v>
      </c>
      <c r="M148" s="78">
        <f>K148-L148</f>
        <v>0</v>
      </c>
      <c r="N148" s="100">
        <f>4+1+3+1+2+2+1+1+2</f>
        <v>17</v>
      </c>
      <c r="O148" s="81">
        <f>11967.83+2831.55+10544.37+9418.99+3799.13+1798.04+2548.4-12193.52+4083.77</f>
        <v>34798.559999999998</v>
      </c>
      <c r="P148" s="81">
        <f>11967.83+2831.55+10544.37+9418.99+3799.13+1798.04+2548.4-12193.52+4083.77</f>
        <v>34798.559999999998</v>
      </c>
      <c r="Q148" s="79">
        <f t="shared" si="13"/>
        <v>0</v>
      </c>
      <c r="R148" s="141"/>
    </row>
    <row r="149" spans="1:18" s="13" customFormat="1" x14ac:dyDescent="0.25">
      <c r="A149" s="229"/>
      <c r="B149" s="30" t="s">
        <v>88</v>
      </c>
      <c r="C149" s="181" t="s">
        <v>17</v>
      </c>
      <c r="D149" s="182"/>
      <c r="E149" s="183" t="s">
        <v>89</v>
      </c>
      <c r="F149" s="73" t="s">
        <v>442</v>
      </c>
      <c r="G149" s="230" t="s">
        <v>118</v>
      </c>
      <c r="H149" s="181">
        <v>7</v>
      </c>
      <c r="I149" s="231"/>
      <c r="J149" s="96"/>
      <c r="K149" s="77"/>
      <c r="L149" s="77"/>
      <c r="M149" s="187">
        <f t="shared" si="4"/>
        <v>0</v>
      </c>
      <c r="N149" s="100">
        <v>3</v>
      </c>
      <c r="O149" s="224">
        <v>11020.82</v>
      </c>
      <c r="P149" s="224">
        <v>11020.82</v>
      </c>
      <c r="Q149" s="232">
        <f t="shared" si="13"/>
        <v>0</v>
      </c>
    </row>
    <row r="150" spans="1:18" s="13" customFormat="1" x14ac:dyDescent="0.25">
      <c r="A150" s="229"/>
      <c r="B150" s="30" t="s">
        <v>88</v>
      </c>
      <c r="C150" s="181" t="s">
        <v>17</v>
      </c>
      <c r="D150" s="182"/>
      <c r="E150" s="194" t="s">
        <v>505</v>
      </c>
      <c r="F150" s="73" t="s">
        <v>506</v>
      </c>
      <c r="G150" s="230" t="s">
        <v>114</v>
      </c>
      <c r="H150" s="181">
        <v>5</v>
      </c>
      <c r="I150" s="231">
        <v>1</v>
      </c>
      <c r="J150" s="96">
        <v>1</v>
      </c>
      <c r="K150" s="77">
        <v>3763.9</v>
      </c>
      <c r="L150" s="77">
        <v>3763.9</v>
      </c>
      <c r="M150" s="187">
        <f t="shared" si="4"/>
        <v>0</v>
      </c>
      <c r="N150" s="100"/>
      <c r="O150" s="224"/>
      <c r="P150" s="224"/>
      <c r="Q150" s="232">
        <f t="shared" si="13"/>
        <v>0</v>
      </c>
    </row>
    <row r="151" spans="1:18" s="13" customFormat="1" x14ac:dyDescent="0.25">
      <c r="A151" s="229"/>
      <c r="B151" s="30" t="s">
        <v>90</v>
      </c>
      <c r="C151" s="181" t="s">
        <v>17</v>
      </c>
      <c r="D151" s="182"/>
      <c r="E151" s="194" t="s">
        <v>20</v>
      </c>
      <c r="F151" s="73" t="s">
        <v>398</v>
      </c>
      <c r="G151" s="74" t="s">
        <v>112</v>
      </c>
      <c r="H151" s="75">
        <v>9</v>
      </c>
      <c r="I151" s="76">
        <v>6</v>
      </c>
      <c r="J151" s="96">
        <f>1+1+1+4</f>
        <v>7</v>
      </c>
      <c r="K151" s="77">
        <f>422.62+4662.44+7580.13</f>
        <v>12665.189999999999</v>
      </c>
      <c r="L151" s="77">
        <f>422.62+4662.44+7580.13</f>
        <v>12665.189999999999</v>
      </c>
      <c r="M151" s="78">
        <f>K151-L151</f>
        <v>0</v>
      </c>
      <c r="N151" s="100">
        <f>1+1+1+1+2</f>
        <v>6</v>
      </c>
      <c r="O151" s="81">
        <f>2122.67+787.61+15453.48+6194.26</f>
        <v>24558.019999999997</v>
      </c>
      <c r="P151" s="81">
        <f>2122.67+787.61+15453.48+6194.26</f>
        <v>24558.019999999997</v>
      </c>
      <c r="Q151" s="79">
        <f t="shared" si="13"/>
        <v>0</v>
      </c>
      <c r="R151" s="141"/>
    </row>
    <row r="152" spans="1:18" s="13" customFormat="1" x14ac:dyDescent="0.25">
      <c r="A152" s="229"/>
      <c r="B152" s="30" t="s">
        <v>90</v>
      </c>
      <c r="C152" s="181" t="s">
        <v>17</v>
      </c>
      <c r="D152" s="182"/>
      <c r="E152" s="194" t="s">
        <v>20</v>
      </c>
      <c r="F152" s="73" t="s">
        <v>466</v>
      </c>
      <c r="G152" s="230" t="s">
        <v>114</v>
      </c>
      <c r="H152" s="181">
        <v>15</v>
      </c>
      <c r="I152" s="231">
        <v>4</v>
      </c>
      <c r="J152" s="190">
        <v>4</v>
      </c>
      <c r="K152" s="77">
        <v>10468.56</v>
      </c>
      <c r="L152" s="77">
        <v>10468.56</v>
      </c>
      <c r="M152" s="187">
        <f t="shared" ref="M152" si="14">K152-L152</f>
        <v>0</v>
      </c>
      <c r="N152" s="100">
        <v>25</v>
      </c>
      <c r="O152" s="224">
        <v>81936.800000000003</v>
      </c>
      <c r="P152" s="224">
        <v>81936.800000000003</v>
      </c>
      <c r="Q152" s="232">
        <f t="shared" si="13"/>
        <v>0</v>
      </c>
    </row>
    <row r="153" spans="1:18" s="13" customFormat="1" x14ac:dyDescent="0.25">
      <c r="A153" s="229"/>
      <c r="B153" s="30" t="s">
        <v>91</v>
      </c>
      <c r="C153" s="181" t="s">
        <v>17</v>
      </c>
      <c r="D153" s="182"/>
      <c r="E153" s="194" t="s">
        <v>20</v>
      </c>
      <c r="F153" s="73" t="s">
        <v>399</v>
      </c>
      <c r="G153" s="74" t="s">
        <v>112</v>
      </c>
      <c r="H153" s="75"/>
      <c r="I153" s="76"/>
      <c r="J153" s="96"/>
      <c r="K153" s="77"/>
      <c r="L153" s="77"/>
      <c r="M153" s="78">
        <f>K153-L153</f>
        <v>0</v>
      </c>
      <c r="N153" s="100"/>
      <c r="O153" s="81"/>
      <c r="P153" s="81"/>
      <c r="Q153" s="79">
        <f t="shared" si="13"/>
        <v>0</v>
      </c>
      <c r="R153" s="141"/>
    </row>
    <row r="154" spans="1:18" s="13" customFormat="1" x14ac:dyDescent="0.25">
      <c r="A154" s="229"/>
      <c r="B154" s="62" t="s">
        <v>138</v>
      </c>
      <c r="C154" s="181" t="s">
        <v>17</v>
      </c>
      <c r="D154" s="182"/>
      <c r="E154" s="194" t="s">
        <v>20</v>
      </c>
      <c r="F154" s="73" t="s">
        <v>467</v>
      </c>
      <c r="G154" s="230" t="s">
        <v>114</v>
      </c>
      <c r="H154" s="181">
        <v>8</v>
      </c>
      <c r="I154" s="231">
        <v>3</v>
      </c>
      <c r="J154" s="190">
        <v>3</v>
      </c>
      <c r="K154" s="193">
        <v>5542.2</v>
      </c>
      <c r="L154" s="193">
        <v>5542.2</v>
      </c>
      <c r="M154" s="187">
        <f t="shared" ref="M154" si="15">K154-L154</f>
        <v>0</v>
      </c>
      <c r="N154" s="114">
        <v>7</v>
      </c>
      <c r="O154" s="224">
        <v>16429.099999999999</v>
      </c>
      <c r="P154" s="224">
        <v>16429.099999999999</v>
      </c>
      <c r="Q154" s="232">
        <f t="shared" si="13"/>
        <v>0</v>
      </c>
    </row>
    <row r="155" spans="1:18" s="13" customFormat="1" x14ac:dyDescent="0.25">
      <c r="A155" s="229"/>
      <c r="B155" s="62" t="s">
        <v>138</v>
      </c>
      <c r="C155" s="181" t="s">
        <v>17</v>
      </c>
      <c r="D155" s="182"/>
      <c r="E155" s="194" t="s">
        <v>20</v>
      </c>
      <c r="F155" s="73" t="s">
        <v>400</v>
      </c>
      <c r="G155" s="74" t="s">
        <v>112</v>
      </c>
      <c r="H155" s="75">
        <v>10</v>
      </c>
      <c r="I155" s="82">
        <v>6</v>
      </c>
      <c r="J155" s="96">
        <f>3+1+1+2+2</f>
        <v>9</v>
      </c>
      <c r="K155" s="77">
        <f>2224.52+9639.33+3232.07+1625.67</f>
        <v>16721.59</v>
      </c>
      <c r="L155" s="77">
        <f>2224.52+9639.33+3232.07+1625.67</f>
        <v>16721.59</v>
      </c>
      <c r="M155" s="78">
        <f t="shared" si="4"/>
        <v>0</v>
      </c>
      <c r="N155" s="100">
        <f>5+4+2</f>
        <v>11</v>
      </c>
      <c r="O155" s="81">
        <f>8995.87+8641.99+5740.02</f>
        <v>23377.88</v>
      </c>
      <c r="P155" s="81">
        <f>8995.87+8641.99+5740.02</f>
        <v>23377.88</v>
      </c>
      <c r="Q155" s="79">
        <f t="shared" si="13"/>
        <v>0</v>
      </c>
      <c r="R155" s="141"/>
    </row>
    <row r="156" spans="1:18" s="13" customFormat="1" x14ac:dyDescent="0.25">
      <c r="A156" s="229"/>
      <c r="B156" s="62" t="s">
        <v>157</v>
      </c>
      <c r="C156" s="181" t="s">
        <v>17</v>
      </c>
      <c r="D156" s="182"/>
      <c r="E156" s="194" t="s">
        <v>20</v>
      </c>
      <c r="F156" s="73" t="s">
        <v>401</v>
      </c>
      <c r="G156" s="74" t="s">
        <v>112</v>
      </c>
      <c r="H156" s="75">
        <v>11</v>
      </c>
      <c r="I156" s="82"/>
      <c r="J156" s="96"/>
      <c r="K156" s="77"/>
      <c r="L156" s="77"/>
      <c r="M156" s="78">
        <f t="shared" ref="M156:M186" si="16">K156-L156</f>
        <v>0</v>
      </c>
      <c r="N156" s="100"/>
      <c r="O156" s="81"/>
      <c r="P156" s="81"/>
      <c r="Q156" s="232">
        <f t="shared" si="13"/>
        <v>0</v>
      </c>
      <c r="R156" s="141"/>
    </row>
    <row r="157" spans="1:18" s="15" customFormat="1" x14ac:dyDescent="0.25">
      <c r="A157" s="229"/>
      <c r="B157" s="62" t="s">
        <v>92</v>
      </c>
      <c r="C157" s="181" t="s">
        <v>17</v>
      </c>
      <c r="D157" s="182"/>
      <c r="E157" s="194" t="s">
        <v>20</v>
      </c>
      <c r="F157" s="73" t="s">
        <v>402</v>
      </c>
      <c r="G157" s="74" t="s">
        <v>112</v>
      </c>
      <c r="H157" s="75">
        <v>10</v>
      </c>
      <c r="I157" s="76">
        <v>8</v>
      </c>
      <c r="J157" s="96">
        <f>1+2+5</f>
        <v>8</v>
      </c>
      <c r="K157" s="77">
        <f>1951.74+1335.1+2996.76</f>
        <v>6283.6</v>
      </c>
      <c r="L157" s="77">
        <f>1951.74+1335.1+2996.76</f>
        <v>6283.6</v>
      </c>
      <c r="M157" s="78">
        <f>K157-L157</f>
        <v>0</v>
      </c>
      <c r="N157" s="100">
        <f>4+1+1</f>
        <v>6</v>
      </c>
      <c r="O157" s="81">
        <f>12624.74+2697.06+1225.93</f>
        <v>16547.73</v>
      </c>
      <c r="P157" s="81">
        <f>12624.74+2697.06+1225.93</f>
        <v>16547.73</v>
      </c>
      <c r="Q157" s="232">
        <f t="shared" si="13"/>
        <v>0</v>
      </c>
      <c r="R157" s="141"/>
    </row>
    <row r="158" spans="1:18" s="15" customFormat="1" x14ac:dyDescent="0.25">
      <c r="A158" s="229"/>
      <c r="B158" s="62" t="s">
        <v>92</v>
      </c>
      <c r="C158" s="181" t="s">
        <v>17</v>
      </c>
      <c r="D158" s="182"/>
      <c r="E158" s="194" t="s">
        <v>20</v>
      </c>
      <c r="F158" s="73" t="s">
        <v>129</v>
      </c>
      <c r="G158" s="230" t="s">
        <v>114</v>
      </c>
      <c r="H158" s="181"/>
      <c r="I158" s="231"/>
      <c r="J158" s="190"/>
      <c r="K158" s="77"/>
      <c r="L158" s="77"/>
      <c r="M158" s="187">
        <f t="shared" ref="M158" si="17">K158-L158</f>
        <v>0</v>
      </c>
      <c r="N158" s="114"/>
      <c r="O158" s="224"/>
      <c r="P158" s="224"/>
      <c r="Q158" s="232">
        <f t="shared" si="13"/>
        <v>0</v>
      </c>
    </row>
    <row r="159" spans="1:18" s="13" customFormat="1" x14ac:dyDescent="0.25">
      <c r="A159" s="229"/>
      <c r="B159" s="30" t="s">
        <v>93</v>
      </c>
      <c r="C159" s="181" t="s">
        <v>17</v>
      </c>
      <c r="D159" s="182"/>
      <c r="E159" s="183" t="s">
        <v>94</v>
      </c>
      <c r="F159" s="73" t="s">
        <v>403</v>
      </c>
      <c r="G159" s="74" t="s">
        <v>112</v>
      </c>
      <c r="H159" s="75">
        <v>7</v>
      </c>
      <c r="I159" s="76">
        <v>2</v>
      </c>
      <c r="J159" s="96">
        <f>2</f>
        <v>2</v>
      </c>
      <c r="K159" s="77">
        <f>2336.84</f>
        <v>2336.84</v>
      </c>
      <c r="L159" s="77">
        <f>2336.84</f>
        <v>2336.84</v>
      </c>
      <c r="M159" s="78">
        <f>K159-L159</f>
        <v>0</v>
      </c>
      <c r="N159" s="100">
        <f>3+8</f>
        <v>11</v>
      </c>
      <c r="O159" s="81">
        <f>20117.75</f>
        <v>20117.75</v>
      </c>
      <c r="P159" s="81">
        <f>20117.75</f>
        <v>20117.75</v>
      </c>
      <c r="Q159" s="232">
        <f t="shared" si="13"/>
        <v>0</v>
      </c>
      <c r="R159" s="141"/>
    </row>
    <row r="160" spans="1:18" s="13" customFormat="1" x14ac:dyDescent="0.25">
      <c r="A160" s="229"/>
      <c r="B160" s="30" t="s">
        <v>93</v>
      </c>
      <c r="C160" s="181" t="s">
        <v>17</v>
      </c>
      <c r="D160" s="182"/>
      <c r="E160" s="183" t="s">
        <v>94</v>
      </c>
      <c r="F160" s="73" t="s">
        <v>130</v>
      </c>
      <c r="G160" s="230" t="s">
        <v>114</v>
      </c>
      <c r="H160" s="181"/>
      <c r="I160" s="231"/>
      <c r="J160" s="190"/>
      <c r="K160" s="77"/>
      <c r="L160" s="77"/>
      <c r="M160" s="187">
        <f t="shared" ref="M160" si="18">K160-L160</f>
        <v>0</v>
      </c>
      <c r="N160" s="100"/>
      <c r="O160" s="224"/>
      <c r="P160" s="224"/>
      <c r="Q160" s="232">
        <f t="shared" si="13"/>
        <v>0</v>
      </c>
    </row>
    <row r="161" spans="1:18" s="13" customFormat="1" x14ac:dyDescent="0.25">
      <c r="A161" s="229"/>
      <c r="B161" s="30" t="s">
        <v>93</v>
      </c>
      <c r="C161" s="181" t="s">
        <v>17</v>
      </c>
      <c r="D161" s="182"/>
      <c r="E161" s="183" t="s">
        <v>94</v>
      </c>
      <c r="F161" s="73" t="s">
        <v>240</v>
      </c>
      <c r="G161" s="230" t="s">
        <v>118</v>
      </c>
      <c r="H161" s="181"/>
      <c r="I161" s="231"/>
      <c r="J161" s="96"/>
      <c r="K161" s="77"/>
      <c r="L161" s="77"/>
      <c r="M161" s="78">
        <f t="shared" si="16"/>
        <v>0</v>
      </c>
      <c r="N161" s="100"/>
      <c r="O161" s="224"/>
      <c r="P161" s="224"/>
      <c r="Q161" s="232">
        <f t="shared" si="13"/>
        <v>0</v>
      </c>
    </row>
    <row r="162" spans="1:18" s="13" customFormat="1" x14ac:dyDescent="0.25">
      <c r="A162" s="229"/>
      <c r="B162" s="30" t="s">
        <v>95</v>
      </c>
      <c r="C162" s="181" t="s">
        <v>17</v>
      </c>
      <c r="D162" s="182"/>
      <c r="E162" s="194" t="s">
        <v>20</v>
      </c>
      <c r="F162" s="73" t="s">
        <v>404</v>
      </c>
      <c r="G162" s="74" t="s">
        <v>112</v>
      </c>
      <c r="H162" s="75">
        <v>16</v>
      </c>
      <c r="I162" s="76">
        <v>10</v>
      </c>
      <c r="J162" s="96">
        <f>1+4+4+5+2</f>
        <v>16</v>
      </c>
      <c r="K162" s="77">
        <f>1061.35+5770.05+5238.9</f>
        <v>12070.3</v>
      </c>
      <c r="L162" s="77">
        <f>1061.35+5770.05+5238.9</f>
        <v>12070.3</v>
      </c>
      <c r="M162" s="78">
        <f>K162-L162</f>
        <v>0</v>
      </c>
      <c r="N162" s="100">
        <f>1+6+1+4+1+1</f>
        <v>14</v>
      </c>
      <c r="O162" s="81">
        <f>11603.82+7559.28+6777.29+24757.02</f>
        <v>50697.41</v>
      </c>
      <c r="P162" s="81">
        <f>11603.82+7559.28+6777.29+24757.02</f>
        <v>50697.41</v>
      </c>
      <c r="Q162" s="79">
        <f t="shared" si="13"/>
        <v>0</v>
      </c>
      <c r="R162" s="141"/>
    </row>
    <row r="163" spans="1:18" s="13" customFormat="1" x14ac:dyDescent="0.25">
      <c r="A163" s="229"/>
      <c r="B163" s="30" t="s">
        <v>95</v>
      </c>
      <c r="C163" s="181" t="s">
        <v>17</v>
      </c>
      <c r="D163" s="182"/>
      <c r="E163" s="194" t="s">
        <v>20</v>
      </c>
      <c r="F163" s="73" t="s">
        <v>291</v>
      </c>
      <c r="G163" s="230" t="s">
        <v>114</v>
      </c>
      <c r="H163" s="181">
        <v>8</v>
      </c>
      <c r="I163" s="231">
        <v>2</v>
      </c>
      <c r="J163" s="190">
        <v>2</v>
      </c>
      <c r="K163" s="77">
        <v>2356.8000000000002</v>
      </c>
      <c r="L163" s="77">
        <v>2356.8000000000002</v>
      </c>
      <c r="M163" s="187">
        <f t="shared" ref="M163" si="19">K163-L163</f>
        <v>0</v>
      </c>
      <c r="N163" s="100">
        <v>12</v>
      </c>
      <c r="O163" s="224">
        <v>29189.15</v>
      </c>
      <c r="P163" s="224">
        <v>29189.15</v>
      </c>
      <c r="Q163" s="232">
        <f t="shared" si="13"/>
        <v>0</v>
      </c>
    </row>
    <row r="164" spans="1:18" s="13" customFormat="1" x14ac:dyDescent="0.25">
      <c r="A164" s="229"/>
      <c r="B164" s="30" t="s">
        <v>96</v>
      </c>
      <c r="C164" s="181" t="s">
        <v>17</v>
      </c>
      <c r="D164" s="182"/>
      <c r="E164" s="194" t="s">
        <v>97</v>
      </c>
      <c r="F164" s="73" t="s">
        <v>405</v>
      </c>
      <c r="G164" s="74" t="s">
        <v>112</v>
      </c>
      <c r="H164" s="75">
        <v>1</v>
      </c>
      <c r="I164" s="76">
        <v>1</v>
      </c>
      <c r="J164" s="96">
        <f>2</f>
        <v>2</v>
      </c>
      <c r="K164" s="77"/>
      <c r="L164" s="77"/>
      <c r="M164" s="78">
        <f>K164-L164</f>
        <v>0</v>
      </c>
      <c r="N164" s="103">
        <f>1+2+1</f>
        <v>4</v>
      </c>
      <c r="O164" s="77">
        <f>1742.31+9358.48</f>
        <v>11100.789999999999</v>
      </c>
      <c r="P164" s="77">
        <f>1742.31+9358.48</f>
        <v>11100.789999999999</v>
      </c>
      <c r="Q164" s="79">
        <f t="shared" si="13"/>
        <v>0</v>
      </c>
      <c r="R164" s="141"/>
    </row>
    <row r="165" spans="1:18" s="13" customFormat="1" x14ac:dyDescent="0.25">
      <c r="A165" s="229"/>
      <c r="B165" s="30" t="s">
        <v>96</v>
      </c>
      <c r="C165" s="181" t="s">
        <v>17</v>
      </c>
      <c r="D165" s="182"/>
      <c r="E165" s="194" t="s">
        <v>97</v>
      </c>
      <c r="F165" s="73" t="s">
        <v>468</v>
      </c>
      <c r="G165" s="230" t="s">
        <v>114</v>
      </c>
      <c r="H165" s="181">
        <v>1</v>
      </c>
      <c r="I165" s="231"/>
      <c r="J165" s="190"/>
      <c r="K165" s="77"/>
      <c r="L165" s="77"/>
      <c r="M165" s="187">
        <f t="shared" ref="M165" si="20">K165-L165</f>
        <v>0</v>
      </c>
      <c r="N165" s="100">
        <v>4</v>
      </c>
      <c r="O165" s="224">
        <v>8676.6</v>
      </c>
      <c r="P165" s="224">
        <v>8676.6</v>
      </c>
      <c r="Q165" s="232">
        <f t="shared" si="13"/>
        <v>0</v>
      </c>
    </row>
    <row r="166" spans="1:18" s="13" customFormat="1" x14ac:dyDescent="0.25">
      <c r="A166" s="229"/>
      <c r="B166" s="30" t="s">
        <v>98</v>
      </c>
      <c r="C166" s="181" t="s">
        <v>17</v>
      </c>
      <c r="D166" s="182"/>
      <c r="E166" s="194" t="s">
        <v>35</v>
      </c>
      <c r="F166" s="73" t="s">
        <v>406</v>
      </c>
      <c r="G166" s="74" t="s">
        <v>112</v>
      </c>
      <c r="H166" s="75">
        <v>26</v>
      </c>
      <c r="I166" s="76">
        <v>20</v>
      </c>
      <c r="J166" s="96">
        <f>1+2+1+1+4+4+1+2</f>
        <v>16</v>
      </c>
      <c r="K166" s="77">
        <f>845.24+1764.25+8353.03+1298.98+7610.68+13826.64+2752.31+9720.26+116979.76-2616.91</f>
        <v>160534.24</v>
      </c>
      <c r="L166" s="77">
        <f>845.24+1764.25+8353.03+1298.98+7610.68+13826.64+2752.31+9720.26+116979.76-2616.91</f>
        <v>160534.24</v>
      </c>
      <c r="M166" s="78">
        <f>K166-L166</f>
        <v>0</v>
      </c>
      <c r="N166" s="100">
        <f>9+1+1+4+2+1+2+4+2+1</f>
        <v>27</v>
      </c>
      <c r="O166" s="81">
        <f>73585.55+12034.56+5680.01-5067.39</f>
        <v>86232.73</v>
      </c>
      <c r="P166" s="81">
        <f>73585.55+12034.56+5680.01-5067.39</f>
        <v>86232.73</v>
      </c>
      <c r="Q166" s="79">
        <f t="shared" si="13"/>
        <v>0</v>
      </c>
      <c r="R166" s="141"/>
    </row>
    <row r="167" spans="1:18" s="13" customFormat="1" x14ac:dyDescent="0.25">
      <c r="A167" s="229"/>
      <c r="B167" s="30" t="s">
        <v>98</v>
      </c>
      <c r="C167" s="181" t="s">
        <v>17</v>
      </c>
      <c r="D167" s="182"/>
      <c r="E167" s="194" t="s">
        <v>35</v>
      </c>
      <c r="F167" s="73" t="s">
        <v>435</v>
      </c>
      <c r="G167" s="235" t="s">
        <v>117</v>
      </c>
      <c r="H167" s="181">
        <v>3</v>
      </c>
      <c r="I167" s="231">
        <v>2</v>
      </c>
      <c r="J167" s="96">
        <v>2</v>
      </c>
      <c r="K167" s="77">
        <v>2486.83</v>
      </c>
      <c r="L167" s="77">
        <v>2486.83</v>
      </c>
      <c r="M167" s="78">
        <f t="shared" si="16"/>
        <v>0</v>
      </c>
      <c r="N167" s="100">
        <v>5</v>
      </c>
      <c r="O167" s="77">
        <v>18950.45</v>
      </c>
      <c r="P167" s="77">
        <v>18950.45</v>
      </c>
      <c r="Q167" s="232">
        <f t="shared" si="13"/>
        <v>0</v>
      </c>
    </row>
    <row r="168" spans="1:18" s="13" customFormat="1" x14ac:dyDescent="0.25">
      <c r="A168" s="229"/>
      <c r="B168" s="30" t="s">
        <v>488</v>
      </c>
      <c r="C168" s="181" t="s">
        <v>17</v>
      </c>
      <c r="D168" s="182"/>
      <c r="E168" s="194" t="s">
        <v>97</v>
      </c>
      <c r="F168" s="73" t="s">
        <v>498</v>
      </c>
      <c r="G168" s="235" t="s">
        <v>112</v>
      </c>
      <c r="H168" s="181">
        <v>12</v>
      </c>
      <c r="I168" s="231">
        <v>5</v>
      </c>
      <c r="J168" s="96">
        <f>4+1+1</f>
        <v>6</v>
      </c>
      <c r="K168" s="77">
        <f>1535.8+576.3</f>
        <v>2112.1</v>
      </c>
      <c r="L168" s="77">
        <f>1535.8+576.3</f>
        <v>2112.1</v>
      </c>
      <c r="M168" s="78">
        <f t="shared" si="16"/>
        <v>0</v>
      </c>
      <c r="N168" s="100"/>
      <c r="O168" s="77"/>
      <c r="P168" s="77"/>
      <c r="Q168" s="232"/>
    </row>
    <row r="169" spans="1:18" s="15" customFormat="1" x14ac:dyDescent="0.25">
      <c r="A169" s="229"/>
      <c r="B169" s="30" t="s">
        <v>99</v>
      </c>
      <c r="C169" s="181" t="s">
        <v>17</v>
      </c>
      <c r="D169" s="182"/>
      <c r="E169" s="183" t="s">
        <v>32</v>
      </c>
      <c r="F169" s="73" t="s">
        <v>418</v>
      </c>
      <c r="G169" s="74" t="s">
        <v>112</v>
      </c>
      <c r="H169" s="75"/>
      <c r="I169" s="76"/>
      <c r="J169" s="96"/>
      <c r="K169" s="77"/>
      <c r="L169" s="77"/>
      <c r="M169" s="78">
        <f t="shared" si="16"/>
        <v>0</v>
      </c>
      <c r="N169" s="100"/>
      <c r="O169" s="81"/>
      <c r="P169" s="81"/>
      <c r="Q169" s="79">
        <f t="shared" si="13"/>
        <v>0</v>
      </c>
      <c r="R169" s="141"/>
    </row>
    <row r="170" spans="1:18" s="15" customFormat="1" x14ac:dyDescent="0.25">
      <c r="A170" s="229"/>
      <c r="B170" s="30" t="s">
        <v>99</v>
      </c>
      <c r="C170" s="181" t="s">
        <v>17</v>
      </c>
      <c r="D170" s="182"/>
      <c r="E170" s="183" t="s">
        <v>32</v>
      </c>
      <c r="F170" s="73" t="s">
        <v>423</v>
      </c>
      <c r="G170" s="235" t="s">
        <v>117</v>
      </c>
      <c r="H170" s="181"/>
      <c r="I170" s="231"/>
      <c r="J170" s="190"/>
      <c r="K170" s="77"/>
      <c r="L170" s="77"/>
      <c r="M170" s="78">
        <f t="shared" si="16"/>
        <v>0</v>
      </c>
      <c r="N170" s="114"/>
      <c r="O170" s="77"/>
      <c r="P170" s="77"/>
      <c r="Q170" s="232">
        <f t="shared" si="13"/>
        <v>0</v>
      </c>
    </row>
    <row r="171" spans="1:18" s="15" customFormat="1" ht="30" x14ac:dyDescent="0.25">
      <c r="A171" s="229"/>
      <c r="B171" s="30" t="s">
        <v>144</v>
      </c>
      <c r="C171" s="181" t="s">
        <v>304</v>
      </c>
      <c r="D171" s="182" t="s">
        <v>313</v>
      </c>
      <c r="E171" s="194" t="s">
        <v>97</v>
      </c>
      <c r="F171" s="73" t="s">
        <v>407</v>
      </c>
      <c r="G171" s="66" t="s">
        <v>112</v>
      </c>
      <c r="H171" s="75">
        <v>16</v>
      </c>
      <c r="I171" s="76">
        <v>14</v>
      </c>
      <c r="J171" s="98">
        <f>2+2+1+3+1+1+5+2+1</f>
        <v>18</v>
      </c>
      <c r="K171" s="77">
        <f>950.9+1449.39+2272.32+2785.92+5112.01+6655.23</f>
        <v>19225.77</v>
      </c>
      <c r="L171" s="77">
        <f>950.9+1449.39+2272.32+2785.92+5112.01+6655.23</f>
        <v>19225.77</v>
      </c>
      <c r="M171" s="78">
        <f>K171-L171</f>
        <v>0</v>
      </c>
      <c r="N171" s="100">
        <f>3+2+1+1+1+1</f>
        <v>9</v>
      </c>
      <c r="O171" s="77">
        <f>5020.57+5566.06+2694.94+845.24</f>
        <v>14126.810000000001</v>
      </c>
      <c r="P171" s="77">
        <f>5020.57+5566.06+2694.94+845.24</f>
        <v>14126.810000000001</v>
      </c>
      <c r="Q171" s="79">
        <f t="shared" si="13"/>
        <v>0</v>
      </c>
      <c r="R171" s="141"/>
    </row>
    <row r="172" spans="1:18" s="15" customFormat="1" x14ac:dyDescent="0.25">
      <c r="A172" s="229"/>
      <c r="B172" s="30" t="s">
        <v>488</v>
      </c>
      <c r="C172" s="181"/>
      <c r="D172" s="182"/>
      <c r="E172" s="194"/>
      <c r="F172" s="73" t="s">
        <v>509</v>
      </c>
      <c r="G172" s="66" t="s">
        <v>114</v>
      </c>
      <c r="H172" s="75">
        <v>22</v>
      </c>
      <c r="I172" s="76">
        <v>8</v>
      </c>
      <c r="J172" s="98">
        <v>8</v>
      </c>
      <c r="K172" s="77">
        <v>13216.48</v>
      </c>
      <c r="L172" s="77">
        <v>13216.48</v>
      </c>
      <c r="M172" s="187">
        <f t="shared" ref="M172:M174" si="21">K172-L172</f>
        <v>0</v>
      </c>
      <c r="N172" s="100"/>
      <c r="O172" s="77"/>
      <c r="P172" s="77"/>
      <c r="Q172" s="232">
        <f t="shared" si="13"/>
        <v>0</v>
      </c>
    </row>
    <row r="173" spans="1:18" s="15" customFormat="1" x14ac:dyDescent="0.25">
      <c r="A173" s="229"/>
      <c r="B173" s="30" t="s">
        <v>488</v>
      </c>
      <c r="C173" s="181"/>
      <c r="D173" s="182"/>
      <c r="E173" s="194"/>
      <c r="F173" s="73" t="s">
        <v>512</v>
      </c>
      <c r="G173" s="66" t="s">
        <v>113</v>
      </c>
      <c r="H173" s="75">
        <v>11</v>
      </c>
      <c r="I173" s="76">
        <v>7</v>
      </c>
      <c r="J173" s="98">
        <v>7</v>
      </c>
      <c r="K173" s="77">
        <v>7271</v>
      </c>
      <c r="L173" s="77">
        <v>7271</v>
      </c>
      <c r="M173" s="78">
        <f t="shared" si="21"/>
        <v>0</v>
      </c>
      <c r="N173" s="100"/>
      <c r="O173" s="77"/>
      <c r="P173" s="77"/>
      <c r="Q173" s="79"/>
    </row>
    <row r="174" spans="1:18" s="15" customFormat="1" ht="30" x14ac:dyDescent="0.25">
      <c r="A174" s="229"/>
      <c r="B174" s="238" t="s">
        <v>144</v>
      </c>
      <c r="C174" s="181" t="s">
        <v>446</v>
      </c>
      <c r="D174" s="182" t="s">
        <v>313</v>
      </c>
      <c r="E174" s="183" t="s">
        <v>20</v>
      </c>
      <c r="F174" s="73" t="s">
        <v>485</v>
      </c>
      <c r="G174" s="235" t="s">
        <v>114</v>
      </c>
      <c r="H174" s="181">
        <v>27</v>
      </c>
      <c r="I174" s="234">
        <v>7</v>
      </c>
      <c r="J174" s="202">
        <v>7</v>
      </c>
      <c r="K174" s="77">
        <v>26994.22</v>
      </c>
      <c r="L174" s="77">
        <v>26994.22</v>
      </c>
      <c r="M174" s="187">
        <f t="shared" si="21"/>
        <v>0</v>
      </c>
      <c r="N174" s="100">
        <v>21</v>
      </c>
      <c r="O174" s="224">
        <v>53276.800000000003</v>
      </c>
      <c r="P174" s="224">
        <v>53276.800000000003</v>
      </c>
      <c r="Q174" s="232">
        <f t="shared" ref="Q174" si="22">O174-P174</f>
        <v>0</v>
      </c>
    </row>
    <row r="175" spans="1:18" s="21" customFormat="1" ht="45" x14ac:dyDescent="0.25">
      <c r="A175" s="181"/>
      <c r="B175" s="30" t="s">
        <v>100</v>
      </c>
      <c r="C175" s="181" t="s">
        <v>304</v>
      </c>
      <c r="D175" s="182" t="s">
        <v>416</v>
      </c>
      <c r="E175" s="194" t="s">
        <v>20</v>
      </c>
      <c r="F175" s="73" t="s">
        <v>408</v>
      </c>
      <c r="G175" s="27" t="s">
        <v>112</v>
      </c>
      <c r="H175" s="75">
        <v>16</v>
      </c>
      <c r="I175" s="76">
        <v>8</v>
      </c>
      <c r="J175" s="98">
        <f>5+1+4+6</f>
        <v>16</v>
      </c>
      <c r="K175" s="86">
        <f>6524.55+600.31+19349.45</f>
        <v>26474.31</v>
      </c>
      <c r="L175" s="86">
        <f>6524.55+600.31+19349.45</f>
        <v>26474.31</v>
      </c>
      <c r="M175" s="78">
        <f>K175-L175</f>
        <v>0</v>
      </c>
      <c r="N175" s="100">
        <f>1+3+2+3</f>
        <v>9</v>
      </c>
      <c r="O175" s="87">
        <f>10770.58+2113.01+3508.24</f>
        <v>16391.830000000002</v>
      </c>
      <c r="P175" s="87">
        <f>10770.58+2113.01+3508.24</f>
        <v>16391.830000000002</v>
      </c>
      <c r="Q175" s="79">
        <f t="shared" si="13"/>
        <v>0</v>
      </c>
      <c r="R175" s="141"/>
    </row>
    <row r="176" spans="1:18" s="21" customFormat="1" ht="60" x14ac:dyDescent="0.25">
      <c r="A176" s="181"/>
      <c r="B176" s="30" t="s">
        <v>100</v>
      </c>
      <c r="C176" s="203" t="s">
        <v>125</v>
      </c>
      <c r="D176" s="182" t="s">
        <v>126</v>
      </c>
      <c r="E176" s="194" t="s">
        <v>20</v>
      </c>
      <c r="F176" s="73" t="s">
        <v>486</v>
      </c>
      <c r="G176" s="236" t="s">
        <v>114</v>
      </c>
      <c r="H176" s="181">
        <v>9</v>
      </c>
      <c r="I176" s="234"/>
      <c r="J176" s="202"/>
      <c r="K176" s="86"/>
      <c r="L176" s="86"/>
      <c r="M176" s="187">
        <f t="shared" ref="M176" si="23">K176-L176</f>
        <v>0</v>
      </c>
      <c r="N176" s="100">
        <v>9</v>
      </c>
      <c r="O176" s="239">
        <v>57415.9</v>
      </c>
      <c r="P176" s="239">
        <v>28641.439999999999</v>
      </c>
      <c r="Q176" s="232">
        <f t="shared" si="13"/>
        <v>28774.460000000003</v>
      </c>
    </row>
    <row r="177" spans="1:18" s="13" customFormat="1" x14ac:dyDescent="0.25">
      <c r="A177" s="229"/>
      <c r="B177" s="62" t="s">
        <v>101</v>
      </c>
      <c r="C177" s="181" t="s">
        <v>17</v>
      </c>
      <c r="D177" s="182"/>
      <c r="E177" s="194" t="s">
        <v>20</v>
      </c>
      <c r="F177" s="73" t="s">
        <v>409</v>
      </c>
      <c r="G177" s="74" t="s">
        <v>112</v>
      </c>
      <c r="H177" s="75">
        <v>11</v>
      </c>
      <c r="I177" s="76">
        <v>7</v>
      </c>
      <c r="J177" s="96">
        <f>1+5+1+1+2</f>
        <v>10</v>
      </c>
      <c r="K177" s="77">
        <f>1045.98+3354.45+1225.93+742.59</f>
        <v>6368.9500000000007</v>
      </c>
      <c r="L177" s="77">
        <f>1045.98+3354.45+1225.93+742.59</f>
        <v>6368.9500000000007</v>
      </c>
      <c r="M177" s="78">
        <f t="shared" si="16"/>
        <v>0</v>
      </c>
      <c r="N177" s="100">
        <f>5+2+1+1</f>
        <v>9</v>
      </c>
      <c r="O177" s="81">
        <f>6288.07+3061.62+3426.18+12951.18</f>
        <v>25727.05</v>
      </c>
      <c r="P177" s="81">
        <f>6288.07+3061.62+3426.18+12951.18</f>
        <v>25727.05</v>
      </c>
      <c r="Q177" s="79">
        <f t="shared" si="13"/>
        <v>0</v>
      </c>
      <c r="R177" s="141"/>
    </row>
    <row r="178" spans="1:18" s="13" customFormat="1" x14ac:dyDescent="0.25">
      <c r="A178" s="229"/>
      <c r="B178" s="62" t="s">
        <v>146</v>
      </c>
      <c r="C178" s="181" t="s">
        <v>17</v>
      </c>
      <c r="D178" s="182"/>
      <c r="E178" s="194" t="s">
        <v>20</v>
      </c>
      <c r="F178" s="73" t="s">
        <v>410</v>
      </c>
      <c r="G178" s="74" t="s">
        <v>112</v>
      </c>
      <c r="H178" s="75">
        <v>12</v>
      </c>
      <c r="I178" s="76">
        <v>9</v>
      </c>
      <c r="J178" s="96">
        <f>4+1+1+2+1+2</f>
        <v>11</v>
      </c>
      <c r="K178" s="77">
        <f>4610.77+1568.98+1854.88+422.62+1334.13</f>
        <v>9791.380000000001</v>
      </c>
      <c r="L178" s="77">
        <f>4610.77+1568.98+1854.88+422.62+1334.13</f>
        <v>9791.380000000001</v>
      </c>
      <c r="M178" s="78">
        <f t="shared" si="16"/>
        <v>0</v>
      </c>
      <c r="N178" s="100">
        <f>5+1+1+2+1+1</f>
        <v>11</v>
      </c>
      <c r="O178" s="81">
        <f>13579.06+1287.07+2636.18+26196.83</f>
        <v>43699.14</v>
      </c>
      <c r="P178" s="81">
        <f>13579.06+1287.07+2636.18+26196.83</f>
        <v>43699.14</v>
      </c>
      <c r="Q178" s="232">
        <f t="shared" si="13"/>
        <v>0</v>
      </c>
      <c r="R178" s="141"/>
    </row>
    <row r="179" spans="1:18" s="13" customFormat="1" x14ac:dyDescent="0.25">
      <c r="A179" s="229"/>
      <c r="B179" s="62" t="s">
        <v>146</v>
      </c>
      <c r="C179" s="181" t="s">
        <v>17</v>
      </c>
      <c r="D179" s="182"/>
      <c r="E179" s="183" t="s">
        <v>21</v>
      </c>
      <c r="F179" s="73" t="s">
        <v>443</v>
      </c>
      <c r="G179" s="230" t="s">
        <v>118</v>
      </c>
      <c r="H179" s="181">
        <v>9</v>
      </c>
      <c r="I179" s="234">
        <v>2</v>
      </c>
      <c r="J179" s="190">
        <v>2</v>
      </c>
      <c r="K179" s="193">
        <v>1754.7</v>
      </c>
      <c r="L179" s="193">
        <v>1754.7</v>
      </c>
      <c r="M179" s="187">
        <f t="shared" si="16"/>
        <v>0</v>
      </c>
      <c r="N179" s="114">
        <v>5</v>
      </c>
      <c r="O179" s="224">
        <v>5349.99</v>
      </c>
      <c r="P179" s="224">
        <v>5349.99</v>
      </c>
      <c r="Q179" s="79">
        <f t="shared" si="13"/>
        <v>0</v>
      </c>
    </row>
    <row r="180" spans="1:18" s="13" customFormat="1" x14ac:dyDescent="0.25">
      <c r="A180" s="229"/>
      <c r="B180" s="27" t="s">
        <v>102</v>
      </c>
      <c r="C180" s="181" t="s">
        <v>17</v>
      </c>
      <c r="D180" s="182"/>
      <c r="E180" s="194" t="s">
        <v>20</v>
      </c>
      <c r="F180" s="73" t="s">
        <v>411</v>
      </c>
      <c r="G180" s="74" t="s">
        <v>112</v>
      </c>
      <c r="H180" s="75">
        <v>11</v>
      </c>
      <c r="I180" s="76">
        <v>7</v>
      </c>
      <c r="J180" s="96">
        <f>1+1+2+1+2+1</f>
        <v>8</v>
      </c>
      <c r="K180" s="77">
        <f>845.24+845.24+1690.48+1394.65+2689.38</f>
        <v>7464.9900000000007</v>
      </c>
      <c r="L180" s="77">
        <f>845.24+845.24+1690.48+1394.65+2689.38</f>
        <v>7464.9900000000007</v>
      </c>
      <c r="M180" s="78">
        <f>K180-L180</f>
        <v>0</v>
      </c>
      <c r="N180" s="100">
        <f>3+1+1+1</f>
        <v>6</v>
      </c>
      <c r="O180" s="81">
        <f>7808.21+30833.77-12193.52+9963.17</f>
        <v>36411.630000000005</v>
      </c>
      <c r="P180" s="81">
        <f>7808.21+30833.77-12193.52+9963.17</f>
        <v>36411.630000000005</v>
      </c>
      <c r="Q180" s="232">
        <f t="shared" si="13"/>
        <v>0</v>
      </c>
      <c r="R180" s="141"/>
    </row>
    <row r="181" spans="1:18" s="13" customFormat="1" x14ac:dyDescent="0.25">
      <c r="A181" s="229"/>
      <c r="B181" s="27" t="s">
        <v>102</v>
      </c>
      <c r="C181" s="181" t="s">
        <v>17</v>
      </c>
      <c r="D181" s="182"/>
      <c r="E181" s="194" t="s">
        <v>20</v>
      </c>
      <c r="F181" s="73" t="s">
        <v>469</v>
      </c>
      <c r="G181" s="230" t="s">
        <v>114</v>
      </c>
      <c r="H181" s="181">
        <v>10</v>
      </c>
      <c r="I181" s="231">
        <v>3</v>
      </c>
      <c r="J181" s="190">
        <v>3</v>
      </c>
      <c r="K181" s="77">
        <v>1267.8599999999999</v>
      </c>
      <c r="L181" s="77">
        <v>1267.8599999999999</v>
      </c>
      <c r="M181" s="187">
        <f t="shared" ref="M181" si="24">K181-L181</f>
        <v>0</v>
      </c>
      <c r="N181" s="100">
        <v>8</v>
      </c>
      <c r="O181" s="224">
        <v>24770.92</v>
      </c>
      <c r="P181" s="224">
        <v>24770.92</v>
      </c>
      <c r="Q181" s="232">
        <f t="shared" si="13"/>
        <v>0</v>
      </c>
    </row>
    <row r="182" spans="1:18" s="13" customFormat="1" x14ac:dyDescent="0.25">
      <c r="A182" s="229"/>
      <c r="B182" s="27" t="s">
        <v>103</v>
      </c>
      <c r="C182" s="181" t="s">
        <v>17</v>
      </c>
      <c r="D182" s="182"/>
      <c r="E182" s="183" t="s">
        <v>20</v>
      </c>
      <c r="F182" s="73" t="s">
        <v>412</v>
      </c>
      <c r="G182" s="74" t="s">
        <v>112</v>
      </c>
      <c r="H182" s="75">
        <v>12</v>
      </c>
      <c r="I182" s="76">
        <v>9</v>
      </c>
      <c r="J182" s="96">
        <f>4+1+2+3</f>
        <v>10</v>
      </c>
      <c r="K182" s="77">
        <f>16248.67+1092.81+2003.49</f>
        <v>19344.97</v>
      </c>
      <c r="L182" s="77">
        <f>16248.67+1092.81+2003.49</f>
        <v>19344.97</v>
      </c>
      <c r="M182" s="78">
        <f>K182-L182</f>
        <v>0</v>
      </c>
      <c r="N182" s="100">
        <f>7+2+1+1+2</f>
        <v>13</v>
      </c>
      <c r="O182" s="77">
        <f>20193.14+7541.5</f>
        <v>27734.639999999999</v>
      </c>
      <c r="P182" s="77">
        <f>20193.14+7541.5</f>
        <v>27734.639999999999</v>
      </c>
      <c r="Q182" s="232">
        <f t="shared" si="13"/>
        <v>0</v>
      </c>
      <c r="R182" s="141"/>
    </row>
    <row r="183" spans="1:18" s="13" customFormat="1" x14ac:dyDescent="0.25">
      <c r="A183" s="229"/>
      <c r="B183" s="27" t="s">
        <v>103</v>
      </c>
      <c r="C183" s="181" t="s">
        <v>17</v>
      </c>
      <c r="D183" s="182"/>
      <c r="E183" s="183" t="s">
        <v>20</v>
      </c>
      <c r="F183" s="73" t="s">
        <v>470</v>
      </c>
      <c r="G183" s="230" t="s">
        <v>114</v>
      </c>
      <c r="H183" s="181">
        <v>12</v>
      </c>
      <c r="I183" s="231">
        <v>1</v>
      </c>
      <c r="J183" s="190">
        <v>1</v>
      </c>
      <c r="K183" s="77">
        <v>4940.1000000000004</v>
      </c>
      <c r="L183" s="77">
        <v>4940.1000000000004</v>
      </c>
      <c r="M183" s="187">
        <f t="shared" ref="M183:M185" si="25">K183-L183</f>
        <v>0</v>
      </c>
      <c r="N183" s="100">
        <v>4</v>
      </c>
      <c r="O183" s="224">
        <v>10431.89</v>
      </c>
      <c r="P183" s="224">
        <v>10431.89</v>
      </c>
      <c r="Q183" s="232">
        <f t="shared" si="13"/>
        <v>0</v>
      </c>
    </row>
    <row r="184" spans="1:18" s="15" customFormat="1" x14ac:dyDescent="0.25">
      <c r="A184" s="229"/>
      <c r="B184" s="27" t="s">
        <v>104</v>
      </c>
      <c r="C184" s="181" t="s">
        <v>17</v>
      </c>
      <c r="D184" s="182"/>
      <c r="E184" s="183" t="s">
        <v>20</v>
      </c>
      <c r="F184" s="73" t="s">
        <v>413</v>
      </c>
      <c r="G184" s="74" t="s">
        <v>112</v>
      </c>
      <c r="H184" s="75">
        <v>13</v>
      </c>
      <c r="I184" s="76">
        <v>10</v>
      </c>
      <c r="J184" s="96">
        <f>3+1+2+4+1+1</f>
        <v>12</v>
      </c>
      <c r="K184" s="77">
        <f>5112.82+422.64+8302.14</f>
        <v>13837.599999999999</v>
      </c>
      <c r="L184" s="77">
        <f>5112.82+422.64+8302.14</f>
        <v>13837.599999999999</v>
      </c>
      <c r="M184" s="78">
        <f>K184-L184</f>
        <v>0</v>
      </c>
      <c r="N184" s="100">
        <f>4+1+1+2</f>
        <v>8</v>
      </c>
      <c r="O184" s="81">
        <f>7087.22+3426.18+3496.22</f>
        <v>14009.619999999999</v>
      </c>
      <c r="P184" s="81">
        <f>7087.22+3426.18+3496.22</f>
        <v>14009.619999999999</v>
      </c>
      <c r="Q184" s="232">
        <f t="shared" si="13"/>
        <v>0</v>
      </c>
      <c r="R184" s="141"/>
    </row>
    <row r="185" spans="1:18" s="15" customFormat="1" x14ac:dyDescent="0.25">
      <c r="A185" s="229"/>
      <c r="B185" s="27" t="s">
        <v>104</v>
      </c>
      <c r="C185" s="181" t="s">
        <v>17</v>
      </c>
      <c r="D185" s="182"/>
      <c r="E185" s="183" t="s">
        <v>20</v>
      </c>
      <c r="F185" s="73" t="s">
        <v>471</v>
      </c>
      <c r="G185" s="230" t="s">
        <v>114</v>
      </c>
      <c r="H185" s="181">
        <v>32</v>
      </c>
      <c r="I185" s="231">
        <v>8</v>
      </c>
      <c r="J185" s="190">
        <v>8</v>
      </c>
      <c r="K185" s="77">
        <v>18969.46</v>
      </c>
      <c r="L185" s="77">
        <v>10700.62</v>
      </c>
      <c r="M185" s="187">
        <f t="shared" si="25"/>
        <v>8268.8399999999983</v>
      </c>
      <c r="N185" s="114">
        <v>19</v>
      </c>
      <c r="O185" s="224">
        <v>40887.050000000003</v>
      </c>
      <c r="P185" s="224">
        <v>36873.050000000003</v>
      </c>
      <c r="Q185" s="232">
        <f t="shared" si="13"/>
        <v>4014</v>
      </c>
    </row>
    <row r="186" spans="1:18" s="13" customFormat="1" x14ac:dyDescent="0.25">
      <c r="A186" s="229"/>
      <c r="B186" s="30" t="s">
        <v>26</v>
      </c>
      <c r="C186" s="181" t="s">
        <v>17</v>
      </c>
      <c r="D186" s="182"/>
      <c r="E186" s="183" t="s">
        <v>32</v>
      </c>
      <c r="F186" s="73" t="s">
        <v>246</v>
      </c>
      <c r="G186" s="74" t="s">
        <v>117</v>
      </c>
      <c r="H186" s="75"/>
      <c r="I186" s="76"/>
      <c r="J186" s="96"/>
      <c r="K186" s="77"/>
      <c r="L186" s="77"/>
      <c r="M186" s="78">
        <f t="shared" si="16"/>
        <v>0</v>
      </c>
      <c r="N186" s="100">
        <v>5</v>
      </c>
      <c r="O186" s="81">
        <v>7808.15</v>
      </c>
      <c r="P186" s="81">
        <v>7808.15</v>
      </c>
      <c r="Q186" s="232">
        <f t="shared" si="13"/>
        <v>0</v>
      </c>
    </row>
    <row r="187" spans="1:18" s="13" customFormat="1" x14ac:dyDescent="0.25">
      <c r="A187" s="229"/>
      <c r="B187" s="62" t="s">
        <v>106</v>
      </c>
      <c r="C187" s="181" t="s">
        <v>17</v>
      </c>
      <c r="D187" s="205"/>
      <c r="E187" s="194" t="s">
        <v>20</v>
      </c>
      <c r="F187" s="73" t="s">
        <v>414</v>
      </c>
      <c r="G187" s="74" t="s">
        <v>112</v>
      </c>
      <c r="H187" s="75">
        <v>11</v>
      </c>
      <c r="I187" s="76">
        <v>4</v>
      </c>
      <c r="J187" s="96">
        <f>1+4</f>
        <v>5</v>
      </c>
      <c r="K187" s="77">
        <f>3125.9</f>
        <v>3125.9</v>
      </c>
      <c r="L187" s="77">
        <f>3125.9</f>
        <v>3125.9</v>
      </c>
      <c r="M187" s="78">
        <f>K187-L187</f>
        <v>0</v>
      </c>
      <c r="N187" s="100">
        <f>3+1</f>
        <v>4</v>
      </c>
      <c r="O187" s="81">
        <f>15956.85+4551.62+19965.34</f>
        <v>40473.81</v>
      </c>
      <c r="P187" s="81">
        <f>15956.85+4551.62+19965.34</f>
        <v>40473.81</v>
      </c>
      <c r="Q187" s="232">
        <f t="shared" si="13"/>
        <v>0</v>
      </c>
      <c r="R187" s="141"/>
    </row>
    <row r="188" spans="1:18" x14ac:dyDescent="0.25">
      <c r="A188" s="256"/>
      <c r="B188" s="66"/>
      <c r="C188" s="257"/>
      <c r="D188" s="235"/>
      <c r="E188" s="235"/>
      <c r="F188" s="73"/>
      <c r="G188" s="235" t="s">
        <v>131</v>
      </c>
      <c r="H188" s="240">
        <f>SUM(H10:H187)</f>
        <v>2196</v>
      </c>
      <c r="I188" s="255">
        <f>SUM(I10:I187)</f>
        <v>1130</v>
      </c>
      <c r="J188" s="208">
        <f>SUM(J10:J187)</f>
        <v>1470</v>
      </c>
      <c r="K188" s="209">
        <f>SUM(K10:K187)</f>
        <v>2430607.2650000011</v>
      </c>
      <c r="L188" s="209">
        <f>SUM(L10:L187)</f>
        <v>2401568.245000001</v>
      </c>
      <c r="M188" s="210">
        <f>K188-L188</f>
        <v>29039.020000000019</v>
      </c>
      <c r="N188" s="208">
        <f>SUM(N10:N187)</f>
        <v>1731</v>
      </c>
      <c r="O188" s="241">
        <f>SUM(O10:O187)</f>
        <v>5217639.3900000006</v>
      </c>
      <c r="P188" s="241">
        <f>SUM(P10:P187)</f>
        <v>5172908.68</v>
      </c>
      <c r="Q188" s="79">
        <f t="shared" si="13"/>
        <v>44730.710000000894</v>
      </c>
      <c r="R188" s="129"/>
    </row>
    <row r="189" spans="1:18" x14ac:dyDescent="0.25">
      <c r="K189" s="91" t="s">
        <v>305</v>
      </c>
    </row>
    <row r="190" spans="1:18" ht="45" x14ac:dyDescent="0.25">
      <c r="B190" s="89" t="s">
        <v>316</v>
      </c>
      <c r="F190" s="104" t="s">
        <v>317</v>
      </c>
      <c r="M190" s="142"/>
      <c r="Q190" s="133"/>
    </row>
    <row r="191" spans="1:18" x14ac:dyDescent="0.25">
      <c r="M191" s="216"/>
    </row>
  </sheetData>
  <mergeCells count="7">
    <mergeCell ref="O1:Q1"/>
    <mergeCell ref="A3:Q3"/>
    <mergeCell ref="A4:Q4"/>
    <mergeCell ref="A5:Q5"/>
    <mergeCell ref="B7:G7"/>
    <mergeCell ref="H7:M7"/>
    <mergeCell ref="N7:Q7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91"/>
  <sheetViews>
    <sheetView topLeftCell="A7" workbookViewId="0">
      <selection activeCell="I8" sqref="I8"/>
    </sheetView>
  </sheetViews>
  <sheetFormatPr defaultRowHeight="15" x14ac:dyDescent="0.25"/>
  <cols>
    <col min="1" max="1" width="1.85546875" style="6" customWidth="1"/>
    <col min="2" max="2" width="38.28515625" style="88" customWidth="1"/>
    <col min="3" max="3" width="6.5703125" style="19" customWidth="1"/>
    <col min="4" max="4" width="17.42578125" style="19" customWidth="1"/>
    <col min="5" max="5" width="19" style="19" customWidth="1"/>
    <col min="6" max="6" width="19" style="89" customWidth="1"/>
    <col min="7" max="7" width="20.140625" style="89" customWidth="1"/>
    <col min="8" max="9" width="15.7109375" style="90" customWidth="1"/>
    <col min="10" max="10" width="15.7109375" style="99" customWidth="1"/>
    <col min="11" max="13" width="15.7109375" style="91" customWidth="1"/>
    <col min="14" max="14" width="15.7109375" style="99" customWidth="1"/>
    <col min="15" max="17" width="15.7109375" style="92" customWidth="1"/>
    <col min="18" max="18" width="11.7109375" style="6" customWidth="1"/>
    <col min="19" max="19" width="9.42578125" style="6" customWidth="1"/>
    <col min="20" max="21" width="9.140625" style="6" customWidth="1"/>
    <col min="22" max="16384" width="9.140625" style="6"/>
  </cols>
  <sheetData>
    <row r="1" spans="1:18" s="105" customFormat="1" x14ac:dyDescent="0.25">
      <c r="A1" s="60"/>
      <c r="B1" s="60"/>
      <c r="C1" s="225"/>
      <c r="D1" s="225"/>
      <c r="E1" s="225"/>
      <c r="F1" s="63"/>
      <c r="G1" s="63"/>
      <c r="H1" s="64"/>
      <c r="I1" s="64"/>
      <c r="J1" s="93"/>
      <c r="K1" s="65"/>
      <c r="L1" s="65"/>
      <c r="M1" s="65"/>
      <c r="N1" s="93"/>
      <c r="O1" s="362" t="s">
        <v>15</v>
      </c>
      <c r="P1" s="362"/>
      <c r="Q1" s="362"/>
    </row>
    <row r="2" spans="1:18" s="105" customFormat="1" x14ac:dyDescent="0.25">
      <c r="A2" s="259"/>
      <c r="B2" s="259"/>
      <c r="C2" s="260"/>
      <c r="D2" s="260"/>
      <c r="E2" s="260"/>
      <c r="F2" s="66"/>
      <c r="G2" s="66"/>
      <c r="H2" s="258"/>
      <c r="I2" s="258"/>
      <c r="J2" s="94"/>
      <c r="K2" s="67"/>
      <c r="L2" s="67"/>
      <c r="M2" s="67"/>
      <c r="N2" s="94"/>
      <c r="O2" s="68"/>
      <c r="P2" s="68"/>
      <c r="Q2" s="68"/>
    </row>
    <row r="3" spans="1:18" s="105" customFormat="1" x14ac:dyDescent="0.25">
      <c r="A3" s="380" t="s">
        <v>318</v>
      </c>
      <c r="B3" s="367"/>
      <c r="C3" s="380"/>
      <c r="D3" s="380"/>
      <c r="E3" s="380"/>
      <c r="F3" s="367"/>
      <c r="G3" s="367"/>
      <c r="H3" s="366"/>
      <c r="I3" s="366"/>
      <c r="J3" s="367"/>
      <c r="K3" s="367"/>
      <c r="L3" s="367"/>
      <c r="M3" s="367"/>
      <c r="N3" s="367"/>
      <c r="O3" s="367"/>
      <c r="P3" s="367"/>
      <c r="Q3" s="367"/>
    </row>
    <row r="4" spans="1:18" s="105" customFormat="1" x14ac:dyDescent="0.25">
      <c r="A4" s="381">
        <v>43710</v>
      </c>
      <c r="B4" s="373"/>
      <c r="C4" s="382"/>
      <c r="D4" s="382"/>
      <c r="E4" s="382"/>
      <c r="F4" s="373"/>
      <c r="G4" s="373"/>
      <c r="H4" s="372"/>
      <c r="I4" s="372"/>
      <c r="J4" s="373"/>
      <c r="K4" s="373"/>
      <c r="L4" s="373"/>
      <c r="M4" s="373"/>
      <c r="N4" s="373"/>
      <c r="O4" s="373"/>
      <c r="P4" s="373"/>
      <c r="Q4" s="373"/>
    </row>
    <row r="5" spans="1:18" s="105" customFormat="1" x14ac:dyDescent="0.25">
      <c r="A5" s="367" t="s">
        <v>14</v>
      </c>
      <c r="B5" s="367"/>
      <c r="C5" s="367"/>
      <c r="D5" s="367"/>
      <c r="E5" s="367"/>
      <c r="F5" s="367"/>
      <c r="G5" s="367"/>
      <c r="H5" s="366"/>
      <c r="I5" s="366"/>
      <c r="J5" s="367"/>
      <c r="K5" s="367"/>
      <c r="L5" s="367"/>
      <c r="M5" s="367"/>
      <c r="N5" s="367"/>
      <c r="O5" s="367"/>
      <c r="P5" s="367"/>
      <c r="Q5" s="367"/>
    </row>
    <row r="6" spans="1:18" s="105" customFormat="1" x14ac:dyDescent="0.25">
      <c r="A6" s="259"/>
      <c r="B6" s="259"/>
      <c r="C6" s="260"/>
      <c r="D6" s="260"/>
      <c r="E6" s="260"/>
      <c r="F6" s="66"/>
      <c r="G6" s="66"/>
      <c r="H6" s="258"/>
      <c r="I6" s="258"/>
      <c r="J6" s="94"/>
      <c r="K6" s="67"/>
      <c r="L6" s="67"/>
      <c r="M6" s="67"/>
      <c r="N6" s="94"/>
      <c r="O6" s="68"/>
      <c r="P6" s="68"/>
      <c r="Q6" s="68"/>
    </row>
    <row r="7" spans="1:18" x14ac:dyDescent="0.25">
      <c r="A7" s="227" t="s">
        <v>0</v>
      </c>
      <c r="B7" s="367" t="s">
        <v>10</v>
      </c>
      <c r="C7" s="380"/>
      <c r="D7" s="380"/>
      <c r="E7" s="380"/>
      <c r="F7" s="367"/>
      <c r="G7" s="367"/>
      <c r="H7" s="366" t="s">
        <v>472</v>
      </c>
      <c r="I7" s="366"/>
      <c r="J7" s="367"/>
      <c r="K7" s="367"/>
      <c r="L7" s="367"/>
      <c r="M7" s="367"/>
      <c r="N7" s="367" t="s">
        <v>132</v>
      </c>
      <c r="O7" s="367"/>
      <c r="P7" s="367"/>
      <c r="Q7" s="367"/>
    </row>
    <row r="8" spans="1:18" ht="195" x14ac:dyDescent="0.25">
      <c r="A8" s="227"/>
      <c r="B8" s="259" t="s">
        <v>4</v>
      </c>
      <c r="C8" s="260" t="s">
        <v>1</v>
      </c>
      <c r="D8" s="260" t="s">
        <v>3</v>
      </c>
      <c r="E8" s="260" t="s">
        <v>2</v>
      </c>
      <c r="F8" s="259" t="s">
        <v>6</v>
      </c>
      <c r="G8" s="66" t="s">
        <v>5</v>
      </c>
      <c r="H8" s="259" t="s">
        <v>7</v>
      </c>
      <c r="I8" s="259" t="s">
        <v>8</v>
      </c>
      <c r="J8" s="94" t="s">
        <v>9</v>
      </c>
      <c r="K8" s="67" t="s">
        <v>11</v>
      </c>
      <c r="L8" s="67" t="s">
        <v>12</v>
      </c>
      <c r="M8" s="67" t="s">
        <v>13</v>
      </c>
      <c r="N8" s="94" t="s">
        <v>9</v>
      </c>
      <c r="O8" s="68" t="s">
        <v>11</v>
      </c>
      <c r="P8" s="68" t="s">
        <v>12</v>
      </c>
      <c r="Q8" s="68" t="s">
        <v>13</v>
      </c>
    </row>
    <row r="9" spans="1:18" x14ac:dyDescent="0.25">
      <c r="A9" s="228">
        <v>1</v>
      </c>
      <c r="B9" s="61">
        <f>A9+1</f>
        <v>2</v>
      </c>
      <c r="C9" s="228">
        <f t="shared" ref="C9:Q9" si="0">B9+1</f>
        <v>3</v>
      </c>
      <c r="D9" s="228">
        <f t="shared" si="0"/>
        <v>4</v>
      </c>
      <c r="E9" s="228">
        <f t="shared" si="0"/>
        <v>5</v>
      </c>
      <c r="F9" s="69">
        <f t="shared" si="0"/>
        <v>6</v>
      </c>
      <c r="G9" s="69">
        <f t="shared" si="0"/>
        <v>7</v>
      </c>
      <c r="H9" s="70">
        <f t="shared" si="0"/>
        <v>8</v>
      </c>
      <c r="I9" s="70">
        <f t="shared" si="0"/>
        <v>9</v>
      </c>
      <c r="J9" s="95">
        <f t="shared" si="0"/>
        <v>10</v>
      </c>
      <c r="K9" s="71">
        <f t="shared" si="0"/>
        <v>11</v>
      </c>
      <c r="L9" s="71">
        <f t="shared" si="0"/>
        <v>12</v>
      </c>
      <c r="M9" s="71">
        <f t="shared" si="0"/>
        <v>13</v>
      </c>
      <c r="N9" s="95">
        <f t="shared" si="0"/>
        <v>14</v>
      </c>
      <c r="O9" s="72">
        <f t="shared" si="0"/>
        <v>15</v>
      </c>
      <c r="P9" s="72">
        <f t="shared" si="0"/>
        <v>16</v>
      </c>
      <c r="Q9" s="72">
        <f t="shared" si="0"/>
        <v>17</v>
      </c>
    </row>
    <row r="10" spans="1:18" s="13" customFormat="1" ht="30" x14ac:dyDescent="0.25">
      <c r="A10" s="229"/>
      <c r="B10" s="62" t="s">
        <v>16</v>
      </c>
      <c r="C10" s="181" t="s">
        <v>304</v>
      </c>
      <c r="D10" s="182" t="s">
        <v>315</v>
      </c>
      <c r="E10" s="183" t="s">
        <v>18</v>
      </c>
      <c r="F10" s="73" t="s">
        <v>322</v>
      </c>
      <c r="G10" s="74" t="s">
        <v>112</v>
      </c>
      <c r="H10" s="75">
        <v>12</v>
      </c>
      <c r="I10" s="76">
        <v>10</v>
      </c>
      <c r="J10" s="98">
        <f>2+1+3+3+1</f>
        <v>10</v>
      </c>
      <c r="K10" s="77">
        <f>4792.51+1138.19+504.26+11366.06+4859.68+3954.5</f>
        <v>26615.200000000001</v>
      </c>
      <c r="L10" s="77">
        <f>4792.51+1138.19+504.26+11366.06+4859.68+3954.5</f>
        <v>26615.200000000001</v>
      </c>
      <c r="M10" s="78">
        <f>K10-L10</f>
        <v>0</v>
      </c>
      <c r="N10" s="100">
        <f>2+5+1+2+1</f>
        <v>11</v>
      </c>
      <c r="O10" s="77">
        <f>9108.77+6924.32+22366.06+8197.52</f>
        <v>46596.67</v>
      </c>
      <c r="P10" s="77">
        <f>9108.77+6924.32+22366.06+8197.52</f>
        <v>46596.67</v>
      </c>
      <c r="Q10" s="79">
        <f>O10-P10</f>
        <v>0</v>
      </c>
      <c r="R10" s="141"/>
    </row>
    <row r="11" spans="1:18" s="13" customFormat="1" ht="30" x14ac:dyDescent="0.25">
      <c r="A11" s="229"/>
      <c r="B11" s="62" t="s">
        <v>16</v>
      </c>
      <c r="C11" s="181" t="s">
        <v>304</v>
      </c>
      <c r="D11" s="182" t="s">
        <v>315</v>
      </c>
      <c r="E11" s="183" t="s">
        <v>18</v>
      </c>
      <c r="F11" s="73" t="s">
        <v>322</v>
      </c>
      <c r="G11" s="230" t="s">
        <v>116</v>
      </c>
      <c r="H11" s="181">
        <v>10</v>
      </c>
      <c r="I11" s="231">
        <v>4</v>
      </c>
      <c r="J11" s="96">
        <v>4</v>
      </c>
      <c r="K11" s="224">
        <v>7070</v>
      </c>
      <c r="L11" s="224">
        <v>7070</v>
      </c>
      <c r="M11" s="187">
        <f t="shared" ref="M11:M90" si="1">K11-L11</f>
        <v>0</v>
      </c>
      <c r="N11" s="100">
        <v>0</v>
      </c>
      <c r="O11" s="224">
        <v>2945</v>
      </c>
      <c r="P11" s="224">
        <v>2945</v>
      </c>
      <c r="Q11" s="232">
        <f t="shared" ref="Q11:Q80" si="2">O11-P11</f>
        <v>0</v>
      </c>
    </row>
    <row r="12" spans="1:18" s="13" customFormat="1" x14ac:dyDescent="0.25">
      <c r="A12" s="229"/>
      <c r="B12" s="62" t="s">
        <v>490</v>
      </c>
      <c r="C12" s="181" t="s">
        <v>304</v>
      </c>
      <c r="D12" s="182"/>
      <c r="E12" s="183"/>
      <c r="F12" s="189" t="s">
        <v>501</v>
      </c>
      <c r="G12" s="230" t="s">
        <v>112</v>
      </c>
      <c r="H12" s="181">
        <v>15</v>
      </c>
      <c r="I12" s="231">
        <v>11</v>
      </c>
      <c r="J12" s="96">
        <f>5+1+3+1+1+2</f>
        <v>13</v>
      </c>
      <c r="K12" s="224">
        <f>8352.39+384.2+1463.8+3720.67+546.41+5470.48</f>
        <v>19937.949999999997</v>
      </c>
      <c r="L12" s="224">
        <f>8352.39+384.2+1463.8+3720.67+546.41+5470.48</f>
        <v>19937.949999999997</v>
      </c>
      <c r="M12" s="78">
        <f t="shared" si="1"/>
        <v>0</v>
      </c>
      <c r="N12" s="100"/>
      <c r="O12" s="224"/>
      <c r="P12" s="224"/>
      <c r="Q12" s="79">
        <f t="shared" si="2"/>
        <v>0</v>
      </c>
    </row>
    <row r="13" spans="1:18" s="15" customFormat="1" x14ac:dyDescent="0.25">
      <c r="A13" s="229"/>
      <c r="B13" s="62" t="s">
        <v>19</v>
      </c>
      <c r="C13" s="181" t="s">
        <v>17</v>
      </c>
      <c r="D13" s="182"/>
      <c r="E13" s="183" t="s">
        <v>20</v>
      </c>
      <c r="F13" s="73" t="s">
        <v>323</v>
      </c>
      <c r="G13" s="74" t="s">
        <v>112</v>
      </c>
      <c r="H13" s="75">
        <v>12</v>
      </c>
      <c r="I13" s="76">
        <v>10</v>
      </c>
      <c r="J13" s="96">
        <f>1+2+5+2+1+5+1</f>
        <v>17</v>
      </c>
      <c r="K13" s="77">
        <f>422.62+4792.51+1796.14+1373.52+5511.59+1707.76</f>
        <v>15604.140000000001</v>
      </c>
      <c r="L13" s="77">
        <f>422.62+4792.51+1796.14+1373.52+5511.59</f>
        <v>13896.380000000001</v>
      </c>
      <c r="M13" s="78">
        <f t="shared" si="1"/>
        <v>1707.7600000000002</v>
      </c>
      <c r="N13" s="100">
        <f>8+3+1+2</f>
        <v>14</v>
      </c>
      <c r="O13" s="81">
        <f>6459.36+7124.45</f>
        <v>13583.81</v>
      </c>
      <c r="P13" s="81">
        <f>6459.36+7124.45</f>
        <v>13583.81</v>
      </c>
      <c r="Q13" s="79">
        <f t="shared" si="2"/>
        <v>0</v>
      </c>
      <c r="R13" s="141"/>
    </row>
    <row r="14" spans="1:18" s="15" customFormat="1" x14ac:dyDescent="0.25">
      <c r="A14" s="229"/>
      <c r="B14" s="62" t="s">
        <v>19</v>
      </c>
      <c r="C14" s="181" t="s">
        <v>17</v>
      </c>
      <c r="D14" s="182"/>
      <c r="E14" s="183" t="s">
        <v>20</v>
      </c>
      <c r="F14" s="73" t="s">
        <v>451</v>
      </c>
      <c r="G14" s="230" t="s">
        <v>114</v>
      </c>
      <c r="H14" s="181">
        <v>8</v>
      </c>
      <c r="I14" s="231">
        <v>1</v>
      </c>
      <c r="J14" s="190">
        <v>1</v>
      </c>
      <c r="K14" s="77">
        <v>2592.3000000000002</v>
      </c>
      <c r="L14" s="77">
        <v>2592.3000000000002</v>
      </c>
      <c r="M14" s="187">
        <f t="shared" si="1"/>
        <v>0</v>
      </c>
      <c r="N14" s="100">
        <v>9</v>
      </c>
      <c r="O14" s="224">
        <v>16688.7</v>
      </c>
      <c r="P14" s="224">
        <v>16688.7</v>
      </c>
      <c r="Q14" s="232">
        <f t="shared" si="2"/>
        <v>0</v>
      </c>
    </row>
    <row r="15" spans="1:18" s="15" customFormat="1" x14ac:dyDescent="0.25">
      <c r="A15" s="229"/>
      <c r="B15" s="62" t="s">
        <v>153</v>
      </c>
      <c r="C15" s="181" t="s">
        <v>17</v>
      </c>
      <c r="D15" s="182"/>
      <c r="E15" s="183" t="s">
        <v>20</v>
      </c>
      <c r="F15" s="73" t="s">
        <v>324</v>
      </c>
      <c r="G15" s="74" t="s">
        <v>112</v>
      </c>
      <c r="H15" s="75">
        <v>14</v>
      </c>
      <c r="I15" s="82">
        <v>7</v>
      </c>
      <c r="J15" s="96">
        <f>1+1+2+1+1+2+1</f>
        <v>9</v>
      </c>
      <c r="K15" s="77">
        <f>950.9+2451.87+3074.57+845.24+1977.86+1284.48+883.08</f>
        <v>11468</v>
      </c>
      <c r="L15" s="77">
        <f>950.9+2451.87+3074.57+845.24+1977.86+1284.48+883.08</f>
        <v>11468</v>
      </c>
      <c r="M15" s="78">
        <f>K15-L15</f>
        <v>0</v>
      </c>
      <c r="N15" s="114">
        <f>1+2+1+2+1+1</f>
        <v>8</v>
      </c>
      <c r="O15" s="81">
        <f>422.62+945.61+2484.69+7964.81+1536.8+2498.17</f>
        <v>15852.699999999999</v>
      </c>
      <c r="P15" s="81">
        <f>422.62+945.61+2484.69+7964.81+1536.8+2498.17</f>
        <v>15852.699999999999</v>
      </c>
      <c r="Q15" s="79">
        <f t="shared" si="2"/>
        <v>0</v>
      </c>
      <c r="R15" s="141"/>
    </row>
    <row r="16" spans="1:18" s="15" customFormat="1" x14ac:dyDescent="0.25">
      <c r="A16" s="229"/>
      <c r="B16" s="233" t="s">
        <v>153</v>
      </c>
      <c r="C16" s="181" t="s">
        <v>17</v>
      </c>
      <c r="D16" s="182"/>
      <c r="E16" s="183" t="s">
        <v>20</v>
      </c>
      <c r="F16" s="73" t="s">
        <v>452</v>
      </c>
      <c r="G16" s="230" t="s">
        <v>114</v>
      </c>
      <c r="H16" s="181">
        <v>15</v>
      </c>
      <c r="I16" s="231">
        <v>3</v>
      </c>
      <c r="J16" s="190">
        <v>3</v>
      </c>
      <c r="K16" s="77">
        <v>12185.96</v>
      </c>
      <c r="L16" s="77">
        <v>12185.96</v>
      </c>
      <c r="M16" s="187">
        <f t="shared" si="1"/>
        <v>0</v>
      </c>
      <c r="N16" s="100">
        <v>9</v>
      </c>
      <c r="O16" s="224">
        <v>23692.400000000001</v>
      </c>
      <c r="P16" s="224">
        <v>23692.400000000001</v>
      </c>
      <c r="Q16" s="232">
        <f t="shared" si="2"/>
        <v>0</v>
      </c>
    </row>
    <row r="17" spans="1:18" s="13" customFormat="1" x14ac:dyDescent="0.25">
      <c r="A17" s="229"/>
      <c r="B17" s="30" t="s">
        <v>22</v>
      </c>
      <c r="C17" s="181" t="s">
        <v>17</v>
      </c>
      <c r="D17" s="182"/>
      <c r="E17" s="183" t="s">
        <v>23</v>
      </c>
      <c r="F17" s="73" t="s">
        <v>325</v>
      </c>
      <c r="G17" s="74" t="s">
        <v>112</v>
      </c>
      <c r="H17" s="75">
        <v>35</v>
      </c>
      <c r="I17" s="76">
        <v>10</v>
      </c>
      <c r="J17" s="96">
        <f>1+2+1+9</f>
        <v>13</v>
      </c>
      <c r="K17" s="77">
        <f>2698.64+1402.33+11601.84</f>
        <v>15702.81</v>
      </c>
      <c r="L17" s="77">
        <f>2698.64+1402.33+11601.84</f>
        <v>15702.81</v>
      </c>
      <c r="M17" s="78">
        <f>K17-L17</f>
        <v>0</v>
      </c>
      <c r="N17" s="100">
        <f>14+3+7+1+1</f>
        <v>26</v>
      </c>
      <c r="O17" s="81">
        <f>22716.4+4171.06+18768.39+8172.47</f>
        <v>53828.320000000007</v>
      </c>
      <c r="P17" s="81">
        <f>22716.4+4171.06+18768.39+8172.47</f>
        <v>53828.320000000007</v>
      </c>
      <c r="Q17" s="79">
        <f t="shared" si="2"/>
        <v>0</v>
      </c>
      <c r="R17" s="141"/>
    </row>
    <row r="18" spans="1:18" s="13" customFormat="1" x14ac:dyDescent="0.25">
      <c r="A18" s="229"/>
      <c r="B18" s="30" t="s">
        <v>154</v>
      </c>
      <c r="C18" s="181" t="s">
        <v>17</v>
      </c>
      <c r="D18" s="182"/>
      <c r="E18" s="183" t="s">
        <v>20</v>
      </c>
      <c r="F18" s="73" t="s">
        <v>453</v>
      </c>
      <c r="G18" s="230" t="s">
        <v>114</v>
      </c>
      <c r="H18" s="181">
        <v>26</v>
      </c>
      <c r="I18" s="234">
        <v>2</v>
      </c>
      <c r="J18" s="190">
        <v>2</v>
      </c>
      <c r="K18" s="193">
        <v>2938.2</v>
      </c>
      <c r="L18" s="193">
        <v>2938.2</v>
      </c>
      <c r="M18" s="187">
        <f t="shared" si="1"/>
        <v>0</v>
      </c>
      <c r="N18" s="114">
        <v>16</v>
      </c>
      <c r="O18" s="224">
        <v>41112.769999999997</v>
      </c>
      <c r="P18" s="224">
        <v>41112.769999999997</v>
      </c>
      <c r="Q18" s="232">
        <f t="shared" si="2"/>
        <v>0</v>
      </c>
    </row>
    <row r="19" spans="1:18" s="13" customFormat="1" x14ac:dyDescent="0.25">
      <c r="A19" s="229"/>
      <c r="B19" s="30" t="s">
        <v>154</v>
      </c>
      <c r="C19" s="181" t="s">
        <v>17</v>
      </c>
      <c r="D19" s="182"/>
      <c r="E19" s="183" t="s">
        <v>20</v>
      </c>
      <c r="F19" s="73" t="s">
        <v>326</v>
      </c>
      <c r="G19" s="74" t="s">
        <v>112</v>
      </c>
      <c r="H19" s="75">
        <v>21</v>
      </c>
      <c r="I19" s="76">
        <v>15</v>
      </c>
      <c r="J19" s="96">
        <f>1+1+2+2+2+6+1+4+1</f>
        <v>20</v>
      </c>
      <c r="K19" s="77">
        <f>950.9+864.46+845.24+405.02+739.59+6850.57+12952.58+883.08</f>
        <v>24491.440000000002</v>
      </c>
      <c r="L19" s="77">
        <f>950.9+864.46+845.24+405.02+739.59+6850.57+12952.58+883.08</f>
        <v>24491.440000000002</v>
      </c>
      <c r="M19" s="78">
        <f t="shared" si="1"/>
        <v>0</v>
      </c>
      <c r="N19" s="100">
        <f>6+3+1+1+1+2+1+1</f>
        <v>16</v>
      </c>
      <c r="O19" s="81">
        <f>6681.33+7017+1523.5+9094.74+3532.32</f>
        <v>27848.89</v>
      </c>
      <c r="P19" s="81">
        <f>6681.33+7017+1523.5+9094.74+3532.32</f>
        <v>27848.89</v>
      </c>
      <c r="Q19" s="79">
        <f t="shared" si="2"/>
        <v>0</v>
      </c>
      <c r="R19" s="141"/>
    </row>
    <row r="20" spans="1:18" s="13" customFormat="1" x14ac:dyDescent="0.25">
      <c r="A20" s="229"/>
      <c r="B20" s="62" t="s">
        <v>24</v>
      </c>
      <c r="C20" s="181" t="s">
        <v>17</v>
      </c>
      <c r="D20" s="182"/>
      <c r="E20" s="183" t="s">
        <v>20</v>
      </c>
      <c r="F20" s="73" t="s">
        <v>327</v>
      </c>
      <c r="G20" s="74" t="s">
        <v>112</v>
      </c>
      <c r="H20" s="75">
        <v>7</v>
      </c>
      <c r="I20" s="76">
        <v>4</v>
      </c>
      <c r="J20" s="96">
        <f>3+1+1</f>
        <v>5</v>
      </c>
      <c r="K20" s="77">
        <f>1191.02</f>
        <v>1191.02</v>
      </c>
      <c r="L20" s="77">
        <f>1191.02</f>
        <v>1191.02</v>
      </c>
      <c r="M20" s="78">
        <f t="shared" si="1"/>
        <v>0</v>
      </c>
      <c r="N20" s="100">
        <f>1+1</f>
        <v>2</v>
      </c>
      <c r="O20" s="81">
        <f>576.3+1810.93</f>
        <v>2387.23</v>
      </c>
      <c r="P20" s="81">
        <f>576.3+1810.93</f>
        <v>2387.23</v>
      </c>
      <c r="Q20" s="232">
        <f t="shared" si="2"/>
        <v>0</v>
      </c>
      <c r="R20" s="141"/>
    </row>
    <row r="21" spans="1:18" s="13" customFormat="1" x14ac:dyDescent="0.25">
      <c r="A21" s="229"/>
      <c r="B21" s="62" t="s">
        <v>24</v>
      </c>
      <c r="C21" s="181" t="s">
        <v>17</v>
      </c>
      <c r="D21" s="182"/>
      <c r="E21" s="183" t="s">
        <v>20</v>
      </c>
      <c r="F21" s="73" t="s">
        <v>454</v>
      </c>
      <c r="G21" s="230" t="s">
        <v>114</v>
      </c>
      <c r="H21" s="181">
        <v>12</v>
      </c>
      <c r="I21" s="231"/>
      <c r="J21" s="190"/>
      <c r="K21" s="77"/>
      <c r="L21" s="77"/>
      <c r="M21" s="187">
        <f t="shared" si="1"/>
        <v>0</v>
      </c>
      <c r="N21" s="100">
        <v>16</v>
      </c>
      <c r="O21" s="224">
        <v>35336.5</v>
      </c>
      <c r="P21" s="224">
        <v>35336.5</v>
      </c>
      <c r="Q21" s="232">
        <f t="shared" si="2"/>
        <v>0</v>
      </c>
    </row>
    <row r="22" spans="1:18" s="13" customFormat="1" x14ac:dyDescent="0.25">
      <c r="A22" s="229"/>
      <c r="B22" s="62" t="s">
        <v>25</v>
      </c>
      <c r="C22" s="181" t="s">
        <v>17</v>
      </c>
      <c r="D22" s="182"/>
      <c r="E22" s="183" t="s">
        <v>20</v>
      </c>
      <c r="F22" s="73" t="s">
        <v>328</v>
      </c>
      <c r="G22" s="74" t="s">
        <v>112</v>
      </c>
      <c r="H22" s="75">
        <v>11</v>
      </c>
      <c r="I22" s="76">
        <v>7</v>
      </c>
      <c r="J22" s="96">
        <f>1+1+1+1+1+1+1</f>
        <v>7</v>
      </c>
      <c r="K22" s="173">
        <f>403.41+1605.6+3697.9+1204.2</f>
        <v>6911.11</v>
      </c>
      <c r="L22" s="173">
        <f>403.41+1605.6+3697.9</f>
        <v>5706.91</v>
      </c>
      <c r="M22" s="78">
        <f>K22-L22</f>
        <v>1204.1999999999998</v>
      </c>
      <c r="N22" s="100">
        <f>6+1+2+2+1</f>
        <v>12</v>
      </c>
      <c r="O22" s="81">
        <f>14526.7+5595.3+2440.62+2839.24</f>
        <v>25401.86</v>
      </c>
      <c r="P22" s="81">
        <f>14526.7+5595.3+2440.62+2839.24</f>
        <v>25401.86</v>
      </c>
      <c r="Q22" s="232">
        <f t="shared" si="2"/>
        <v>0</v>
      </c>
      <c r="R22" s="141"/>
    </row>
    <row r="23" spans="1:18" s="13" customFormat="1" x14ac:dyDescent="0.25">
      <c r="A23" s="229"/>
      <c r="B23" s="62" t="s">
        <v>25</v>
      </c>
      <c r="C23" s="181" t="s">
        <v>17</v>
      </c>
      <c r="D23" s="182"/>
      <c r="E23" s="183" t="s">
        <v>20</v>
      </c>
      <c r="F23" s="73" t="s">
        <v>455</v>
      </c>
      <c r="G23" s="230" t="s">
        <v>114</v>
      </c>
      <c r="H23" s="181">
        <v>6</v>
      </c>
      <c r="I23" s="231"/>
      <c r="J23" s="190"/>
      <c r="K23" s="77"/>
      <c r="L23" s="77"/>
      <c r="M23" s="187">
        <f t="shared" si="1"/>
        <v>0</v>
      </c>
      <c r="N23" s="100">
        <v>3</v>
      </c>
      <c r="O23" s="224">
        <v>7219.8</v>
      </c>
      <c r="P23" s="224">
        <v>7219.8</v>
      </c>
      <c r="Q23" s="232">
        <f t="shared" si="2"/>
        <v>0</v>
      </c>
    </row>
    <row r="24" spans="1:18" s="13" customFormat="1" x14ac:dyDescent="0.25">
      <c r="A24" s="229"/>
      <c r="B24" s="62" t="s">
        <v>26</v>
      </c>
      <c r="C24" s="181" t="s">
        <v>17</v>
      </c>
      <c r="D24" s="182"/>
      <c r="E24" s="183" t="s">
        <v>27</v>
      </c>
      <c r="F24" s="73" t="s">
        <v>329</v>
      </c>
      <c r="G24" s="74" t="s">
        <v>112</v>
      </c>
      <c r="H24" s="75">
        <v>16</v>
      </c>
      <c r="I24" s="76">
        <v>13</v>
      </c>
      <c r="J24" s="96">
        <f>2+2+4+1+4+1+1</f>
        <v>15</v>
      </c>
      <c r="K24" s="77">
        <f>845.24+1056.55+5121.1+26225.35+422.62+16490.35+1457.08</f>
        <v>51618.29</v>
      </c>
      <c r="L24" s="77">
        <f>845.24+1056.55+5121.1+26225.35+422.62+16490.35+1457.08</f>
        <v>51618.29</v>
      </c>
      <c r="M24" s="78">
        <f t="shared" si="1"/>
        <v>0</v>
      </c>
      <c r="N24" s="100">
        <f>6+1+1+2+1</f>
        <v>11</v>
      </c>
      <c r="O24" s="81">
        <f>17838.53+2535.75+7238.9</f>
        <v>27613.18</v>
      </c>
      <c r="P24" s="81">
        <f>17838.53+2535.75+7238.9</f>
        <v>27613.18</v>
      </c>
      <c r="Q24" s="232">
        <f t="shared" si="2"/>
        <v>0</v>
      </c>
      <c r="R24" s="141"/>
    </row>
    <row r="25" spans="1:18" s="15" customFormat="1" x14ac:dyDescent="0.25">
      <c r="A25" s="229"/>
      <c r="B25" s="62" t="s">
        <v>28</v>
      </c>
      <c r="C25" s="181" t="s">
        <v>17</v>
      </c>
      <c r="D25" s="182"/>
      <c r="E25" s="194" t="s">
        <v>29</v>
      </c>
      <c r="F25" s="73" t="s">
        <v>330</v>
      </c>
      <c r="G25" s="74" t="s">
        <v>112</v>
      </c>
      <c r="H25" s="75">
        <v>8</v>
      </c>
      <c r="I25" s="76">
        <v>8</v>
      </c>
      <c r="J25" s="96">
        <f>2+1+2+1+1+1</f>
        <v>8</v>
      </c>
      <c r="K25" s="77">
        <f>6135.14+2440.63+9722.07+968.96</f>
        <v>19266.8</v>
      </c>
      <c r="L25" s="77">
        <f>6135.14+2440.63+9722.07+968.96</f>
        <v>19266.8</v>
      </c>
      <c r="M25" s="78">
        <f t="shared" si="1"/>
        <v>0</v>
      </c>
      <c r="N25" s="100">
        <f>3+2+4+3+1+1</f>
        <v>14</v>
      </c>
      <c r="O25" s="81">
        <f>5310.83+4630.52+14679.01+36087.29+8956.5+10112.26</f>
        <v>79776.409999999989</v>
      </c>
      <c r="P25" s="81">
        <f>5310.83+4630.52+14679.01+36087.29+8956.5</f>
        <v>69664.149999999994</v>
      </c>
      <c r="Q25" s="232">
        <f t="shared" si="2"/>
        <v>10112.259999999995</v>
      </c>
      <c r="R25" s="141"/>
    </row>
    <row r="26" spans="1:18" s="15" customFormat="1" x14ac:dyDescent="0.25">
      <c r="A26" s="229"/>
      <c r="B26" s="62" t="s">
        <v>28</v>
      </c>
      <c r="C26" s="181" t="s">
        <v>17</v>
      </c>
      <c r="D26" s="182"/>
      <c r="E26" s="194" t="s">
        <v>29</v>
      </c>
      <c r="F26" s="73" t="s">
        <v>420</v>
      </c>
      <c r="G26" s="235" t="s">
        <v>117</v>
      </c>
      <c r="H26" s="181">
        <v>2</v>
      </c>
      <c r="I26" s="231"/>
      <c r="J26" s="96"/>
      <c r="K26" s="77"/>
      <c r="L26" s="77"/>
      <c r="M26" s="78">
        <f t="shared" si="1"/>
        <v>0</v>
      </c>
      <c r="N26" s="100">
        <v>2</v>
      </c>
      <c r="O26" s="224">
        <v>2766.24</v>
      </c>
      <c r="P26" s="224">
        <v>2766.24</v>
      </c>
      <c r="Q26" s="79">
        <f t="shared" si="2"/>
        <v>0</v>
      </c>
    </row>
    <row r="27" spans="1:18" s="15" customFormat="1" x14ac:dyDescent="0.25">
      <c r="A27" s="229"/>
      <c r="B27" s="233" t="s">
        <v>500</v>
      </c>
      <c r="C27" s="181" t="s">
        <v>17</v>
      </c>
      <c r="D27" s="182"/>
      <c r="E27" s="194"/>
      <c r="F27" s="73" t="s">
        <v>503</v>
      </c>
      <c r="G27" s="235" t="s">
        <v>112</v>
      </c>
      <c r="H27" s="181">
        <v>20</v>
      </c>
      <c r="I27" s="231">
        <v>13</v>
      </c>
      <c r="J27" s="96">
        <f>2+2+2+1+3+5</f>
        <v>15</v>
      </c>
      <c r="K27" s="77">
        <f>1202.51+3555.1+602.1+708.47</f>
        <v>6068.18</v>
      </c>
      <c r="L27" s="77">
        <f>1202.51+3555.1+602.1+708.47</f>
        <v>6068.18</v>
      </c>
      <c r="M27" s="78">
        <f t="shared" si="1"/>
        <v>0</v>
      </c>
      <c r="N27" s="100"/>
      <c r="O27" s="224"/>
      <c r="P27" s="224"/>
      <c r="Q27" s="79">
        <f t="shared" si="2"/>
        <v>0</v>
      </c>
    </row>
    <row r="28" spans="1:18" s="13" customFormat="1" x14ac:dyDescent="0.25">
      <c r="A28" s="229"/>
      <c r="B28" s="27" t="s">
        <v>30</v>
      </c>
      <c r="C28" s="181" t="s">
        <v>17</v>
      </c>
      <c r="D28" s="182"/>
      <c r="E28" s="194" t="s">
        <v>21</v>
      </c>
      <c r="F28" s="73" t="s">
        <v>333</v>
      </c>
      <c r="G28" s="74" t="s">
        <v>112</v>
      </c>
      <c r="H28" s="75">
        <v>17</v>
      </c>
      <c r="I28" s="76">
        <v>13</v>
      </c>
      <c r="J28" s="96">
        <f>3+1+3+1+4+1+1+2</f>
        <v>16</v>
      </c>
      <c r="K28" s="77">
        <f>16637.24+1045.98+2789.73</f>
        <v>20472.95</v>
      </c>
      <c r="L28" s="77">
        <f>16637.24+1045.98+2789.73</f>
        <v>20472.95</v>
      </c>
      <c r="M28" s="78">
        <f t="shared" si="1"/>
        <v>0</v>
      </c>
      <c r="N28" s="100">
        <f>9+1+3+1+1+1+2+1+1+2</f>
        <v>22</v>
      </c>
      <c r="O28" s="81">
        <f>77047.8+15703.07+7288.94</f>
        <v>100039.81</v>
      </c>
      <c r="P28" s="81">
        <f>77047.8+15703.07+7288.94</f>
        <v>100039.81</v>
      </c>
      <c r="Q28" s="79">
        <f>O28-P28</f>
        <v>0</v>
      </c>
      <c r="R28" s="141"/>
    </row>
    <row r="29" spans="1:18" s="13" customFormat="1" x14ac:dyDescent="0.25">
      <c r="A29" s="229"/>
      <c r="B29" s="27" t="s">
        <v>491</v>
      </c>
      <c r="C29" s="181" t="s">
        <v>17</v>
      </c>
      <c r="D29" s="182"/>
      <c r="E29" s="183" t="s">
        <v>20</v>
      </c>
      <c r="F29" s="73" t="s">
        <v>495</v>
      </c>
      <c r="G29" s="74" t="s">
        <v>112</v>
      </c>
      <c r="H29" s="75">
        <v>10</v>
      </c>
      <c r="I29" s="76">
        <v>6</v>
      </c>
      <c r="J29" s="96">
        <f>2+2+1+1</f>
        <v>6</v>
      </c>
      <c r="K29" s="77">
        <f>1727.9+2093.89+728.54</f>
        <v>4550.33</v>
      </c>
      <c r="L29" s="77">
        <f>1727.9+2093.89+728.54</f>
        <v>4550.33</v>
      </c>
      <c r="M29" s="78">
        <f t="shared" si="1"/>
        <v>0</v>
      </c>
      <c r="N29" s="100"/>
      <c r="O29" s="81"/>
      <c r="P29" s="81"/>
      <c r="Q29" s="79">
        <f t="shared" si="2"/>
        <v>0</v>
      </c>
      <c r="R29" s="141"/>
    </row>
    <row r="30" spans="1:18" s="13" customFormat="1" x14ac:dyDescent="0.25">
      <c r="A30" s="229"/>
      <c r="B30" s="27" t="s">
        <v>491</v>
      </c>
      <c r="C30" s="181" t="s">
        <v>17</v>
      </c>
      <c r="D30" s="182"/>
      <c r="E30" s="183" t="s">
        <v>20</v>
      </c>
      <c r="F30" s="73" t="s">
        <v>504</v>
      </c>
      <c r="G30" s="74" t="s">
        <v>114</v>
      </c>
      <c r="H30" s="75">
        <v>7</v>
      </c>
      <c r="I30" s="76">
        <v>1</v>
      </c>
      <c r="J30" s="96">
        <v>1</v>
      </c>
      <c r="K30" s="77">
        <v>1267.8599999999999</v>
      </c>
      <c r="L30" s="77">
        <v>1267.8599999999999</v>
      </c>
      <c r="M30" s="187">
        <f t="shared" si="1"/>
        <v>0</v>
      </c>
      <c r="N30" s="100"/>
      <c r="O30" s="81"/>
      <c r="P30" s="81"/>
      <c r="Q30" s="232">
        <f t="shared" si="2"/>
        <v>0</v>
      </c>
      <c r="R30" s="141"/>
    </row>
    <row r="31" spans="1:18" s="13" customFormat="1" x14ac:dyDescent="0.25">
      <c r="A31" s="229"/>
      <c r="B31" s="27" t="s">
        <v>491</v>
      </c>
      <c r="C31" s="181" t="s">
        <v>17</v>
      </c>
      <c r="D31" s="182"/>
      <c r="E31" s="183"/>
      <c r="F31" s="73" t="s">
        <v>510</v>
      </c>
      <c r="G31" s="235" t="s">
        <v>117</v>
      </c>
      <c r="H31" s="75">
        <v>1</v>
      </c>
      <c r="I31" s="76"/>
      <c r="J31" s="96"/>
      <c r="K31" s="77"/>
      <c r="L31" s="77"/>
      <c r="M31" s="187">
        <f t="shared" si="1"/>
        <v>0</v>
      </c>
      <c r="N31" s="100"/>
      <c r="O31" s="81"/>
      <c r="P31" s="81"/>
      <c r="Q31" s="232">
        <f t="shared" si="2"/>
        <v>0</v>
      </c>
      <c r="R31" s="141"/>
    </row>
    <row r="32" spans="1:18" s="13" customFormat="1" x14ac:dyDescent="0.25">
      <c r="A32" s="229"/>
      <c r="B32" s="30" t="s">
        <v>31</v>
      </c>
      <c r="C32" s="181" t="s">
        <v>17</v>
      </c>
      <c r="D32" s="182"/>
      <c r="E32" s="183" t="s">
        <v>32</v>
      </c>
      <c r="F32" s="73" t="s">
        <v>331</v>
      </c>
      <c r="G32" s="74" t="s">
        <v>112</v>
      </c>
      <c r="H32" s="75">
        <v>13</v>
      </c>
      <c r="I32" s="76">
        <v>10</v>
      </c>
      <c r="J32" s="96">
        <f>1+2+3+1+4+3</f>
        <v>14</v>
      </c>
      <c r="K32" s="77">
        <f>633.93+1045.98+5377.62+950.9+6004.09+4598.82+8410.14</f>
        <v>27021.48</v>
      </c>
      <c r="L32" s="77">
        <f>633.93+1045.98+5377.62+950.9+6004.09+4598.82+8410.14</f>
        <v>27021.48</v>
      </c>
      <c r="M32" s="187">
        <f t="shared" si="1"/>
        <v>0</v>
      </c>
      <c r="N32" s="100">
        <f>1+3+3+1+1+2+1</f>
        <v>12</v>
      </c>
      <c r="O32" s="81">
        <f>2299.8+15239.58+6152.75+2720.49+1483.38+7043.49+11175.04</f>
        <v>46114.530000000006</v>
      </c>
      <c r="P32" s="81">
        <f>2299.8+15239.58+6152.75+2720.49+1483.38+7043.49+11175.04</f>
        <v>46114.530000000006</v>
      </c>
      <c r="Q32" s="232">
        <f t="shared" si="2"/>
        <v>0</v>
      </c>
      <c r="R32" s="141"/>
    </row>
    <row r="33" spans="1:18" s="13" customFormat="1" x14ac:dyDescent="0.25">
      <c r="A33" s="229"/>
      <c r="B33" s="30" t="s">
        <v>31</v>
      </c>
      <c r="C33" s="181" t="s">
        <v>17</v>
      </c>
      <c r="D33" s="182"/>
      <c r="E33" s="183" t="s">
        <v>32</v>
      </c>
      <c r="F33" s="73" t="s">
        <v>422</v>
      </c>
      <c r="G33" s="235" t="s">
        <v>117</v>
      </c>
      <c r="H33" s="181">
        <v>12</v>
      </c>
      <c r="I33" s="231">
        <v>3</v>
      </c>
      <c r="J33" s="96">
        <v>3</v>
      </c>
      <c r="K33" s="77">
        <v>7586.5</v>
      </c>
      <c r="L33" s="77">
        <v>7586.5</v>
      </c>
      <c r="M33" s="187">
        <f t="shared" si="1"/>
        <v>0</v>
      </c>
      <c r="N33" s="100">
        <v>10</v>
      </c>
      <c r="O33" s="77">
        <v>21507.42</v>
      </c>
      <c r="P33" s="77">
        <v>20403.57</v>
      </c>
      <c r="Q33" s="232">
        <f t="shared" si="2"/>
        <v>1103.8499999999985</v>
      </c>
    </row>
    <row r="34" spans="1:18" s="15" customFormat="1" x14ac:dyDescent="0.25">
      <c r="A34" s="229"/>
      <c r="B34" s="62" t="s">
        <v>33</v>
      </c>
      <c r="C34" s="181" t="s">
        <v>17</v>
      </c>
      <c r="D34" s="182"/>
      <c r="E34" s="183" t="s">
        <v>20</v>
      </c>
      <c r="F34" s="73" t="s">
        <v>332</v>
      </c>
      <c r="G34" s="74" t="s">
        <v>112</v>
      </c>
      <c r="H34" s="75">
        <v>11</v>
      </c>
      <c r="I34" s="76">
        <v>7</v>
      </c>
      <c r="J34" s="96">
        <f>1+1+1+1+1+2+1</f>
        <v>8</v>
      </c>
      <c r="K34" s="77">
        <f>845.245+5363.43+5912.72+845.24+12887.16+2852.15+6514.08</f>
        <v>35220.025000000001</v>
      </c>
      <c r="L34" s="77">
        <f>845.245+5363.43+5912.72+845.24+12887.16+2852.15+6514.08</f>
        <v>35220.025000000001</v>
      </c>
      <c r="M34" s="78">
        <f>K34-L34</f>
        <v>0</v>
      </c>
      <c r="N34" s="100">
        <f>2+1+1+1+1+2+1+1</f>
        <v>10</v>
      </c>
      <c r="O34" s="81">
        <f>845.24+1613.64+3380.96+3639.33+1152.6</f>
        <v>10631.77</v>
      </c>
      <c r="P34" s="81">
        <f>845.24+1613.64+3380.96+3639.33+1152.6</f>
        <v>10631.77</v>
      </c>
      <c r="Q34" s="79">
        <f t="shared" si="2"/>
        <v>0</v>
      </c>
      <c r="R34" s="141"/>
    </row>
    <row r="35" spans="1:18" s="15" customFormat="1" x14ac:dyDescent="0.25">
      <c r="A35" s="229"/>
      <c r="B35" s="62" t="s">
        <v>33</v>
      </c>
      <c r="C35" s="181" t="s">
        <v>17</v>
      </c>
      <c r="D35" s="182"/>
      <c r="E35" s="183" t="s">
        <v>20</v>
      </c>
      <c r="F35" s="73" t="s">
        <v>481</v>
      </c>
      <c r="G35" s="230" t="s">
        <v>114</v>
      </c>
      <c r="H35" s="181">
        <v>7</v>
      </c>
      <c r="I35" s="231"/>
      <c r="J35" s="190"/>
      <c r="K35" s="77"/>
      <c r="L35" s="77"/>
      <c r="M35" s="187">
        <f t="shared" si="1"/>
        <v>0</v>
      </c>
      <c r="N35" s="100">
        <v>15</v>
      </c>
      <c r="O35" s="224">
        <v>43782.74</v>
      </c>
      <c r="P35" s="224">
        <v>43782.74</v>
      </c>
      <c r="Q35" s="232">
        <f t="shared" si="2"/>
        <v>0</v>
      </c>
    </row>
    <row r="36" spans="1:18" s="15" customFormat="1" x14ac:dyDescent="0.25">
      <c r="A36" s="229"/>
      <c r="B36" s="62" t="s">
        <v>147</v>
      </c>
      <c r="C36" s="181" t="s">
        <v>17</v>
      </c>
      <c r="D36" s="182"/>
      <c r="E36" s="183" t="s">
        <v>29</v>
      </c>
      <c r="F36" s="73" t="s">
        <v>334</v>
      </c>
      <c r="G36" s="74" t="s">
        <v>112</v>
      </c>
      <c r="H36" s="75">
        <v>8</v>
      </c>
      <c r="I36" s="234">
        <v>4</v>
      </c>
      <c r="J36" s="96">
        <f>1+1+2+1</f>
        <v>5</v>
      </c>
      <c r="K36" s="77">
        <f>1854.88+2824.48+3058.67</f>
        <v>7738.0300000000007</v>
      </c>
      <c r="L36" s="77">
        <f>1854.88+2824.48+3058.67</f>
        <v>7738.0300000000007</v>
      </c>
      <c r="M36" s="78">
        <f>K36-L36</f>
        <v>0</v>
      </c>
      <c r="N36" s="114">
        <f>1+1+1</f>
        <v>3</v>
      </c>
      <c r="O36" s="81">
        <f>1394.65+2473.17+1961.49</f>
        <v>5829.31</v>
      </c>
      <c r="P36" s="81">
        <f>1394.65+2473.17+1961.49</f>
        <v>5829.31</v>
      </c>
      <c r="Q36" s="79">
        <f t="shared" si="2"/>
        <v>0</v>
      </c>
      <c r="R36" s="141"/>
    </row>
    <row r="37" spans="1:18" s="15" customFormat="1" x14ac:dyDescent="0.25">
      <c r="A37" s="229"/>
      <c r="B37" s="233" t="s">
        <v>147</v>
      </c>
      <c r="C37" s="181" t="s">
        <v>17</v>
      </c>
      <c r="D37" s="182"/>
      <c r="E37" s="183" t="s">
        <v>29</v>
      </c>
      <c r="F37" s="73" t="s">
        <v>423</v>
      </c>
      <c r="G37" s="230" t="s">
        <v>117</v>
      </c>
      <c r="H37" s="181">
        <v>7</v>
      </c>
      <c r="I37" s="231">
        <v>4</v>
      </c>
      <c r="J37" s="96">
        <v>4</v>
      </c>
      <c r="K37" s="77">
        <v>6847.1</v>
      </c>
      <c r="L37" s="77">
        <v>6847.1</v>
      </c>
      <c r="M37" s="187">
        <f t="shared" si="1"/>
        <v>0</v>
      </c>
      <c r="N37" s="100">
        <v>4</v>
      </c>
      <c r="O37" s="224">
        <v>4706.45</v>
      </c>
      <c r="P37" s="224">
        <v>4706.45</v>
      </c>
      <c r="Q37" s="232">
        <f t="shared" si="2"/>
        <v>0</v>
      </c>
    </row>
    <row r="38" spans="1:18" s="13" customFormat="1" x14ac:dyDescent="0.25">
      <c r="A38" s="229"/>
      <c r="B38" s="62" t="s">
        <v>34</v>
      </c>
      <c r="C38" s="181" t="s">
        <v>17</v>
      </c>
      <c r="D38" s="182"/>
      <c r="E38" s="194" t="s">
        <v>35</v>
      </c>
      <c r="F38" s="73" t="s">
        <v>335</v>
      </c>
      <c r="G38" s="74" t="s">
        <v>112</v>
      </c>
      <c r="H38" s="75">
        <v>29</v>
      </c>
      <c r="I38" s="76">
        <v>17</v>
      </c>
      <c r="J38" s="96">
        <f>4+2+2+7+4+1</f>
        <v>20</v>
      </c>
      <c r="K38" s="77">
        <f>8288.4+1267.86+845.24+13964.6+11418.26+11175.62</f>
        <v>46959.98</v>
      </c>
      <c r="L38" s="77">
        <f>8288.4+1267.86+845.24+13964.6+11418.26</f>
        <v>35784.36</v>
      </c>
      <c r="M38" s="78">
        <f>K38-L38</f>
        <v>11175.620000000003</v>
      </c>
      <c r="N38" s="100">
        <f>4+4+6+1+3+1+3+1+2+1</f>
        <v>26</v>
      </c>
      <c r="O38" s="81">
        <f>23915.04+21171.88+6399.1+11460.81+1501.24</f>
        <v>64448.069999999992</v>
      </c>
      <c r="P38" s="81">
        <f>23915.04+21171.88+6399.1+11460.81+1501.24</f>
        <v>64448.069999999992</v>
      </c>
      <c r="Q38" s="79">
        <f t="shared" si="2"/>
        <v>0</v>
      </c>
      <c r="R38" s="141"/>
    </row>
    <row r="39" spans="1:18" s="13" customFormat="1" x14ac:dyDescent="0.25">
      <c r="A39" s="229"/>
      <c r="B39" s="62" t="s">
        <v>34</v>
      </c>
      <c r="C39" s="181" t="s">
        <v>17</v>
      </c>
      <c r="D39" s="182"/>
      <c r="E39" s="194" t="s">
        <v>35</v>
      </c>
      <c r="F39" s="73" t="s">
        <v>424</v>
      </c>
      <c r="G39" s="235" t="s">
        <v>117</v>
      </c>
      <c r="H39" s="181">
        <v>2</v>
      </c>
      <c r="I39" s="231">
        <v>1</v>
      </c>
      <c r="J39" s="96">
        <v>2</v>
      </c>
      <c r="K39" s="77">
        <v>3842</v>
      </c>
      <c r="L39" s="77">
        <v>3842</v>
      </c>
      <c r="M39" s="187">
        <f t="shared" si="1"/>
        <v>0</v>
      </c>
      <c r="N39" s="100">
        <v>3</v>
      </c>
      <c r="O39" s="224">
        <v>9220.7999999999993</v>
      </c>
      <c r="P39" s="224">
        <v>9220.7999999999993</v>
      </c>
      <c r="Q39" s="232">
        <f t="shared" si="2"/>
        <v>0</v>
      </c>
    </row>
    <row r="40" spans="1:18" s="13" customFormat="1" x14ac:dyDescent="0.25">
      <c r="A40" s="229"/>
      <c r="B40" s="27" t="s">
        <v>36</v>
      </c>
      <c r="C40" s="181" t="s">
        <v>17</v>
      </c>
      <c r="D40" s="182"/>
      <c r="E40" s="194" t="s">
        <v>32</v>
      </c>
      <c r="F40" s="73" t="s">
        <v>336</v>
      </c>
      <c r="G40" s="74" t="s">
        <v>112</v>
      </c>
      <c r="H40" s="75">
        <v>24</v>
      </c>
      <c r="I40" s="76">
        <v>15</v>
      </c>
      <c r="J40" s="96">
        <f>1+3+4+2+2+7</f>
        <v>19</v>
      </c>
      <c r="K40" s="77">
        <f>2091.97+4201.22+3643.94+998.92+6188.59</f>
        <v>17124.64</v>
      </c>
      <c r="L40" s="77">
        <f>2091.97+4201.22+3643.94+998.92+6188.59</f>
        <v>17124.64</v>
      </c>
      <c r="M40" s="78">
        <f t="shared" si="1"/>
        <v>0</v>
      </c>
      <c r="N40" s="100">
        <f>4+2+5+1+1+4+1+1</f>
        <v>19</v>
      </c>
      <c r="O40" s="81">
        <f>26828.22+3116.2+14162+4691+13237.22+22342.31</f>
        <v>84376.95</v>
      </c>
      <c r="P40" s="81">
        <f>26828.22+3116.2+14162+4691+13237.22+22342.31</f>
        <v>84376.95</v>
      </c>
      <c r="Q40" s="79">
        <f t="shared" si="2"/>
        <v>0</v>
      </c>
      <c r="R40" s="141"/>
    </row>
    <row r="41" spans="1:18" s="13" customFormat="1" x14ac:dyDescent="0.25">
      <c r="A41" s="229"/>
      <c r="B41" s="27" t="s">
        <v>38</v>
      </c>
      <c r="C41" s="181" t="s">
        <v>17</v>
      </c>
      <c r="D41" s="182"/>
      <c r="E41" s="183" t="s">
        <v>20</v>
      </c>
      <c r="F41" s="73" t="s">
        <v>338</v>
      </c>
      <c r="G41" s="74" t="s">
        <v>112</v>
      </c>
      <c r="H41" s="75">
        <v>40</v>
      </c>
      <c r="I41" s="76">
        <v>31</v>
      </c>
      <c r="J41" s="96">
        <f>5+9+3+4+4+2+3+3+11</f>
        <v>44</v>
      </c>
      <c r="K41" s="77">
        <f>4427.07+14262.52+23391.74+11108.38+9141.17+3923.07+23674.29</f>
        <v>89928.239999999991</v>
      </c>
      <c r="L41" s="77">
        <f>4427.07+14262.52+23391.74+11108.38+9141.17+3923.07+23674.29</f>
        <v>89928.239999999991</v>
      </c>
      <c r="M41" s="78">
        <f t="shared" si="1"/>
        <v>0</v>
      </c>
      <c r="N41" s="100">
        <f>1+14+2+2+2+3+1</f>
        <v>25</v>
      </c>
      <c r="O41" s="81">
        <f>34449.99+27363.78+23604.86+16739.26+15240.34+16003.48</f>
        <v>133401.71</v>
      </c>
      <c r="P41" s="81">
        <f>34449.99+27363.78+23604.86+16739.26+15240.34+16003.48</f>
        <v>133401.71</v>
      </c>
      <c r="Q41" s="79">
        <f t="shared" si="2"/>
        <v>0</v>
      </c>
      <c r="R41" s="141"/>
    </row>
    <row r="42" spans="1:18" s="13" customFormat="1" x14ac:dyDescent="0.25">
      <c r="A42" s="229"/>
      <c r="B42" s="27" t="s">
        <v>38</v>
      </c>
      <c r="C42" s="181" t="s">
        <v>17</v>
      </c>
      <c r="D42" s="182"/>
      <c r="E42" s="183" t="s">
        <v>20</v>
      </c>
      <c r="F42" s="73" t="s">
        <v>268</v>
      </c>
      <c r="G42" s="230" t="s">
        <v>114</v>
      </c>
      <c r="H42" s="181"/>
      <c r="I42" s="231"/>
      <c r="J42" s="190"/>
      <c r="K42" s="77"/>
      <c r="L42" s="77"/>
      <c r="M42" s="187">
        <f t="shared" si="1"/>
        <v>0</v>
      </c>
      <c r="N42" s="100"/>
      <c r="O42" s="224"/>
      <c r="P42" s="224"/>
      <c r="Q42" s="232">
        <f t="shared" si="2"/>
        <v>0</v>
      </c>
    </row>
    <row r="43" spans="1:18" s="13" customFormat="1" x14ac:dyDescent="0.25">
      <c r="A43" s="229"/>
      <c r="B43" s="27" t="s">
        <v>38</v>
      </c>
      <c r="C43" s="181" t="s">
        <v>17</v>
      </c>
      <c r="D43" s="182"/>
      <c r="E43" s="183" t="s">
        <v>18</v>
      </c>
      <c r="F43" s="73" t="s">
        <v>324</v>
      </c>
      <c r="G43" s="230" t="s">
        <v>116</v>
      </c>
      <c r="H43" s="181">
        <v>3</v>
      </c>
      <c r="I43" s="231">
        <v>3</v>
      </c>
      <c r="J43" s="190">
        <v>3</v>
      </c>
      <c r="K43" s="77">
        <v>4098</v>
      </c>
      <c r="L43" s="77">
        <v>4098</v>
      </c>
      <c r="M43" s="187">
        <f t="shared" si="1"/>
        <v>0</v>
      </c>
      <c r="N43" s="100"/>
      <c r="O43" s="224"/>
      <c r="P43" s="224"/>
      <c r="Q43" s="232">
        <f t="shared" si="2"/>
        <v>0</v>
      </c>
    </row>
    <row r="44" spans="1:18" s="13" customFormat="1" x14ac:dyDescent="0.25">
      <c r="A44" s="229"/>
      <c r="B44" s="62" t="s">
        <v>39</v>
      </c>
      <c r="C44" s="181" t="s">
        <v>17</v>
      </c>
      <c r="D44" s="182"/>
      <c r="E44" s="183" t="s">
        <v>20</v>
      </c>
      <c r="F44" s="73" t="s">
        <v>269</v>
      </c>
      <c r="G44" s="230" t="s">
        <v>114</v>
      </c>
      <c r="H44" s="181"/>
      <c r="I44" s="231"/>
      <c r="J44" s="190"/>
      <c r="K44" s="77"/>
      <c r="L44" s="77"/>
      <c r="M44" s="187">
        <f t="shared" si="1"/>
        <v>0</v>
      </c>
      <c r="N44" s="100"/>
      <c r="O44" s="224"/>
      <c r="P44" s="224"/>
      <c r="Q44" s="232">
        <f t="shared" si="2"/>
        <v>0</v>
      </c>
    </row>
    <row r="45" spans="1:18" s="13" customFormat="1" x14ac:dyDescent="0.25">
      <c r="A45" s="229"/>
      <c r="B45" s="27" t="s">
        <v>40</v>
      </c>
      <c r="C45" s="181" t="s">
        <v>17</v>
      </c>
      <c r="D45" s="182"/>
      <c r="E45" s="194" t="s">
        <v>41</v>
      </c>
      <c r="F45" s="73" t="s">
        <v>339</v>
      </c>
      <c r="G45" s="74" t="s">
        <v>112</v>
      </c>
      <c r="H45" s="75">
        <v>22</v>
      </c>
      <c r="I45" s="76">
        <v>18</v>
      </c>
      <c r="J45" s="96">
        <f>1+1+3+9+4+4+3+2+1+1+2</f>
        <v>31</v>
      </c>
      <c r="K45" s="77">
        <f>1045.98+3271.86+15658.52+8166.35+6035.99+8024.36+2759.63+3460.61+3962.12</f>
        <v>52385.42</v>
      </c>
      <c r="L45" s="77">
        <f>1045.98+3271.86+15658.52+8166.35+6035.99+8024.36+2759.63+3460.61</f>
        <v>48423.299999999996</v>
      </c>
      <c r="M45" s="78">
        <f>K45-L45</f>
        <v>3962.1200000000026</v>
      </c>
      <c r="N45" s="100">
        <f>3+13+6+5+4+2+1+1</f>
        <v>35</v>
      </c>
      <c r="O45" s="81">
        <f>17269.31+39990.78+16582.12+23492.44+7068.31+4243.84</f>
        <v>108646.79999999999</v>
      </c>
      <c r="P45" s="81">
        <f>17269.31+39990.78+16582.12+23492.44+7068.31+4243.84</f>
        <v>108646.79999999999</v>
      </c>
      <c r="Q45" s="79">
        <f t="shared" si="2"/>
        <v>0</v>
      </c>
      <c r="R45" s="141"/>
    </row>
    <row r="46" spans="1:18" s="13" customFormat="1" x14ac:dyDescent="0.25">
      <c r="A46" s="229"/>
      <c r="B46" s="27" t="s">
        <v>40</v>
      </c>
      <c r="C46" s="181" t="s">
        <v>17</v>
      </c>
      <c r="D46" s="182"/>
      <c r="E46" s="194" t="s">
        <v>41</v>
      </c>
      <c r="F46" s="73" t="s">
        <v>482</v>
      </c>
      <c r="G46" s="230" t="s">
        <v>114</v>
      </c>
      <c r="H46" s="181"/>
      <c r="I46" s="231"/>
      <c r="J46" s="190"/>
      <c r="K46" s="77"/>
      <c r="L46" s="77"/>
      <c r="M46" s="187">
        <f t="shared" si="1"/>
        <v>0</v>
      </c>
      <c r="N46" s="100">
        <v>1</v>
      </c>
      <c r="O46" s="224">
        <v>3073.6</v>
      </c>
      <c r="P46" s="224">
        <f>3073.6</f>
        <v>3073.6</v>
      </c>
      <c r="Q46" s="232">
        <f t="shared" si="2"/>
        <v>0</v>
      </c>
    </row>
    <row r="47" spans="1:18" s="13" customFormat="1" x14ac:dyDescent="0.25">
      <c r="A47" s="229"/>
      <c r="B47" s="27" t="s">
        <v>148</v>
      </c>
      <c r="C47" s="181" t="s">
        <v>17</v>
      </c>
      <c r="D47" s="182"/>
      <c r="E47" s="183" t="s">
        <v>20</v>
      </c>
      <c r="F47" s="73" t="s">
        <v>340</v>
      </c>
      <c r="G47" s="74" t="s">
        <v>112</v>
      </c>
      <c r="H47" s="75">
        <v>17</v>
      </c>
      <c r="I47" s="82">
        <v>12</v>
      </c>
      <c r="J47" s="96">
        <f>1+2+1+4+4+2</f>
        <v>14</v>
      </c>
      <c r="K47" s="77">
        <f>537.88+2110.03+6723.98+8914.21+1204.2</f>
        <v>19490.3</v>
      </c>
      <c r="L47" s="77">
        <f>537.88+2110.03+6723.98+8914.21+1204.2</f>
        <v>19490.3</v>
      </c>
      <c r="M47" s="78">
        <f>K47-L47</f>
        <v>0</v>
      </c>
      <c r="N47" s="100">
        <f>6+5+3+1+1+1+1</f>
        <v>18</v>
      </c>
      <c r="O47" s="81">
        <f>9370.6+9456.38+8868.69+5367.27+11572.62</f>
        <v>44635.560000000005</v>
      </c>
      <c r="P47" s="81">
        <f>9370.6+9456.38+8868.69+5367.27+11572.62</f>
        <v>44635.560000000005</v>
      </c>
      <c r="Q47" s="79">
        <f t="shared" si="2"/>
        <v>0</v>
      </c>
      <c r="R47" s="141"/>
    </row>
    <row r="48" spans="1:18" s="13" customFormat="1" x14ac:dyDescent="0.25">
      <c r="A48" s="229"/>
      <c r="B48" s="27" t="s">
        <v>148</v>
      </c>
      <c r="C48" s="181" t="s">
        <v>17</v>
      </c>
      <c r="D48" s="182"/>
      <c r="E48" s="194" t="s">
        <v>32</v>
      </c>
      <c r="F48" s="73" t="s">
        <v>425</v>
      </c>
      <c r="G48" s="230" t="s">
        <v>117</v>
      </c>
      <c r="H48" s="181">
        <v>11</v>
      </c>
      <c r="I48" s="231">
        <v>2</v>
      </c>
      <c r="J48" s="96">
        <v>2</v>
      </c>
      <c r="K48" s="77">
        <v>5760.1</v>
      </c>
      <c r="L48" s="77">
        <v>5760.1</v>
      </c>
      <c r="M48" s="187">
        <f t="shared" si="1"/>
        <v>0</v>
      </c>
      <c r="N48" s="100">
        <v>4</v>
      </c>
      <c r="O48" s="224">
        <v>12851.49</v>
      </c>
      <c r="P48" s="224">
        <v>12851.49</v>
      </c>
      <c r="Q48" s="232">
        <f t="shared" si="2"/>
        <v>0</v>
      </c>
    </row>
    <row r="49" spans="1:18" s="13" customFormat="1" x14ac:dyDescent="0.25">
      <c r="A49" s="229"/>
      <c r="B49" s="30" t="s">
        <v>42</v>
      </c>
      <c r="C49" s="181" t="s">
        <v>17</v>
      </c>
      <c r="D49" s="182"/>
      <c r="E49" s="183" t="s">
        <v>23</v>
      </c>
      <c r="F49" s="73" t="s">
        <v>341</v>
      </c>
      <c r="G49" s="74" t="s">
        <v>112</v>
      </c>
      <c r="H49" s="75">
        <v>36</v>
      </c>
      <c r="I49" s="76">
        <v>30</v>
      </c>
      <c r="J49" s="96">
        <f>5+3+5+3+8+3+8+5</f>
        <v>40</v>
      </c>
      <c r="K49" s="77">
        <f>7156.22+3849.11+8154.25+4149.36+15912.38+18649.91</f>
        <v>57871.229999999996</v>
      </c>
      <c r="L49" s="77">
        <f>7156.22+3849.11+8154.25+4149.36+15912.38+18649.91</f>
        <v>57871.229999999996</v>
      </c>
      <c r="M49" s="78">
        <f>K49-L49</f>
        <v>0</v>
      </c>
      <c r="N49" s="100">
        <f>4+6+9+2+4+2+2+3+3+2</f>
        <v>37</v>
      </c>
      <c r="O49" s="81">
        <f>5364.2+26170.88+2849.25+18965.6+9565.56+9423.5+18214.56</f>
        <v>90553.549999999988</v>
      </c>
      <c r="P49" s="81">
        <f>5364.2+26170.88+2849.25+18965.6+9565.56+9423.5+18214.56</f>
        <v>90553.549999999988</v>
      </c>
      <c r="Q49" s="79">
        <f t="shared" si="2"/>
        <v>0</v>
      </c>
      <c r="R49" s="141"/>
    </row>
    <row r="50" spans="1:18" s="13" customFormat="1" x14ac:dyDescent="0.25">
      <c r="A50" s="229"/>
      <c r="B50" s="30" t="s">
        <v>42</v>
      </c>
      <c r="C50" s="181" t="s">
        <v>17</v>
      </c>
      <c r="D50" s="182"/>
      <c r="E50" s="183" t="s">
        <v>23</v>
      </c>
      <c r="F50" s="73" t="s">
        <v>437</v>
      </c>
      <c r="G50" s="230" t="s">
        <v>118</v>
      </c>
      <c r="H50" s="181">
        <v>2</v>
      </c>
      <c r="I50" s="231"/>
      <c r="J50" s="96"/>
      <c r="K50" s="77"/>
      <c r="L50" s="77"/>
      <c r="M50" s="187">
        <f t="shared" si="1"/>
        <v>0</v>
      </c>
      <c r="N50" s="100">
        <v>1</v>
      </c>
      <c r="O50" s="224">
        <v>7766.4</v>
      </c>
      <c r="P50" s="224">
        <v>7766.4</v>
      </c>
      <c r="Q50" s="232">
        <f t="shared" si="2"/>
        <v>0</v>
      </c>
    </row>
    <row r="51" spans="1:18" s="13" customFormat="1" x14ac:dyDescent="0.25">
      <c r="A51" s="229"/>
      <c r="B51" s="30" t="s">
        <v>173</v>
      </c>
      <c r="C51" s="181" t="s">
        <v>17</v>
      </c>
      <c r="D51" s="182"/>
      <c r="E51" s="230" t="s">
        <v>118</v>
      </c>
      <c r="F51" s="73" t="s">
        <v>342</v>
      </c>
      <c r="G51" s="74" t="s">
        <v>112</v>
      </c>
      <c r="H51" s="75">
        <v>4</v>
      </c>
      <c r="I51" s="76">
        <v>4</v>
      </c>
      <c r="J51" s="96">
        <f>1+2+1</f>
        <v>4</v>
      </c>
      <c r="K51" s="77">
        <f>6833.76+696.36</f>
        <v>7530.12</v>
      </c>
      <c r="L51" s="77">
        <f>6833.76+696.36</f>
        <v>7530.12</v>
      </c>
      <c r="M51" s="78">
        <f>K51-L51</f>
        <v>0</v>
      </c>
      <c r="N51" s="100">
        <f>4+2</f>
        <v>6</v>
      </c>
      <c r="O51" s="81">
        <f>5931.9+4183.92+3158.95</f>
        <v>13274.77</v>
      </c>
      <c r="P51" s="81">
        <f>5931.9+4183.92+3158.95</f>
        <v>13274.77</v>
      </c>
      <c r="Q51" s="79">
        <f t="shared" si="2"/>
        <v>0</v>
      </c>
      <c r="R51" s="141"/>
    </row>
    <row r="52" spans="1:18" s="13" customFormat="1" x14ac:dyDescent="0.25">
      <c r="A52" s="229"/>
      <c r="B52" s="62" t="s">
        <v>143</v>
      </c>
      <c r="C52" s="181" t="s">
        <v>64</v>
      </c>
      <c r="D52" s="182" t="s">
        <v>444</v>
      </c>
      <c r="E52" s="183" t="s">
        <v>20</v>
      </c>
      <c r="F52" s="73" t="s">
        <v>445</v>
      </c>
      <c r="G52" s="230" t="s">
        <v>114</v>
      </c>
      <c r="H52" s="181">
        <v>19</v>
      </c>
      <c r="I52" s="234">
        <v>7</v>
      </c>
      <c r="J52" s="190">
        <v>7</v>
      </c>
      <c r="K52" s="193">
        <v>10823.5</v>
      </c>
      <c r="L52" s="193">
        <v>9418.6</v>
      </c>
      <c r="M52" s="187">
        <f t="shared" si="1"/>
        <v>1404.8999999999996</v>
      </c>
      <c r="N52" s="114">
        <v>18</v>
      </c>
      <c r="O52" s="224">
        <v>27390.400000000001</v>
      </c>
      <c r="P52" s="224">
        <v>27390.400000000001</v>
      </c>
      <c r="Q52" s="232">
        <f t="shared" si="2"/>
        <v>0</v>
      </c>
    </row>
    <row r="53" spans="1:18" s="13" customFormat="1" x14ac:dyDescent="0.25">
      <c r="A53" s="229"/>
      <c r="B53" s="30" t="s">
        <v>158</v>
      </c>
      <c r="C53" s="181" t="s">
        <v>17</v>
      </c>
      <c r="D53" s="182"/>
      <c r="E53" s="194" t="s">
        <v>32</v>
      </c>
      <c r="F53" s="73" t="s">
        <v>426</v>
      </c>
      <c r="G53" s="230" t="s">
        <v>117</v>
      </c>
      <c r="H53" s="181">
        <v>11</v>
      </c>
      <c r="I53" s="234">
        <v>5</v>
      </c>
      <c r="J53" s="190">
        <v>6</v>
      </c>
      <c r="K53" s="193">
        <v>10870.84</v>
      </c>
      <c r="L53" s="193">
        <v>10870.84</v>
      </c>
      <c r="M53" s="187">
        <f t="shared" si="1"/>
        <v>0</v>
      </c>
      <c r="N53" s="114">
        <v>5</v>
      </c>
      <c r="O53" s="224">
        <v>16813.7</v>
      </c>
      <c r="P53" s="224">
        <v>16813.7</v>
      </c>
      <c r="Q53" s="232">
        <f t="shared" si="2"/>
        <v>0</v>
      </c>
    </row>
    <row r="54" spans="1:18" s="15" customFormat="1" x14ac:dyDescent="0.25">
      <c r="A54" s="229"/>
      <c r="B54" s="62" t="s">
        <v>43</v>
      </c>
      <c r="C54" s="181" t="s">
        <v>17</v>
      </c>
      <c r="D54" s="182"/>
      <c r="E54" s="183" t="s">
        <v>18</v>
      </c>
      <c r="F54" s="73" t="s">
        <v>344</v>
      </c>
      <c r="G54" s="74" t="s">
        <v>112</v>
      </c>
      <c r="H54" s="75">
        <v>25</v>
      </c>
      <c r="I54" s="76">
        <v>19</v>
      </c>
      <c r="J54" s="96">
        <f>1+2+2+5+2+3+2+3+3</f>
        <v>23</v>
      </c>
      <c r="K54" s="77">
        <f>1776.93+926.88+3328.29+3172.19+9832.29</f>
        <v>19036.580000000002</v>
      </c>
      <c r="L54" s="77">
        <f>1776.93+926.88+3328.29+3172.19</f>
        <v>9204.2900000000009</v>
      </c>
      <c r="M54" s="78">
        <f>K54-L54</f>
        <v>9832.2900000000009</v>
      </c>
      <c r="N54" s="100">
        <f>1+5+4+1+1+1+1</f>
        <v>14</v>
      </c>
      <c r="O54" s="81">
        <f>1223.8+3810.29+4959.02+10043.87+2769.48+2146.91+11926.24-1465.64</f>
        <v>35413.97</v>
      </c>
      <c r="P54" s="81">
        <f>1223.8+3810.29+4959.02+10043.87+2769.48+2146.91+11926.24-1465.64</f>
        <v>35413.97</v>
      </c>
      <c r="Q54" s="79">
        <f t="shared" si="2"/>
        <v>0</v>
      </c>
      <c r="R54" s="141"/>
    </row>
    <row r="55" spans="1:18" s="15" customFormat="1" ht="30" x14ac:dyDescent="0.25">
      <c r="A55" s="229"/>
      <c r="B55" s="62" t="s">
        <v>43</v>
      </c>
      <c r="C55" s="181" t="s">
        <v>304</v>
      </c>
      <c r="D55" s="182" t="s">
        <v>473</v>
      </c>
      <c r="E55" s="183" t="s">
        <v>18</v>
      </c>
      <c r="F55" s="73" t="s">
        <v>323</v>
      </c>
      <c r="G55" s="230" t="s">
        <v>113</v>
      </c>
      <c r="H55" s="181">
        <v>23</v>
      </c>
      <c r="I55" s="234">
        <v>16</v>
      </c>
      <c r="J55" s="98">
        <v>17</v>
      </c>
      <c r="K55" s="77">
        <v>23018</v>
      </c>
      <c r="L55" s="77">
        <v>19054</v>
      </c>
      <c r="M55" s="187">
        <f t="shared" si="1"/>
        <v>3964</v>
      </c>
      <c r="N55" s="114">
        <v>18</v>
      </c>
      <c r="O55" s="224">
        <v>60535</v>
      </c>
      <c r="P55" s="224">
        <v>58327</v>
      </c>
      <c r="Q55" s="232">
        <f t="shared" si="2"/>
        <v>2208</v>
      </c>
    </row>
    <row r="56" spans="1:18" s="13" customFormat="1" x14ac:dyDescent="0.25">
      <c r="A56" s="229"/>
      <c r="B56" s="30" t="s">
        <v>44</v>
      </c>
      <c r="C56" s="181" t="s">
        <v>17</v>
      </c>
      <c r="D56" s="182"/>
      <c r="E56" s="183" t="s">
        <v>20</v>
      </c>
      <c r="F56" s="73" t="s">
        <v>345</v>
      </c>
      <c r="G56" s="74" t="s">
        <v>112</v>
      </c>
      <c r="H56" s="75">
        <v>13</v>
      </c>
      <c r="I56" s="76">
        <v>9</v>
      </c>
      <c r="J56" s="96">
        <f>1+1+1+4+2+1</f>
        <v>10</v>
      </c>
      <c r="K56" s="77">
        <f>2422.38+1267.86+15410.58+1534.35+708.47</f>
        <v>21343.64</v>
      </c>
      <c r="L56" s="77">
        <f>2422.38+1267.86+15410.58+1534.35+708.47</f>
        <v>21343.64</v>
      </c>
      <c r="M56" s="78">
        <f>K56-L56</f>
        <v>0</v>
      </c>
      <c r="N56" s="100">
        <f>1+11</f>
        <v>12</v>
      </c>
      <c r="O56" s="81">
        <f>421.62+4603.39+10559.77+72902.04</f>
        <v>88486.819999999992</v>
      </c>
      <c r="P56" s="81">
        <f>421.62+4603.39+10559.77+72902.04</f>
        <v>88486.819999999992</v>
      </c>
      <c r="Q56" s="79">
        <f t="shared" si="2"/>
        <v>0</v>
      </c>
      <c r="R56" s="141"/>
    </row>
    <row r="57" spans="1:18" s="13" customFormat="1" x14ac:dyDescent="0.25">
      <c r="A57" s="229"/>
      <c r="B57" s="30" t="s">
        <v>44</v>
      </c>
      <c r="C57" s="181" t="s">
        <v>17</v>
      </c>
      <c r="D57" s="182"/>
      <c r="E57" s="183" t="s">
        <v>20</v>
      </c>
      <c r="F57" s="73" t="s">
        <v>483</v>
      </c>
      <c r="G57" s="230" t="s">
        <v>114</v>
      </c>
      <c r="H57" s="181"/>
      <c r="I57" s="231"/>
      <c r="J57" s="190"/>
      <c r="K57" s="77"/>
      <c r="L57" s="77"/>
      <c r="M57" s="187">
        <f t="shared" si="1"/>
        <v>0</v>
      </c>
      <c r="N57" s="100">
        <v>2</v>
      </c>
      <c r="O57" s="224">
        <v>6723.5</v>
      </c>
      <c r="P57" s="224">
        <v>6723.5</v>
      </c>
      <c r="Q57" s="232">
        <f t="shared" si="2"/>
        <v>0</v>
      </c>
    </row>
    <row r="58" spans="1:18" s="13" customFormat="1" x14ac:dyDescent="0.25">
      <c r="A58" s="229"/>
      <c r="B58" s="30" t="s">
        <v>492</v>
      </c>
      <c r="C58" s="181" t="s">
        <v>17</v>
      </c>
      <c r="D58" s="182"/>
      <c r="E58" s="183" t="s">
        <v>20</v>
      </c>
      <c r="F58" s="73" t="s">
        <v>499</v>
      </c>
      <c r="G58" s="230" t="s">
        <v>112</v>
      </c>
      <c r="H58" s="181">
        <v>10</v>
      </c>
      <c r="I58" s="231">
        <v>8</v>
      </c>
      <c r="J58" s="190">
        <f>1+8</f>
        <v>9</v>
      </c>
      <c r="K58" s="77">
        <f>1044.98+2096.62</f>
        <v>3141.6</v>
      </c>
      <c r="L58" s="77">
        <f>1044.98</f>
        <v>1044.98</v>
      </c>
      <c r="M58" s="78">
        <f t="shared" si="1"/>
        <v>2096.62</v>
      </c>
      <c r="N58" s="100"/>
      <c r="O58" s="224"/>
      <c r="P58" s="224"/>
      <c r="Q58" s="79">
        <f t="shared" si="2"/>
        <v>0</v>
      </c>
    </row>
    <row r="59" spans="1:18" s="13" customFormat="1" x14ac:dyDescent="0.25">
      <c r="A59" s="229"/>
      <c r="B59" s="27" t="s">
        <v>45</v>
      </c>
      <c r="C59" s="181" t="s">
        <v>17</v>
      </c>
      <c r="D59" s="182"/>
      <c r="E59" s="183" t="s">
        <v>20</v>
      </c>
      <c r="F59" s="73" t="s">
        <v>346</v>
      </c>
      <c r="G59" s="74" t="s">
        <v>112</v>
      </c>
      <c r="H59" s="75"/>
      <c r="I59" s="76"/>
      <c r="J59" s="96"/>
      <c r="K59" s="77"/>
      <c r="L59" s="77"/>
      <c r="M59" s="78">
        <f t="shared" si="1"/>
        <v>0</v>
      </c>
      <c r="N59" s="100">
        <f>1</f>
        <v>1</v>
      </c>
      <c r="O59" s="81">
        <f>17995.91+2729.8</f>
        <v>20725.71</v>
      </c>
      <c r="P59" s="81">
        <f>17995.91+2729.8</f>
        <v>20725.71</v>
      </c>
      <c r="Q59" s="79">
        <f t="shared" si="2"/>
        <v>0</v>
      </c>
      <c r="R59" s="141"/>
    </row>
    <row r="60" spans="1:18" s="13" customFormat="1" x14ac:dyDescent="0.25">
      <c r="A60" s="229"/>
      <c r="B60" s="27" t="s">
        <v>45</v>
      </c>
      <c r="C60" s="181" t="s">
        <v>17</v>
      </c>
      <c r="D60" s="182"/>
      <c r="E60" s="183" t="s">
        <v>20</v>
      </c>
      <c r="F60" s="73" t="s">
        <v>484</v>
      </c>
      <c r="G60" s="230" t="s">
        <v>114</v>
      </c>
      <c r="H60" s="181"/>
      <c r="I60" s="231"/>
      <c r="J60" s="190"/>
      <c r="K60" s="77"/>
      <c r="L60" s="77"/>
      <c r="M60" s="187">
        <f t="shared" si="1"/>
        <v>0</v>
      </c>
      <c r="N60" s="100"/>
      <c r="O60" s="224"/>
      <c r="P60" s="224"/>
      <c r="Q60" s="232">
        <f t="shared" si="2"/>
        <v>0</v>
      </c>
    </row>
    <row r="61" spans="1:18" s="15" customFormat="1" x14ac:dyDescent="0.25">
      <c r="A61" s="229"/>
      <c r="B61" s="27" t="s">
        <v>46</v>
      </c>
      <c r="C61" s="181" t="s">
        <v>17</v>
      </c>
      <c r="D61" s="182"/>
      <c r="E61" s="183" t="s">
        <v>20</v>
      </c>
      <c r="F61" s="73" t="s">
        <v>347</v>
      </c>
      <c r="G61" s="74" t="s">
        <v>112</v>
      </c>
      <c r="H61" s="75">
        <v>17</v>
      </c>
      <c r="I61" s="76">
        <v>13</v>
      </c>
      <c r="J61" s="96">
        <f>1+2+3+2+4+1+4+2+1</f>
        <v>20</v>
      </c>
      <c r="K61" s="77">
        <f>1045.98+1068.08+8157.32+1778.85+9152.67+11156.63+11271.63+1490.2</f>
        <v>45121.359999999993</v>
      </c>
      <c r="L61" s="77">
        <f>1045.98+1068.08+8157.32+1778.85+9152.67+11156.63+11271.63+1490.2</f>
        <v>45121.359999999993</v>
      </c>
      <c r="M61" s="78">
        <f>K61-L61</f>
        <v>0</v>
      </c>
      <c r="N61" s="100">
        <f>4+4+1+1+1</f>
        <v>11</v>
      </c>
      <c r="O61" s="81">
        <f>10759.2+10685.34+7362.04</f>
        <v>28806.58</v>
      </c>
      <c r="P61" s="81">
        <f>10759.2+10685.34+7362.04</f>
        <v>28806.58</v>
      </c>
      <c r="Q61" s="79">
        <f t="shared" si="2"/>
        <v>0</v>
      </c>
      <c r="R61" s="141"/>
    </row>
    <row r="62" spans="1:18" s="15" customFormat="1" x14ac:dyDescent="0.25">
      <c r="A62" s="229"/>
      <c r="B62" s="27" t="s">
        <v>46</v>
      </c>
      <c r="C62" s="181" t="s">
        <v>17</v>
      </c>
      <c r="D62" s="182"/>
      <c r="E62" s="183" t="s">
        <v>20</v>
      </c>
      <c r="F62" s="73" t="s">
        <v>273</v>
      </c>
      <c r="G62" s="230" t="s">
        <v>114</v>
      </c>
      <c r="H62" s="181">
        <v>4</v>
      </c>
      <c r="I62" s="231">
        <v>1</v>
      </c>
      <c r="J62" s="190">
        <v>1</v>
      </c>
      <c r="K62" s="77">
        <v>576.29999999999995</v>
      </c>
      <c r="L62" s="77">
        <v>576.29999999999995</v>
      </c>
      <c r="M62" s="187">
        <f t="shared" si="1"/>
        <v>0</v>
      </c>
      <c r="N62" s="100">
        <v>3</v>
      </c>
      <c r="O62" s="224">
        <v>9356.9</v>
      </c>
      <c r="P62" s="224">
        <v>9356.9</v>
      </c>
      <c r="Q62" s="232">
        <f t="shared" si="2"/>
        <v>0</v>
      </c>
    </row>
    <row r="63" spans="1:18" s="13" customFormat="1" ht="45" x14ac:dyDescent="0.25">
      <c r="A63" s="229"/>
      <c r="B63" s="30" t="s">
        <v>47</v>
      </c>
      <c r="C63" s="181" t="s">
        <v>304</v>
      </c>
      <c r="D63" s="182" t="s">
        <v>474</v>
      </c>
      <c r="E63" s="183" t="s">
        <v>18</v>
      </c>
      <c r="F63" s="73" t="s">
        <v>348</v>
      </c>
      <c r="G63" s="74" t="s">
        <v>112</v>
      </c>
      <c r="H63" s="75">
        <v>47</v>
      </c>
      <c r="I63" s="76">
        <v>37</v>
      </c>
      <c r="J63" s="98">
        <f>1+1+3+21+7+2+5+2+7+15+14</f>
        <v>78</v>
      </c>
      <c r="K63" s="77">
        <f>30728.27+19236.99+22614.7+52735.68</f>
        <v>125315.64000000001</v>
      </c>
      <c r="L63" s="77">
        <f>30728.27+19236.99+22614.7</f>
        <v>72579.960000000006</v>
      </c>
      <c r="M63" s="78">
        <f>K63-L63</f>
        <v>52735.680000000008</v>
      </c>
      <c r="N63" s="100">
        <f>7+3+4+10+6+1+2+1+3+2</f>
        <v>39</v>
      </c>
      <c r="O63" s="81">
        <f>8477.51+15159.83+14079.46+15414.2+17995.91+2065.56+1859.53+9543.86+1728.53+14526.84</f>
        <v>100851.23</v>
      </c>
      <c r="P63" s="81">
        <f>8477.51+15159.83+14079.46+15414.2+17995.91+2065.56+1859.53+9543.86+1728.53+14526.84</f>
        <v>100851.23</v>
      </c>
      <c r="Q63" s="79">
        <f t="shared" si="2"/>
        <v>0</v>
      </c>
      <c r="R63" s="141"/>
    </row>
    <row r="64" spans="1:18" s="13" customFormat="1" ht="45" x14ac:dyDescent="0.25">
      <c r="A64" s="229"/>
      <c r="B64" s="62" t="s">
        <v>120</v>
      </c>
      <c r="C64" s="181" t="s">
        <v>304</v>
      </c>
      <c r="D64" s="182" t="s">
        <v>474</v>
      </c>
      <c r="E64" s="183" t="s">
        <v>18</v>
      </c>
      <c r="F64" s="73" t="s">
        <v>334</v>
      </c>
      <c r="G64" s="230" t="s">
        <v>116</v>
      </c>
      <c r="H64" s="181">
        <v>27</v>
      </c>
      <c r="I64" s="234">
        <v>17</v>
      </c>
      <c r="J64" s="98">
        <v>18</v>
      </c>
      <c r="K64" s="77">
        <v>28482</v>
      </c>
      <c r="L64" s="77">
        <v>23264</v>
      </c>
      <c r="M64" s="78">
        <f t="shared" si="1"/>
        <v>5218</v>
      </c>
      <c r="N64" s="100">
        <v>15</v>
      </c>
      <c r="O64" s="224">
        <v>60831</v>
      </c>
      <c r="P64" s="224">
        <v>58623</v>
      </c>
      <c r="Q64" s="232">
        <f t="shared" si="2"/>
        <v>2208</v>
      </c>
    </row>
    <row r="65" spans="1:18" s="13" customFormat="1" x14ac:dyDescent="0.25">
      <c r="A65" s="229"/>
      <c r="B65" s="30" t="s">
        <v>134</v>
      </c>
      <c r="C65" s="181" t="s">
        <v>17</v>
      </c>
      <c r="D65" s="182"/>
      <c r="E65" s="183" t="s">
        <v>20</v>
      </c>
      <c r="F65" s="73" t="s">
        <v>349</v>
      </c>
      <c r="G65" s="74" t="s">
        <v>112</v>
      </c>
      <c r="H65" s="75">
        <v>20</v>
      </c>
      <c r="I65" s="76">
        <v>19</v>
      </c>
      <c r="J65" s="96">
        <f>1+4+1+1+2+1+1+7+1</f>
        <v>19</v>
      </c>
      <c r="K65" s="77">
        <f>7301.48+1473.89+1911.09+1690.48+845.24+6268.51+441.51+1983.45+3361.83</f>
        <v>25277.479999999996</v>
      </c>
      <c r="L65" s="77">
        <f>7301.48+1473.89+1911.09+1690.48+845.24+6268.51+441.51+1983.45</f>
        <v>21915.649999999998</v>
      </c>
      <c r="M65" s="78">
        <f>K65-L65</f>
        <v>3361.8299999999981</v>
      </c>
      <c r="N65" s="100">
        <f>4+1+1+1+1</f>
        <v>8</v>
      </c>
      <c r="O65" s="81">
        <f>5020.05+3215.31+12312.39+4648.82+32425.98+7889.42</f>
        <v>65511.97</v>
      </c>
      <c r="P65" s="81">
        <f>5020.05+3215.31+12312.39+4648.82+32425.98+7889.42</f>
        <v>65511.97</v>
      </c>
      <c r="Q65" s="79">
        <f t="shared" si="2"/>
        <v>0</v>
      </c>
      <c r="R65" s="141"/>
    </row>
    <row r="66" spans="1:18" s="13" customFormat="1" x14ac:dyDescent="0.25">
      <c r="A66" s="229"/>
      <c r="B66" s="30" t="s">
        <v>134</v>
      </c>
      <c r="C66" s="181" t="s">
        <v>17</v>
      </c>
      <c r="D66" s="182"/>
      <c r="E66" s="183" t="s">
        <v>20</v>
      </c>
      <c r="F66" s="73" t="s">
        <v>456</v>
      </c>
      <c r="G66" s="230" t="s">
        <v>114</v>
      </c>
      <c r="H66" s="181">
        <v>20</v>
      </c>
      <c r="I66" s="231">
        <v>5</v>
      </c>
      <c r="J66" s="190">
        <v>5</v>
      </c>
      <c r="K66" s="77">
        <v>10236.9</v>
      </c>
      <c r="L66" s="77">
        <v>10236.9</v>
      </c>
      <c r="M66" s="187">
        <f t="shared" si="1"/>
        <v>0</v>
      </c>
      <c r="N66" s="100">
        <v>27</v>
      </c>
      <c r="O66" s="224">
        <v>61494.8</v>
      </c>
      <c r="P66" s="224">
        <v>61494.8</v>
      </c>
      <c r="Q66" s="232">
        <f t="shared" si="2"/>
        <v>0</v>
      </c>
    </row>
    <row r="67" spans="1:18" s="13" customFormat="1" x14ac:dyDescent="0.25">
      <c r="A67" s="229"/>
      <c r="B67" s="62" t="s">
        <v>48</v>
      </c>
      <c r="C67" s="181" t="s">
        <v>17</v>
      </c>
      <c r="D67" s="182"/>
      <c r="E67" s="183" t="s">
        <v>20</v>
      </c>
      <c r="F67" s="73" t="s">
        <v>350</v>
      </c>
      <c r="G67" s="74" t="s">
        <v>112</v>
      </c>
      <c r="H67" s="75">
        <v>15</v>
      </c>
      <c r="I67" s="76">
        <v>11</v>
      </c>
      <c r="J67" s="96">
        <f>1+1+2+1+3+2</f>
        <v>10</v>
      </c>
      <c r="K67" s="77">
        <f>4805.96+2585.78+3065.92+2588.55+14407.5+9289.05+3030.73</f>
        <v>39773.49</v>
      </c>
      <c r="L67" s="77">
        <f>4805.96+2585.78+3065.92+2588.55+14407.5+9289.05</f>
        <v>36742.759999999995</v>
      </c>
      <c r="M67" s="78">
        <f t="shared" si="1"/>
        <v>3030.7300000000032</v>
      </c>
      <c r="N67" s="100">
        <f>2+1+2+1</f>
        <v>6</v>
      </c>
      <c r="O67" s="81">
        <f>23174.33+2535.72+11633.02+6993.42+20756.4</f>
        <v>65092.890000000007</v>
      </c>
      <c r="P67" s="81">
        <f>23174.33+2535.72+11633.02+6993.42+20756.4</f>
        <v>65092.890000000007</v>
      </c>
      <c r="Q67" s="79">
        <f t="shared" si="2"/>
        <v>0</v>
      </c>
      <c r="R67" s="141"/>
    </row>
    <row r="68" spans="1:18" s="13" customFormat="1" x14ac:dyDescent="0.25">
      <c r="A68" s="229"/>
      <c r="B68" s="62" t="s">
        <v>49</v>
      </c>
      <c r="C68" s="181" t="s">
        <v>17</v>
      </c>
      <c r="D68" s="182"/>
      <c r="E68" s="183" t="s">
        <v>50</v>
      </c>
      <c r="F68" s="73" t="s">
        <v>351</v>
      </c>
      <c r="G68" s="74" t="s">
        <v>112</v>
      </c>
      <c r="H68" s="75">
        <v>28</v>
      </c>
      <c r="I68" s="76">
        <v>18</v>
      </c>
      <c r="J68" s="96">
        <f>1+4+8+6+5</f>
        <v>24</v>
      </c>
      <c r="K68" s="77">
        <f>525.65+1267.86+6544.72+13939.57+1896.54+9712.48</f>
        <v>33886.82</v>
      </c>
      <c r="L68" s="77">
        <f>525.65+1267.86+6544.72+13939.57+1896.54+9712.48</f>
        <v>33886.82</v>
      </c>
      <c r="M68" s="78">
        <f t="shared" si="1"/>
        <v>0</v>
      </c>
      <c r="N68" s="100">
        <f>5+1+3+1+1</f>
        <v>11</v>
      </c>
      <c r="O68" s="81">
        <f>7374+1806.93+7275.53+4666.9+2684.03+6682.03</f>
        <v>30489.42</v>
      </c>
      <c r="P68" s="81">
        <f>7374+1806.93+7275.53+4666.9+2684.03+6682.03</f>
        <v>30489.42</v>
      </c>
      <c r="Q68" s="232">
        <f t="shared" si="2"/>
        <v>0</v>
      </c>
      <c r="R68" s="141"/>
    </row>
    <row r="69" spans="1:18" s="13" customFormat="1" x14ac:dyDescent="0.25">
      <c r="A69" s="229"/>
      <c r="B69" s="62" t="s">
        <v>49</v>
      </c>
      <c r="C69" s="181" t="s">
        <v>17</v>
      </c>
      <c r="D69" s="182"/>
      <c r="E69" s="183" t="s">
        <v>50</v>
      </c>
      <c r="F69" s="73" t="s">
        <v>427</v>
      </c>
      <c r="G69" s="230" t="s">
        <v>115</v>
      </c>
      <c r="H69" s="181">
        <v>14</v>
      </c>
      <c r="I69" s="231">
        <v>5</v>
      </c>
      <c r="J69" s="96">
        <v>5</v>
      </c>
      <c r="K69" s="77">
        <v>9320.93</v>
      </c>
      <c r="L69" s="77">
        <v>9320.93</v>
      </c>
      <c r="M69" s="187">
        <f t="shared" si="1"/>
        <v>0</v>
      </c>
      <c r="N69" s="100">
        <v>10</v>
      </c>
      <c r="O69" s="224">
        <v>17660.3</v>
      </c>
      <c r="P69" s="224">
        <v>11237.9</v>
      </c>
      <c r="Q69" s="79">
        <f t="shared" si="2"/>
        <v>6422.4</v>
      </c>
    </row>
    <row r="70" spans="1:18" s="13" customFormat="1" x14ac:dyDescent="0.25">
      <c r="A70" s="229"/>
      <c r="B70" s="27" t="s">
        <v>51</v>
      </c>
      <c r="C70" s="181" t="s">
        <v>17</v>
      </c>
      <c r="D70" s="182"/>
      <c r="E70" s="183" t="s">
        <v>20</v>
      </c>
      <c r="F70" s="73" t="s">
        <v>186</v>
      </c>
      <c r="G70" s="74" t="s">
        <v>112</v>
      </c>
      <c r="H70" s="75"/>
      <c r="I70" s="76"/>
      <c r="J70" s="96"/>
      <c r="K70" s="77"/>
      <c r="L70" s="77"/>
      <c r="M70" s="78">
        <f>K70-L70</f>
        <v>0</v>
      </c>
      <c r="N70" s="100">
        <f>1</f>
        <v>1</v>
      </c>
      <c r="O70" s="81">
        <v>2451.87</v>
      </c>
      <c r="P70" s="81">
        <v>2451.87</v>
      </c>
      <c r="Q70" s="232">
        <f t="shared" si="2"/>
        <v>0</v>
      </c>
      <c r="R70" s="141"/>
    </row>
    <row r="71" spans="1:18" s="13" customFormat="1" x14ac:dyDescent="0.25">
      <c r="A71" s="229"/>
      <c r="B71" s="27" t="s">
        <v>51</v>
      </c>
      <c r="C71" s="181" t="s">
        <v>17</v>
      </c>
      <c r="D71" s="182"/>
      <c r="E71" s="183" t="s">
        <v>20</v>
      </c>
      <c r="F71" s="73" t="s">
        <v>276</v>
      </c>
      <c r="G71" s="230" t="s">
        <v>114</v>
      </c>
      <c r="H71" s="181"/>
      <c r="I71" s="231"/>
      <c r="J71" s="190"/>
      <c r="K71" s="77"/>
      <c r="L71" s="77"/>
      <c r="M71" s="187">
        <f t="shared" si="1"/>
        <v>0</v>
      </c>
      <c r="N71" s="100">
        <v>3</v>
      </c>
      <c r="O71" s="224">
        <v>6763.6</v>
      </c>
      <c r="P71" s="224">
        <v>6763.6</v>
      </c>
      <c r="Q71" s="232">
        <f t="shared" si="2"/>
        <v>0</v>
      </c>
    </row>
    <row r="72" spans="1:18" s="13" customFormat="1" x14ac:dyDescent="0.25">
      <c r="A72" s="229"/>
      <c r="B72" s="62" t="s">
        <v>52</v>
      </c>
      <c r="C72" s="181" t="s">
        <v>17</v>
      </c>
      <c r="D72" s="182"/>
      <c r="E72" s="183" t="s">
        <v>20</v>
      </c>
      <c r="F72" s="73" t="s">
        <v>352</v>
      </c>
      <c r="G72" s="74" t="s">
        <v>112</v>
      </c>
      <c r="H72" s="75">
        <v>13</v>
      </c>
      <c r="I72" s="76">
        <v>8</v>
      </c>
      <c r="J72" s="96">
        <f>1+1+1+1+2+3+1+1</f>
        <v>11</v>
      </c>
      <c r="K72" s="77">
        <f>10714.2+2747.14+2138.07+6709.4+7033.21+883.08</f>
        <v>30225.1</v>
      </c>
      <c r="L72" s="77">
        <f>10714.2+2747.14+2138.07+6709.4+7033.21</f>
        <v>29342.019999999997</v>
      </c>
      <c r="M72" s="78">
        <f>K72-L72</f>
        <v>883.08000000000175</v>
      </c>
      <c r="N72" s="100">
        <f>4+3+1+1+2+3+1+1</f>
        <v>16</v>
      </c>
      <c r="O72" s="81">
        <f>5977.15+48296.91+7596.86+1061.83+8902.9+6856.31+2935.36</f>
        <v>81627.320000000007</v>
      </c>
      <c r="P72" s="81">
        <f>5977.15+48296.91+7596.86+1061.83+8902.9+6856.31+2935.36</f>
        <v>81627.320000000007</v>
      </c>
      <c r="Q72" s="232">
        <f t="shared" si="2"/>
        <v>0</v>
      </c>
      <c r="R72" s="141"/>
    </row>
    <row r="73" spans="1:18" s="13" customFormat="1" x14ac:dyDescent="0.25">
      <c r="A73" s="229"/>
      <c r="B73" s="62" t="s">
        <v>52</v>
      </c>
      <c r="C73" s="181" t="s">
        <v>17</v>
      </c>
      <c r="D73" s="182"/>
      <c r="E73" s="183" t="s">
        <v>20</v>
      </c>
      <c r="F73" s="73" t="s">
        <v>457</v>
      </c>
      <c r="G73" s="230" t="s">
        <v>114</v>
      </c>
      <c r="H73" s="181">
        <v>13</v>
      </c>
      <c r="I73" s="231">
        <v>4</v>
      </c>
      <c r="J73" s="190">
        <v>4</v>
      </c>
      <c r="K73" s="77">
        <v>11041.4</v>
      </c>
      <c r="L73" s="77">
        <v>11041.4</v>
      </c>
      <c r="M73" s="187">
        <f t="shared" si="1"/>
        <v>0</v>
      </c>
      <c r="N73" s="100">
        <v>20</v>
      </c>
      <c r="O73" s="224">
        <v>52565.919999999998</v>
      </c>
      <c r="P73" s="224">
        <v>52565.919999999998</v>
      </c>
      <c r="Q73" s="232">
        <f t="shared" si="2"/>
        <v>0</v>
      </c>
    </row>
    <row r="74" spans="1:18" s="13" customFormat="1" x14ac:dyDescent="0.25">
      <c r="A74" s="229"/>
      <c r="B74" s="27" t="s">
        <v>53</v>
      </c>
      <c r="C74" s="181" t="s">
        <v>17</v>
      </c>
      <c r="D74" s="182"/>
      <c r="E74" s="183" t="s">
        <v>20</v>
      </c>
      <c r="F74" s="73" t="s">
        <v>353</v>
      </c>
      <c r="G74" s="74" t="s">
        <v>112</v>
      </c>
      <c r="H74" s="75">
        <v>10</v>
      </c>
      <c r="I74" s="76">
        <v>8</v>
      </c>
      <c r="J74" s="96">
        <f>2+2+2+1+2</f>
        <v>9</v>
      </c>
      <c r="K74" s="77">
        <f>3655.66+6862.24+2535.72+3550.85</f>
        <v>16604.469999999998</v>
      </c>
      <c r="L74" s="77">
        <f>3655.66+6862.24+2535.72</f>
        <v>13053.619999999999</v>
      </c>
      <c r="M74" s="78">
        <f t="shared" si="1"/>
        <v>3550.8499999999985</v>
      </c>
      <c r="N74" s="100">
        <f>1+2+2+1+1+1</f>
        <v>8</v>
      </c>
      <c r="O74" s="81">
        <f>1743.3+3921.71+422.62+5626.45+37901.04</f>
        <v>49615.12</v>
      </c>
      <c r="P74" s="81">
        <f>1743.3+3921.71+422.62+5626.45+37901.04</f>
        <v>49615.12</v>
      </c>
      <c r="Q74" s="232">
        <f t="shared" si="2"/>
        <v>0</v>
      </c>
      <c r="R74" s="141"/>
    </row>
    <row r="75" spans="1:18" s="13" customFormat="1" x14ac:dyDescent="0.25">
      <c r="A75" s="229"/>
      <c r="B75" s="27" t="s">
        <v>149</v>
      </c>
      <c r="C75" s="181" t="s">
        <v>17</v>
      </c>
      <c r="D75" s="182"/>
      <c r="E75" s="183" t="s">
        <v>383</v>
      </c>
      <c r="F75" s="73" t="s">
        <v>354</v>
      </c>
      <c r="G75" s="74" t="s">
        <v>112</v>
      </c>
      <c r="H75" s="75">
        <v>38</v>
      </c>
      <c r="I75" s="76">
        <v>9</v>
      </c>
      <c r="J75" s="96">
        <f>7+3</f>
        <v>10</v>
      </c>
      <c r="K75" s="77">
        <f>7743.07+4386.1</f>
        <v>12129.17</v>
      </c>
      <c r="L75" s="77">
        <f>7743.07+4386.1</f>
        <v>12129.17</v>
      </c>
      <c r="M75" s="78">
        <f t="shared" si="1"/>
        <v>0</v>
      </c>
      <c r="N75" s="100">
        <f>2+2+2</f>
        <v>6</v>
      </c>
      <c r="O75" s="81">
        <f>3676.8+3431.65+6320.35</f>
        <v>13428.800000000001</v>
      </c>
      <c r="P75" s="81">
        <f>3676.8+3431.65+6320.35</f>
        <v>13428.800000000001</v>
      </c>
      <c r="Q75" s="79">
        <f t="shared" si="2"/>
        <v>0</v>
      </c>
      <c r="R75" s="141"/>
    </row>
    <row r="76" spans="1:18" s="13" customFormat="1" x14ac:dyDescent="0.25">
      <c r="A76" s="229"/>
      <c r="B76" s="27" t="s">
        <v>149</v>
      </c>
      <c r="C76" s="181" t="s">
        <v>17</v>
      </c>
      <c r="D76" s="182"/>
      <c r="E76" s="183" t="s">
        <v>383</v>
      </c>
      <c r="F76" s="73" t="s">
        <v>438</v>
      </c>
      <c r="G76" s="230" t="s">
        <v>118</v>
      </c>
      <c r="H76" s="181">
        <v>13</v>
      </c>
      <c r="I76" s="234">
        <v>1</v>
      </c>
      <c r="J76" s="190">
        <v>1</v>
      </c>
      <c r="K76" s="193">
        <v>576.29999999999995</v>
      </c>
      <c r="L76" s="193">
        <v>576.29999999999995</v>
      </c>
      <c r="M76" s="78">
        <f t="shared" si="1"/>
        <v>0</v>
      </c>
      <c r="N76" s="114">
        <v>7</v>
      </c>
      <c r="O76" s="224">
        <v>9835.52</v>
      </c>
      <c r="P76" s="224">
        <v>9835.52</v>
      </c>
      <c r="Q76" s="232">
        <f t="shared" si="2"/>
        <v>0</v>
      </c>
    </row>
    <row r="77" spans="1:18" s="13" customFormat="1" x14ac:dyDescent="0.25">
      <c r="A77" s="229"/>
      <c r="B77" s="62" t="s">
        <v>107</v>
      </c>
      <c r="C77" s="181" t="s">
        <v>17</v>
      </c>
      <c r="D77" s="182"/>
      <c r="E77" s="194" t="s">
        <v>20</v>
      </c>
      <c r="F77" s="73" t="s">
        <v>355</v>
      </c>
      <c r="G77" s="74" t="s">
        <v>112</v>
      </c>
      <c r="H77" s="75">
        <v>12</v>
      </c>
      <c r="I77" s="76">
        <v>8</v>
      </c>
      <c r="J77" s="96">
        <f>1+3+3+2+1</f>
        <v>10</v>
      </c>
      <c r="K77" s="77">
        <f>666.63+7071.2+5333.38+13316.37+23091.24+4686.95+2216.53</f>
        <v>56382.3</v>
      </c>
      <c r="L77" s="77">
        <f>666.63+7071.2+5333.38+13316.37+23091.24+4686.95+2216.53</f>
        <v>56382.3</v>
      </c>
      <c r="M77" s="78">
        <f t="shared" si="1"/>
        <v>0</v>
      </c>
      <c r="N77" s="100">
        <f>2+6+1+1+2</f>
        <v>12</v>
      </c>
      <c r="O77" s="81">
        <f>7612.92+18804.48+9163.33+3260.98+6297.63</f>
        <v>45139.340000000004</v>
      </c>
      <c r="P77" s="81">
        <f>7612.92+18804.48+9163.33+3260.98+6297.63</f>
        <v>45139.340000000004</v>
      </c>
      <c r="Q77" s="79">
        <f t="shared" si="2"/>
        <v>0</v>
      </c>
      <c r="R77" s="141"/>
    </row>
    <row r="78" spans="1:18" s="13" customFormat="1" x14ac:dyDescent="0.25">
      <c r="A78" s="229"/>
      <c r="B78" s="30" t="s">
        <v>54</v>
      </c>
      <c r="C78" s="181" t="s">
        <v>17</v>
      </c>
      <c r="D78" s="182"/>
      <c r="E78" s="194" t="s">
        <v>20</v>
      </c>
      <c r="F78" s="73" t="s">
        <v>356</v>
      </c>
      <c r="G78" s="74" t="s">
        <v>112</v>
      </c>
      <c r="H78" s="75"/>
      <c r="I78" s="76"/>
      <c r="J78" s="96"/>
      <c r="K78" s="77">
        <f>9075.37</f>
        <v>9075.3700000000008</v>
      </c>
      <c r="L78" s="77">
        <f>9075.37</f>
        <v>9075.3700000000008</v>
      </c>
      <c r="M78" s="78">
        <f t="shared" si="1"/>
        <v>0</v>
      </c>
      <c r="N78" s="100">
        <f>4+1+1+2+1</f>
        <v>9</v>
      </c>
      <c r="O78" s="81">
        <f>17895.28+17443.73+5473.41+2994.97</f>
        <v>43807.39</v>
      </c>
      <c r="P78" s="81">
        <f>17895.28+17443.73+5473.41</f>
        <v>40812.42</v>
      </c>
      <c r="Q78" s="79">
        <f t="shared" si="2"/>
        <v>2994.9700000000012</v>
      </c>
      <c r="R78" s="141"/>
    </row>
    <row r="79" spans="1:18" s="13" customFormat="1" ht="30" x14ac:dyDescent="0.25">
      <c r="A79" s="229"/>
      <c r="B79" s="27" t="s">
        <v>55</v>
      </c>
      <c r="C79" s="181" t="s">
        <v>304</v>
      </c>
      <c r="D79" s="182" t="s">
        <v>387</v>
      </c>
      <c r="E79" s="183" t="s">
        <v>20</v>
      </c>
      <c r="F79" s="73" t="s">
        <v>357</v>
      </c>
      <c r="G79" s="74" t="s">
        <v>112</v>
      </c>
      <c r="H79" s="75">
        <v>18</v>
      </c>
      <c r="I79" s="76">
        <v>12</v>
      </c>
      <c r="J79" s="96">
        <f>3+1+1+2+1+1+1</f>
        <v>10</v>
      </c>
      <c r="K79" s="77">
        <f>1267.86+6667.8+5756.15+1180.38+4780.37+4352.43+2850.42+2493.42</f>
        <v>29348.829999999994</v>
      </c>
      <c r="L79" s="77">
        <f>1267.86+6667.8+5756.15+1180.38+4780.37+4352.43+2850.42+2493.42</f>
        <v>29348.829999999994</v>
      </c>
      <c r="M79" s="78">
        <f t="shared" si="1"/>
        <v>0</v>
      </c>
      <c r="N79" s="100">
        <f>2+1+2+2+2+1+2+1</f>
        <v>13</v>
      </c>
      <c r="O79" s="81">
        <f>34854.19+2113.1+6430.67+5463.42+39145.22+2535.72+5132.44+12985.86</f>
        <v>108660.62000000001</v>
      </c>
      <c r="P79" s="81">
        <f>34854.19+2113.1+6430.67+5463.42+39145.22+2535.72+5132.44+12985.86</f>
        <v>108660.62000000001</v>
      </c>
      <c r="Q79" s="232">
        <f t="shared" si="2"/>
        <v>0</v>
      </c>
      <c r="R79" s="141"/>
    </row>
    <row r="80" spans="1:18" s="13" customFormat="1" ht="30" x14ac:dyDescent="0.25">
      <c r="A80" s="229"/>
      <c r="B80" s="62" t="s">
        <v>56</v>
      </c>
      <c r="C80" s="181" t="s">
        <v>17</v>
      </c>
      <c r="D80" s="182" t="s">
        <v>386</v>
      </c>
      <c r="E80" s="183" t="s">
        <v>18</v>
      </c>
      <c r="F80" s="73" t="s">
        <v>358</v>
      </c>
      <c r="G80" s="74" t="s">
        <v>112</v>
      </c>
      <c r="H80" s="75">
        <v>11</v>
      </c>
      <c r="I80" s="76">
        <v>6</v>
      </c>
      <c r="J80" s="96">
        <f>1+1+2+2</f>
        <v>6</v>
      </c>
      <c r="K80" s="77">
        <f>678.11+678.11+4865.7+5265.72</f>
        <v>11487.64</v>
      </c>
      <c r="L80" s="77">
        <f>678.11+678.11+4865.7</f>
        <v>6221.92</v>
      </c>
      <c r="M80" s="78">
        <f t="shared" si="1"/>
        <v>5265.7199999999993</v>
      </c>
      <c r="N80" s="100">
        <f>1</f>
        <v>1</v>
      </c>
      <c r="O80" s="81">
        <f>4395.5</f>
        <v>4395.5</v>
      </c>
      <c r="P80" s="81">
        <f>4395.5</f>
        <v>4395.5</v>
      </c>
      <c r="Q80" s="79">
        <f t="shared" si="2"/>
        <v>0</v>
      </c>
      <c r="R80" s="141"/>
    </row>
    <row r="81" spans="1:18" s="13" customFormat="1" ht="30" x14ac:dyDescent="0.25">
      <c r="A81" s="229"/>
      <c r="B81" s="62" t="s">
        <v>56</v>
      </c>
      <c r="C81" s="181" t="s">
        <v>304</v>
      </c>
      <c r="D81" s="182" t="s">
        <v>386</v>
      </c>
      <c r="E81" s="183" t="s">
        <v>18</v>
      </c>
      <c r="F81" s="73" t="s">
        <v>476</v>
      </c>
      <c r="G81" s="230" t="s">
        <v>113</v>
      </c>
      <c r="H81" s="181">
        <v>11</v>
      </c>
      <c r="I81" s="231">
        <v>6</v>
      </c>
      <c r="J81" s="96">
        <v>6</v>
      </c>
      <c r="K81" s="77">
        <v>11288</v>
      </c>
      <c r="L81" s="77">
        <v>11288</v>
      </c>
      <c r="M81" s="78">
        <f t="shared" si="1"/>
        <v>0</v>
      </c>
      <c r="N81" s="100"/>
      <c r="O81" s="224">
        <v>7612</v>
      </c>
      <c r="P81" s="224">
        <v>7612</v>
      </c>
      <c r="Q81" s="232">
        <f t="shared" ref="Q81:Q145" si="3">O81-P81</f>
        <v>0</v>
      </c>
    </row>
    <row r="82" spans="1:18" s="13" customFormat="1" x14ac:dyDescent="0.25">
      <c r="A82" s="229"/>
      <c r="B82" s="62" t="s">
        <v>156</v>
      </c>
      <c r="C82" s="181" t="s">
        <v>304</v>
      </c>
      <c r="D82" s="182"/>
      <c r="E82" s="183" t="s">
        <v>20</v>
      </c>
      <c r="F82" s="73" t="s">
        <v>359</v>
      </c>
      <c r="G82" s="74" t="s">
        <v>112</v>
      </c>
      <c r="H82" s="75">
        <v>4</v>
      </c>
      <c r="I82" s="76">
        <v>2</v>
      </c>
      <c r="J82" s="96">
        <f>2</f>
        <v>2</v>
      </c>
      <c r="K82" s="77">
        <f>1690.48+993.47</f>
        <v>2683.95</v>
      </c>
      <c r="L82" s="77">
        <f>1690.48+993.47</f>
        <v>2683.95</v>
      </c>
      <c r="M82" s="78">
        <f t="shared" si="1"/>
        <v>0</v>
      </c>
      <c r="N82" s="100">
        <f>3+1+1</f>
        <v>5</v>
      </c>
      <c r="O82" s="81">
        <f>5488.54+2398.37+422.62+1605.6</f>
        <v>9915.130000000001</v>
      </c>
      <c r="P82" s="81">
        <f>5488.54+2398.37+422.62+1605.6</f>
        <v>9915.130000000001</v>
      </c>
      <c r="Q82" s="79">
        <f t="shared" si="3"/>
        <v>0</v>
      </c>
      <c r="R82" s="141"/>
    </row>
    <row r="83" spans="1:18" s="15" customFormat="1" x14ac:dyDescent="0.25">
      <c r="A83" s="229"/>
      <c r="B83" s="62" t="s">
        <v>57</v>
      </c>
      <c r="C83" s="181" t="s">
        <v>17</v>
      </c>
      <c r="D83" s="182"/>
      <c r="E83" s="183" t="s">
        <v>20</v>
      </c>
      <c r="F83" s="73" t="s">
        <v>360</v>
      </c>
      <c r="G83" s="74" t="s">
        <v>112</v>
      </c>
      <c r="H83" s="75">
        <v>7</v>
      </c>
      <c r="I83" s="76">
        <v>6</v>
      </c>
      <c r="J83" s="96">
        <f>2+1+1+2</f>
        <v>6</v>
      </c>
      <c r="K83" s="77">
        <f>806.82+1728.9+422.62+2958.34</f>
        <v>5916.68</v>
      </c>
      <c r="L83" s="77">
        <f>806.82+1728.9+422.62+2958.34</f>
        <v>5916.68</v>
      </c>
      <c r="M83" s="78">
        <f t="shared" si="1"/>
        <v>0</v>
      </c>
      <c r="N83" s="100">
        <f>2+1</f>
        <v>3</v>
      </c>
      <c r="O83" s="81">
        <f>2745.3</f>
        <v>2745.3</v>
      </c>
      <c r="P83" s="81">
        <f>2745.3</f>
        <v>2745.3</v>
      </c>
      <c r="Q83" s="232">
        <f t="shared" si="3"/>
        <v>0</v>
      </c>
      <c r="R83" s="141"/>
    </row>
    <row r="84" spans="1:18" s="15" customFormat="1" x14ac:dyDescent="0.25">
      <c r="A84" s="229"/>
      <c r="B84" s="62" t="s">
        <v>57</v>
      </c>
      <c r="C84" s="181" t="s">
        <v>17</v>
      </c>
      <c r="D84" s="182"/>
      <c r="E84" s="183" t="s">
        <v>20</v>
      </c>
      <c r="F84" s="73" t="s">
        <v>458</v>
      </c>
      <c r="G84" s="230" t="s">
        <v>114</v>
      </c>
      <c r="H84" s="181">
        <v>31</v>
      </c>
      <c r="I84" s="231">
        <v>9</v>
      </c>
      <c r="J84" s="190">
        <v>9</v>
      </c>
      <c r="K84" s="77">
        <v>15092.7</v>
      </c>
      <c r="L84" s="77">
        <v>15092.7</v>
      </c>
      <c r="M84" s="187">
        <f t="shared" si="1"/>
        <v>0</v>
      </c>
      <c r="N84" s="100">
        <v>19</v>
      </c>
      <c r="O84" s="224">
        <v>42687.199999999997</v>
      </c>
      <c r="P84" s="224">
        <v>42687.199999999997</v>
      </c>
      <c r="Q84" s="232">
        <f t="shared" si="3"/>
        <v>0</v>
      </c>
    </row>
    <row r="85" spans="1:18" s="13" customFormat="1" x14ac:dyDescent="0.25">
      <c r="A85" s="229"/>
      <c r="B85" s="62" t="s">
        <v>58</v>
      </c>
      <c r="C85" s="181" t="s">
        <v>17</v>
      </c>
      <c r="D85" s="182"/>
      <c r="E85" s="183" t="s">
        <v>20</v>
      </c>
      <c r="F85" s="73" t="s">
        <v>361</v>
      </c>
      <c r="G85" s="74" t="s">
        <v>112</v>
      </c>
      <c r="H85" s="75">
        <v>9</v>
      </c>
      <c r="I85" s="76">
        <v>6</v>
      </c>
      <c r="J85" s="96">
        <f>1+2+1+1+1</f>
        <v>6</v>
      </c>
      <c r="K85" s="77">
        <f>1892.47+3118.94+422.62+1324.62+883.08</f>
        <v>7641.73</v>
      </c>
      <c r="L85" s="77">
        <f>1892.47+3118.94+422.62+1324.62</f>
        <v>6758.65</v>
      </c>
      <c r="M85" s="78">
        <f>K85-L85</f>
        <v>883.07999999999993</v>
      </c>
      <c r="N85" s="100">
        <f>1+1+3</f>
        <v>5</v>
      </c>
      <c r="O85" s="81">
        <f>9196.24+2480.78+2954.11+15214.32</f>
        <v>29845.45</v>
      </c>
      <c r="P85" s="81">
        <f>9196.24+2480.78+2954.11+15214.32</f>
        <v>29845.45</v>
      </c>
      <c r="Q85" s="232">
        <f t="shared" si="3"/>
        <v>0</v>
      </c>
      <c r="R85" s="141"/>
    </row>
    <row r="86" spans="1:18" s="13" customFormat="1" x14ac:dyDescent="0.25">
      <c r="A86" s="229"/>
      <c r="B86" s="62" t="s">
        <v>58</v>
      </c>
      <c r="C86" s="181" t="s">
        <v>17</v>
      </c>
      <c r="D86" s="182"/>
      <c r="E86" s="183" t="s">
        <v>20</v>
      </c>
      <c r="F86" s="73" t="s">
        <v>478</v>
      </c>
      <c r="G86" s="230" t="s">
        <v>114</v>
      </c>
      <c r="H86" s="181">
        <v>15</v>
      </c>
      <c r="I86" s="231">
        <v>2</v>
      </c>
      <c r="J86" s="190">
        <v>2</v>
      </c>
      <c r="K86" s="77">
        <v>3765.16</v>
      </c>
      <c r="L86" s="77">
        <v>3765.16</v>
      </c>
      <c r="M86" s="187">
        <f t="shared" si="1"/>
        <v>0</v>
      </c>
      <c r="N86" s="100">
        <v>21</v>
      </c>
      <c r="O86" s="224">
        <v>54215.77</v>
      </c>
      <c r="P86" s="224">
        <v>54215.77</v>
      </c>
      <c r="Q86" s="232">
        <f t="shared" si="3"/>
        <v>0</v>
      </c>
    </row>
    <row r="87" spans="1:18" s="13" customFormat="1" x14ac:dyDescent="0.25">
      <c r="A87" s="229"/>
      <c r="B87" s="62" t="s">
        <v>59</v>
      </c>
      <c r="C87" s="181" t="s">
        <v>17</v>
      </c>
      <c r="D87" s="182"/>
      <c r="E87" s="183" t="s">
        <v>20</v>
      </c>
      <c r="F87" s="73" t="s">
        <v>362</v>
      </c>
      <c r="G87" s="74" t="s">
        <v>112</v>
      </c>
      <c r="H87" s="75">
        <v>11</v>
      </c>
      <c r="I87" s="76">
        <v>8</v>
      </c>
      <c r="J87" s="96">
        <f>1+1+1+3+1+1</f>
        <v>8</v>
      </c>
      <c r="K87" s="77">
        <f>403.41+1431.16+845.24+998.92+3059.87</f>
        <v>6738.6</v>
      </c>
      <c r="L87" s="77">
        <f>403.41+1431.16+845.24+998.92+3059.87</f>
        <v>6738.6</v>
      </c>
      <c r="M87" s="78">
        <f>K87-L87</f>
        <v>0</v>
      </c>
      <c r="N87" s="100">
        <f>1+2+2+1+1+1+1</f>
        <v>9</v>
      </c>
      <c r="O87" s="81">
        <f>6646.05+1267.86+979.71</f>
        <v>8893.619999999999</v>
      </c>
      <c r="P87" s="81">
        <f>2353.23+5561.68+978.71</f>
        <v>8893.619999999999</v>
      </c>
      <c r="Q87" s="232">
        <f t="shared" si="3"/>
        <v>0</v>
      </c>
      <c r="R87" s="141"/>
    </row>
    <row r="88" spans="1:18" s="13" customFormat="1" x14ac:dyDescent="0.25">
      <c r="A88" s="229"/>
      <c r="B88" s="62" t="s">
        <v>59</v>
      </c>
      <c r="C88" s="181" t="s">
        <v>17</v>
      </c>
      <c r="D88" s="182"/>
      <c r="E88" s="183" t="s">
        <v>20</v>
      </c>
      <c r="F88" s="73" t="s">
        <v>128</v>
      </c>
      <c r="G88" s="230" t="s">
        <v>114</v>
      </c>
      <c r="H88" s="181"/>
      <c r="I88" s="231"/>
      <c r="J88" s="190"/>
      <c r="K88" s="77"/>
      <c r="L88" s="77"/>
      <c r="M88" s="187">
        <f t="shared" si="1"/>
        <v>0</v>
      </c>
      <c r="N88" s="100"/>
      <c r="O88" s="224"/>
      <c r="P88" s="224"/>
      <c r="Q88" s="232">
        <f t="shared" si="3"/>
        <v>0</v>
      </c>
    </row>
    <row r="89" spans="1:18" s="13" customFormat="1" x14ac:dyDescent="0.25">
      <c r="A89" s="229"/>
      <c r="B89" s="27" t="s">
        <v>60</v>
      </c>
      <c r="C89" s="181" t="s">
        <v>17</v>
      </c>
      <c r="D89" s="182"/>
      <c r="E89" s="183" t="s">
        <v>20</v>
      </c>
      <c r="F89" s="73" t="s">
        <v>364</v>
      </c>
      <c r="G89" s="74" t="s">
        <v>112</v>
      </c>
      <c r="H89" s="75">
        <v>16</v>
      </c>
      <c r="I89" s="76">
        <v>11</v>
      </c>
      <c r="J89" s="96">
        <f>1+1+1+4+4+2</f>
        <v>13</v>
      </c>
      <c r="K89" s="77">
        <f>634.93+893.27+2930.22+8503.46</f>
        <v>12961.88</v>
      </c>
      <c r="L89" s="77">
        <f>634.93+893.27+2930.22+8503.46</f>
        <v>12961.88</v>
      </c>
      <c r="M89" s="78">
        <f>K89-L89</f>
        <v>0</v>
      </c>
      <c r="N89" s="100">
        <f>4+1+3+1+1</f>
        <v>10</v>
      </c>
      <c r="O89" s="81">
        <f>15124.53+2065.75+8492.52+5828.3</f>
        <v>31511.1</v>
      </c>
      <c r="P89" s="81">
        <f>15124.53+2065.75+8492.52</f>
        <v>25682.799999999999</v>
      </c>
      <c r="Q89" s="232">
        <f t="shared" si="3"/>
        <v>5828.2999999999993</v>
      </c>
      <c r="R89" s="141"/>
    </row>
    <row r="90" spans="1:18" s="13" customFormat="1" x14ac:dyDescent="0.25">
      <c r="A90" s="229"/>
      <c r="B90" s="27" t="s">
        <v>60</v>
      </c>
      <c r="C90" s="181" t="s">
        <v>17</v>
      </c>
      <c r="D90" s="182"/>
      <c r="E90" s="183" t="s">
        <v>20</v>
      </c>
      <c r="F90" s="73" t="s">
        <v>479</v>
      </c>
      <c r="G90" s="230" t="s">
        <v>114</v>
      </c>
      <c r="H90" s="181">
        <v>11</v>
      </c>
      <c r="I90" s="231">
        <v>2</v>
      </c>
      <c r="J90" s="190">
        <v>2</v>
      </c>
      <c r="K90" s="77">
        <v>5186.7</v>
      </c>
      <c r="L90" s="77">
        <v>5186.7</v>
      </c>
      <c r="M90" s="187">
        <f t="shared" si="1"/>
        <v>0</v>
      </c>
      <c r="N90" s="100">
        <v>12</v>
      </c>
      <c r="O90" s="224">
        <v>41221.599999999999</v>
      </c>
      <c r="P90" s="224">
        <v>41221.599999999999</v>
      </c>
      <c r="Q90" s="232">
        <f t="shared" si="3"/>
        <v>0</v>
      </c>
    </row>
    <row r="91" spans="1:18" s="13" customFormat="1" x14ac:dyDescent="0.25">
      <c r="A91" s="229"/>
      <c r="B91" s="27" t="s">
        <v>493</v>
      </c>
      <c r="C91" s="181" t="s">
        <v>17</v>
      </c>
      <c r="D91" s="182"/>
      <c r="E91" s="183" t="s">
        <v>20</v>
      </c>
      <c r="F91" s="73" t="s">
        <v>496</v>
      </c>
      <c r="G91" s="230" t="s">
        <v>112</v>
      </c>
      <c r="H91" s="181">
        <v>12</v>
      </c>
      <c r="I91" s="231">
        <v>8</v>
      </c>
      <c r="J91" s="190">
        <f>3+2+1+3+1+2+1</f>
        <v>13</v>
      </c>
      <c r="K91" s="77">
        <f>3387.04+3467.41+1267.86+2218.74+8089.94+1924.71</f>
        <v>20355.699999999997</v>
      </c>
      <c r="L91" s="77">
        <f>3387.04+3467.41+1267.86+2218.74+8089.94</f>
        <v>18430.989999999998</v>
      </c>
      <c r="M91" s="78">
        <f t="shared" ref="M91:M155" si="4">K91-L91</f>
        <v>1924.7099999999991</v>
      </c>
      <c r="N91" s="100"/>
      <c r="O91" s="224"/>
      <c r="P91" s="224"/>
      <c r="Q91" s="232">
        <f t="shared" si="3"/>
        <v>0</v>
      </c>
    </row>
    <row r="92" spans="1:18" s="15" customFormat="1" x14ac:dyDescent="0.25">
      <c r="A92" s="229"/>
      <c r="B92" s="27" t="s">
        <v>61</v>
      </c>
      <c r="C92" s="181" t="s">
        <v>17</v>
      </c>
      <c r="D92" s="182"/>
      <c r="E92" s="183" t="s">
        <v>20</v>
      </c>
      <c r="F92" s="73" t="s">
        <v>363</v>
      </c>
      <c r="G92" s="74" t="s">
        <v>112</v>
      </c>
      <c r="H92" s="75"/>
      <c r="I92" s="76"/>
      <c r="J92" s="96"/>
      <c r="K92" s="77"/>
      <c r="L92" s="77"/>
      <c r="M92" s="78">
        <f t="shared" si="4"/>
        <v>0</v>
      </c>
      <c r="N92" s="100"/>
      <c r="O92" s="81"/>
      <c r="P92" s="81"/>
      <c r="Q92" s="232">
        <f t="shared" si="3"/>
        <v>0</v>
      </c>
      <c r="R92" s="141"/>
    </row>
    <row r="93" spans="1:18" s="15" customFormat="1" x14ac:dyDescent="0.25">
      <c r="A93" s="229"/>
      <c r="B93" s="236" t="s">
        <v>306</v>
      </c>
      <c r="C93" s="181" t="s">
        <v>17</v>
      </c>
      <c r="D93" s="182"/>
      <c r="E93" s="183" t="s">
        <v>35</v>
      </c>
      <c r="F93" s="73" t="s">
        <v>365</v>
      </c>
      <c r="G93" s="230" t="s">
        <v>112</v>
      </c>
      <c r="H93" s="181">
        <v>33</v>
      </c>
      <c r="I93" s="231">
        <v>19</v>
      </c>
      <c r="J93" s="190">
        <f>1+2+1+3+3+2+3+1+2+1</f>
        <v>19</v>
      </c>
      <c r="K93" s="77">
        <f>1045.98+2658.7+35696.14+4892.46+1024.04+2384.53+10793.24+5320.79+2075.24+1324.62+1192.16</f>
        <v>68407.899999999994</v>
      </c>
      <c r="L93" s="77">
        <f>1045.98+2658.7+35696.14+4892.46+1024.04+2384.53+10793.24+5320.79+2075.24+1324.62</f>
        <v>67215.739999999991</v>
      </c>
      <c r="M93" s="78">
        <f>K93-L93</f>
        <v>1192.1600000000035</v>
      </c>
      <c r="N93" s="114">
        <f>7+2+2+2+1+1+1</f>
        <v>16</v>
      </c>
      <c r="O93" s="224">
        <f>2313.84+6162.57+2330.32+1690.48+3706.14+3107.65+4960.7</f>
        <v>24271.7</v>
      </c>
      <c r="P93" s="224">
        <f>2313.84+6162.57+2330.32+1690.48+3706.14+3107.65</f>
        <v>19311</v>
      </c>
      <c r="Q93" s="232">
        <f t="shared" si="3"/>
        <v>4960.7000000000007</v>
      </c>
      <c r="R93" s="141"/>
    </row>
    <row r="94" spans="1:18" s="13" customFormat="1" x14ac:dyDescent="0.25">
      <c r="A94" s="229"/>
      <c r="B94" s="62" t="s">
        <v>306</v>
      </c>
      <c r="C94" s="181" t="s">
        <v>17</v>
      </c>
      <c r="D94" s="182"/>
      <c r="E94" s="183" t="s">
        <v>27</v>
      </c>
      <c r="F94" s="73" t="s">
        <v>421</v>
      </c>
      <c r="G94" s="230" t="s">
        <v>117</v>
      </c>
      <c r="H94" s="181">
        <v>4</v>
      </c>
      <c r="I94" s="231"/>
      <c r="J94" s="96"/>
      <c r="K94" s="77"/>
      <c r="L94" s="77"/>
      <c r="M94" s="78">
        <f>K94-L94</f>
        <v>0</v>
      </c>
      <c r="N94" s="100"/>
      <c r="O94" s="77"/>
      <c r="P94" s="77"/>
      <c r="Q94" s="79">
        <f>O94-P94</f>
        <v>0</v>
      </c>
    </row>
    <row r="95" spans="1:18" s="13" customFormat="1" x14ac:dyDescent="0.25">
      <c r="A95" s="229"/>
      <c r="B95" s="27" t="s">
        <v>62</v>
      </c>
      <c r="C95" s="181" t="s">
        <v>17</v>
      </c>
      <c r="D95" s="182"/>
      <c r="E95" s="183" t="s">
        <v>35</v>
      </c>
      <c r="F95" s="73" t="s">
        <v>366</v>
      </c>
      <c r="G95" s="74" t="s">
        <v>112</v>
      </c>
      <c r="H95" s="75">
        <v>26</v>
      </c>
      <c r="I95" s="76">
        <v>16</v>
      </c>
      <c r="J95" s="96">
        <f>1+3+1+1+2+4+4</f>
        <v>16</v>
      </c>
      <c r="K95" s="77">
        <f>3613.4+1872.01+1394.65+3518.32+15902.72+5370.89</f>
        <v>31671.989999999998</v>
      </c>
      <c r="L95" s="77">
        <f>3613.4+1872.01+1394.65+3518.32+15902.72</f>
        <v>26301.1</v>
      </c>
      <c r="M95" s="78">
        <f>K95-L95</f>
        <v>5370.8899999999994</v>
      </c>
      <c r="N95" s="100">
        <f>6+2+1+2+1+3</f>
        <v>15</v>
      </c>
      <c r="O95" s="81">
        <f>19511.33+1270.93+3979.74+2500.85+8530.18+845.24+12787.47</f>
        <v>49425.74</v>
      </c>
      <c r="P95" s="81">
        <f>19511.33+1270.93+3979.74+2500.85+8530.18+845.24+12787.47</f>
        <v>49425.74</v>
      </c>
      <c r="Q95" s="79">
        <f t="shared" si="3"/>
        <v>0</v>
      </c>
      <c r="R95" s="141"/>
    </row>
    <row r="96" spans="1:18" s="13" customFormat="1" x14ac:dyDescent="0.25">
      <c r="A96" s="229"/>
      <c r="B96" s="27" t="s">
        <v>62</v>
      </c>
      <c r="C96" s="181" t="s">
        <v>17</v>
      </c>
      <c r="D96" s="182"/>
      <c r="E96" s="183" t="s">
        <v>35</v>
      </c>
      <c r="F96" s="73" t="s">
        <v>428</v>
      </c>
      <c r="G96" s="230" t="s">
        <v>117</v>
      </c>
      <c r="H96" s="181">
        <v>2</v>
      </c>
      <c r="I96" s="231"/>
      <c r="J96" s="96"/>
      <c r="K96" s="77"/>
      <c r="L96" s="77"/>
      <c r="M96" s="78">
        <f t="shared" si="4"/>
        <v>0</v>
      </c>
      <c r="N96" s="100">
        <v>9</v>
      </c>
      <c r="O96" s="224">
        <v>22788.1</v>
      </c>
      <c r="P96" s="224">
        <v>22788.1</v>
      </c>
      <c r="Q96" s="232">
        <f t="shared" si="3"/>
        <v>0</v>
      </c>
    </row>
    <row r="97" spans="1:19" s="13" customFormat="1" x14ac:dyDescent="0.25">
      <c r="A97" s="229"/>
      <c r="B97" s="27" t="s">
        <v>155</v>
      </c>
      <c r="C97" s="181" t="s">
        <v>17</v>
      </c>
      <c r="D97" s="182"/>
      <c r="E97" s="183" t="s">
        <v>20</v>
      </c>
      <c r="F97" s="73" t="s">
        <v>367</v>
      </c>
      <c r="G97" s="74" t="s">
        <v>112</v>
      </c>
      <c r="H97" s="75">
        <v>11</v>
      </c>
      <c r="I97" s="82">
        <v>7</v>
      </c>
      <c r="J97" s="96">
        <f>1+2+3+1+2</f>
        <v>9</v>
      </c>
      <c r="K97" s="77">
        <f>3117.56+2266.78+5307.72+3606.94</f>
        <v>14299.000000000002</v>
      </c>
      <c r="L97" s="77">
        <f>3117.56+2266.78+5307.72+3606.94</f>
        <v>14299.000000000002</v>
      </c>
      <c r="M97" s="78">
        <f>K97-L97</f>
        <v>0</v>
      </c>
      <c r="N97" s="100">
        <f>1+1+1</f>
        <v>3</v>
      </c>
      <c r="O97" s="81">
        <f>1798.06+2123.67</f>
        <v>3921.73</v>
      </c>
      <c r="P97" s="81">
        <f>1798.06+2123.67</f>
        <v>3921.73</v>
      </c>
      <c r="Q97" s="232">
        <f t="shared" si="3"/>
        <v>0</v>
      </c>
      <c r="R97" s="141"/>
    </row>
    <row r="98" spans="1:19" s="13" customFormat="1" x14ac:dyDescent="0.25">
      <c r="A98" s="229"/>
      <c r="B98" s="27" t="s">
        <v>155</v>
      </c>
      <c r="C98" s="181" t="s">
        <v>17</v>
      </c>
      <c r="D98" s="182"/>
      <c r="E98" s="183" t="s">
        <v>20</v>
      </c>
      <c r="F98" s="73" t="s">
        <v>459</v>
      </c>
      <c r="G98" s="230" t="s">
        <v>114</v>
      </c>
      <c r="H98" s="181">
        <v>11</v>
      </c>
      <c r="I98" s="231">
        <v>5</v>
      </c>
      <c r="J98" s="190">
        <v>5</v>
      </c>
      <c r="K98" s="77">
        <v>8154.2</v>
      </c>
      <c r="L98" s="77">
        <v>6313.5</v>
      </c>
      <c r="M98" s="187">
        <f t="shared" ref="M98" si="5">K98-L98</f>
        <v>1840.6999999999998</v>
      </c>
      <c r="N98" s="100">
        <v>15</v>
      </c>
      <c r="O98" s="224">
        <v>33202.26</v>
      </c>
      <c r="P98" s="224">
        <v>33202.26</v>
      </c>
      <c r="Q98" s="232">
        <f t="shared" si="3"/>
        <v>0</v>
      </c>
    </row>
    <row r="99" spans="1:19" s="13" customFormat="1" x14ac:dyDescent="0.25">
      <c r="A99" s="229"/>
      <c r="B99" s="30" t="s">
        <v>66</v>
      </c>
      <c r="C99" s="181" t="s">
        <v>17</v>
      </c>
      <c r="D99" s="182"/>
      <c r="E99" s="183" t="s">
        <v>21</v>
      </c>
      <c r="F99" s="73" t="s">
        <v>368</v>
      </c>
      <c r="G99" s="74" t="s">
        <v>112</v>
      </c>
      <c r="H99" s="75">
        <v>30</v>
      </c>
      <c r="I99" s="76">
        <v>22</v>
      </c>
      <c r="J99" s="96">
        <f>1+3+2+3+2+1+2+1+3+7+4</f>
        <v>29</v>
      </c>
      <c r="K99" s="77">
        <f>1045.98+4309.04+3820.12+1872.01+4253.49+3044.79+1191.19+4942.84+9299.2+9796.16+4139.27</f>
        <v>47714.090000000011</v>
      </c>
      <c r="L99" s="77">
        <f>1045.98+4309.04+3820.12+1872.01+4253.49+3044.79+1191.19+4942.84+9299.2+9796.16+4139.27</f>
        <v>47714.090000000011</v>
      </c>
      <c r="M99" s="78">
        <f>K99-L99</f>
        <v>0</v>
      </c>
      <c r="N99" s="100">
        <f>6+3+8+7+1+1+1+2+1+1+1+1+1+1</f>
        <v>35</v>
      </c>
      <c r="O99" s="81">
        <f>11911.17+23136+18060.17+1977.84+2091.97+19535.65+19124.11+3199.71+4430.07+5418.9+2717.24</f>
        <v>111602.83</v>
      </c>
      <c r="P99" s="81">
        <f>11911.17+23136+18060.17+1977.84+2091.97+19535.65+19124.11+3199.71+4430.07+5418.9</f>
        <v>108885.59</v>
      </c>
      <c r="Q99" s="232">
        <f t="shared" si="3"/>
        <v>2717.2400000000052</v>
      </c>
      <c r="R99" s="141"/>
    </row>
    <row r="100" spans="1:19" s="13" customFormat="1" x14ac:dyDescent="0.25">
      <c r="A100" s="229"/>
      <c r="B100" s="30" t="s">
        <v>66</v>
      </c>
      <c r="C100" s="181" t="s">
        <v>17</v>
      </c>
      <c r="D100" s="182"/>
      <c r="E100" s="183" t="s">
        <v>21</v>
      </c>
      <c r="F100" s="73" t="s">
        <v>439</v>
      </c>
      <c r="G100" s="230" t="s">
        <v>118</v>
      </c>
      <c r="H100" s="181">
        <v>6</v>
      </c>
      <c r="I100" s="231">
        <v>3</v>
      </c>
      <c r="J100" s="96">
        <v>3</v>
      </c>
      <c r="K100" s="77">
        <v>5367.3</v>
      </c>
      <c r="L100" s="77">
        <v>5367.3</v>
      </c>
      <c r="M100" s="187">
        <f t="shared" si="4"/>
        <v>0</v>
      </c>
      <c r="N100" s="100">
        <v>17</v>
      </c>
      <c r="O100" s="224">
        <v>66871.69</v>
      </c>
      <c r="P100" s="224">
        <v>66871.69</v>
      </c>
      <c r="Q100" s="79">
        <f t="shared" si="3"/>
        <v>0</v>
      </c>
    </row>
    <row r="101" spans="1:19" s="13" customFormat="1" x14ac:dyDescent="0.25">
      <c r="A101" s="229"/>
      <c r="B101" s="62" t="s">
        <v>137</v>
      </c>
      <c r="C101" s="181" t="s">
        <v>17</v>
      </c>
      <c r="D101" s="182"/>
      <c r="E101" s="194" t="s">
        <v>35</v>
      </c>
      <c r="F101" s="73" t="s">
        <v>369</v>
      </c>
      <c r="G101" s="74" t="s">
        <v>112</v>
      </c>
      <c r="H101" s="75">
        <v>31</v>
      </c>
      <c r="I101" s="76">
        <v>17</v>
      </c>
      <c r="J101" s="96">
        <f>3+3+1+4+1+3+2</f>
        <v>17</v>
      </c>
      <c r="K101" s="77">
        <f>504.26+845.24+3380.96+422.62+2535.72+6256.62</f>
        <v>13945.419999999998</v>
      </c>
      <c r="L101" s="77">
        <f>504.26+845.24+3380.96+422.62+2535.72+6256.62</f>
        <v>13945.419999999998</v>
      </c>
      <c r="M101" s="78">
        <f>K101-L101</f>
        <v>0</v>
      </c>
      <c r="N101" s="100">
        <f>5+1+1+2+1</f>
        <v>10</v>
      </c>
      <c r="O101" s="81">
        <f>2617.36+422.62+3852.18+3380.96+422.62</f>
        <v>10695.74</v>
      </c>
      <c r="P101" s="81">
        <f>2617.36+422.62+3852.18+3380.96+422.62</f>
        <v>10695.74</v>
      </c>
      <c r="Q101" s="232">
        <f t="shared" si="3"/>
        <v>0</v>
      </c>
      <c r="R101" s="141"/>
    </row>
    <row r="102" spans="1:19" s="13" customFormat="1" x14ac:dyDescent="0.25">
      <c r="A102" s="229"/>
      <c r="B102" s="62" t="s">
        <v>137</v>
      </c>
      <c r="C102" s="181" t="s">
        <v>17</v>
      </c>
      <c r="D102" s="182"/>
      <c r="E102" s="194" t="s">
        <v>35</v>
      </c>
      <c r="F102" s="73" t="s">
        <v>429</v>
      </c>
      <c r="G102" s="230" t="s">
        <v>117</v>
      </c>
      <c r="H102" s="181">
        <v>5</v>
      </c>
      <c r="I102" s="231">
        <v>1</v>
      </c>
      <c r="J102" s="190">
        <v>1</v>
      </c>
      <c r="K102" s="193">
        <v>1921</v>
      </c>
      <c r="L102" s="193">
        <v>1921</v>
      </c>
      <c r="M102" s="78">
        <f t="shared" si="4"/>
        <v>0</v>
      </c>
      <c r="N102" s="114">
        <v>2</v>
      </c>
      <c r="O102" s="224">
        <v>10565.5</v>
      </c>
      <c r="P102" s="224">
        <v>10565.5</v>
      </c>
      <c r="Q102" s="79">
        <f t="shared" si="3"/>
        <v>0</v>
      </c>
    </row>
    <row r="103" spans="1:19" s="13" customFormat="1" x14ac:dyDescent="0.25">
      <c r="A103" s="229"/>
      <c r="B103" s="30" t="s">
        <v>67</v>
      </c>
      <c r="C103" s="181" t="s">
        <v>17</v>
      </c>
      <c r="D103" s="182"/>
      <c r="E103" s="194" t="s">
        <v>21</v>
      </c>
      <c r="F103" s="73" t="s">
        <v>370</v>
      </c>
      <c r="G103" s="74" t="s">
        <v>112</v>
      </c>
      <c r="H103" s="75">
        <v>29</v>
      </c>
      <c r="I103" s="76">
        <v>20</v>
      </c>
      <c r="J103" s="96">
        <f>2+1+1+2+1+1+2+2+1+2+5+5</f>
        <v>25</v>
      </c>
      <c r="K103" s="77">
        <f>3319.85+1198.9+864.45+7235.32+1947.89+5377.75+8701.73+3581.7+8737.54+7647.65</f>
        <v>48612.780000000006</v>
      </c>
      <c r="L103" s="77">
        <f>3319.85+1198.9+864.45+7235.32+1947.89+5377.75+8701.73+3581.7+8737.54+7647.65</f>
        <v>48612.780000000006</v>
      </c>
      <c r="M103" s="78">
        <f>K103-L103</f>
        <v>0</v>
      </c>
      <c r="N103" s="100">
        <f>4+9+4+4+1+3+1+3+1+1+1+1+1+1</f>
        <v>35</v>
      </c>
      <c r="O103" s="81">
        <f>29696.65+38129.03+13567.9+20687.05+2022.79+8145.77+17250.05+1233.28+5568.04+11106.62</f>
        <v>147407.18</v>
      </c>
      <c r="P103" s="81">
        <f>29696.65+38129.03+13567.9+20687.05+2022.79+8145.77+17250.05+1233.28+5568.04+11106.62</f>
        <v>147407.18</v>
      </c>
      <c r="Q103" s="232">
        <f t="shared" si="3"/>
        <v>0</v>
      </c>
      <c r="R103" s="141"/>
    </row>
    <row r="104" spans="1:19" s="13" customFormat="1" x14ac:dyDescent="0.25">
      <c r="A104" s="229"/>
      <c r="B104" s="30" t="s">
        <v>67</v>
      </c>
      <c r="C104" s="181" t="s">
        <v>17</v>
      </c>
      <c r="D104" s="182"/>
      <c r="E104" s="194" t="s">
        <v>21</v>
      </c>
      <c r="F104" s="73" t="s">
        <v>440</v>
      </c>
      <c r="G104" s="230" t="s">
        <v>118</v>
      </c>
      <c r="H104" s="181">
        <v>15</v>
      </c>
      <c r="I104" s="231">
        <v>2</v>
      </c>
      <c r="J104" s="96">
        <v>2</v>
      </c>
      <c r="K104" s="77">
        <v>5282.54</v>
      </c>
      <c r="L104" s="77">
        <v>5282.54</v>
      </c>
      <c r="M104" s="78">
        <f t="shared" si="4"/>
        <v>0</v>
      </c>
      <c r="N104" s="100">
        <v>20</v>
      </c>
      <c r="O104" s="224">
        <v>66027.179999999993</v>
      </c>
      <c r="P104" s="224">
        <v>66027.179999999993</v>
      </c>
      <c r="Q104" s="79">
        <f t="shared" si="3"/>
        <v>0</v>
      </c>
    </row>
    <row r="105" spans="1:19" s="13" customFormat="1" x14ac:dyDescent="0.25">
      <c r="A105" s="229"/>
      <c r="B105" s="30" t="s">
        <v>68</v>
      </c>
      <c r="C105" s="181" t="s">
        <v>17</v>
      </c>
      <c r="D105" s="182"/>
      <c r="E105" s="194" t="s">
        <v>32</v>
      </c>
      <c r="F105" s="73" t="s">
        <v>371</v>
      </c>
      <c r="G105" s="74" t="s">
        <v>112</v>
      </c>
      <c r="H105" s="75">
        <v>18</v>
      </c>
      <c r="I105" s="76">
        <v>16</v>
      </c>
      <c r="J105" s="96">
        <f>2+1+2+5+5+3+1+2</f>
        <v>21</v>
      </c>
      <c r="K105" s="77">
        <f>1128.59+422.62+1152.6+4557.81+10981.59+5362.88+4996.85+4352.15+3073.96</f>
        <v>36029.050000000003</v>
      </c>
      <c r="L105" s="77">
        <f>1128.59+422.62+1152.6+4557.81+10981.59+5362.88+4996.85+4352.15+3073.96</f>
        <v>36029.050000000003</v>
      </c>
      <c r="M105" s="78">
        <f>K105-L105</f>
        <v>0</v>
      </c>
      <c r="N105" s="100">
        <f>6+5+1+4+2+2+1</f>
        <v>21</v>
      </c>
      <c r="O105" s="81">
        <f>7813.73+8523.5+1452.28+12582.19+18077.76+4987.46+2373.79</f>
        <v>55810.709999999992</v>
      </c>
      <c r="P105" s="81">
        <f>7813.73+8523.5+1452.28+12582.19+18077.76+4987.46+2373.79</f>
        <v>55810.709999999992</v>
      </c>
      <c r="Q105" s="232">
        <f t="shared" si="3"/>
        <v>0</v>
      </c>
      <c r="R105" s="141"/>
    </row>
    <row r="106" spans="1:19" s="13" customFormat="1" x14ac:dyDescent="0.25">
      <c r="A106" s="229"/>
      <c r="B106" s="30" t="s">
        <v>68</v>
      </c>
      <c r="C106" s="181" t="s">
        <v>17</v>
      </c>
      <c r="D106" s="182"/>
      <c r="E106" s="194" t="s">
        <v>32</v>
      </c>
      <c r="F106" s="73" t="s">
        <v>430</v>
      </c>
      <c r="G106" s="235" t="s">
        <v>117</v>
      </c>
      <c r="H106" s="181">
        <v>3</v>
      </c>
      <c r="I106" s="231"/>
      <c r="J106" s="96"/>
      <c r="K106" s="77"/>
      <c r="L106" s="77"/>
      <c r="M106" s="78">
        <f t="shared" si="4"/>
        <v>0</v>
      </c>
      <c r="N106" s="100"/>
      <c r="O106" s="77"/>
      <c r="P106" s="77"/>
      <c r="Q106" s="79">
        <f t="shared" si="3"/>
        <v>0</v>
      </c>
    </row>
    <row r="107" spans="1:19" s="15" customFormat="1" x14ac:dyDescent="0.25">
      <c r="A107" s="229"/>
      <c r="B107" s="27" t="s">
        <v>69</v>
      </c>
      <c r="C107" s="181" t="s">
        <v>17</v>
      </c>
      <c r="D107" s="182"/>
      <c r="E107" s="183" t="s">
        <v>20</v>
      </c>
      <c r="F107" s="73" t="s">
        <v>372</v>
      </c>
      <c r="G107" s="74" t="s">
        <v>112</v>
      </c>
      <c r="H107" s="75">
        <v>7</v>
      </c>
      <c r="I107" s="76">
        <v>3</v>
      </c>
      <c r="J107" s="96">
        <f>1+1+1+1</f>
        <v>4</v>
      </c>
      <c r="K107" s="77">
        <f>422.62+17390.69+3114.71+475.45+2326.92</f>
        <v>23730.39</v>
      </c>
      <c r="L107" s="77">
        <f>422.62+17390.69+3114.71+475.45+2326.92</f>
        <v>23730.39</v>
      </c>
      <c r="M107" s="78">
        <f t="shared" si="4"/>
        <v>0</v>
      </c>
      <c r="N107" s="100">
        <f>3+2+1+1+1+1</f>
        <v>9</v>
      </c>
      <c r="O107" s="77">
        <f>7210.31+3647.96+1306.28+1267.86+2697.06</f>
        <v>16129.470000000001</v>
      </c>
      <c r="P107" s="77">
        <f>7210.31+3647.96+1306.28+1267.86+2697.06</f>
        <v>16129.470000000001</v>
      </c>
      <c r="Q107" s="232">
        <f t="shared" si="3"/>
        <v>0</v>
      </c>
      <c r="R107" s="141"/>
    </row>
    <row r="108" spans="1:19" s="15" customFormat="1" x14ac:dyDescent="0.25">
      <c r="A108" s="229"/>
      <c r="B108" s="236" t="s">
        <v>502</v>
      </c>
      <c r="C108" s="181"/>
      <c r="D108" s="182"/>
      <c r="E108" s="183"/>
      <c r="F108" s="73" t="s">
        <v>508</v>
      </c>
      <c r="G108" s="74" t="s">
        <v>112</v>
      </c>
      <c r="H108" s="75">
        <v>10</v>
      </c>
      <c r="I108" s="76">
        <v>5</v>
      </c>
      <c r="J108" s="96">
        <f>4+1</f>
        <v>5</v>
      </c>
      <c r="K108" s="77">
        <f>6145.3+993.47</f>
        <v>7138.77</v>
      </c>
      <c r="L108" s="77">
        <f>6145.3+993.47</f>
        <v>7138.77</v>
      </c>
      <c r="M108" s="78">
        <f t="shared" si="4"/>
        <v>0</v>
      </c>
      <c r="N108" s="100"/>
      <c r="O108" s="77"/>
      <c r="P108" s="77"/>
      <c r="Q108" s="232">
        <f t="shared" si="3"/>
        <v>0</v>
      </c>
      <c r="R108" s="141"/>
    </row>
    <row r="109" spans="1:19" s="15" customFormat="1" x14ac:dyDescent="0.25">
      <c r="A109" s="229"/>
      <c r="B109" s="236" t="s">
        <v>502</v>
      </c>
      <c r="C109" s="181"/>
      <c r="D109" s="182"/>
      <c r="E109" s="183"/>
      <c r="F109" s="73" t="s">
        <v>511</v>
      </c>
      <c r="G109" s="235" t="s">
        <v>117</v>
      </c>
      <c r="H109" s="75">
        <v>3</v>
      </c>
      <c r="I109" s="76"/>
      <c r="J109" s="96"/>
      <c r="K109" s="77"/>
      <c r="L109" s="77"/>
      <c r="M109" s="78">
        <f t="shared" si="4"/>
        <v>0</v>
      </c>
      <c r="N109" s="100"/>
      <c r="O109" s="77"/>
      <c r="P109" s="77"/>
      <c r="Q109" s="232">
        <f t="shared" si="3"/>
        <v>0</v>
      </c>
      <c r="R109" s="141"/>
    </row>
    <row r="110" spans="1:19" s="13" customFormat="1" x14ac:dyDescent="0.25">
      <c r="A110" s="229"/>
      <c r="B110" s="62" t="s">
        <v>70</v>
      </c>
      <c r="C110" s="181" t="s">
        <v>17</v>
      </c>
      <c r="D110" s="182"/>
      <c r="E110" s="183" t="s">
        <v>20</v>
      </c>
      <c r="F110" s="73" t="s">
        <v>373</v>
      </c>
      <c r="G110" s="74" t="s">
        <v>112</v>
      </c>
      <c r="H110" s="75">
        <v>13</v>
      </c>
      <c r="I110" s="76">
        <v>9</v>
      </c>
      <c r="J110" s="96">
        <f>2+2+2+3+1</f>
        <v>10</v>
      </c>
      <c r="K110" s="77">
        <f>19498+3011.17+8156.45</f>
        <v>30665.62</v>
      </c>
      <c r="L110" s="77">
        <f>19498+3011.17+8156.45</f>
        <v>30665.62</v>
      </c>
      <c r="M110" s="78">
        <f>K110-L110</f>
        <v>0</v>
      </c>
      <c r="N110" s="100">
        <f>2+3+4+2+1</f>
        <v>12</v>
      </c>
      <c r="O110" s="81">
        <f>7606.2+16795.84+3492.18</f>
        <v>27894.22</v>
      </c>
      <c r="P110" s="81">
        <f>7606.2+16795.84</f>
        <v>24402.04</v>
      </c>
      <c r="Q110" s="79">
        <f t="shared" si="3"/>
        <v>3492.1800000000003</v>
      </c>
      <c r="R110" s="141"/>
    </row>
    <row r="111" spans="1:19" s="13" customFormat="1" x14ac:dyDescent="0.25">
      <c r="A111" s="229"/>
      <c r="B111" s="62" t="s">
        <v>70</v>
      </c>
      <c r="C111" s="181" t="s">
        <v>17</v>
      </c>
      <c r="D111" s="182"/>
      <c r="E111" s="183" t="s">
        <v>20</v>
      </c>
      <c r="F111" s="73" t="s">
        <v>460</v>
      </c>
      <c r="G111" s="230" t="s">
        <v>114</v>
      </c>
      <c r="H111" s="181">
        <v>32</v>
      </c>
      <c r="I111" s="231">
        <v>11</v>
      </c>
      <c r="J111" s="190">
        <v>11</v>
      </c>
      <c r="K111" s="77">
        <v>15164.14</v>
      </c>
      <c r="L111" s="77">
        <v>15164.14</v>
      </c>
      <c r="M111" s="187">
        <f t="shared" ref="M111" si="6">K111-L111</f>
        <v>0</v>
      </c>
      <c r="N111" s="100">
        <v>31</v>
      </c>
      <c r="O111" s="224">
        <v>72927.77</v>
      </c>
      <c r="P111" s="224">
        <v>72927.77</v>
      </c>
      <c r="Q111" s="232">
        <f t="shared" si="3"/>
        <v>0</v>
      </c>
    </row>
    <row r="112" spans="1:19" s="15" customFormat="1" x14ac:dyDescent="0.25">
      <c r="A112" s="229"/>
      <c r="B112" s="62" t="s">
        <v>71</v>
      </c>
      <c r="C112" s="181" t="s">
        <v>17</v>
      </c>
      <c r="D112" s="182"/>
      <c r="E112" s="183" t="s">
        <v>32</v>
      </c>
      <c r="F112" s="73" t="s">
        <v>374</v>
      </c>
      <c r="G112" s="74" t="s">
        <v>112</v>
      </c>
      <c r="H112" s="75">
        <v>18</v>
      </c>
      <c r="I112" s="76">
        <v>13</v>
      </c>
      <c r="J112" s="96">
        <f>3+1+2+1+1+3+3</f>
        <v>14</v>
      </c>
      <c r="K112" s="77">
        <f>1536.8+461.04+1748.88+633.93+3169.65+2435.83+3203.17</f>
        <v>13189.300000000001</v>
      </c>
      <c r="L112" s="77">
        <f>1536.8+461.04+1748.88+633.93+3169.65+2435.83</f>
        <v>9986.130000000001</v>
      </c>
      <c r="M112" s="78">
        <f>K112-L112</f>
        <v>3203.17</v>
      </c>
      <c r="N112" s="100">
        <f>3+2+1+1+2+1</f>
        <v>10</v>
      </c>
      <c r="O112" s="81">
        <f>9567.93+3616.67+403.41+14275.52+10922.18+12907.41</f>
        <v>51693.119999999995</v>
      </c>
      <c r="P112" s="81">
        <f>9567.93+3616.67+403.41+14275.52+10922.18+12907.41</f>
        <v>51693.119999999995</v>
      </c>
      <c r="Q112" s="79">
        <f t="shared" si="3"/>
        <v>0</v>
      </c>
      <c r="R112" s="141"/>
      <c r="S112" s="36"/>
    </row>
    <row r="113" spans="1:18" s="15" customFormat="1" x14ac:dyDescent="0.25">
      <c r="A113" s="229"/>
      <c r="B113" s="62" t="s">
        <v>71</v>
      </c>
      <c r="C113" s="181" t="s">
        <v>17</v>
      </c>
      <c r="D113" s="182"/>
      <c r="E113" s="183" t="s">
        <v>32</v>
      </c>
      <c r="F113" s="73" t="s">
        <v>431</v>
      </c>
      <c r="G113" s="230" t="s">
        <v>115</v>
      </c>
      <c r="H113" s="181">
        <v>7</v>
      </c>
      <c r="I113" s="231">
        <v>4</v>
      </c>
      <c r="J113" s="96">
        <v>4</v>
      </c>
      <c r="K113" s="237">
        <v>6627.45</v>
      </c>
      <c r="L113" s="237">
        <v>6627.45</v>
      </c>
      <c r="M113" s="187">
        <f t="shared" si="4"/>
        <v>0</v>
      </c>
      <c r="N113" s="114">
        <f>5</f>
        <v>5</v>
      </c>
      <c r="O113" s="77">
        <v>6595.5</v>
      </c>
      <c r="P113" s="77">
        <v>6595.5</v>
      </c>
      <c r="Q113" s="232">
        <f t="shared" si="3"/>
        <v>0</v>
      </c>
    </row>
    <row r="114" spans="1:18" s="13" customFormat="1" x14ac:dyDescent="0.25">
      <c r="A114" s="229"/>
      <c r="B114" s="62" t="s">
        <v>319</v>
      </c>
      <c r="C114" s="181" t="s">
        <v>17</v>
      </c>
      <c r="D114" s="182"/>
      <c r="E114" s="183" t="s">
        <v>20</v>
      </c>
      <c r="F114" s="73" t="s">
        <v>375</v>
      </c>
      <c r="G114" s="74" t="s">
        <v>112</v>
      </c>
      <c r="H114" s="75">
        <v>29</v>
      </c>
      <c r="I114" s="76">
        <v>24</v>
      </c>
      <c r="J114" s="96">
        <f>2+1+4+3+6+2+7+1+2</f>
        <v>28</v>
      </c>
      <c r="K114" s="77">
        <f>710.77+1523.35+6753.23+7215.52+1437.48+28056.52+6091.99+2561.63</f>
        <v>54350.489999999991</v>
      </c>
      <c r="L114" s="77">
        <f>710.77+1523.35+6753.23+7215.52+1437.48+28056.52+6091.99+2561.63</f>
        <v>54350.489999999991</v>
      </c>
      <c r="M114" s="78">
        <f t="shared" si="4"/>
        <v>0</v>
      </c>
      <c r="N114" s="100">
        <f>3+1+2+1+2</f>
        <v>9</v>
      </c>
      <c r="O114" s="77">
        <f>13419.94+726.71+2846.77+3770.56+4653.31</f>
        <v>25417.290000000005</v>
      </c>
      <c r="P114" s="77">
        <f>13419.94+726.71+2846.77+3770.56+4653.31</f>
        <v>25417.290000000005</v>
      </c>
      <c r="Q114" s="79">
        <f>O114-P114</f>
        <v>0</v>
      </c>
      <c r="R114" s="141"/>
    </row>
    <row r="115" spans="1:18" s="15" customFormat="1" x14ac:dyDescent="0.25">
      <c r="A115" s="229"/>
      <c r="B115" s="62" t="s">
        <v>150</v>
      </c>
      <c r="C115" s="181" t="s">
        <v>17</v>
      </c>
      <c r="D115" s="182"/>
      <c r="E115" s="183" t="s">
        <v>35</v>
      </c>
      <c r="F115" s="73" t="s">
        <v>376</v>
      </c>
      <c r="G115" s="74" t="s">
        <v>112</v>
      </c>
      <c r="H115" s="75">
        <v>29</v>
      </c>
      <c r="I115" s="76">
        <v>10</v>
      </c>
      <c r="J115" s="96">
        <f>1+1+2+2+1+3</f>
        <v>10</v>
      </c>
      <c r="K115" s="77">
        <f>1343.65+384.2+1690.4+4889.84+2417.43</f>
        <v>10725.52</v>
      </c>
      <c r="L115" s="77">
        <f>1343.65+384.2+1690.4+4889.84</f>
        <v>8308.09</v>
      </c>
      <c r="M115" s="78">
        <f t="shared" si="4"/>
        <v>2417.4300000000003</v>
      </c>
      <c r="N115" s="114">
        <f>8+1+1+2+3+1+1+1</f>
        <v>18</v>
      </c>
      <c r="O115" s="77">
        <f>5997.32+3719.39+3054.34+13138.17+6578.46+6198.68</f>
        <v>38686.36</v>
      </c>
      <c r="P115" s="77">
        <f>5997.32+3719.39+3054.34+13138.17+6578.46+6198.68</f>
        <v>38686.36</v>
      </c>
      <c r="Q115" s="79">
        <f t="shared" si="3"/>
        <v>0</v>
      </c>
      <c r="R115" s="141"/>
    </row>
    <row r="116" spans="1:18" s="15" customFormat="1" x14ac:dyDescent="0.25">
      <c r="A116" s="229"/>
      <c r="B116" s="233" t="s">
        <v>150</v>
      </c>
      <c r="C116" s="181" t="s">
        <v>17</v>
      </c>
      <c r="D116" s="182"/>
      <c r="E116" s="183" t="s">
        <v>32</v>
      </c>
      <c r="F116" s="73" t="s">
        <v>487</v>
      </c>
      <c r="G116" s="230" t="s">
        <v>117</v>
      </c>
      <c r="H116" s="181">
        <v>4</v>
      </c>
      <c r="I116" s="231">
        <v>3</v>
      </c>
      <c r="J116" s="96">
        <v>3</v>
      </c>
      <c r="K116" s="77">
        <v>12443.4</v>
      </c>
      <c r="L116" s="77">
        <v>12443.4</v>
      </c>
      <c r="M116" s="187">
        <f t="shared" si="4"/>
        <v>0</v>
      </c>
      <c r="N116" s="100">
        <v>3</v>
      </c>
      <c r="O116" s="77">
        <v>8240.2000000000007</v>
      </c>
      <c r="P116" s="77">
        <v>8240.2000000000007</v>
      </c>
      <c r="Q116" s="232">
        <f t="shared" si="3"/>
        <v>0</v>
      </c>
    </row>
    <row r="117" spans="1:18" s="13" customFormat="1" x14ac:dyDescent="0.25">
      <c r="A117" s="229"/>
      <c r="B117" s="30" t="s">
        <v>72</v>
      </c>
      <c r="C117" s="181" t="s">
        <v>17</v>
      </c>
      <c r="D117" s="182"/>
      <c r="E117" s="183" t="s">
        <v>21</v>
      </c>
      <c r="F117" s="73" t="s">
        <v>377</v>
      </c>
      <c r="G117" s="74" t="s">
        <v>112</v>
      </c>
      <c r="H117" s="75">
        <v>21</v>
      </c>
      <c r="I117" s="76">
        <v>10</v>
      </c>
      <c r="J117" s="96">
        <f>1+1+1+1+6+2+1</f>
        <v>13</v>
      </c>
      <c r="K117" s="77">
        <f>633.93+1415.78+1610.18+1394.65+18140.86+2440.63+4140.81</f>
        <v>29776.840000000004</v>
      </c>
      <c r="L117" s="77">
        <f>633.93+1415.78+1610.18+1394.65+18140.86+2440.63+4140.81</f>
        <v>29776.840000000004</v>
      </c>
      <c r="M117" s="78">
        <f>K117-L117</f>
        <v>0</v>
      </c>
      <c r="N117" s="100">
        <f>1+3+1+1+1+3+1+3+1</f>
        <v>15</v>
      </c>
      <c r="O117" s="81">
        <f>1950.74+10237.13+6595.95+3861.21+1348.53+10328.94+50451.86-19567+15859.78</f>
        <v>81067.14</v>
      </c>
      <c r="P117" s="81">
        <f>1950.74+10237.13+6595.95+3861.21+1348.53+10328.94+50451.86-19567+15859.78</f>
        <v>81067.14</v>
      </c>
      <c r="Q117" s="79">
        <f t="shared" si="3"/>
        <v>0</v>
      </c>
      <c r="R117" s="141"/>
    </row>
    <row r="118" spans="1:18" s="13" customFormat="1" x14ac:dyDescent="0.25">
      <c r="A118" s="229"/>
      <c r="B118" s="30" t="s">
        <v>72</v>
      </c>
      <c r="C118" s="181" t="s">
        <v>17</v>
      </c>
      <c r="D118" s="182"/>
      <c r="E118" s="183" t="s">
        <v>21</v>
      </c>
      <c r="F118" s="73" t="s">
        <v>441</v>
      </c>
      <c r="G118" s="230" t="s">
        <v>118</v>
      </c>
      <c r="H118" s="181">
        <v>7</v>
      </c>
      <c r="I118" s="231">
        <v>1</v>
      </c>
      <c r="J118" s="96">
        <v>1</v>
      </c>
      <c r="K118" s="77">
        <v>1728.9</v>
      </c>
      <c r="L118" s="77">
        <v>1728.9</v>
      </c>
      <c r="M118" s="187">
        <f t="shared" si="4"/>
        <v>0</v>
      </c>
      <c r="N118" s="100">
        <v>14</v>
      </c>
      <c r="O118" s="224">
        <v>46633.58</v>
      </c>
      <c r="P118" s="224">
        <v>46633.58</v>
      </c>
      <c r="Q118" s="232">
        <f t="shared" si="3"/>
        <v>0</v>
      </c>
    </row>
    <row r="119" spans="1:18" s="15" customFormat="1" x14ac:dyDescent="0.25">
      <c r="A119" s="229"/>
      <c r="B119" s="30" t="s">
        <v>73</v>
      </c>
      <c r="C119" s="181" t="s">
        <v>17</v>
      </c>
      <c r="D119" s="182"/>
      <c r="E119" s="183" t="s">
        <v>74</v>
      </c>
      <c r="F119" s="73" t="s">
        <v>378</v>
      </c>
      <c r="G119" s="74" t="s">
        <v>112</v>
      </c>
      <c r="H119" s="75">
        <v>31</v>
      </c>
      <c r="I119" s="76">
        <v>27</v>
      </c>
      <c r="J119" s="96">
        <f>9+8+2+2+10+1+6</f>
        <v>38</v>
      </c>
      <c r="K119" s="77">
        <f>6305.33+12574.83+14899.84+13657.06+15923.24</f>
        <v>63360.299999999996</v>
      </c>
      <c r="L119" s="77">
        <f>6305.33+12574.83+14899.84+13657.06+15923.24</f>
        <v>63360.299999999996</v>
      </c>
      <c r="M119" s="78">
        <f>K119-L119</f>
        <v>0</v>
      </c>
      <c r="N119" s="100">
        <f>5+3+3+1+1+2</f>
        <v>15</v>
      </c>
      <c r="O119" s="81">
        <f>5416.39+9506.99+12269.39+7610.68+1928.68</f>
        <v>36732.129999999997</v>
      </c>
      <c r="P119" s="81">
        <f>5416.39+9506.99+12269.39+7610.68+1928.68</f>
        <v>36732.129999999997</v>
      </c>
      <c r="Q119" s="79">
        <f t="shared" si="3"/>
        <v>0</v>
      </c>
      <c r="R119" s="141"/>
    </row>
    <row r="120" spans="1:18" s="15" customFormat="1" x14ac:dyDescent="0.25">
      <c r="A120" s="229"/>
      <c r="B120" s="30" t="s">
        <v>73</v>
      </c>
      <c r="C120" s="181" t="s">
        <v>17</v>
      </c>
      <c r="D120" s="182"/>
      <c r="E120" s="183" t="s">
        <v>74</v>
      </c>
      <c r="F120" s="73" t="s">
        <v>282</v>
      </c>
      <c r="G120" s="230" t="s">
        <v>114</v>
      </c>
      <c r="H120" s="181"/>
      <c r="I120" s="231"/>
      <c r="J120" s="190"/>
      <c r="K120" s="77"/>
      <c r="L120" s="77"/>
      <c r="M120" s="187">
        <f t="shared" ref="M120" si="7">K120-L120</f>
        <v>0</v>
      </c>
      <c r="N120" s="100">
        <v>1</v>
      </c>
      <c r="O120" s="224">
        <v>1728.9</v>
      </c>
      <c r="P120" s="224">
        <v>1728.9</v>
      </c>
      <c r="Q120" s="232">
        <f t="shared" si="3"/>
        <v>0</v>
      </c>
    </row>
    <row r="121" spans="1:18" s="13" customFormat="1" x14ac:dyDescent="0.25">
      <c r="A121" s="229"/>
      <c r="B121" s="30" t="s">
        <v>135</v>
      </c>
      <c r="C121" s="181" t="s">
        <v>17</v>
      </c>
      <c r="D121" s="182"/>
      <c r="E121" s="194" t="s">
        <v>35</v>
      </c>
      <c r="F121" s="73" t="s">
        <v>379</v>
      </c>
      <c r="G121" s="74" t="s">
        <v>112</v>
      </c>
      <c r="H121" s="75">
        <v>31</v>
      </c>
      <c r="I121" s="76">
        <v>22</v>
      </c>
      <c r="J121" s="96">
        <f>1+6+5+3+3+5</f>
        <v>23</v>
      </c>
      <c r="K121" s="77">
        <f>697.32+4374.12+5747.44+4426.94+15712.05</f>
        <v>30957.87</v>
      </c>
      <c r="L121" s="77">
        <f>697.32+4374.12+5747.44+4426.94+15712.05</f>
        <v>30957.87</v>
      </c>
      <c r="M121" s="78">
        <f>K121-L121</f>
        <v>0</v>
      </c>
      <c r="N121" s="100">
        <f>2+5+1+2+2+2</f>
        <v>14</v>
      </c>
      <c r="O121" s="81">
        <f>6432.89+2283.68+4932.13</f>
        <v>13648.7</v>
      </c>
      <c r="P121" s="81">
        <f>6432.89+2283.68+4932.13</f>
        <v>13648.7</v>
      </c>
      <c r="Q121" s="232">
        <f t="shared" si="3"/>
        <v>0</v>
      </c>
      <c r="R121" s="141"/>
    </row>
    <row r="122" spans="1:18" s="13" customFormat="1" x14ac:dyDescent="0.25">
      <c r="A122" s="229"/>
      <c r="B122" s="30" t="s">
        <v>135</v>
      </c>
      <c r="C122" s="181" t="s">
        <v>17</v>
      </c>
      <c r="D122" s="182"/>
      <c r="E122" s="194" t="s">
        <v>35</v>
      </c>
      <c r="F122" s="73" t="s">
        <v>432</v>
      </c>
      <c r="G122" s="230" t="s">
        <v>115</v>
      </c>
      <c r="H122" s="181"/>
      <c r="I122" s="231"/>
      <c r="J122" s="96"/>
      <c r="K122" s="77"/>
      <c r="L122" s="77"/>
      <c r="M122" s="78">
        <f t="shared" si="4"/>
        <v>0</v>
      </c>
      <c r="N122" s="100">
        <v>1</v>
      </c>
      <c r="O122" s="224">
        <v>2689.4</v>
      </c>
      <c r="P122" s="224">
        <v>2689.4</v>
      </c>
      <c r="Q122" s="79">
        <f t="shared" si="3"/>
        <v>0</v>
      </c>
    </row>
    <row r="123" spans="1:18" s="13" customFormat="1" x14ac:dyDescent="0.25">
      <c r="A123" s="229"/>
      <c r="B123" s="30" t="s">
        <v>145</v>
      </c>
      <c r="C123" s="181" t="s">
        <v>17</v>
      </c>
      <c r="D123" s="182"/>
      <c r="E123" s="194" t="s">
        <v>20</v>
      </c>
      <c r="F123" s="73" t="s">
        <v>380</v>
      </c>
      <c r="G123" s="74" t="s">
        <v>112</v>
      </c>
      <c r="H123" s="75">
        <v>14</v>
      </c>
      <c r="I123" s="82">
        <v>12</v>
      </c>
      <c r="J123" s="96">
        <f>2+1+1+2+2+5+3+2</f>
        <v>18</v>
      </c>
      <c r="K123" s="77">
        <f>5169.72+1100+538.84+4293.82+3949.22+3361.76+5643.1+4037.33</f>
        <v>28093.79</v>
      </c>
      <c r="L123" s="77">
        <f>5169.72+1100+538.84+4293.82+3949.22+3361.76+5643.1</f>
        <v>24056.46</v>
      </c>
      <c r="M123" s="78">
        <f>K123-L123</f>
        <v>4037.3300000000017</v>
      </c>
      <c r="N123" s="100">
        <f>1+1+2+1+2</f>
        <v>7</v>
      </c>
      <c r="O123" s="81">
        <f>5120.23+3915.15+1114.12+14002.49</f>
        <v>24151.989999999998</v>
      </c>
      <c r="P123" s="81">
        <f>5120.23+3915.15+1114.12+14002.49</f>
        <v>24151.989999999998</v>
      </c>
      <c r="Q123" s="232">
        <f t="shared" si="3"/>
        <v>0</v>
      </c>
      <c r="R123" s="141"/>
    </row>
    <row r="124" spans="1:18" s="13" customFormat="1" x14ac:dyDescent="0.25">
      <c r="A124" s="229"/>
      <c r="B124" s="30" t="s">
        <v>145</v>
      </c>
      <c r="C124" s="181" t="s">
        <v>17</v>
      </c>
      <c r="D124" s="182"/>
      <c r="E124" s="194" t="s">
        <v>20</v>
      </c>
      <c r="F124" s="73" t="s">
        <v>461</v>
      </c>
      <c r="G124" s="230" t="s">
        <v>114</v>
      </c>
      <c r="H124" s="181">
        <v>5</v>
      </c>
      <c r="I124" s="231">
        <v>1</v>
      </c>
      <c r="J124" s="190">
        <v>1</v>
      </c>
      <c r="K124" s="77">
        <v>1921</v>
      </c>
      <c r="L124" s="77">
        <v>1921</v>
      </c>
      <c r="M124" s="187">
        <f t="shared" ref="M124" si="8">K124-L124</f>
        <v>0</v>
      </c>
      <c r="N124" s="100">
        <v>10</v>
      </c>
      <c r="O124" s="224">
        <v>22933.25</v>
      </c>
      <c r="P124" s="224">
        <v>22933.25</v>
      </c>
      <c r="Q124" s="232">
        <f t="shared" si="3"/>
        <v>0</v>
      </c>
    </row>
    <row r="125" spans="1:18" s="13" customFormat="1" x14ac:dyDescent="0.25">
      <c r="A125" s="229"/>
      <c r="B125" s="62" t="s">
        <v>76</v>
      </c>
      <c r="C125" s="181" t="s">
        <v>17</v>
      </c>
      <c r="D125" s="182"/>
      <c r="E125" s="183" t="s">
        <v>20</v>
      </c>
      <c r="F125" s="73" t="s">
        <v>381</v>
      </c>
      <c r="G125" s="74" t="s">
        <v>112</v>
      </c>
      <c r="H125" s="75">
        <v>22</v>
      </c>
      <c r="I125" s="76">
        <v>17</v>
      </c>
      <c r="J125" s="96">
        <f>1+6+3+1+3+1+2+2+2</f>
        <v>21</v>
      </c>
      <c r="K125" s="77">
        <f>6556.06+2806.39+2697.06+1267.86+11775.51+1557.35+2113.1+4117.36</f>
        <v>32890.689999999995</v>
      </c>
      <c r="L125" s="77">
        <f>6556.06+2806.39+2697.06+1267.86+11775.51+1557.35+2113.1+4117.36</f>
        <v>32890.689999999995</v>
      </c>
      <c r="M125" s="78">
        <f>K125-L125</f>
        <v>0</v>
      </c>
      <c r="N125" s="100">
        <f>5+6+2+1+1+1+1</f>
        <v>17</v>
      </c>
      <c r="O125" s="81">
        <f>11527.9+19846.52+1011.91+9641+2451.87+10072.83+11307.66+2243.83+6181.56</f>
        <v>74285.08</v>
      </c>
      <c r="P125" s="81">
        <f>11527.9+19846.52+1011.91+9641+2451.87+10072.83+11307.66+2243.83+6181.56</f>
        <v>74285.08</v>
      </c>
      <c r="Q125" s="232">
        <f t="shared" si="3"/>
        <v>0</v>
      </c>
      <c r="R125" s="141"/>
    </row>
    <row r="126" spans="1:18" s="13" customFormat="1" x14ac:dyDescent="0.25">
      <c r="A126" s="229"/>
      <c r="B126" s="62" t="s">
        <v>76</v>
      </c>
      <c r="C126" s="181" t="s">
        <v>17</v>
      </c>
      <c r="D126" s="182"/>
      <c r="E126" s="183" t="s">
        <v>20</v>
      </c>
      <c r="F126" s="73" t="s">
        <v>462</v>
      </c>
      <c r="G126" s="230" t="s">
        <v>114</v>
      </c>
      <c r="H126" s="181">
        <v>13</v>
      </c>
      <c r="I126" s="231">
        <v>1</v>
      </c>
      <c r="J126" s="190">
        <v>1</v>
      </c>
      <c r="K126" s="77">
        <v>2113.1</v>
      </c>
      <c r="L126" s="77">
        <v>2113.1</v>
      </c>
      <c r="M126" s="187">
        <f t="shared" ref="M126" si="9">K126-L126</f>
        <v>0</v>
      </c>
      <c r="N126" s="100">
        <v>8</v>
      </c>
      <c r="O126" s="224">
        <v>27398.29</v>
      </c>
      <c r="P126" s="224">
        <v>27398.29</v>
      </c>
      <c r="Q126" s="232">
        <f t="shared" si="3"/>
        <v>0</v>
      </c>
    </row>
    <row r="127" spans="1:18" s="13" customFormat="1" x14ac:dyDescent="0.25">
      <c r="A127" s="229"/>
      <c r="B127" s="30" t="s">
        <v>77</v>
      </c>
      <c r="C127" s="181" t="s">
        <v>17</v>
      </c>
      <c r="D127" s="182"/>
      <c r="E127" s="183" t="s">
        <v>32</v>
      </c>
      <c r="F127" s="73" t="s">
        <v>388</v>
      </c>
      <c r="G127" s="74" t="s">
        <v>112</v>
      </c>
      <c r="H127" s="75">
        <v>18</v>
      </c>
      <c r="I127" s="76">
        <v>12</v>
      </c>
      <c r="J127" s="96">
        <f>2+2+2+6+1+1+1</f>
        <v>15</v>
      </c>
      <c r="K127" s="77">
        <f>2440.63+1507.02+2101.48+13625.7+1324.62</f>
        <v>20999.45</v>
      </c>
      <c r="L127" s="77">
        <f>2440.63+1507.02+2101.48+13625.7+1324.62</f>
        <v>20999.45</v>
      </c>
      <c r="M127" s="78">
        <f>K127-L127</f>
        <v>0</v>
      </c>
      <c r="N127" s="100">
        <f>5+2+3+3+1+1</f>
        <v>15</v>
      </c>
      <c r="O127" s="81">
        <f>11716.73+6848.82+4046.18+11166.34+8845.95</f>
        <v>42624.020000000004</v>
      </c>
      <c r="P127" s="81">
        <f>11716.73+6848.82+4046.18+11166.34+8845.95</f>
        <v>42624.020000000004</v>
      </c>
      <c r="Q127" s="232">
        <f t="shared" si="3"/>
        <v>0</v>
      </c>
      <c r="R127" s="141"/>
    </row>
    <row r="128" spans="1:18" s="13" customFormat="1" x14ac:dyDescent="0.25">
      <c r="A128" s="229"/>
      <c r="B128" s="30" t="s">
        <v>77</v>
      </c>
      <c r="C128" s="181" t="s">
        <v>17</v>
      </c>
      <c r="D128" s="182"/>
      <c r="E128" s="183" t="s">
        <v>32</v>
      </c>
      <c r="F128" s="73" t="s">
        <v>433</v>
      </c>
      <c r="G128" s="230" t="s">
        <v>117</v>
      </c>
      <c r="H128" s="181">
        <v>2</v>
      </c>
      <c r="I128" s="231">
        <v>1</v>
      </c>
      <c r="J128" s="96">
        <v>1</v>
      </c>
      <c r="K128" s="77">
        <v>1921</v>
      </c>
      <c r="L128" s="77">
        <v>1921</v>
      </c>
      <c r="M128" s="78">
        <f t="shared" si="4"/>
        <v>0</v>
      </c>
      <c r="N128" s="100">
        <v>6</v>
      </c>
      <c r="O128" s="224">
        <v>18164.11</v>
      </c>
      <c r="P128" s="224">
        <v>18164.11</v>
      </c>
      <c r="Q128" s="79">
        <f t="shared" si="3"/>
        <v>0</v>
      </c>
    </row>
    <row r="129" spans="1:18" s="13" customFormat="1" x14ac:dyDescent="0.25">
      <c r="A129" s="229"/>
      <c r="B129" s="30" t="s">
        <v>321</v>
      </c>
      <c r="C129" s="181" t="s">
        <v>17</v>
      </c>
      <c r="D129" s="182"/>
      <c r="E129" s="183" t="s">
        <v>21</v>
      </c>
      <c r="F129" s="73" t="s">
        <v>489</v>
      </c>
      <c r="G129" s="230" t="s">
        <v>112</v>
      </c>
      <c r="H129" s="181">
        <v>6</v>
      </c>
      <c r="I129" s="231">
        <v>1</v>
      </c>
      <c r="J129" s="96">
        <f>1</f>
        <v>1</v>
      </c>
      <c r="K129" s="77">
        <f>2547.89</f>
        <v>2547.89</v>
      </c>
      <c r="L129" s="77">
        <f>2547.89</f>
        <v>2547.89</v>
      </c>
      <c r="M129" s="78">
        <f t="shared" si="4"/>
        <v>0</v>
      </c>
      <c r="N129" s="100"/>
      <c r="O129" s="224"/>
      <c r="P129" s="224"/>
      <c r="Q129" s="79">
        <f t="shared" si="3"/>
        <v>0</v>
      </c>
      <c r="R129" s="141"/>
    </row>
    <row r="130" spans="1:18" s="13" customFormat="1" ht="30" x14ac:dyDescent="0.25">
      <c r="A130" s="229"/>
      <c r="B130" s="62" t="s">
        <v>79</v>
      </c>
      <c r="C130" s="181" t="s">
        <v>304</v>
      </c>
      <c r="D130" s="182" t="s">
        <v>385</v>
      </c>
      <c r="E130" s="183" t="s">
        <v>18</v>
      </c>
      <c r="F130" s="73" t="s">
        <v>389</v>
      </c>
      <c r="G130" s="74" t="s">
        <v>112</v>
      </c>
      <c r="H130" s="75">
        <v>18</v>
      </c>
      <c r="I130" s="76">
        <v>12</v>
      </c>
      <c r="J130" s="96">
        <f>2+5+2+3+2+2</f>
        <v>16</v>
      </c>
      <c r="K130" s="77">
        <f>2091.97+3190.2+5703.08+6368.88+4029.68+4560.06</f>
        <v>25943.870000000003</v>
      </c>
      <c r="L130" s="77">
        <f>2091.97+3190.2+5703.08+6368.88+4029.68</f>
        <v>21383.81</v>
      </c>
      <c r="M130" s="78">
        <f t="shared" si="4"/>
        <v>4560.0600000000013</v>
      </c>
      <c r="N130" s="100">
        <f>2+2+1+2+1+1+3</f>
        <v>12</v>
      </c>
      <c r="O130" s="81">
        <f>1547.4+4166.12+7835.61+1675.01+4717.63+6039.62+18829.39+23135.63</f>
        <v>67946.41</v>
      </c>
      <c r="P130" s="81">
        <f>1547.4+4166.12+7835.61+1675.01+4717.63+6039.62+18829.39</f>
        <v>44810.78</v>
      </c>
      <c r="Q130" s="232">
        <f t="shared" si="3"/>
        <v>23135.630000000005</v>
      </c>
      <c r="R130" s="141"/>
    </row>
    <row r="131" spans="1:18" s="13" customFormat="1" ht="30" x14ac:dyDescent="0.25">
      <c r="A131" s="229"/>
      <c r="B131" s="62" t="s">
        <v>79</v>
      </c>
      <c r="C131" s="181" t="s">
        <v>304</v>
      </c>
      <c r="D131" s="182" t="s">
        <v>475</v>
      </c>
      <c r="E131" s="183" t="s">
        <v>18</v>
      </c>
      <c r="F131" s="73" t="s">
        <v>329</v>
      </c>
      <c r="G131" s="230" t="s">
        <v>113</v>
      </c>
      <c r="H131" s="181">
        <v>41</v>
      </c>
      <c r="I131" s="234">
        <v>19</v>
      </c>
      <c r="J131" s="98">
        <v>23</v>
      </c>
      <c r="K131" s="224">
        <v>41069</v>
      </c>
      <c r="L131" s="224">
        <v>27151</v>
      </c>
      <c r="M131" s="78">
        <f t="shared" si="4"/>
        <v>13918</v>
      </c>
      <c r="N131" s="100">
        <v>15</v>
      </c>
      <c r="O131" s="224">
        <v>54906</v>
      </c>
      <c r="P131" s="224">
        <v>54906</v>
      </c>
      <c r="Q131" s="79">
        <f t="shared" si="3"/>
        <v>0</v>
      </c>
    </row>
    <row r="132" spans="1:18" s="13" customFormat="1" x14ac:dyDescent="0.25">
      <c r="A132" s="229"/>
      <c r="B132" s="62" t="s">
        <v>151</v>
      </c>
      <c r="C132" s="181" t="s">
        <v>17</v>
      </c>
      <c r="D132" s="182"/>
      <c r="E132" s="183" t="s">
        <v>32</v>
      </c>
      <c r="F132" s="73" t="s">
        <v>390</v>
      </c>
      <c r="G132" s="74" t="s">
        <v>112</v>
      </c>
      <c r="H132" s="75">
        <v>52</v>
      </c>
      <c r="I132" s="82">
        <v>42</v>
      </c>
      <c r="J132" s="96">
        <f>1+3+3+5+3+9+4+6+3+2+6+5+3</f>
        <v>53</v>
      </c>
      <c r="K132" s="81">
        <f>2317+4640.19+5864.19+10765+12519.53+4514.35+14486.46+3421.94+27163.56</f>
        <v>85692.22</v>
      </c>
      <c r="L132" s="81">
        <f>2317+4640.19+5864.19+10765+12519.53+4514.35+14486.46+3421.94+27163.56</f>
        <v>85692.22</v>
      </c>
      <c r="M132" s="78">
        <f>K132-L132</f>
        <v>0</v>
      </c>
      <c r="N132" s="100">
        <f>9+3+5+1+4+4+1</f>
        <v>27</v>
      </c>
      <c r="O132" s="81">
        <f>10726.94+18822.65+5703.53+12846.53+1320.36+4050.1+22728.38</f>
        <v>76198.490000000005</v>
      </c>
      <c r="P132" s="81">
        <f>10726.94+18822.65+5703.53+12846.53+1320.36+4050.1+22728.38</f>
        <v>76198.490000000005</v>
      </c>
      <c r="Q132" s="232">
        <f t="shared" si="3"/>
        <v>0</v>
      </c>
      <c r="R132" s="141"/>
    </row>
    <row r="133" spans="1:18" s="13" customFormat="1" x14ac:dyDescent="0.25">
      <c r="A133" s="229"/>
      <c r="B133" s="62" t="s">
        <v>151</v>
      </c>
      <c r="C133" s="181" t="s">
        <v>17</v>
      </c>
      <c r="D133" s="182"/>
      <c r="E133" s="183" t="s">
        <v>32</v>
      </c>
      <c r="F133" s="73" t="s">
        <v>434</v>
      </c>
      <c r="G133" s="230" t="s">
        <v>117</v>
      </c>
      <c r="H133" s="181">
        <v>11</v>
      </c>
      <c r="I133" s="231">
        <v>3</v>
      </c>
      <c r="J133" s="96">
        <v>3</v>
      </c>
      <c r="K133" s="77">
        <v>3411.9</v>
      </c>
      <c r="L133" s="77">
        <v>3411.9</v>
      </c>
      <c r="M133" s="78">
        <f t="shared" si="4"/>
        <v>0</v>
      </c>
      <c r="N133" s="100">
        <v>13</v>
      </c>
      <c r="O133" s="224">
        <v>24537.7</v>
      </c>
      <c r="P133" s="224">
        <v>24537.7</v>
      </c>
      <c r="Q133" s="79">
        <f t="shared" si="3"/>
        <v>0</v>
      </c>
    </row>
    <row r="134" spans="1:18" s="13" customFormat="1" x14ac:dyDescent="0.25">
      <c r="A134" s="229"/>
      <c r="B134" s="62" t="s">
        <v>80</v>
      </c>
      <c r="C134" s="181" t="s">
        <v>17</v>
      </c>
      <c r="D134" s="182"/>
      <c r="E134" s="183" t="s">
        <v>81</v>
      </c>
      <c r="F134" s="73" t="s">
        <v>417</v>
      </c>
      <c r="G134" s="74" t="s">
        <v>112</v>
      </c>
      <c r="H134" s="75"/>
      <c r="I134" s="76"/>
      <c r="J134" s="96"/>
      <c r="K134" s="77">
        <f>749.19+8649.27</f>
        <v>9398.4600000000009</v>
      </c>
      <c r="L134" s="77">
        <f>749.19+8649.27</f>
        <v>9398.4600000000009</v>
      </c>
      <c r="M134" s="78">
        <f>K134-L134</f>
        <v>0</v>
      </c>
      <c r="N134" s="100">
        <f>2+2</f>
        <v>4</v>
      </c>
      <c r="O134" s="81">
        <f>3040.94</f>
        <v>3040.94</v>
      </c>
      <c r="P134" s="81">
        <f>3040.94</f>
        <v>3040.94</v>
      </c>
      <c r="Q134" s="232">
        <f t="shared" si="3"/>
        <v>0</v>
      </c>
      <c r="R134" s="141"/>
    </row>
    <row r="135" spans="1:18" s="13" customFormat="1" x14ac:dyDescent="0.25">
      <c r="A135" s="229"/>
      <c r="B135" s="62" t="s">
        <v>80</v>
      </c>
      <c r="C135" s="181" t="s">
        <v>17</v>
      </c>
      <c r="D135" s="182"/>
      <c r="E135" s="183" t="s">
        <v>81</v>
      </c>
      <c r="F135" s="73" t="s">
        <v>285</v>
      </c>
      <c r="G135" s="230" t="s">
        <v>114</v>
      </c>
      <c r="H135" s="181"/>
      <c r="I135" s="231"/>
      <c r="J135" s="190"/>
      <c r="K135" s="77"/>
      <c r="L135" s="77"/>
      <c r="M135" s="187">
        <f t="shared" ref="M135" si="10">K135-L135</f>
        <v>0</v>
      </c>
      <c r="N135" s="100">
        <v>23</v>
      </c>
      <c r="O135" s="224">
        <v>58735.99</v>
      </c>
      <c r="P135" s="224">
        <v>58735.99</v>
      </c>
      <c r="Q135" s="232">
        <f t="shared" si="3"/>
        <v>0</v>
      </c>
    </row>
    <row r="136" spans="1:18" s="13" customFormat="1" x14ac:dyDescent="0.25">
      <c r="A136" s="229"/>
      <c r="B136" s="30" t="s">
        <v>82</v>
      </c>
      <c r="C136" s="181" t="s">
        <v>17</v>
      </c>
      <c r="D136" s="182"/>
      <c r="E136" s="183" t="s">
        <v>20</v>
      </c>
      <c r="F136" s="73" t="s">
        <v>394</v>
      </c>
      <c r="G136" s="74" t="s">
        <v>112</v>
      </c>
      <c r="H136" s="75">
        <v>13</v>
      </c>
      <c r="I136" s="76">
        <v>11</v>
      </c>
      <c r="J136" s="96">
        <f>4+3+2+2+1+1</f>
        <v>13</v>
      </c>
      <c r="K136" s="77">
        <f>7750.47+2207.69+1376.8</f>
        <v>11334.96</v>
      </c>
      <c r="L136" s="77">
        <f>7750.47+2207.69+1376.8</f>
        <v>11334.96</v>
      </c>
      <c r="M136" s="78">
        <f>K136-L136</f>
        <v>0</v>
      </c>
      <c r="N136" s="100">
        <f>3+5+1+1+1</f>
        <v>11</v>
      </c>
      <c r="O136" s="81">
        <f>5975.84+23579.15+1426.34</f>
        <v>30981.33</v>
      </c>
      <c r="P136" s="81">
        <f>5975.84+23579.15+1426.34</f>
        <v>30981.33</v>
      </c>
      <c r="Q136" s="232">
        <f t="shared" si="3"/>
        <v>0</v>
      </c>
      <c r="R136" s="141"/>
    </row>
    <row r="137" spans="1:18" s="13" customFormat="1" x14ac:dyDescent="0.25">
      <c r="A137" s="229"/>
      <c r="B137" s="30" t="s">
        <v>82</v>
      </c>
      <c r="C137" s="181" t="s">
        <v>17</v>
      </c>
      <c r="D137" s="182"/>
      <c r="E137" s="183" t="s">
        <v>20</v>
      </c>
      <c r="F137" s="73" t="s">
        <v>463</v>
      </c>
      <c r="G137" s="230" t="s">
        <v>114</v>
      </c>
      <c r="H137" s="181">
        <v>19</v>
      </c>
      <c r="I137" s="231">
        <v>5</v>
      </c>
      <c r="J137" s="190">
        <v>5</v>
      </c>
      <c r="K137" s="77">
        <v>10181.299999999999</v>
      </c>
      <c r="L137" s="77">
        <v>10181.299999999999</v>
      </c>
      <c r="M137" s="187">
        <f t="shared" ref="M137" si="11">K137-L137</f>
        <v>0</v>
      </c>
      <c r="N137" s="100">
        <v>14</v>
      </c>
      <c r="O137" s="224">
        <v>48620.71</v>
      </c>
      <c r="P137" s="224">
        <v>48620.71</v>
      </c>
      <c r="Q137" s="232">
        <f t="shared" si="3"/>
        <v>0</v>
      </c>
    </row>
    <row r="138" spans="1:18" s="13" customFormat="1" x14ac:dyDescent="0.25">
      <c r="A138" s="229"/>
      <c r="B138" s="30" t="s">
        <v>309</v>
      </c>
      <c r="C138" s="181"/>
      <c r="D138" s="182"/>
      <c r="E138" s="183" t="s">
        <v>20</v>
      </c>
      <c r="F138" s="73" t="s">
        <v>391</v>
      </c>
      <c r="G138" s="230" t="s">
        <v>112</v>
      </c>
      <c r="H138" s="181">
        <v>14</v>
      </c>
      <c r="I138" s="231">
        <v>9</v>
      </c>
      <c r="J138" s="190">
        <f>1+5+2+1+1</f>
        <v>10</v>
      </c>
      <c r="K138" s="77">
        <f>3606.1+3402.77+2649.24+993.47</f>
        <v>10651.58</v>
      </c>
      <c r="L138" s="77">
        <f>3606.1+3402.77+2649.24</f>
        <v>9658.11</v>
      </c>
      <c r="M138" s="78">
        <f t="shared" si="4"/>
        <v>993.46999999999935</v>
      </c>
      <c r="N138" s="100">
        <f>1+5+1+3</f>
        <v>10</v>
      </c>
      <c r="O138" s="224">
        <f>3088.97+13147.65+1267.86+5955.71</f>
        <v>23460.19</v>
      </c>
      <c r="P138" s="224">
        <f>3088.97+13147.65+1267.86+5955.71</f>
        <v>23460.19</v>
      </c>
      <c r="Q138" s="232">
        <f t="shared" si="3"/>
        <v>0</v>
      </c>
      <c r="R138" s="141"/>
    </row>
    <row r="139" spans="1:18" s="13" customFormat="1" x14ac:dyDescent="0.25">
      <c r="A139" s="229"/>
      <c r="B139" s="30" t="s">
        <v>152</v>
      </c>
      <c r="C139" s="181" t="s">
        <v>17</v>
      </c>
      <c r="D139" s="182"/>
      <c r="E139" s="183" t="s">
        <v>35</v>
      </c>
      <c r="F139" s="73" t="s">
        <v>392</v>
      </c>
      <c r="G139" s="74" t="s">
        <v>112</v>
      </c>
      <c r="H139" s="75">
        <v>7</v>
      </c>
      <c r="I139" s="76">
        <v>6</v>
      </c>
      <c r="J139" s="96">
        <f>1+1+2+1+1+1</f>
        <v>7</v>
      </c>
      <c r="K139" s="77">
        <f>403.41+845.24+2113.1</f>
        <v>3361.75</v>
      </c>
      <c r="L139" s="77">
        <f>403.41+845.24+2113.1</f>
        <v>3361.75</v>
      </c>
      <c r="M139" s="78">
        <f t="shared" si="4"/>
        <v>0</v>
      </c>
      <c r="N139" s="100">
        <f>2+2+2+1+1+1+2</f>
        <v>11</v>
      </c>
      <c r="O139" s="81">
        <f>1690.48+3050.26+3661.61+4648.82+1267.86+1690.48+9282.42+4052.53</f>
        <v>29344.46</v>
      </c>
      <c r="P139" s="81">
        <f>1690.48+3050.26+3661.61+4648.82+1267.86+1690.48+9282.42+4052.53</f>
        <v>29344.46</v>
      </c>
      <c r="Q139" s="232">
        <f t="shared" si="3"/>
        <v>0</v>
      </c>
      <c r="R139" s="141"/>
    </row>
    <row r="140" spans="1:18" s="13" customFormat="1" x14ac:dyDescent="0.25">
      <c r="A140" s="229"/>
      <c r="B140" s="30" t="s">
        <v>83</v>
      </c>
      <c r="C140" s="181" t="s">
        <v>17</v>
      </c>
      <c r="D140" s="182"/>
      <c r="E140" s="183" t="s">
        <v>20</v>
      </c>
      <c r="F140" s="73" t="s">
        <v>393</v>
      </c>
      <c r="G140" s="74" t="s">
        <v>112</v>
      </c>
      <c r="H140" s="75">
        <v>12</v>
      </c>
      <c r="I140" s="76">
        <v>8</v>
      </c>
      <c r="J140" s="96">
        <f>1+1+2+1+1+1+1+1</f>
        <v>9</v>
      </c>
      <c r="K140" s="77">
        <f>768.4+2535.72+845.24+14407.5+883.08</f>
        <v>19439.940000000002</v>
      </c>
      <c r="L140" s="77">
        <f>768.4+2535.72+845.24+14407.5+883.08</f>
        <v>19439.940000000002</v>
      </c>
      <c r="M140" s="78">
        <f>K140-L140</f>
        <v>0</v>
      </c>
      <c r="N140" s="100">
        <f>1+2+1+1+1+2</f>
        <v>8</v>
      </c>
      <c r="O140" s="81">
        <f>5837.09+1922.92+4288.54+1686.25</f>
        <v>13734.8</v>
      </c>
      <c r="P140" s="81">
        <f>5837.09+1922.92+4288.54+1686.25</f>
        <v>13734.8</v>
      </c>
      <c r="Q140" s="232">
        <f t="shared" si="3"/>
        <v>0</v>
      </c>
      <c r="R140" s="141"/>
    </row>
    <row r="141" spans="1:18" s="13" customFormat="1" x14ac:dyDescent="0.25">
      <c r="A141" s="229"/>
      <c r="B141" s="30" t="s">
        <v>83</v>
      </c>
      <c r="C141" s="181" t="s">
        <v>17</v>
      </c>
      <c r="D141" s="182"/>
      <c r="E141" s="183" t="s">
        <v>20</v>
      </c>
      <c r="F141" s="73" t="s">
        <v>464</v>
      </c>
      <c r="G141" s="230" t="s">
        <v>114</v>
      </c>
      <c r="H141" s="181">
        <v>30</v>
      </c>
      <c r="I141" s="231">
        <v>9</v>
      </c>
      <c r="J141" s="190">
        <v>9</v>
      </c>
      <c r="K141" s="77">
        <v>24797.49</v>
      </c>
      <c r="L141" s="77">
        <v>19177.89</v>
      </c>
      <c r="M141" s="187">
        <f t="shared" ref="M141" si="12">K141-L141</f>
        <v>5619.6000000000022</v>
      </c>
      <c r="N141" s="100">
        <v>28</v>
      </c>
      <c r="O141" s="224">
        <v>85315.86</v>
      </c>
      <c r="P141" s="224">
        <v>85315.86</v>
      </c>
      <c r="Q141" s="232">
        <f t="shared" si="3"/>
        <v>0</v>
      </c>
    </row>
    <row r="142" spans="1:18" s="13" customFormat="1" ht="45" x14ac:dyDescent="0.25">
      <c r="A142" s="229"/>
      <c r="B142" s="30" t="s">
        <v>85</v>
      </c>
      <c r="C142" s="181" t="s">
        <v>304</v>
      </c>
      <c r="D142" s="182" t="s">
        <v>415</v>
      </c>
      <c r="E142" s="183" t="s">
        <v>20</v>
      </c>
      <c r="F142" s="73" t="s">
        <v>395</v>
      </c>
      <c r="G142" s="74" t="s">
        <v>112</v>
      </c>
      <c r="H142" s="75">
        <v>18</v>
      </c>
      <c r="I142" s="76">
        <v>7</v>
      </c>
      <c r="J142" s="96">
        <f>2+1</f>
        <v>3</v>
      </c>
      <c r="K142" s="77">
        <f>4800.58+2591.84</f>
        <v>7392.42</v>
      </c>
      <c r="L142" s="77">
        <f>4800.58+2591.84</f>
        <v>7392.42</v>
      </c>
      <c r="M142" s="78">
        <f t="shared" si="4"/>
        <v>0</v>
      </c>
      <c r="N142" s="100">
        <f>2+1+2</f>
        <v>5</v>
      </c>
      <c r="O142" s="81">
        <f>3917.73+8936.21+5669.37+31185.72+18292.46</f>
        <v>68001.489999999991</v>
      </c>
      <c r="P142" s="81">
        <f>3917.73+8936.21+5669.37+31185.72+18292.46</f>
        <v>68001.489999999991</v>
      </c>
      <c r="Q142" s="79">
        <f t="shared" si="3"/>
        <v>0</v>
      </c>
      <c r="R142" s="141"/>
    </row>
    <row r="143" spans="1:18" s="13" customFormat="1" x14ac:dyDescent="0.25">
      <c r="A143" s="229"/>
      <c r="B143" s="27" t="s">
        <v>86</v>
      </c>
      <c r="C143" s="181" t="s">
        <v>17</v>
      </c>
      <c r="D143" s="182"/>
      <c r="E143" s="194" t="s">
        <v>20</v>
      </c>
      <c r="F143" s="73" t="s">
        <v>396</v>
      </c>
      <c r="G143" s="74" t="s">
        <v>112</v>
      </c>
      <c r="H143" s="75">
        <v>17</v>
      </c>
      <c r="I143" s="76">
        <v>10</v>
      </c>
      <c r="J143" s="96">
        <f>1+3+1+7+2+2</f>
        <v>16</v>
      </c>
      <c r="K143" s="77">
        <f>950.9+5134.06+2091.97+528.03+8954.46+5719.74</f>
        <v>23379.159999999996</v>
      </c>
      <c r="L143" s="77">
        <f>950.9+5134.06+2091.97+528.03+8954.46+5719.74</f>
        <v>23379.159999999996</v>
      </c>
      <c r="M143" s="78">
        <f t="shared" si="4"/>
        <v>0</v>
      </c>
      <c r="N143" s="100">
        <f>15+4+2+1+2+2</f>
        <v>26</v>
      </c>
      <c r="O143" s="81">
        <f>30236.61+18366.75+8887.09+1077.68+8961.95</f>
        <v>67530.080000000002</v>
      </c>
      <c r="P143" s="81">
        <f>30236.61+18366.75+8887.09+1077.68+8961.95</f>
        <v>67530.080000000002</v>
      </c>
      <c r="Q143" s="232">
        <f t="shared" si="3"/>
        <v>0</v>
      </c>
      <c r="R143" s="141"/>
    </row>
    <row r="144" spans="1:18" s="13" customFormat="1" x14ac:dyDescent="0.25">
      <c r="A144" s="229"/>
      <c r="B144" s="27" t="s">
        <v>86</v>
      </c>
      <c r="C144" s="181" t="s">
        <v>17</v>
      </c>
      <c r="D144" s="182"/>
      <c r="E144" s="194" t="s">
        <v>20</v>
      </c>
      <c r="F144" s="73" t="s">
        <v>465</v>
      </c>
      <c r="G144" s="230" t="s">
        <v>114</v>
      </c>
      <c r="H144" s="181">
        <v>7</v>
      </c>
      <c r="I144" s="231">
        <v>1</v>
      </c>
      <c r="J144" s="190">
        <v>1</v>
      </c>
      <c r="K144" s="77">
        <v>3933.72</v>
      </c>
      <c r="L144" s="77">
        <v>3933.72</v>
      </c>
      <c r="M144" s="187">
        <f t="shared" si="4"/>
        <v>0</v>
      </c>
      <c r="N144" s="100">
        <v>9</v>
      </c>
      <c r="O144" s="224">
        <v>15209.53</v>
      </c>
      <c r="P144" s="224">
        <v>15209.53</v>
      </c>
      <c r="Q144" s="232">
        <f t="shared" si="3"/>
        <v>0</v>
      </c>
    </row>
    <row r="145" spans="1:18" s="13" customFormat="1" x14ac:dyDescent="0.25">
      <c r="A145" s="229"/>
      <c r="B145" s="62" t="s">
        <v>312</v>
      </c>
      <c r="C145" s="181" t="s">
        <v>17</v>
      </c>
      <c r="D145" s="182"/>
      <c r="E145" s="194" t="s">
        <v>20</v>
      </c>
      <c r="F145" s="73" t="s">
        <v>320</v>
      </c>
      <c r="G145" s="74" t="s">
        <v>112</v>
      </c>
      <c r="H145" s="75">
        <v>16</v>
      </c>
      <c r="I145" s="76">
        <v>9</v>
      </c>
      <c r="J145" s="96">
        <f>1+1+1+2+3</f>
        <v>8</v>
      </c>
      <c r="K145" s="77">
        <f>3319.49+845.24+4965.79</f>
        <v>9130.52</v>
      </c>
      <c r="L145" s="77">
        <f>3319.49+845.24+4965.79</f>
        <v>9130.52</v>
      </c>
      <c r="M145" s="78">
        <f t="shared" si="4"/>
        <v>0</v>
      </c>
      <c r="N145" s="100">
        <f>5+6+1+1</f>
        <v>13</v>
      </c>
      <c r="O145" s="81">
        <f>4226.2+6627.45+4360.59+6336.1</f>
        <v>21550.34</v>
      </c>
      <c r="P145" s="81">
        <f>4226.2+6627.45+4360.59</f>
        <v>15214.24</v>
      </c>
      <c r="Q145" s="232">
        <f t="shared" si="3"/>
        <v>6336.1</v>
      </c>
      <c r="R145" s="141"/>
    </row>
    <row r="146" spans="1:18" s="13" customFormat="1" x14ac:dyDescent="0.25">
      <c r="A146" s="229"/>
      <c r="B146" s="62" t="s">
        <v>494</v>
      </c>
      <c r="C146" s="181" t="s">
        <v>17</v>
      </c>
      <c r="D146" s="182"/>
      <c r="E146" s="194" t="s">
        <v>20</v>
      </c>
      <c r="F146" s="73" t="s">
        <v>497</v>
      </c>
      <c r="G146" s="74" t="s">
        <v>112</v>
      </c>
      <c r="H146" s="75">
        <v>13</v>
      </c>
      <c r="I146" s="76">
        <v>9</v>
      </c>
      <c r="J146" s="96">
        <f>1+1+1+1+2+1+2</f>
        <v>9</v>
      </c>
      <c r="K146" s="77">
        <f>3379+5494.06+576.3+2417.43+3057.66+2384.32</f>
        <v>17308.77</v>
      </c>
      <c r="L146" s="77">
        <f>3379+5494.06+576.3+2417.43+3057.66+2384.32</f>
        <v>17308.77</v>
      </c>
      <c r="M146" s="78">
        <f t="shared" si="4"/>
        <v>0</v>
      </c>
      <c r="N146" s="100"/>
      <c r="O146" s="81"/>
      <c r="P146" s="81"/>
      <c r="Q146" s="232">
        <f t="shared" ref="Q146:Q188" si="13">O146-P146</f>
        <v>0</v>
      </c>
      <c r="R146" s="141"/>
    </row>
    <row r="147" spans="1:18" s="13" customFormat="1" x14ac:dyDescent="0.25">
      <c r="A147" s="229"/>
      <c r="B147" s="62" t="s">
        <v>494</v>
      </c>
      <c r="C147" s="181" t="s">
        <v>17</v>
      </c>
      <c r="D147" s="182"/>
      <c r="E147" s="194" t="s">
        <v>20</v>
      </c>
      <c r="F147" s="73" t="s">
        <v>507</v>
      </c>
      <c r="G147" s="74" t="s">
        <v>114</v>
      </c>
      <c r="H147" s="75">
        <v>30</v>
      </c>
      <c r="I147" s="76">
        <v>4</v>
      </c>
      <c r="J147" s="96">
        <v>4</v>
      </c>
      <c r="K147" s="77">
        <v>8300.42</v>
      </c>
      <c r="L147" s="77">
        <v>8300.42</v>
      </c>
      <c r="M147" s="187">
        <f t="shared" si="4"/>
        <v>0</v>
      </c>
      <c r="N147" s="100"/>
      <c r="O147" s="81"/>
      <c r="P147" s="81"/>
      <c r="Q147" s="232">
        <f t="shared" si="13"/>
        <v>0</v>
      </c>
      <c r="R147" s="141"/>
    </row>
    <row r="148" spans="1:18" s="13" customFormat="1" x14ac:dyDescent="0.25">
      <c r="A148" s="229"/>
      <c r="B148" s="30" t="s">
        <v>88</v>
      </c>
      <c r="C148" s="181" t="s">
        <v>17</v>
      </c>
      <c r="D148" s="182"/>
      <c r="E148" s="183" t="s">
        <v>89</v>
      </c>
      <c r="F148" s="73" t="s">
        <v>397</v>
      </c>
      <c r="G148" s="74" t="s">
        <v>112</v>
      </c>
      <c r="H148" s="75">
        <v>19</v>
      </c>
      <c r="I148" s="76">
        <v>11</v>
      </c>
      <c r="J148" s="96">
        <f>1+3+1+2+4</f>
        <v>11</v>
      </c>
      <c r="K148" s="77">
        <f>4226.2+2394.91+6485.1+556.71+4126.31+9704.16</f>
        <v>27493.39</v>
      </c>
      <c r="L148" s="77">
        <f>4226.2+2394.91+6485.1+556.71+4126.31</f>
        <v>17789.23</v>
      </c>
      <c r="M148" s="78">
        <f>K148-L148</f>
        <v>9704.16</v>
      </c>
      <c r="N148" s="100">
        <f>4+1+3+1+2+2+1+1+2</f>
        <v>17</v>
      </c>
      <c r="O148" s="81">
        <f>11967.83+2831.55+10544.37+9418.99+3799.13+1798.04+2548.4-12193.52+4083.77</f>
        <v>34798.559999999998</v>
      </c>
      <c r="P148" s="81">
        <f>11967.83+2831.55+10544.37+9418.99+3799.13+1798.04+2548.4-12193.52+4083.77</f>
        <v>34798.559999999998</v>
      </c>
      <c r="Q148" s="79">
        <f t="shared" si="13"/>
        <v>0</v>
      </c>
      <c r="R148" s="141"/>
    </row>
    <row r="149" spans="1:18" s="13" customFormat="1" x14ac:dyDescent="0.25">
      <c r="A149" s="229"/>
      <c r="B149" s="30" t="s">
        <v>88</v>
      </c>
      <c r="C149" s="181" t="s">
        <v>17</v>
      </c>
      <c r="D149" s="182"/>
      <c r="E149" s="183" t="s">
        <v>89</v>
      </c>
      <c r="F149" s="73" t="s">
        <v>442</v>
      </c>
      <c r="G149" s="230" t="s">
        <v>118</v>
      </c>
      <c r="H149" s="181">
        <v>7</v>
      </c>
      <c r="I149" s="231"/>
      <c r="J149" s="96"/>
      <c r="K149" s="77"/>
      <c r="L149" s="77"/>
      <c r="M149" s="187">
        <f t="shared" si="4"/>
        <v>0</v>
      </c>
      <c r="N149" s="100">
        <v>3</v>
      </c>
      <c r="O149" s="224">
        <v>11020.82</v>
      </c>
      <c r="P149" s="224">
        <v>11020.82</v>
      </c>
      <c r="Q149" s="232">
        <f t="shared" si="13"/>
        <v>0</v>
      </c>
    </row>
    <row r="150" spans="1:18" s="13" customFormat="1" x14ac:dyDescent="0.25">
      <c r="A150" s="229"/>
      <c r="B150" s="30" t="s">
        <v>88</v>
      </c>
      <c r="C150" s="181" t="s">
        <v>17</v>
      </c>
      <c r="D150" s="182"/>
      <c r="E150" s="194" t="s">
        <v>505</v>
      </c>
      <c r="F150" s="73" t="s">
        <v>506</v>
      </c>
      <c r="G150" s="230" t="s">
        <v>114</v>
      </c>
      <c r="H150" s="181">
        <v>6</v>
      </c>
      <c r="I150" s="231">
        <v>1</v>
      </c>
      <c r="J150" s="96">
        <v>1</v>
      </c>
      <c r="K150" s="77">
        <v>3763.9</v>
      </c>
      <c r="L150" s="77">
        <v>3763.9</v>
      </c>
      <c r="M150" s="187">
        <f t="shared" si="4"/>
        <v>0</v>
      </c>
      <c r="N150" s="100"/>
      <c r="O150" s="224"/>
      <c r="P150" s="224"/>
      <c r="Q150" s="232">
        <f t="shared" si="13"/>
        <v>0</v>
      </c>
    </row>
    <row r="151" spans="1:18" s="13" customFormat="1" x14ac:dyDescent="0.25">
      <c r="A151" s="229"/>
      <c r="B151" s="30" t="s">
        <v>90</v>
      </c>
      <c r="C151" s="181" t="s">
        <v>17</v>
      </c>
      <c r="D151" s="182"/>
      <c r="E151" s="194" t="s">
        <v>20</v>
      </c>
      <c r="F151" s="73" t="s">
        <v>398</v>
      </c>
      <c r="G151" s="74" t="s">
        <v>112</v>
      </c>
      <c r="H151" s="75">
        <v>10</v>
      </c>
      <c r="I151" s="76">
        <v>7</v>
      </c>
      <c r="J151" s="96">
        <f>1+1+1+4</f>
        <v>7</v>
      </c>
      <c r="K151" s="77">
        <f>422.62+4662.44+7580.13</f>
        <v>12665.189999999999</v>
      </c>
      <c r="L151" s="77">
        <f>422.62+4662.44+7580.13</f>
        <v>12665.189999999999</v>
      </c>
      <c r="M151" s="78">
        <f>K151-L151</f>
        <v>0</v>
      </c>
      <c r="N151" s="100">
        <f>1+1+1+1+2</f>
        <v>6</v>
      </c>
      <c r="O151" s="81">
        <f>2122.67+787.61+15453.48+6194.26</f>
        <v>24558.019999999997</v>
      </c>
      <c r="P151" s="81">
        <f>2122.67+787.61+15453.48+6194.26</f>
        <v>24558.019999999997</v>
      </c>
      <c r="Q151" s="79">
        <f t="shared" si="13"/>
        <v>0</v>
      </c>
      <c r="R151" s="141"/>
    </row>
    <row r="152" spans="1:18" s="13" customFormat="1" x14ac:dyDescent="0.25">
      <c r="A152" s="229"/>
      <c r="B152" s="30" t="s">
        <v>90</v>
      </c>
      <c r="C152" s="181" t="s">
        <v>17</v>
      </c>
      <c r="D152" s="182"/>
      <c r="E152" s="194" t="s">
        <v>20</v>
      </c>
      <c r="F152" s="73" t="s">
        <v>466</v>
      </c>
      <c r="G152" s="230" t="s">
        <v>114</v>
      </c>
      <c r="H152" s="181">
        <v>15</v>
      </c>
      <c r="I152" s="231">
        <v>4</v>
      </c>
      <c r="J152" s="190">
        <v>4</v>
      </c>
      <c r="K152" s="77">
        <v>10468.56</v>
      </c>
      <c r="L152" s="77">
        <v>10468.56</v>
      </c>
      <c r="M152" s="187">
        <f t="shared" ref="M152" si="14">K152-L152</f>
        <v>0</v>
      </c>
      <c r="N152" s="100">
        <v>25</v>
      </c>
      <c r="O152" s="224">
        <v>81936.800000000003</v>
      </c>
      <c r="P152" s="224">
        <v>81936.800000000003</v>
      </c>
      <c r="Q152" s="232">
        <f t="shared" si="13"/>
        <v>0</v>
      </c>
    </row>
    <row r="153" spans="1:18" s="13" customFormat="1" x14ac:dyDescent="0.25">
      <c r="A153" s="229"/>
      <c r="B153" s="30" t="s">
        <v>91</v>
      </c>
      <c r="C153" s="181" t="s">
        <v>17</v>
      </c>
      <c r="D153" s="182"/>
      <c r="E153" s="194" t="s">
        <v>20</v>
      </c>
      <c r="F153" s="73" t="s">
        <v>399</v>
      </c>
      <c r="G153" s="74" t="s">
        <v>112</v>
      </c>
      <c r="H153" s="75"/>
      <c r="I153" s="76"/>
      <c r="J153" s="96"/>
      <c r="K153" s="77"/>
      <c r="L153" s="77"/>
      <c r="M153" s="78">
        <f>K153-L153</f>
        <v>0</v>
      </c>
      <c r="N153" s="100"/>
      <c r="O153" s="81"/>
      <c r="P153" s="81"/>
      <c r="Q153" s="79">
        <f t="shared" si="13"/>
        <v>0</v>
      </c>
      <c r="R153" s="141"/>
    </row>
    <row r="154" spans="1:18" s="13" customFormat="1" x14ac:dyDescent="0.25">
      <c r="A154" s="229"/>
      <c r="B154" s="62" t="s">
        <v>138</v>
      </c>
      <c r="C154" s="181" t="s">
        <v>17</v>
      </c>
      <c r="D154" s="182"/>
      <c r="E154" s="194" t="s">
        <v>20</v>
      </c>
      <c r="F154" s="73" t="s">
        <v>467</v>
      </c>
      <c r="G154" s="230" t="s">
        <v>114</v>
      </c>
      <c r="H154" s="181">
        <v>9</v>
      </c>
      <c r="I154" s="231">
        <v>3</v>
      </c>
      <c r="J154" s="190">
        <v>3</v>
      </c>
      <c r="K154" s="193">
        <v>5542.2</v>
      </c>
      <c r="L154" s="193">
        <v>5542.2</v>
      </c>
      <c r="M154" s="187">
        <f t="shared" ref="M154" si="15">K154-L154</f>
        <v>0</v>
      </c>
      <c r="N154" s="114">
        <v>7</v>
      </c>
      <c r="O154" s="224">
        <v>16429.099999999999</v>
      </c>
      <c r="P154" s="224">
        <v>16429.099999999999</v>
      </c>
      <c r="Q154" s="232">
        <f t="shared" si="13"/>
        <v>0</v>
      </c>
    </row>
    <row r="155" spans="1:18" s="13" customFormat="1" x14ac:dyDescent="0.25">
      <c r="A155" s="229"/>
      <c r="B155" s="62" t="s">
        <v>138</v>
      </c>
      <c r="C155" s="181" t="s">
        <v>17</v>
      </c>
      <c r="D155" s="182"/>
      <c r="E155" s="194" t="s">
        <v>20</v>
      </c>
      <c r="F155" s="73" t="s">
        <v>400</v>
      </c>
      <c r="G155" s="74" t="s">
        <v>112</v>
      </c>
      <c r="H155" s="75">
        <v>12</v>
      </c>
      <c r="I155" s="82">
        <v>8</v>
      </c>
      <c r="J155" s="96">
        <f>3+1+1+2+2</f>
        <v>9</v>
      </c>
      <c r="K155" s="77">
        <f>2224.52+9639.33+3232.07+1625.67+1324.62</f>
        <v>18046.21</v>
      </c>
      <c r="L155" s="77">
        <f>2224.52+9639.33+3232.07+1625.67</f>
        <v>16721.59</v>
      </c>
      <c r="M155" s="78">
        <f t="shared" si="4"/>
        <v>1324.619999999999</v>
      </c>
      <c r="N155" s="100">
        <f>5+4+2</f>
        <v>11</v>
      </c>
      <c r="O155" s="81">
        <f>8995.87+8641.99+5740.02</f>
        <v>23377.88</v>
      </c>
      <c r="P155" s="81">
        <f>8995.87+8641.99+5740.02</f>
        <v>23377.88</v>
      </c>
      <c r="Q155" s="79">
        <f t="shared" si="13"/>
        <v>0</v>
      </c>
      <c r="R155" s="141"/>
    </row>
    <row r="156" spans="1:18" s="13" customFormat="1" x14ac:dyDescent="0.25">
      <c r="A156" s="229"/>
      <c r="B156" s="62" t="s">
        <v>157</v>
      </c>
      <c r="C156" s="181" t="s">
        <v>17</v>
      </c>
      <c r="D156" s="182"/>
      <c r="E156" s="194" t="s">
        <v>20</v>
      </c>
      <c r="F156" s="73" t="s">
        <v>401</v>
      </c>
      <c r="G156" s="74" t="s">
        <v>112</v>
      </c>
      <c r="H156" s="75">
        <v>13</v>
      </c>
      <c r="I156" s="82"/>
      <c r="J156" s="96"/>
      <c r="K156" s="77"/>
      <c r="L156" s="77"/>
      <c r="M156" s="78">
        <f t="shared" ref="M156:M186" si="16">K156-L156</f>
        <v>0</v>
      </c>
      <c r="N156" s="100"/>
      <c r="O156" s="81"/>
      <c r="P156" s="81"/>
      <c r="Q156" s="232">
        <f t="shared" si="13"/>
        <v>0</v>
      </c>
      <c r="R156" s="141"/>
    </row>
    <row r="157" spans="1:18" s="15" customFormat="1" x14ac:dyDescent="0.25">
      <c r="A157" s="229"/>
      <c r="B157" s="62" t="s">
        <v>92</v>
      </c>
      <c r="C157" s="181" t="s">
        <v>17</v>
      </c>
      <c r="D157" s="182"/>
      <c r="E157" s="194" t="s">
        <v>20</v>
      </c>
      <c r="F157" s="73" t="s">
        <v>402</v>
      </c>
      <c r="G157" s="74" t="s">
        <v>112</v>
      </c>
      <c r="H157" s="75">
        <v>10</v>
      </c>
      <c r="I157" s="76">
        <v>8</v>
      </c>
      <c r="J157" s="96">
        <f>1+2+5</f>
        <v>8</v>
      </c>
      <c r="K157" s="77">
        <f>1951.74+1335.1+2996.76</f>
        <v>6283.6</v>
      </c>
      <c r="L157" s="77">
        <f>1951.74+1335.1+2996.76</f>
        <v>6283.6</v>
      </c>
      <c r="M157" s="78">
        <f>K157-L157</f>
        <v>0</v>
      </c>
      <c r="N157" s="100">
        <f>4+1+1</f>
        <v>6</v>
      </c>
      <c r="O157" s="81">
        <f>12624.74+2697.06+1225.93</f>
        <v>16547.73</v>
      </c>
      <c r="P157" s="81">
        <f>12624.74+2697.06+1225.93</f>
        <v>16547.73</v>
      </c>
      <c r="Q157" s="232">
        <f t="shared" si="13"/>
        <v>0</v>
      </c>
      <c r="R157" s="141"/>
    </row>
    <row r="158" spans="1:18" s="15" customFormat="1" x14ac:dyDescent="0.25">
      <c r="A158" s="229"/>
      <c r="B158" s="62" t="s">
        <v>92</v>
      </c>
      <c r="C158" s="181" t="s">
        <v>17</v>
      </c>
      <c r="D158" s="182"/>
      <c r="E158" s="194" t="s">
        <v>20</v>
      </c>
      <c r="F158" s="73" t="s">
        <v>129</v>
      </c>
      <c r="G158" s="230" t="s">
        <v>114</v>
      </c>
      <c r="H158" s="181"/>
      <c r="I158" s="231"/>
      <c r="J158" s="190"/>
      <c r="K158" s="77"/>
      <c r="L158" s="77"/>
      <c r="M158" s="187">
        <f t="shared" ref="M158" si="17">K158-L158</f>
        <v>0</v>
      </c>
      <c r="N158" s="114"/>
      <c r="O158" s="224"/>
      <c r="P158" s="224"/>
      <c r="Q158" s="232">
        <f t="shared" si="13"/>
        <v>0</v>
      </c>
    </row>
    <row r="159" spans="1:18" s="13" customFormat="1" x14ac:dyDescent="0.25">
      <c r="A159" s="229"/>
      <c r="B159" s="30" t="s">
        <v>93</v>
      </c>
      <c r="C159" s="181" t="s">
        <v>17</v>
      </c>
      <c r="D159" s="182"/>
      <c r="E159" s="183" t="s">
        <v>94</v>
      </c>
      <c r="F159" s="73" t="s">
        <v>403</v>
      </c>
      <c r="G159" s="74" t="s">
        <v>112</v>
      </c>
      <c r="H159" s="75">
        <v>7</v>
      </c>
      <c r="I159" s="76">
        <v>2</v>
      </c>
      <c r="J159" s="96">
        <f>2</f>
        <v>2</v>
      </c>
      <c r="K159" s="77">
        <f>2336.84</f>
        <v>2336.84</v>
      </c>
      <c r="L159" s="77">
        <f>2336.84</f>
        <v>2336.84</v>
      </c>
      <c r="M159" s="78">
        <f>K159-L159</f>
        <v>0</v>
      </c>
      <c r="N159" s="100">
        <f>3+8</f>
        <v>11</v>
      </c>
      <c r="O159" s="81">
        <f>20117.75</f>
        <v>20117.75</v>
      </c>
      <c r="P159" s="81">
        <f>20117.75</f>
        <v>20117.75</v>
      </c>
      <c r="Q159" s="232">
        <f t="shared" si="13"/>
        <v>0</v>
      </c>
      <c r="R159" s="141"/>
    </row>
    <row r="160" spans="1:18" s="13" customFormat="1" x14ac:dyDescent="0.25">
      <c r="A160" s="229"/>
      <c r="B160" s="30" t="s">
        <v>93</v>
      </c>
      <c r="C160" s="181" t="s">
        <v>17</v>
      </c>
      <c r="D160" s="182"/>
      <c r="E160" s="183" t="s">
        <v>94</v>
      </c>
      <c r="F160" s="73" t="s">
        <v>130</v>
      </c>
      <c r="G160" s="230" t="s">
        <v>114</v>
      </c>
      <c r="H160" s="181"/>
      <c r="I160" s="231"/>
      <c r="J160" s="190"/>
      <c r="K160" s="77"/>
      <c r="L160" s="77"/>
      <c r="M160" s="187">
        <f t="shared" ref="M160" si="18">K160-L160</f>
        <v>0</v>
      </c>
      <c r="N160" s="100"/>
      <c r="O160" s="224"/>
      <c r="P160" s="224"/>
      <c r="Q160" s="232">
        <f t="shared" si="13"/>
        <v>0</v>
      </c>
    </row>
    <row r="161" spans="1:18" s="13" customFormat="1" x14ac:dyDescent="0.25">
      <c r="A161" s="229"/>
      <c r="B161" s="30" t="s">
        <v>93</v>
      </c>
      <c r="C161" s="181" t="s">
        <v>17</v>
      </c>
      <c r="D161" s="182"/>
      <c r="E161" s="183" t="s">
        <v>94</v>
      </c>
      <c r="F161" s="73" t="s">
        <v>240</v>
      </c>
      <c r="G161" s="230" t="s">
        <v>118</v>
      </c>
      <c r="H161" s="181"/>
      <c r="I161" s="231"/>
      <c r="J161" s="96"/>
      <c r="K161" s="77"/>
      <c r="L161" s="77"/>
      <c r="M161" s="78">
        <f t="shared" si="16"/>
        <v>0</v>
      </c>
      <c r="N161" s="100"/>
      <c r="O161" s="224"/>
      <c r="P161" s="224"/>
      <c r="Q161" s="232">
        <f t="shared" si="13"/>
        <v>0</v>
      </c>
    </row>
    <row r="162" spans="1:18" s="13" customFormat="1" x14ac:dyDescent="0.25">
      <c r="A162" s="229"/>
      <c r="B162" s="30" t="s">
        <v>95</v>
      </c>
      <c r="C162" s="181" t="s">
        <v>17</v>
      </c>
      <c r="D162" s="182"/>
      <c r="E162" s="194" t="s">
        <v>20</v>
      </c>
      <c r="F162" s="73" t="s">
        <v>404</v>
      </c>
      <c r="G162" s="74" t="s">
        <v>112</v>
      </c>
      <c r="H162" s="75">
        <v>17</v>
      </c>
      <c r="I162" s="76">
        <v>11</v>
      </c>
      <c r="J162" s="96">
        <f>1+4+4+5+2</f>
        <v>16</v>
      </c>
      <c r="K162" s="77">
        <f>1061.35+5770.05+5238.9+6606.04</f>
        <v>18676.34</v>
      </c>
      <c r="L162" s="77">
        <f>1061.35+5770.05+5238.9</f>
        <v>12070.3</v>
      </c>
      <c r="M162" s="78">
        <f>K162-L162</f>
        <v>6606.0400000000009</v>
      </c>
      <c r="N162" s="100">
        <f>1+6+1+4+1+1</f>
        <v>14</v>
      </c>
      <c r="O162" s="81">
        <f>11603.82+7559.28+6777.29+24757.02</f>
        <v>50697.41</v>
      </c>
      <c r="P162" s="81">
        <f>11603.82+7559.28+6777.29+24757.02</f>
        <v>50697.41</v>
      </c>
      <c r="Q162" s="79">
        <f t="shared" si="13"/>
        <v>0</v>
      </c>
      <c r="R162" s="141"/>
    </row>
    <row r="163" spans="1:18" s="13" customFormat="1" x14ac:dyDescent="0.25">
      <c r="A163" s="229"/>
      <c r="B163" s="30" t="s">
        <v>95</v>
      </c>
      <c r="C163" s="181" t="s">
        <v>17</v>
      </c>
      <c r="D163" s="182"/>
      <c r="E163" s="194" t="s">
        <v>20</v>
      </c>
      <c r="F163" s="73" t="s">
        <v>291</v>
      </c>
      <c r="G163" s="230" t="s">
        <v>114</v>
      </c>
      <c r="H163" s="181">
        <v>8</v>
      </c>
      <c r="I163" s="231">
        <v>2</v>
      </c>
      <c r="J163" s="190">
        <v>2</v>
      </c>
      <c r="K163" s="77">
        <v>2356.8000000000002</v>
      </c>
      <c r="L163" s="77">
        <v>2356.8000000000002</v>
      </c>
      <c r="M163" s="187">
        <f t="shared" ref="M163" si="19">K163-L163</f>
        <v>0</v>
      </c>
      <c r="N163" s="100">
        <v>12</v>
      </c>
      <c r="O163" s="224">
        <v>29189.15</v>
      </c>
      <c r="P163" s="224">
        <v>29189.15</v>
      </c>
      <c r="Q163" s="232">
        <f t="shared" si="13"/>
        <v>0</v>
      </c>
    </row>
    <row r="164" spans="1:18" s="13" customFormat="1" x14ac:dyDescent="0.25">
      <c r="A164" s="229"/>
      <c r="B164" s="30" t="s">
        <v>96</v>
      </c>
      <c r="C164" s="181" t="s">
        <v>17</v>
      </c>
      <c r="D164" s="182"/>
      <c r="E164" s="194" t="s">
        <v>97</v>
      </c>
      <c r="F164" s="73" t="s">
        <v>405</v>
      </c>
      <c r="G164" s="74" t="s">
        <v>112</v>
      </c>
      <c r="H164" s="75">
        <v>1</v>
      </c>
      <c r="I164" s="76">
        <v>1</v>
      </c>
      <c r="J164" s="96">
        <f>2</f>
        <v>2</v>
      </c>
      <c r="K164" s="77"/>
      <c r="L164" s="77"/>
      <c r="M164" s="78">
        <f>K164-L164</f>
        <v>0</v>
      </c>
      <c r="N164" s="103">
        <f>1+2+1</f>
        <v>4</v>
      </c>
      <c r="O164" s="77">
        <f>1742.31+9358.48</f>
        <v>11100.789999999999</v>
      </c>
      <c r="P164" s="77">
        <f>1742.31+9358.48</f>
        <v>11100.789999999999</v>
      </c>
      <c r="Q164" s="79">
        <f t="shared" si="13"/>
        <v>0</v>
      </c>
      <c r="R164" s="141"/>
    </row>
    <row r="165" spans="1:18" s="13" customFormat="1" x14ac:dyDescent="0.25">
      <c r="A165" s="229"/>
      <c r="B165" s="30" t="s">
        <v>96</v>
      </c>
      <c r="C165" s="181" t="s">
        <v>17</v>
      </c>
      <c r="D165" s="182"/>
      <c r="E165" s="194" t="s">
        <v>97</v>
      </c>
      <c r="F165" s="73" t="s">
        <v>468</v>
      </c>
      <c r="G165" s="230" t="s">
        <v>114</v>
      </c>
      <c r="H165" s="181">
        <v>1</v>
      </c>
      <c r="I165" s="231"/>
      <c r="J165" s="190"/>
      <c r="K165" s="77"/>
      <c r="L165" s="77"/>
      <c r="M165" s="187">
        <f t="shared" ref="M165" si="20">K165-L165</f>
        <v>0</v>
      </c>
      <c r="N165" s="100">
        <v>4</v>
      </c>
      <c r="O165" s="224">
        <v>8676.6</v>
      </c>
      <c r="P165" s="224">
        <v>8676.6</v>
      </c>
      <c r="Q165" s="232">
        <f t="shared" si="13"/>
        <v>0</v>
      </c>
    </row>
    <row r="166" spans="1:18" s="13" customFormat="1" x14ac:dyDescent="0.25">
      <c r="A166" s="229"/>
      <c r="B166" s="30" t="s">
        <v>98</v>
      </c>
      <c r="C166" s="181" t="s">
        <v>17</v>
      </c>
      <c r="D166" s="182"/>
      <c r="E166" s="194" t="s">
        <v>35</v>
      </c>
      <c r="F166" s="73" t="s">
        <v>406</v>
      </c>
      <c r="G166" s="74" t="s">
        <v>112</v>
      </c>
      <c r="H166" s="75">
        <v>34</v>
      </c>
      <c r="I166" s="76">
        <v>22</v>
      </c>
      <c r="J166" s="96">
        <f>1+2+1+1+4+4+1+2</f>
        <v>16</v>
      </c>
      <c r="K166" s="77">
        <f>845.24+1764.25+8353.03+1298.98+7610.68+13826.64+2752.31+9720.26+116979.76-2616.91+4851.2</f>
        <v>165385.44</v>
      </c>
      <c r="L166" s="77">
        <f>845.24+1764.25+8353.03+1298.98+7610.68+13826.64+2752.31+9720.26+116979.76-2616.91+4851.2</f>
        <v>165385.44</v>
      </c>
      <c r="M166" s="78">
        <f>K166-L166</f>
        <v>0</v>
      </c>
      <c r="N166" s="100">
        <f>9+1+1+4+2+1+2+4+2+1+1</f>
        <v>28</v>
      </c>
      <c r="O166" s="81">
        <f>73585.55+12034.56+5680.01-5067.39</f>
        <v>86232.73</v>
      </c>
      <c r="P166" s="81">
        <f>73585.55+12034.56+5680.01-5067.39</f>
        <v>86232.73</v>
      </c>
      <c r="Q166" s="79">
        <f t="shared" si="13"/>
        <v>0</v>
      </c>
      <c r="R166" s="141"/>
    </row>
    <row r="167" spans="1:18" s="13" customFormat="1" x14ac:dyDescent="0.25">
      <c r="A167" s="229"/>
      <c r="B167" s="30" t="s">
        <v>98</v>
      </c>
      <c r="C167" s="181" t="s">
        <v>17</v>
      </c>
      <c r="D167" s="182"/>
      <c r="E167" s="194" t="s">
        <v>35</v>
      </c>
      <c r="F167" s="73" t="s">
        <v>435</v>
      </c>
      <c r="G167" s="235" t="s">
        <v>117</v>
      </c>
      <c r="H167" s="181">
        <v>5</v>
      </c>
      <c r="I167" s="231">
        <v>2</v>
      </c>
      <c r="J167" s="96">
        <v>2</v>
      </c>
      <c r="K167" s="77">
        <v>2486.83</v>
      </c>
      <c r="L167" s="77">
        <v>2486.83</v>
      </c>
      <c r="M167" s="78">
        <f t="shared" si="16"/>
        <v>0</v>
      </c>
      <c r="N167" s="100">
        <v>5</v>
      </c>
      <c r="O167" s="77">
        <v>18950.45</v>
      </c>
      <c r="P167" s="77">
        <v>18950.45</v>
      </c>
      <c r="Q167" s="232">
        <f t="shared" si="13"/>
        <v>0</v>
      </c>
    </row>
    <row r="168" spans="1:18" s="13" customFormat="1" x14ac:dyDescent="0.25">
      <c r="A168" s="229"/>
      <c r="B168" s="30" t="s">
        <v>488</v>
      </c>
      <c r="C168" s="181" t="s">
        <v>17</v>
      </c>
      <c r="D168" s="182"/>
      <c r="E168" s="194" t="s">
        <v>97</v>
      </c>
      <c r="F168" s="73" t="s">
        <v>498</v>
      </c>
      <c r="G168" s="235" t="s">
        <v>112</v>
      </c>
      <c r="H168" s="181">
        <v>14</v>
      </c>
      <c r="I168" s="231">
        <v>6</v>
      </c>
      <c r="J168" s="96">
        <f>4+1+1</f>
        <v>6</v>
      </c>
      <c r="K168" s="77">
        <f>1535.8+576.3+802.8</f>
        <v>2914.8999999999996</v>
      </c>
      <c r="L168" s="77">
        <f>1535.8+576.3+802.8</f>
        <v>2914.8999999999996</v>
      </c>
      <c r="M168" s="78">
        <f t="shared" si="16"/>
        <v>0</v>
      </c>
      <c r="N168" s="100"/>
      <c r="O168" s="77"/>
      <c r="P168" s="77"/>
      <c r="Q168" s="232"/>
    </row>
    <row r="169" spans="1:18" s="15" customFormat="1" x14ac:dyDescent="0.25">
      <c r="A169" s="229"/>
      <c r="B169" s="30" t="s">
        <v>99</v>
      </c>
      <c r="C169" s="181" t="s">
        <v>17</v>
      </c>
      <c r="D169" s="182"/>
      <c r="E169" s="183" t="s">
        <v>32</v>
      </c>
      <c r="F169" s="73" t="s">
        <v>418</v>
      </c>
      <c r="G169" s="74" t="s">
        <v>112</v>
      </c>
      <c r="H169" s="75"/>
      <c r="I169" s="76"/>
      <c r="J169" s="96"/>
      <c r="K169" s="77"/>
      <c r="L169" s="77"/>
      <c r="M169" s="78">
        <f t="shared" si="16"/>
        <v>0</v>
      </c>
      <c r="N169" s="100"/>
      <c r="O169" s="81"/>
      <c r="P169" s="81"/>
      <c r="Q169" s="79">
        <f t="shared" si="13"/>
        <v>0</v>
      </c>
      <c r="R169" s="141"/>
    </row>
    <row r="170" spans="1:18" s="15" customFormat="1" x14ac:dyDescent="0.25">
      <c r="A170" s="229"/>
      <c r="B170" s="30" t="s">
        <v>99</v>
      </c>
      <c r="C170" s="181" t="s">
        <v>17</v>
      </c>
      <c r="D170" s="182"/>
      <c r="E170" s="183" t="s">
        <v>32</v>
      </c>
      <c r="F170" s="73" t="s">
        <v>423</v>
      </c>
      <c r="G170" s="235" t="s">
        <v>117</v>
      </c>
      <c r="H170" s="181"/>
      <c r="I170" s="231"/>
      <c r="J170" s="190"/>
      <c r="K170" s="77"/>
      <c r="L170" s="77"/>
      <c r="M170" s="78">
        <f t="shared" si="16"/>
        <v>0</v>
      </c>
      <c r="N170" s="114"/>
      <c r="O170" s="77"/>
      <c r="P170" s="77"/>
      <c r="Q170" s="232">
        <f t="shared" si="13"/>
        <v>0</v>
      </c>
    </row>
    <row r="171" spans="1:18" s="15" customFormat="1" ht="30" x14ac:dyDescent="0.25">
      <c r="A171" s="229"/>
      <c r="B171" s="30" t="s">
        <v>144</v>
      </c>
      <c r="C171" s="181" t="s">
        <v>304</v>
      </c>
      <c r="D171" s="182" t="s">
        <v>313</v>
      </c>
      <c r="E171" s="194" t="s">
        <v>97</v>
      </c>
      <c r="F171" s="73" t="s">
        <v>407</v>
      </c>
      <c r="G171" s="66" t="s">
        <v>112</v>
      </c>
      <c r="H171" s="75">
        <v>19</v>
      </c>
      <c r="I171" s="76">
        <v>14</v>
      </c>
      <c r="J171" s="98">
        <f>2+2+1+3+1+1+5+2+1</f>
        <v>18</v>
      </c>
      <c r="K171" s="77">
        <f>950.9+1449.39+2272.32+2785.92+5112.01+6655.23</f>
        <v>19225.77</v>
      </c>
      <c r="L171" s="77">
        <f>950.9+1449.39+2272.32+2785.92+5112.01+6655.23</f>
        <v>19225.77</v>
      </c>
      <c r="M171" s="78">
        <f>K171-L171</f>
        <v>0</v>
      </c>
      <c r="N171" s="100">
        <f>3+2+1+1+1+1</f>
        <v>9</v>
      </c>
      <c r="O171" s="77">
        <f>5020.57+5566.06+2694.94+845.24</f>
        <v>14126.810000000001</v>
      </c>
      <c r="P171" s="77">
        <f>5020.57+5566.06+2694.94+845.24</f>
        <v>14126.810000000001</v>
      </c>
      <c r="Q171" s="79">
        <f t="shared" si="13"/>
        <v>0</v>
      </c>
      <c r="R171" s="141"/>
    </row>
    <row r="172" spans="1:18" s="15" customFormat="1" x14ac:dyDescent="0.25">
      <c r="A172" s="229"/>
      <c r="B172" s="30" t="s">
        <v>488</v>
      </c>
      <c r="C172" s="181"/>
      <c r="D172" s="182"/>
      <c r="E172" s="194"/>
      <c r="F172" s="73" t="s">
        <v>509</v>
      </c>
      <c r="G172" s="66" t="s">
        <v>114</v>
      </c>
      <c r="H172" s="75">
        <v>22</v>
      </c>
      <c r="I172" s="76">
        <v>8</v>
      </c>
      <c r="J172" s="98">
        <v>8</v>
      </c>
      <c r="K172" s="77">
        <v>13216.48</v>
      </c>
      <c r="L172" s="77">
        <v>13216.48</v>
      </c>
      <c r="M172" s="187">
        <f t="shared" ref="M172:M174" si="21">K172-L172</f>
        <v>0</v>
      </c>
      <c r="N172" s="100"/>
      <c r="O172" s="77"/>
      <c r="P172" s="77"/>
      <c r="Q172" s="232">
        <f t="shared" si="13"/>
        <v>0</v>
      </c>
    </row>
    <row r="173" spans="1:18" s="15" customFormat="1" x14ac:dyDescent="0.25">
      <c r="A173" s="229"/>
      <c r="B173" s="30" t="s">
        <v>488</v>
      </c>
      <c r="C173" s="181"/>
      <c r="D173" s="182"/>
      <c r="E173" s="194"/>
      <c r="F173" s="73" t="s">
        <v>512</v>
      </c>
      <c r="G173" s="66" t="s">
        <v>113</v>
      </c>
      <c r="H173" s="75">
        <v>11</v>
      </c>
      <c r="I173" s="76">
        <v>7</v>
      </c>
      <c r="J173" s="98">
        <v>7</v>
      </c>
      <c r="K173" s="77">
        <v>12080</v>
      </c>
      <c r="L173" s="77">
        <v>7271</v>
      </c>
      <c r="M173" s="78">
        <f t="shared" si="21"/>
        <v>4809</v>
      </c>
      <c r="N173" s="100"/>
      <c r="O173" s="77"/>
      <c r="P173" s="77"/>
      <c r="Q173" s="79"/>
    </row>
    <row r="174" spans="1:18" s="15" customFormat="1" ht="30" x14ac:dyDescent="0.25">
      <c r="A174" s="229"/>
      <c r="B174" s="238" t="s">
        <v>144</v>
      </c>
      <c r="C174" s="181" t="s">
        <v>446</v>
      </c>
      <c r="D174" s="182" t="s">
        <v>313</v>
      </c>
      <c r="E174" s="183" t="s">
        <v>20</v>
      </c>
      <c r="F174" s="73" t="s">
        <v>485</v>
      </c>
      <c r="G174" s="235" t="s">
        <v>114</v>
      </c>
      <c r="H174" s="181">
        <v>27</v>
      </c>
      <c r="I174" s="234">
        <v>7</v>
      </c>
      <c r="J174" s="202">
        <v>7</v>
      </c>
      <c r="K174" s="77">
        <v>26994.22</v>
      </c>
      <c r="L174" s="77">
        <v>26994.22</v>
      </c>
      <c r="M174" s="187">
        <f t="shared" si="21"/>
        <v>0</v>
      </c>
      <c r="N174" s="100">
        <v>21</v>
      </c>
      <c r="O174" s="224">
        <v>53276.800000000003</v>
      </c>
      <c r="P174" s="224">
        <v>53276.800000000003</v>
      </c>
      <c r="Q174" s="232">
        <f t="shared" ref="Q174" si="22">O174-P174</f>
        <v>0</v>
      </c>
    </row>
    <row r="175" spans="1:18" s="21" customFormat="1" ht="45" x14ac:dyDescent="0.25">
      <c r="A175" s="181"/>
      <c r="B175" s="30" t="s">
        <v>100</v>
      </c>
      <c r="C175" s="181" t="s">
        <v>304</v>
      </c>
      <c r="D175" s="182" t="s">
        <v>416</v>
      </c>
      <c r="E175" s="194" t="s">
        <v>20</v>
      </c>
      <c r="F175" s="73" t="s">
        <v>408</v>
      </c>
      <c r="G175" s="27" t="s">
        <v>112</v>
      </c>
      <c r="H175" s="75">
        <v>23</v>
      </c>
      <c r="I175" s="76">
        <v>14</v>
      </c>
      <c r="J175" s="98">
        <f>5+1+4+6</f>
        <v>16</v>
      </c>
      <c r="K175" s="86">
        <f>6524.55+600.31+19349.45+15377.18</f>
        <v>41851.490000000005</v>
      </c>
      <c r="L175" s="86">
        <f>6524.55+600.31+19349.45+15377.18</f>
        <v>41851.490000000005</v>
      </c>
      <c r="M175" s="78">
        <f>K175-L175</f>
        <v>0</v>
      </c>
      <c r="N175" s="100">
        <f>1+3+2+3</f>
        <v>9</v>
      </c>
      <c r="O175" s="87">
        <f>10770.58+2113.01+3508.24+19305.88</f>
        <v>35697.710000000006</v>
      </c>
      <c r="P175" s="87">
        <f>10770.58+2113.01+3508.24+19305.88</f>
        <v>35697.710000000006</v>
      </c>
      <c r="Q175" s="79">
        <f t="shared" si="13"/>
        <v>0</v>
      </c>
      <c r="R175" s="141"/>
    </row>
    <row r="176" spans="1:18" s="21" customFormat="1" ht="60" x14ac:dyDescent="0.25">
      <c r="A176" s="181"/>
      <c r="B176" s="30" t="s">
        <v>100</v>
      </c>
      <c r="C176" s="203" t="s">
        <v>125</v>
      </c>
      <c r="D176" s="182" t="s">
        <v>126</v>
      </c>
      <c r="E176" s="194" t="s">
        <v>20</v>
      </c>
      <c r="F176" s="73" t="s">
        <v>486</v>
      </c>
      <c r="G176" s="236" t="s">
        <v>114</v>
      </c>
      <c r="H176" s="181">
        <v>10</v>
      </c>
      <c r="I176" s="234"/>
      <c r="J176" s="202"/>
      <c r="K176" s="86"/>
      <c r="L176" s="86"/>
      <c r="M176" s="187">
        <f t="shared" ref="M176" si="23">K176-L176</f>
        <v>0</v>
      </c>
      <c r="N176" s="100">
        <v>9</v>
      </c>
      <c r="O176" s="239">
        <v>57415.9</v>
      </c>
      <c r="P176" s="239">
        <v>36488.1</v>
      </c>
      <c r="Q176" s="232">
        <f t="shared" si="13"/>
        <v>20927.800000000003</v>
      </c>
    </row>
    <row r="177" spans="1:18" s="13" customFormat="1" x14ac:dyDescent="0.25">
      <c r="A177" s="229"/>
      <c r="B177" s="62" t="s">
        <v>101</v>
      </c>
      <c r="C177" s="181" t="s">
        <v>17</v>
      </c>
      <c r="D177" s="182"/>
      <c r="E177" s="194" t="s">
        <v>20</v>
      </c>
      <c r="F177" s="73" t="s">
        <v>409</v>
      </c>
      <c r="G177" s="74" t="s">
        <v>112</v>
      </c>
      <c r="H177" s="75">
        <v>12</v>
      </c>
      <c r="I177" s="76">
        <v>7</v>
      </c>
      <c r="J177" s="96">
        <f>1+5+1+1+2</f>
        <v>10</v>
      </c>
      <c r="K177" s="77">
        <f>1045.98+3354.45+1225.93+742.59</f>
        <v>6368.9500000000007</v>
      </c>
      <c r="L177" s="77">
        <f>1045.98+3354.45+1225.93+742.59</f>
        <v>6368.9500000000007</v>
      </c>
      <c r="M177" s="78">
        <f t="shared" si="16"/>
        <v>0</v>
      </c>
      <c r="N177" s="100">
        <f>5+2+1+1</f>
        <v>9</v>
      </c>
      <c r="O177" s="81">
        <f>6288.07+3061.62+3426.18+12951.18</f>
        <v>25727.05</v>
      </c>
      <c r="P177" s="81">
        <f>6288.07+3061.62+3426.18+12951.18</f>
        <v>25727.05</v>
      </c>
      <c r="Q177" s="79">
        <f t="shared" si="13"/>
        <v>0</v>
      </c>
      <c r="R177" s="141"/>
    </row>
    <row r="178" spans="1:18" s="13" customFormat="1" x14ac:dyDescent="0.25">
      <c r="A178" s="229"/>
      <c r="B178" s="62" t="s">
        <v>146</v>
      </c>
      <c r="C178" s="181" t="s">
        <v>17</v>
      </c>
      <c r="D178" s="182"/>
      <c r="E178" s="194" t="s">
        <v>20</v>
      </c>
      <c r="F178" s="73" t="s">
        <v>410</v>
      </c>
      <c r="G178" s="74" t="s">
        <v>112</v>
      </c>
      <c r="H178" s="75">
        <v>13</v>
      </c>
      <c r="I178" s="76">
        <v>10</v>
      </c>
      <c r="J178" s="96">
        <f>4+1+1+2+1+2</f>
        <v>11</v>
      </c>
      <c r="K178" s="77">
        <f>4610.77+1568.98+1854.88+422.62+1334.13+2599.07+5262.18</f>
        <v>17652.63</v>
      </c>
      <c r="L178" s="77">
        <f>4610.77+1568.98+1854.88+422.62+1334.13+2599.07</f>
        <v>12390.45</v>
      </c>
      <c r="M178" s="78">
        <f t="shared" si="16"/>
        <v>5262.18</v>
      </c>
      <c r="N178" s="100">
        <f>5+1+1+2+1+1</f>
        <v>11</v>
      </c>
      <c r="O178" s="81">
        <f>13579.06+1287.07+2636.18+26196.83</f>
        <v>43699.14</v>
      </c>
      <c r="P178" s="81">
        <f>13579.06+1287.07+2636.18+26196.83</f>
        <v>43699.14</v>
      </c>
      <c r="Q178" s="232">
        <f t="shared" si="13"/>
        <v>0</v>
      </c>
      <c r="R178" s="141"/>
    </row>
    <row r="179" spans="1:18" s="13" customFormat="1" x14ac:dyDescent="0.25">
      <c r="A179" s="229"/>
      <c r="B179" s="62" t="s">
        <v>146</v>
      </c>
      <c r="C179" s="181" t="s">
        <v>17</v>
      </c>
      <c r="D179" s="182"/>
      <c r="E179" s="183" t="s">
        <v>21</v>
      </c>
      <c r="F179" s="73" t="s">
        <v>443</v>
      </c>
      <c r="G179" s="230" t="s">
        <v>118</v>
      </c>
      <c r="H179" s="181">
        <v>10</v>
      </c>
      <c r="I179" s="234">
        <v>2</v>
      </c>
      <c r="J179" s="190">
        <v>2</v>
      </c>
      <c r="K179" s="193">
        <v>1754.7</v>
      </c>
      <c r="L179" s="193">
        <v>1754.7</v>
      </c>
      <c r="M179" s="187">
        <f t="shared" si="16"/>
        <v>0</v>
      </c>
      <c r="N179" s="114">
        <v>5</v>
      </c>
      <c r="O179" s="224">
        <v>5349.99</v>
      </c>
      <c r="P179" s="224">
        <v>5349.99</v>
      </c>
      <c r="Q179" s="79">
        <f t="shared" si="13"/>
        <v>0</v>
      </c>
    </row>
    <row r="180" spans="1:18" s="13" customFormat="1" x14ac:dyDescent="0.25">
      <c r="A180" s="229"/>
      <c r="B180" s="27" t="s">
        <v>102</v>
      </c>
      <c r="C180" s="181" t="s">
        <v>17</v>
      </c>
      <c r="D180" s="182"/>
      <c r="E180" s="194" t="s">
        <v>20</v>
      </c>
      <c r="F180" s="73" t="s">
        <v>411</v>
      </c>
      <c r="G180" s="74" t="s">
        <v>112</v>
      </c>
      <c r="H180" s="75">
        <v>12</v>
      </c>
      <c r="I180" s="76">
        <v>8</v>
      </c>
      <c r="J180" s="96">
        <f>1+1+2+1+2+1</f>
        <v>8</v>
      </c>
      <c r="K180" s="77">
        <f>845.24+845.24+1690.48+1394.65+2689.38+1324.62</f>
        <v>8789.61</v>
      </c>
      <c r="L180" s="77">
        <f>845.24+845.24+1690.48+1394.65+2689.38</f>
        <v>7464.9900000000007</v>
      </c>
      <c r="M180" s="78">
        <f>K180-L180</f>
        <v>1324.62</v>
      </c>
      <c r="N180" s="100">
        <f>3+1+1+1</f>
        <v>6</v>
      </c>
      <c r="O180" s="81">
        <f>7808.21+30833.77-12193.52+9963.17+5385.9</f>
        <v>41797.530000000006</v>
      </c>
      <c r="P180" s="81">
        <f>7808.21+30833.77-12193.52+9963.17</f>
        <v>36411.630000000005</v>
      </c>
      <c r="Q180" s="232">
        <f t="shared" si="13"/>
        <v>5385.9000000000015</v>
      </c>
      <c r="R180" s="141"/>
    </row>
    <row r="181" spans="1:18" s="13" customFormat="1" x14ac:dyDescent="0.25">
      <c r="A181" s="229"/>
      <c r="B181" s="27" t="s">
        <v>102</v>
      </c>
      <c r="C181" s="181" t="s">
        <v>17</v>
      </c>
      <c r="D181" s="182"/>
      <c r="E181" s="194" t="s">
        <v>20</v>
      </c>
      <c r="F181" s="73" t="s">
        <v>469</v>
      </c>
      <c r="G181" s="230" t="s">
        <v>114</v>
      </c>
      <c r="H181" s="181">
        <v>10</v>
      </c>
      <c r="I181" s="231">
        <v>3</v>
      </c>
      <c r="J181" s="190">
        <v>3</v>
      </c>
      <c r="K181" s="77">
        <v>1267.8599999999999</v>
      </c>
      <c r="L181" s="77">
        <v>1267.8599999999999</v>
      </c>
      <c r="M181" s="187">
        <f t="shared" ref="M181" si="24">K181-L181</f>
        <v>0</v>
      </c>
      <c r="N181" s="100">
        <v>8</v>
      </c>
      <c r="O181" s="224">
        <v>24770.92</v>
      </c>
      <c r="P181" s="224">
        <v>24770.92</v>
      </c>
      <c r="Q181" s="232">
        <f t="shared" si="13"/>
        <v>0</v>
      </c>
    </row>
    <row r="182" spans="1:18" s="13" customFormat="1" x14ac:dyDescent="0.25">
      <c r="A182" s="229"/>
      <c r="B182" s="27" t="s">
        <v>103</v>
      </c>
      <c r="C182" s="181" t="s">
        <v>17</v>
      </c>
      <c r="D182" s="182"/>
      <c r="E182" s="183" t="s">
        <v>20</v>
      </c>
      <c r="F182" s="73" t="s">
        <v>412</v>
      </c>
      <c r="G182" s="74" t="s">
        <v>112</v>
      </c>
      <c r="H182" s="75">
        <v>14</v>
      </c>
      <c r="I182" s="76">
        <v>9</v>
      </c>
      <c r="J182" s="96">
        <f>4+1+2+3</f>
        <v>10</v>
      </c>
      <c r="K182" s="77">
        <f>16248.67+1092.81+2003.49</f>
        <v>19344.97</v>
      </c>
      <c r="L182" s="77">
        <f>16248.67+1092.81+2003.49</f>
        <v>19344.97</v>
      </c>
      <c r="M182" s="78">
        <f>K182-L182</f>
        <v>0</v>
      </c>
      <c r="N182" s="100">
        <f>7+2+1+1+2</f>
        <v>13</v>
      </c>
      <c r="O182" s="77">
        <f>20193.14+7541.5</f>
        <v>27734.639999999999</v>
      </c>
      <c r="P182" s="77">
        <f>20193.14+7541.5</f>
        <v>27734.639999999999</v>
      </c>
      <c r="Q182" s="232">
        <f t="shared" si="13"/>
        <v>0</v>
      </c>
      <c r="R182" s="141"/>
    </row>
    <row r="183" spans="1:18" s="13" customFormat="1" x14ac:dyDescent="0.25">
      <c r="A183" s="229"/>
      <c r="B183" s="27" t="s">
        <v>103</v>
      </c>
      <c r="C183" s="181" t="s">
        <v>17</v>
      </c>
      <c r="D183" s="182"/>
      <c r="E183" s="183" t="s">
        <v>20</v>
      </c>
      <c r="F183" s="73" t="s">
        <v>470</v>
      </c>
      <c r="G183" s="230" t="s">
        <v>114</v>
      </c>
      <c r="H183" s="181">
        <v>13</v>
      </c>
      <c r="I183" s="231">
        <v>1</v>
      </c>
      <c r="J183" s="190">
        <v>1</v>
      </c>
      <c r="K183" s="77">
        <v>4940.1000000000004</v>
      </c>
      <c r="L183" s="77">
        <v>4940.1000000000004</v>
      </c>
      <c r="M183" s="187">
        <f t="shared" ref="M183:M185" si="25">K183-L183</f>
        <v>0</v>
      </c>
      <c r="N183" s="100">
        <v>4</v>
      </c>
      <c r="O183" s="224">
        <v>10431.89</v>
      </c>
      <c r="P183" s="224">
        <v>10431.89</v>
      </c>
      <c r="Q183" s="232">
        <f t="shared" si="13"/>
        <v>0</v>
      </c>
    </row>
    <row r="184" spans="1:18" s="15" customFormat="1" x14ac:dyDescent="0.25">
      <c r="A184" s="229"/>
      <c r="B184" s="27" t="s">
        <v>104</v>
      </c>
      <c r="C184" s="181" t="s">
        <v>17</v>
      </c>
      <c r="D184" s="182"/>
      <c r="E184" s="183" t="s">
        <v>20</v>
      </c>
      <c r="F184" s="73" t="s">
        <v>413</v>
      </c>
      <c r="G184" s="74" t="s">
        <v>112</v>
      </c>
      <c r="H184" s="75">
        <v>14</v>
      </c>
      <c r="I184" s="76">
        <v>12</v>
      </c>
      <c r="J184" s="96">
        <f>3+1+2+4+1+1</f>
        <v>12</v>
      </c>
      <c r="K184" s="77">
        <f>5112.82+422.64+8302.14+1605.5+1092.81</f>
        <v>16535.91</v>
      </c>
      <c r="L184" s="77">
        <f>5112.82+422.64+8302.14+1605.5</f>
        <v>15443.099999999999</v>
      </c>
      <c r="M184" s="78">
        <f>K184-L184</f>
        <v>1092.8100000000013</v>
      </c>
      <c r="N184" s="100">
        <f>4+1+1+2</f>
        <v>8</v>
      </c>
      <c r="O184" s="81">
        <f>7087.22+3426.18+3496.22</f>
        <v>14009.619999999999</v>
      </c>
      <c r="P184" s="81">
        <f>7087.22+3426.18+3496.22</f>
        <v>14009.619999999999</v>
      </c>
      <c r="Q184" s="232">
        <f t="shared" si="13"/>
        <v>0</v>
      </c>
      <c r="R184" s="141"/>
    </row>
    <row r="185" spans="1:18" s="15" customFormat="1" x14ac:dyDescent="0.25">
      <c r="A185" s="229"/>
      <c r="B185" s="27" t="s">
        <v>104</v>
      </c>
      <c r="C185" s="181" t="s">
        <v>17</v>
      </c>
      <c r="D185" s="182"/>
      <c r="E185" s="183" t="s">
        <v>20</v>
      </c>
      <c r="F185" s="73" t="s">
        <v>471</v>
      </c>
      <c r="G185" s="230" t="s">
        <v>114</v>
      </c>
      <c r="H185" s="181">
        <v>36</v>
      </c>
      <c r="I185" s="231">
        <v>8</v>
      </c>
      <c r="J185" s="190">
        <v>8</v>
      </c>
      <c r="K185" s="77">
        <v>18969.46</v>
      </c>
      <c r="L185" s="77">
        <v>15557.56</v>
      </c>
      <c r="M185" s="187">
        <f t="shared" si="25"/>
        <v>3411.8999999999996</v>
      </c>
      <c r="N185" s="114">
        <v>19</v>
      </c>
      <c r="O185" s="224">
        <v>40887.050000000003</v>
      </c>
      <c r="P185" s="224">
        <v>40887.050000000003</v>
      </c>
      <c r="Q185" s="232">
        <f t="shared" si="13"/>
        <v>0</v>
      </c>
    </row>
    <row r="186" spans="1:18" s="13" customFormat="1" x14ac:dyDescent="0.25">
      <c r="A186" s="229"/>
      <c r="B186" s="30" t="s">
        <v>26</v>
      </c>
      <c r="C186" s="181" t="s">
        <v>17</v>
      </c>
      <c r="D186" s="182"/>
      <c r="E186" s="183" t="s">
        <v>32</v>
      </c>
      <c r="F186" s="73" t="s">
        <v>246</v>
      </c>
      <c r="G186" s="74" t="s">
        <v>117</v>
      </c>
      <c r="H186" s="75"/>
      <c r="I186" s="76"/>
      <c r="J186" s="96"/>
      <c r="K186" s="77"/>
      <c r="L186" s="77"/>
      <c r="M186" s="78">
        <f t="shared" si="16"/>
        <v>0</v>
      </c>
      <c r="N186" s="100">
        <v>5</v>
      </c>
      <c r="O186" s="81">
        <v>7808.15</v>
      </c>
      <c r="P186" s="81">
        <v>7808.15</v>
      </c>
      <c r="Q186" s="232">
        <f t="shared" si="13"/>
        <v>0</v>
      </c>
    </row>
    <row r="187" spans="1:18" s="13" customFormat="1" x14ac:dyDescent="0.25">
      <c r="A187" s="229"/>
      <c r="B187" s="62" t="s">
        <v>106</v>
      </c>
      <c r="C187" s="181" t="s">
        <v>17</v>
      </c>
      <c r="D187" s="205"/>
      <c r="E187" s="194" t="s">
        <v>20</v>
      </c>
      <c r="F187" s="73" t="s">
        <v>414</v>
      </c>
      <c r="G187" s="74" t="s">
        <v>112</v>
      </c>
      <c r="H187" s="75">
        <v>12</v>
      </c>
      <c r="I187" s="76">
        <v>6</v>
      </c>
      <c r="J187" s="96">
        <f>1+4+2</f>
        <v>7</v>
      </c>
      <c r="K187" s="77">
        <f>3125.9</f>
        <v>3125.9</v>
      </c>
      <c r="L187" s="77">
        <f>3125.9</f>
        <v>3125.9</v>
      </c>
      <c r="M187" s="78">
        <f>K187-L187</f>
        <v>0</v>
      </c>
      <c r="N187" s="100">
        <f>3+1</f>
        <v>4</v>
      </c>
      <c r="O187" s="81">
        <f>15956.85+4551.62+19965.34</f>
        <v>40473.81</v>
      </c>
      <c r="P187" s="81">
        <f>15956.85+4551.62+19965.34</f>
        <v>40473.81</v>
      </c>
      <c r="Q187" s="232">
        <f t="shared" si="13"/>
        <v>0</v>
      </c>
      <c r="R187" s="141"/>
    </row>
    <row r="188" spans="1:18" x14ac:dyDescent="0.25">
      <c r="A188" s="259"/>
      <c r="B188" s="66"/>
      <c r="C188" s="260"/>
      <c r="D188" s="235"/>
      <c r="E188" s="235"/>
      <c r="F188" s="73"/>
      <c r="G188" s="235" t="s">
        <v>131</v>
      </c>
      <c r="H188" s="240">
        <f>SUM(H10:H187)</f>
        <v>2391</v>
      </c>
      <c r="I188" s="258">
        <f>SUM(I10:I187)</f>
        <v>1288</v>
      </c>
      <c r="J188" s="208">
        <f>SUM(J10:J187)</f>
        <v>1533</v>
      </c>
      <c r="K188" s="209">
        <f>SUM(K10:K187)</f>
        <v>2791099.3750000005</v>
      </c>
      <c r="L188" s="209">
        <f>SUM(L10:L187)</f>
        <v>2602210.0450000009</v>
      </c>
      <c r="M188" s="210">
        <f>K188-L188</f>
        <v>188889.32999999961</v>
      </c>
      <c r="N188" s="208">
        <f>SUM(N10:N187)</f>
        <v>1740</v>
      </c>
      <c r="O188" s="241">
        <f>SUM(O10:O187)</f>
        <v>5378820.5700000022</v>
      </c>
      <c r="P188" s="241">
        <f>SUM(P10:P187)</f>
        <v>5280987.2399999993</v>
      </c>
      <c r="Q188" s="79">
        <f t="shared" si="13"/>
        <v>97833.330000002868</v>
      </c>
      <c r="R188" s="129"/>
    </row>
    <row r="189" spans="1:18" x14ac:dyDescent="0.25">
      <c r="K189" s="91" t="s">
        <v>305</v>
      </c>
    </row>
    <row r="190" spans="1:18" ht="45" x14ac:dyDescent="0.25">
      <c r="B190" s="89" t="s">
        <v>316</v>
      </c>
      <c r="F190" s="104" t="s">
        <v>317</v>
      </c>
      <c r="M190" s="142"/>
      <c r="Q190" s="133"/>
    </row>
    <row r="191" spans="1:18" x14ac:dyDescent="0.25">
      <c r="M191" s="216"/>
    </row>
  </sheetData>
  <mergeCells count="7">
    <mergeCell ref="O1:Q1"/>
    <mergeCell ref="A3:Q3"/>
    <mergeCell ref="A4:Q4"/>
    <mergeCell ref="A5:Q5"/>
    <mergeCell ref="B7:G7"/>
    <mergeCell ref="H7:M7"/>
    <mergeCell ref="N7:Q7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93"/>
  <sheetViews>
    <sheetView workbookViewId="0">
      <selection activeCell="A8" sqref="A1:XFD1048576"/>
    </sheetView>
  </sheetViews>
  <sheetFormatPr defaultRowHeight="15" x14ac:dyDescent="0.25"/>
  <cols>
    <col min="1" max="1" width="1.85546875" style="6" customWidth="1"/>
    <col min="2" max="2" width="38.28515625" style="88" customWidth="1"/>
    <col min="3" max="3" width="6.5703125" style="19" customWidth="1"/>
    <col min="4" max="4" width="17.42578125" style="19" customWidth="1"/>
    <col min="5" max="5" width="19" style="19" customWidth="1"/>
    <col min="6" max="6" width="19" style="89" customWidth="1"/>
    <col min="7" max="7" width="20.140625" style="89" customWidth="1"/>
    <col min="8" max="9" width="15.7109375" style="90" customWidth="1"/>
    <col min="10" max="10" width="15.7109375" style="99" customWidth="1"/>
    <col min="11" max="13" width="15.7109375" style="91" customWidth="1"/>
    <col min="14" max="14" width="15.7109375" style="99" customWidth="1"/>
    <col min="15" max="17" width="15.7109375" style="92" customWidth="1"/>
    <col min="18" max="18" width="11.7109375" style="6" customWidth="1"/>
    <col min="19" max="19" width="9.42578125" style="6" customWidth="1"/>
    <col min="20" max="21" width="9.140625" style="6" customWidth="1"/>
    <col min="22" max="16384" width="9.140625" style="6"/>
  </cols>
  <sheetData>
    <row r="1" spans="1:18" s="105" customFormat="1" x14ac:dyDescent="0.25">
      <c r="A1" s="60"/>
      <c r="B1" s="60"/>
      <c r="C1" s="225"/>
      <c r="D1" s="225"/>
      <c r="E1" s="225"/>
      <c r="F1" s="63"/>
      <c r="G1" s="63"/>
      <c r="H1" s="64"/>
      <c r="I1" s="64"/>
      <c r="J1" s="93"/>
      <c r="K1" s="65"/>
      <c r="L1" s="65"/>
      <c r="M1" s="65"/>
      <c r="N1" s="93"/>
      <c r="O1" s="362" t="s">
        <v>15</v>
      </c>
      <c r="P1" s="362"/>
      <c r="Q1" s="362"/>
    </row>
    <row r="2" spans="1:18" s="105" customFormat="1" x14ac:dyDescent="0.25">
      <c r="A2" s="262"/>
      <c r="B2" s="262"/>
      <c r="C2" s="263"/>
      <c r="D2" s="263"/>
      <c r="E2" s="263"/>
      <c r="F2" s="66"/>
      <c r="G2" s="66"/>
      <c r="H2" s="261"/>
      <c r="I2" s="261"/>
      <c r="J2" s="94"/>
      <c r="K2" s="67"/>
      <c r="L2" s="67"/>
      <c r="M2" s="67"/>
      <c r="N2" s="94"/>
      <c r="O2" s="68"/>
      <c r="P2" s="68"/>
      <c r="Q2" s="68"/>
    </row>
    <row r="3" spans="1:18" s="105" customFormat="1" x14ac:dyDescent="0.25">
      <c r="A3" s="380" t="s">
        <v>318</v>
      </c>
      <c r="B3" s="367"/>
      <c r="C3" s="380"/>
      <c r="D3" s="380"/>
      <c r="E3" s="380"/>
      <c r="F3" s="367"/>
      <c r="G3" s="367"/>
      <c r="H3" s="366"/>
      <c r="I3" s="366"/>
      <c r="J3" s="367"/>
      <c r="K3" s="367"/>
      <c r="L3" s="367"/>
      <c r="M3" s="367"/>
      <c r="N3" s="367"/>
      <c r="O3" s="367"/>
      <c r="P3" s="367"/>
      <c r="Q3" s="367"/>
    </row>
    <row r="4" spans="1:18" s="105" customFormat="1" x14ac:dyDescent="0.25">
      <c r="A4" s="381">
        <v>43717</v>
      </c>
      <c r="B4" s="373"/>
      <c r="C4" s="382"/>
      <c r="D4" s="382"/>
      <c r="E4" s="382"/>
      <c r="F4" s="373"/>
      <c r="G4" s="373"/>
      <c r="H4" s="372"/>
      <c r="I4" s="372"/>
      <c r="J4" s="373"/>
      <c r="K4" s="373"/>
      <c r="L4" s="373"/>
      <c r="M4" s="373"/>
      <c r="N4" s="373"/>
      <c r="O4" s="373"/>
      <c r="P4" s="373"/>
      <c r="Q4" s="373"/>
    </row>
    <row r="5" spans="1:18" s="105" customFormat="1" x14ac:dyDescent="0.25">
      <c r="A5" s="367" t="s">
        <v>14</v>
      </c>
      <c r="B5" s="367"/>
      <c r="C5" s="367"/>
      <c r="D5" s="367"/>
      <c r="E5" s="367"/>
      <c r="F5" s="367"/>
      <c r="G5" s="367"/>
      <c r="H5" s="366"/>
      <c r="I5" s="366"/>
      <c r="J5" s="367"/>
      <c r="K5" s="367"/>
      <c r="L5" s="367"/>
      <c r="M5" s="367"/>
      <c r="N5" s="367"/>
      <c r="O5" s="367"/>
      <c r="P5" s="367"/>
      <c r="Q5" s="367"/>
    </row>
    <row r="6" spans="1:18" s="105" customFormat="1" x14ac:dyDescent="0.25">
      <c r="A6" s="262"/>
      <c r="B6" s="262"/>
      <c r="C6" s="263"/>
      <c r="D6" s="263"/>
      <c r="E6" s="263"/>
      <c r="F6" s="66"/>
      <c r="G6" s="66"/>
      <c r="H6" s="261"/>
      <c r="I6" s="261"/>
      <c r="J6" s="94"/>
      <c r="K6" s="67"/>
      <c r="L6" s="67"/>
      <c r="M6" s="67"/>
      <c r="N6" s="94"/>
      <c r="O6" s="68"/>
      <c r="P6" s="68"/>
      <c r="Q6" s="68"/>
    </row>
    <row r="7" spans="1:18" x14ac:dyDescent="0.25">
      <c r="A7" s="227" t="s">
        <v>0</v>
      </c>
      <c r="B7" s="367" t="s">
        <v>10</v>
      </c>
      <c r="C7" s="380"/>
      <c r="D7" s="380"/>
      <c r="E7" s="380"/>
      <c r="F7" s="367"/>
      <c r="G7" s="367"/>
      <c r="H7" s="366" t="s">
        <v>472</v>
      </c>
      <c r="I7" s="366"/>
      <c r="J7" s="367"/>
      <c r="K7" s="367"/>
      <c r="L7" s="367"/>
      <c r="M7" s="367"/>
      <c r="N7" s="367" t="s">
        <v>132</v>
      </c>
      <c r="O7" s="367"/>
      <c r="P7" s="367"/>
      <c r="Q7" s="367"/>
    </row>
    <row r="8" spans="1:18" ht="195" x14ac:dyDescent="0.25">
      <c r="A8" s="227"/>
      <c r="B8" s="262" t="s">
        <v>4</v>
      </c>
      <c r="C8" s="263" t="s">
        <v>1</v>
      </c>
      <c r="D8" s="263" t="s">
        <v>3</v>
      </c>
      <c r="E8" s="263" t="s">
        <v>2</v>
      </c>
      <c r="F8" s="262" t="s">
        <v>6</v>
      </c>
      <c r="G8" s="66" t="s">
        <v>5</v>
      </c>
      <c r="H8" s="262" t="s">
        <v>7</v>
      </c>
      <c r="I8" s="262" t="s">
        <v>8</v>
      </c>
      <c r="J8" s="94" t="s">
        <v>9</v>
      </c>
      <c r="K8" s="67" t="s">
        <v>11</v>
      </c>
      <c r="L8" s="67" t="s">
        <v>12</v>
      </c>
      <c r="M8" s="67" t="s">
        <v>13</v>
      </c>
      <c r="N8" s="94" t="s">
        <v>9</v>
      </c>
      <c r="O8" s="68" t="s">
        <v>11</v>
      </c>
      <c r="P8" s="68" t="s">
        <v>12</v>
      </c>
      <c r="Q8" s="68" t="s">
        <v>13</v>
      </c>
    </row>
    <row r="9" spans="1:18" x14ac:dyDescent="0.25">
      <c r="A9" s="228">
        <v>1</v>
      </c>
      <c r="B9" s="61">
        <f>A9+1</f>
        <v>2</v>
      </c>
      <c r="C9" s="228">
        <f t="shared" ref="C9:Q9" si="0">B9+1</f>
        <v>3</v>
      </c>
      <c r="D9" s="228">
        <f t="shared" si="0"/>
        <v>4</v>
      </c>
      <c r="E9" s="228">
        <f t="shared" si="0"/>
        <v>5</v>
      </c>
      <c r="F9" s="69">
        <f t="shared" si="0"/>
        <v>6</v>
      </c>
      <c r="G9" s="69">
        <f t="shared" si="0"/>
        <v>7</v>
      </c>
      <c r="H9" s="70">
        <f t="shared" si="0"/>
        <v>8</v>
      </c>
      <c r="I9" s="70">
        <f t="shared" si="0"/>
        <v>9</v>
      </c>
      <c r="J9" s="95">
        <f t="shared" si="0"/>
        <v>10</v>
      </c>
      <c r="K9" s="71">
        <f t="shared" si="0"/>
        <v>11</v>
      </c>
      <c r="L9" s="71">
        <f t="shared" si="0"/>
        <v>12</v>
      </c>
      <c r="M9" s="71">
        <f t="shared" si="0"/>
        <v>13</v>
      </c>
      <c r="N9" s="95">
        <f t="shared" si="0"/>
        <v>14</v>
      </c>
      <c r="O9" s="72">
        <f t="shared" si="0"/>
        <v>15</v>
      </c>
      <c r="P9" s="72">
        <f t="shared" si="0"/>
        <v>16</v>
      </c>
      <c r="Q9" s="72">
        <f t="shared" si="0"/>
        <v>17</v>
      </c>
    </row>
    <row r="10" spans="1:18" s="13" customFormat="1" ht="30" x14ac:dyDescent="0.25">
      <c r="A10" s="229"/>
      <c r="B10" s="62" t="s">
        <v>16</v>
      </c>
      <c r="C10" s="181" t="s">
        <v>304</v>
      </c>
      <c r="D10" s="182" t="s">
        <v>315</v>
      </c>
      <c r="E10" s="183" t="s">
        <v>18</v>
      </c>
      <c r="F10" s="73" t="s">
        <v>322</v>
      </c>
      <c r="G10" s="74" t="s">
        <v>112</v>
      </c>
      <c r="H10" s="75">
        <v>12</v>
      </c>
      <c r="I10" s="76">
        <v>10</v>
      </c>
      <c r="J10" s="98">
        <f>2+1+3+3+1</f>
        <v>10</v>
      </c>
      <c r="K10" s="77">
        <f>4792.51+1138.19+504.26+11366.06+4859.68+3954.5</f>
        <v>26615.200000000001</v>
      </c>
      <c r="L10" s="77">
        <f>4792.51+1138.19+504.26+11366.06+4859.68+3954.5</f>
        <v>26615.200000000001</v>
      </c>
      <c r="M10" s="78">
        <f>K10-L10</f>
        <v>0</v>
      </c>
      <c r="N10" s="100">
        <f>2+5+1+2+1</f>
        <v>11</v>
      </c>
      <c r="O10" s="77">
        <f>9108.77+6924.32+22366.06+8197.52</f>
        <v>46596.67</v>
      </c>
      <c r="P10" s="77">
        <f>9108.77+6924.32+22366.06+8197.52</f>
        <v>46596.67</v>
      </c>
      <c r="Q10" s="79">
        <f>O10-P10</f>
        <v>0</v>
      </c>
      <c r="R10" s="141"/>
    </row>
    <row r="11" spans="1:18" s="13" customFormat="1" ht="30" x14ac:dyDescent="0.25">
      <c r="A11" s="229"/>
      <c r="B11" s="62" t="s">
        <v>16</v>
      </c>
      <c r="C11" s="181" t="s">
        <v>304</v>
      </c>
      <c r="D11" s="182" t="s">
        <v>315</v>
      </c>
      <c r="E11" s="183" t="s">
        <v>18</v>
      </c>
      <c r="F11" s="73" t="s">
        <v>322</v>
      </c>
      <c r="G11" s="230" t="s">
        <v>116</v>
      </c>
      <c r="H11" s="181">
        <v>10</v>
      </c>
      <c r="I11" s="231">
        <v>5</v>
      </c>
      <c r="J11" s="96">
        <v>5</v>
      </c>
      <c r="K11" s="224">
        <v>7070</v>
      </c>
      <c r="L11" s="224">
        <v>7070</v>
      </c>
      <c r="M11" s="187">
        <f t="shared" ref="M11:M90" si="1">K11-L11</f>
        <v>0</v>
      </c>
      <c r="N11" s="100">
        <v>0</v>
      </c>
      <c r="O11" s="224">
        <v>2945</v>
      </c>
      <c r="P11" s="224">
        <v>2945</v>
      </c>
      <c r="Q11" s="232">
        <f t="shared" ref="Q11:Q80" si="2">O11-P11</f>
        <v>0</v>
      </c>
    </row>
    <row r="12" spans="1:18" s="13" customFormat="1" x14ac:dyDescent="0.25">
      <c r="A12" s="229"/>
      <c r="B12" s="62" t="s">
        <v>490</v>
      </c>
      <c r="C12" s="181" t="s">
        <v>304</v>
      </c>
      <c r="D12" s="182"/>
      <c r="E12" s="183"/>
      <c r="F12" s="189" t="s">
        <v>501</v>
      </c>
      <c r="G12" s="230" t="s">
        <v>112</v>
      </c>
      <c r="H12" s="181">
        <v>16</v>
      </c>
      <c r="I12" s="231">
        <v>11</v>
      </c>
      <c r="J12" s="96">
        <f>5+1+3+1+1+2</f>
        <v>13</v>
      </c>
      <c r="K12" s="224">
        <f>8352.39+384.2+1463.8+3720.67+546.41+5470.48</f>
        <v>19937.949999999997</v>
      </c>
      <c r="L12" s="224">
        <f>8352.39+384.2+1463.8+3720.67+546.41+5470.48</f>
        <v>19937.949999999997</v>
      </c>
      <c r="M12" s="78">
        <f t="shared" si="1"/>
        <v>0</v>
      </c>
      <c r="N12" s="100"/>
      <c r="O12" s="224"/>
      <c r="P12" s="224"/>
      <c r="Q12" s="79">
        <f t="shared" si="2"/>
        <v>0</v>
      </c>
    </row>
    <row r="13" spans="1:18" s="15" customFormat="1" x14ac:dyDescent="0.25">
      <c r="A13" s="229"/>
      <c r="B13" s="62" t="s">
        <v>19</v>
      </c>
      <c r="C13" s="181" t="s">
        <v>17</v>
      </c>
      <c r="D13" s="182"/>
      <c r="E13" s="183" t="s">
        <v>20</v>
      </c>
      <c r="F13" s="73" t="s">
        <v>323</v>
      </c>
      <c r="G13" s="74" t="s">
        <v>112</v>
      </c>
      <c r="H13" s="75">
        <v>12</v>
      </c>
      <c r="I13" s="76">
        <v>10</v>
      </c>
      <c r="J13" s="96">
        <f>1+2+5+2+1+5+1</f>
        <v>17</v>
      </c>
      <c r="K13" s="77">
        <f>422.62+4792.51+1796.14+1373.52+5511.59+1707.76</f>
        <v>15604.140000000001</v>
      </c>
      <c r="L13" s="77">
        <f>422.62+4792.51+1796.14+1373.52+5511.59</f>
        <v>13896.380000000001</v>
      </c>
      <c r="M13" s="78">
        <f t="shared" si="1"/>
        <v>1707.7600000000002</v>
      </c>
      <c r="N13" s="100">
        <f>8+3+1+2</f>
        <v>14</v>
      </c>
      <c r="O13" s="81">
        <f>6459.36+7124.45</f>
        <v>13583.81</v>
      </c>
      <c r="P13" s="81">
        <f>6459.36+7124.45</f>
        <v>13583.81</v>
      </c>
      <c r="Q13" s="79">
        <f t="shared" si="2"/>
        <v>0</v>
      </c>
      <c r="R13" s="141"/>
    </row>
    <row r="14" spans="1:18" s="15" customFormat="1" x14ac:dyDescent="0.25">
      <c r="A14" s="229"/>
      <c r="B14" s="62" t="s">
        <v>19</v>
      </c>
      <c r="C14" s="181" t="s">
        <v>17</v>
      </c>
      <c r="D14" s="182"/>
      <c r="E14" s="183" t="s">
        <v>20</v>
      </c>
      <c r="F14" s="73" t="s">
        <v>451</v>
      </c>
      <c r="G14" s="230" t="s">
        <v>114</v>
      </c>
      <c r="H14" s="181">
        <v>8</v>
      </c>
      <c r="I14" s="231">
        <v>1</v>
      </c>
      <c r="J14" s="190">
        <v>1</v>
      </c>
      <c r="K14" s="77">
        <v>3916.92</v>
      </c>
      <c r="L14" s="77">
        <v>2592.3000000000002</v>
      </c>
      <c r="M14" s="187">
        <f t="shared" si="1"/>
        <v>1324.62</v>
      </c>
      <c r="N14" s="100">
        <v>9</v>
      </c>
      <c r="O14" s="224">
        <v>16688.7</v>
      </c>
      <c r="P14" s="224">
        <v>16688.7</v>
      </c>
      <c r="Q14" s="232">
        <f t="shared" si="2"/>
        <v>0</v>
      </c>
    </row>
    <row r="15" spans="1:18" s="15" customFormat="1" x14ac:dyDescent="0.25">
      <c r="A15" s="229"/>
      <c r="B15" s="62" t="s">
        <v>153</v>
      </c>
      <c r="C15" s="181" t="s">
        <v>17</v>
      </c>
      <c r="D15" s="182"/>
      <c r="E15" s="183" t="s">
        <v>20</v>
      </c>
      <c r="F15" s="73" t="s">
        <v>324</v>
      </c>
      <c r="G15" s="74" t="s">
        <v>112</v>
      </c>
      <c r="H15" s="75">
        <v>14</v>
      </c>
      <c r="I15" s="82">
        <v>8</v>
      </c>
      <c r="J15" s="96">
        <f>1+1+2+1+1+2+1+1</f>
        <v>10</v>
      </c>
      <c r="K15" s="77">
        <f>950.9+2451.87+3074.57+845.24+1977.86+1284.48+883.08</f>
        <v>11468</v>
      </c>
      <c r="L15" s="77">
        <f>950.9+2451.87+3074.57+845.24+1977.86+1284.48+883.08</f>
        <v>11468</v>
      </c>
      <c r="M15" s="78">
        <f>K15-L15</f>
        <v>0</v>
      </c>
      <c r="N15" s="114">
        <f>1+2+1+2+1+1</f>
        <v>8</v>
      </c>
      <c r="O15" s="81">
        <f>422.62+945.61+2484.69+7964.81+1536.8+2498.17</f>
        <v>15852.699999999999</v>
      </c>
      <c r="P15" s="81">
        <f>422.62+945.61+2484.69+7964.81+1536.8+2498.17</f>
        <v>15852.699999999999</v>
      </c>
      <c r="Q15" s="79">
        <f t="shared" si="2"/>
        <v>0</v>
      </c>
      <c r="R15" s="141"/>
    </row>
    <row r="16" spans="1:18" s="15" customFormat="1" x14ac:dyDescent="0.25">
      <c r="A16" s="229"/>
      <c r="B16" s="233" t="s">
        <v>153</v>
      </c>
      <c r="C16" s="181" t="s">
        <v>17</v>
      </c>
      <c r="D16" s="182"/>
      <c r="E16" s="183" t="s">
        <v>20</v>
      </c>
      <c r="F16" s="73" t="s">
        <v>452</v>
      </c>
      <c r="G16" s="230" t="s">
        <v>114</v>
      </c>
      <c r="H16" s="181">
        <v>15</v>
      </c>
      <c r="I16" s="231">
        <v>3</v>
      </c>
      <c r="J16" s="190">
        <v>3</v>
      </c>
      <c r="K16" s="77">
        <v>13390.16</v>
      </c>
      <c r="L16" s="77">
        <v>12185.96</v>
      </c>
      <c r="M16" s="187">
        <f t="shared" si="1"/>
        <v>1204.2000000000007</v>
      </c>
      <c r="N16" s="100">
        <v>9</v>
      </c>
      <c r="O16" s="224">
        <v>23692.400000000001</v>
      </c>
      <c r="P16" s="224">
        <v>23692.400000000001</v>
      </c>
      <c r="Q16" s="232">
        <f t="shared" si="2"/>
        <v>0</v>
      </c>
    </row>
    <row r="17" spans="1:18" s="13" customFormat="1" x14ac:dyDescent="0.25">
      <c r="A17" s="229"/>
      <c r="B17" s="30" t="s">
        <v>22</v>
      </c>
      <c r="C17" s="181" t="s">
        <v>17</v>
      </c>
      <c r="D17" s="182"/>
      <c r="E17" s="183" t="s">
        <v>23</v>
      </c>
      <c r="F17" s="73" t="s">
        <v>325</v>
      </c>
      <c r="G17" s="74" t="s">
        <v>112</v>
      </c>
      <c r="H17" s="75">
        <v>36</v>
      </c>
      <c r="I17" s="76">
        <v>10</v>
      </c>
      <c r="J17" s="96">
        <f>1+2+1+9</f>
        <v>13</v>
      </c>
      <c r="K17" s="77">
        <f>2698.64+1402.33+11601.84</f>
        <v>15702.81</v>
      </c>
      <c r="L17" s="77">
        <f>2698.64+1402.33+11601.84</f>
        <v>15702.81</v>
      </c>
      <c r="M17" s="78">
        <f>K17-L17</f>
        <v>0</v>
      </c>
      <c r="N17" s="100">
        <f>14+3+7+1+1</f>
        <v>26</v>
      </c>
      <c r="O17" s="81">
        <f>22716.4+4171.06+18768.39+8172.47</f>
        <v>53828.320000000007</v>
      </c>
      <c r="P17" s="81">
        <f>22716.4+4171.06+18768.39+8172.47</f>
        <v>53828.320000000007</v>
      </c>
      <c r="Q17" s="79">
        <f t="shared" si="2"/>
        <v>0</v>
      </c>
      <c r="R17" s="141"/>
    </row>
    <row r="18" spans="1:18" s="13" customFormat="1" x14ac:dyDescent="0.25">
      <c r="A18" s="229"/>
      <c r="B18" s="30" t="s">
        <v>154</v>
      </c>
      <c r="C18" s="181" t="s">
        <v>17</v>
      </c>
      <c r="D18" s="182"/>
      <c r="E18" s="183" t="s">
        <v>20</v>
      </c>
      <c r="F18" s="73" t="s">
        <v>453</v>
      </c>
      <c r="G18" s="230" t="s">
        <v>114</v>
      </c>
      <c r="H18" s="181">
        <v>30</v>
      </c>
      <c r="I18" s="234">
        <v>2</v>
      </c>
      <c r="J18" s="190">
        <v>2</v>
      </c>
      <c r="K18" s="193">
        <v>2938.2</v>
      </c>
      <c r="L18" s="193">
        <v>2938.2</v>
      </c>
      <c r="M18" s="187">
        <f t="shared" si="1"/>
        <v>0</v>
      </c>
      <c r="N18" s="114">
        <v>16</v>
      </c>
      <c r="O18" s="224">
        <v>41112.769999999997</v>
      </c>
      <c r="P18" s="224">
        <v>41112.769999999997</v>
      </c>
      <c r="Q18" s="232">
        <f t="shared" si="2"/>
        <v>0</v>
      </c>
    </row>
    <row r="19" spans="1:18" s="13" customFormat="1" x14ac:dyDescent="0.25">
      <c r="A19" s="229"/>
      <c r="B19" s="30" t="s">
        <v>154</v>
      </c>
      <c r="C19" s="181" t="s">
        <v>17</v>
      </c>
      <c r="D19" s="182"/>
      <c r="E19" s="183" t="s">
        <v>20</v>
      </c>
      <c r="F19" s="73" t="s">
        <v>326</v>
      </c>
      <c r="G19" s="74" t="s">
        <v>112</v>
      </c>
      <c r="H19" s="75">
        <v>22</v>
      </c>
      <c r="I19" s="76">
        <v>15</v>
      </c>
      <c r="J19" s="96">
        <f>1+1+2+2+2+6+1+4+1</f>
        <v>20</v>
      </c>
      <c r="K19" s="77">
        <f>950.9+864.46+845.24+405.02+739.59+6850.57+12952.58+883.08</f>
        <v>24491.440000000002</v>
      </c>
      <c r="L19" s="77">
        <f>950.9+864.46+845.24+405.02+739.59+6850.57+12952.58+883.08</f>
        <v>24491.440000000002</v>
      </c>
      <c r="M19" s="78">
        <f t="shared" si="1"/>
        <v>0</v>
      </c>
      <c r="N19" s="100">
        <f>6+3+1+1+1+2+1+1</f>
        <v>16</v>
      </c>
      <c r="O19" s="81">
        <f>6681.33+7017+1523.5+9094.74+3532.32</f>
        <v>27848.89</v>
      </c>
      <c r="P19" s="81">
        <f>6681.33+7017+1523.5+9094.74+3532.32</f>
        <v>27848.89</v>
      </c>
      <c r="Q19" s="79">
        <f t="shared" si="2"/>
        <v>0</v>
      </c>
      <c r="R19" s="141"/>
    </row>
    <row r="20" spans="1:18" s="13" customFormat="1" x14ac:dyDescent="0.25">
      <c r="A20" s="229"/>
      <c r="B20" s="62" t="s">
        <v>24</v>
      </c>
      <c r="C20" s="181" t="s">
        <v>17</v>
      </c>
      <c r="D20" s="182"/>
      <c r="E20" s="183" t="s">
        <v>20</v>
      </c>
      <c r="F20" s="73" t="s">
        <v>327</v>
      </c>
      <c r="G20" s="74" t="s">
        <v>112</v>
      </c>
      <c r="H20" s="75">
        <v>7</v>
      </c>
      <c r="I20" s="76">
        <v>4</v>
      </c>
      <c r="J20" s="96">
        <f>3+1+1</f>
        <v>5</v>
      </c>
      <c r="K20" s="77">
        <f>1191.02</f>
        <v>1191.02</v>
      </c>
      <c r="L20" s="77">
        <f>1191.02</f>
        <v>1191.02</v>
      </c>
      <c r="M20" s="78">
        <f t="shared" si="1"/>
        <v>0</v>
      </c>
      <c r="N20" s="100">
        <f>1+1</f>
        <v>2</v>
      </c>
      <c r="O20" s="81">
        <f>576.3+1810.93</f>
        <v>2387.23</v>
      </c>
      <c r="P20" s="81">
        <f>576.3+1810.93</f>
        <v>2387.23</v>
      </c>
      <c r="Q20" s="232">
        <f t="shared" si="2"/>
        <v>0</v>
      </c>
      <c r="R20" s="141"/>
    </row>
    <row r="21" spans="1:18" s="13" customFormat="1" x14ac:dyDescent="0.25">
      <c r="A21" s="229"/>
      <c r="B21" s="62" t="s">
        <v>24</v>
      </c>
      <c r="C21" s="181" t="s">
        <v>17</v>
      </c>
      <c r="D21" s="182"/>
      <c r="E21" s="183" t="s">
        <v>20</v>
      </c>
      <c r="F21" s="73" t="s">
        <v>454</v>
      </c>
      <c r="G21" s="230" t="s">
        <v>114</v>
      </c>
      <c r="H21" s="181">
        <v>12</v>
      </c>
      <c r="I21" s="231"/>
      <c r="J21" s="190"/>
      <c r="K21" s="77"/>
      <c r="L21" s="77"/>
      <c r="M21" s="187">
        <f t="shared" si="1"/>
        <v>0</v>
      </c>
      <c r="N21" s="100">
        <v>16</v>
      </c>
      <c r="O21" s="224">
        <v>35336.5</v>
      </c>
      <c r="P21" s="224">
        <v>35336.5</v>
      </c>
      <c r="Q21" s="232">
        <f t="shared" si="2"/>
        <v>0</v>
      </c>
    </row>
    <row r="22" spans="1:18" s="13" customFormat="1" x14ac:dyDescent="0.25">
      <c r="A22" s="229"/>
      <c r="B22" s="62" t="s">
        <v>25</v>
      </c>
      <c r="C22" s="181" t="s">
        <v>17</v>
      </c>
      <c r="D22" s="182"/>
      <c r="E22" s="183" t="s">
        <v>20</v>
      </c>
      <c r="F22" s="73" t="s">
        <v>328</v>
      </c>
      <c r="G22" s="74" t="s">
        <v>112</v>
      </c>
      <c r="H22" s="75">
        <v>13</v>
      </c>
      <c r="I22" s="76">
        <v>7</v>
      </c>
      <c r="J22" s="96">
        <f>1+1+1+1+1+1+1</f>
        <v>7</v>
      </c>
      <c r="K22" s="173">
        <f>403.41+1605.6+3697.9+1204.2</f>
        <v>6911.11</v>
      </c>
      <c r="L22" s="173">
        <f>403.41+1605.6+3697.9</f>
        <v>5706.91</v>
      </c>
      <c r="M22" s="78">
        <f>K22-L22</f>
        <v>1204.1999999999998</v>
      </c>
      <c r="N22" s="100">
        <f>6+1+2+2+1</f>
        <v>12</v>
      </c>
      <c r="O22" s="81">
        <f>14526.7+5595.3+2440.62+2839.24</f>
        <v>25401.86</v>
      </c>
      <c r="P22" s="81">
        <f>14526.7+5595.3+2440.62+2839.24</f>
        <v>25401.86</v>
      </c>
      <c r="Q22" s="232">
        <f t="shared" si="2"/>
        <v>0</v>
      </c>
      <c r="R22" s="141"/>
    </row>
    <row r="23" spans="1:18" s="13" customFormat="1" x14ac:dyDescent="0.25">
      <c r="A23" s="229"/>
      <c r="B23" s="62" t="s">
        <v>25</v>
      </c>
      <c r="C23" s="181" t="s">
        <v>17</v>
      </c>
      <c r="D23" s="182"/>
      <c r="E23" s="183" t="s">
        <v>20</v>
      </c>
      <c r="F23" s="73" t="s">
        <v>455</v>
      </c>
      <c r="G23" s="230" t="s">
        <v>114</v>
      </c>
      <c r="H23" s="181">
        <v>6</v>
      </c>
      <c r="I23" s="231"/>
      <c r="J23" s="190"/>
      <c r="K23" s="77"/>
      <c r="L23" s="77"/>
      <c r="M23" s="187">
        <f t="shared" si="1"/>
        <v>0</v>
      </c>
      <c r="N23" s="100">
        <v>3</v>
      </c>
      <c r="O23" s="224">
        <v>7219.8</v>
      </c>
      <c r="P23" s="224">
        <v>7219.8</v>
      </c>
      <c r="Q23" s="232">
        <f t="shared" si="2"/>
        <v>0</v>
      </c>
    </row>
    <row r="24" spans="1:18" s="13" customFormat="1" x14ac:dyDescent="0.25">
      <c r="A24" s="229"/>
      <c r="B24" s="62" t="s">
        <v>26</v>
      </c>
      <c r="C24" s="181" t="s">
        <v>17</v>
      </c>
      <c r="D24" s="182"/>
      <c r="E24" s="183" t="s">
        <v>27</v>
      </c>
      <c r="F24" s="73" t="s">
        <v>329</v>
      </c>
      <c r="G24" s="74" t="s">
        <v>112</v>
      </c>
      <c r="H24" s="75">
        <v>16</v>
      </c>
      <c r="I24" s="76">
        <v>13</v>
      </c>
      <c r="J24" s="96">
        <f>2+2+4+1+4+1+1</f>
        <v>15</v>
      </c>
      <c r="K24" s="77">
        <f>845.24+1056.55+5121.1+26225.35+422.62+16490.35+1457.08</f>
        <v>51618.29</v>
      </c>
      <c r="L24" s="77">
        <f>845.24+1056.55+5121.1+26225.35+422.62+16490.35+1457.08</f>
        <v>51618.29</v>
      </c>
      <c r="M24" s="78">
        <f t="shared" si="1"/>
        <v>0</v>
      </c>
      <c r="N24" s="100">
        <f>6+1+1+2+1</f>
        <v>11</v>
      </c>
      <c r="O24" s="81">
        <f>17838.53+2535.75+7238.9</f>
        <v>27613.18</v>
      </c>
      <c r="P24" s="81">
        <f>17838.53+2535.75+7238.9</f>
        <v>27613.18</v>
      </c>
      <c r="Q24" s="232">
        <f t="shared" si="2"/>
        <v>0</v>
      </c>
      <c r="R24" s="141"/>
    </row>
    <row r="25" spans="1:18" s="15" customFormat="1" x14ac:dyDescent="0.25">
      <c r="A25" s="229"/>
      <c r="B25" s="62" t="s">
        <v>28</v>
      </c>
      <c r="C25" s="181" t="s">
        <v>17</v>
      </c>
      <c r="D25" s="182"/>
      <c r="E25" s="194" t="s">
        <v>29</v>
      </c>
      <c r="F25" s="73" t="s">
        <v>330</v>
      </c>
      <c r="G25" s="74" t="s">
        <v>112</v>
      </c>
      <c r="H25" s="75">
        <v>8</v>
      </c>
      <c r="I25" s="76">
        <v>8</v>
      </c>
      <c r="J25" s="96">
        <f>2+1+2+1+1+1</f>
        <v>8</v>
      </c>
      <c r="K25" s="77">
        <f>6135.14+2440.63+9722.07+968.96</f>
        <v>19266.8</v>
      </c>
      <c r="L25" s="77">
        <f>6135.14+2440.63+9722.07+968.96</f>
        <v>19266.8</v>
      </c>
      <c r="M25" s="78">
        <f t="shared" si="1"/>
        <v>0</v>
      </c>
      <c r="N25" s="100">
        <f>3+2+4+3+1+1</f>
        <v>14</v>
      </c>
      <c r="O25" s="81">
        <f>5310.83+4630.52+14679.01+36087.29+8956.5+10112.26</f>
        <v>79776.409999999989</v>
      </c>
      <c r="P25" s="81">
        <f>5310.83+4630.52+14679.01+36087.29+8956.5</f>
        <v>69664.149999999994</v>
      </c>
      <c r="Q25" s="232">
        <f t="shared" si="2"/>
        <v>10112.259999999995</v>
      </c>
      <c r="R25" s="141"/>
    </row>
    <row r="26" spans="1:18" s="15" customFormat="1" ht="14.25" customHeight="1" x14ac:dyDescent="0.25">
      <c r="A26" s="229"/>
      <c r="B26" s="62" t="s">
        <v>28</v>
      </c>
      <c r="C26" s="181" t="s">
        <v>17</v>
      </c>
      <c r="D26" s="182"/>
      <c r="E26" s="194" t="s">
        <v>29</v>
      </c>
      <c r="F26" s="73" t="s">
        <v>420</v>
      </c>
      <c r="G26" s="235" t="s">
        <v>117</v>
      </c>
      <c r="H26" s="181">
        <v>2</v>
      </c>
      <c r="I26" s="231"/>
      <c r="J26" s="96"/>
      <c r="K26" s="77"/>
      <c r="L26" s="77"/>
      <c r="M26" s="78">
        <f t="shared" si="1"/>
        <v>0</v>
      </c>
      <c r="N26" s="100">
        <v>2</v>
      </c>
      <c r="O26" s="224">
        <v>2766.24</v>
      </c>
      <c r="P26" s="224">
        <v>2766.24</v>
      </c>
      <c r="Q26" s="79">
        <f t="shared" si="2"/>
        <v>0</v>
      </c>
    </row>
    <row r="27" spans="1:18" s="15" customFormat="1" x14ac:dyDescent="0.25">
      <c r="A27" s="229"/>
      <c r="B27" s="233" t="s">
        <v>500</v>
      </c>
      <c r="C27" s="181" t="s">
        <v>17</v>
      </c>
      <c r="D27" s="182"/>
      <c r="E27" s="194"/>
      <c r="F27" s="73" t="s">
        <v>503</v>
      </c>
      <c r="G27" s="235" t="s">
        <v>112</v>
      </c>
      <c r="H27" s="181">
        <v>20</v>
      </c>
      <c r="I27" s="231">
        <v>13</v>
      </c>
      <c r="J27" s="96">
        <f>2+2+2+1+3+5</f>
        <v>15</v>
      </c>
      <c r="K27" s="77">
        <f>1202.51+3555.1+602.1+708.47</f>
        <v>6068.18</v>
      </c>
      <c r="L27" s="77">
        <f>1202.51+3555.1+602.1+708.47</f>
        <v>6068.18</v>
      </c>
      <c r="M27" s="78">
        <f t="shared" si="1"/>
        <v>0</v>
      </c>
      <c r="N27" s="100"/>
      <c r="O27" s="224"/>
      <c r="P27" s="224"/>
      <c r="Q27" s="79">
        <f t="shared" si="2"/>
        <v>0</v>
      </c>
    </row>
    <row r="28" spans="1:18" s="13" customFormat="1" x14ac:dyDescent="0.25">
      <c r="A28" s="229"/>
      <c r="B28" s="27" t="s">
        <v>30</v>
      </c>
      <c r="C28" s="181" t="s">
        <v>17</v>
      </c>
      <c r="D28" s="182"/>
      <c r="E28" s="194" t="s">
        <v>21</v>
      </c>
      <c r="F28" s="73" t="s">
        <v>333</v>
      </c>
      <c r="G28" s="74" t="s">
        <v>112</v>
      </c>
      <c r="H28" s="75">
        <v>18</v>
      </c>
      <c r="I28" s="76">
        <v>13</v>
      </c>
      <c r="J28" s="96">
        <f>3+1+3+1+4+1+1+2</f>
        <v>16</v>
      </c>
      <c r="K28" s="77">
        <f>16637.24+1045.98+2789.73</f>
        <v>20472.95</v>
      </c>
      <c r="L28" s="77">
        <f>16637.24+1045.98+2789.73</f>
        <v>20472.95</v>
      </c>
      <c r="M28" s="78">
        <f t="shared" si="1"/>
        <v>0</v>
      </c>
      <c r="N28" s="100">
        <f>9+1+3+1+1+1+2+1+1+2</f>
        <v>22</v>
      </c>
      <c r="O28" s="81">
        <f>77047.8+15703.07+7288.94</f>
        <v>100039.81</v>
      </c>
      <c r="P28" s="81">
        <f>77047.8+15703.07+7288.94</f>
        <v>100039.81</v>
      </c>
      <c r="Q28" s="79">
        <f>O28-P28</f>
        <v>0</v>
      </c>
      <c r="R28" s="141"/>
    </row>
    <row r="29" spans="1:18" s="13" customFormat="1" x14ac:dyDescent="0.25">
      <c r="A29" s="229"/>
      <c r="B29" s="27" t="s">
        <v>491</v>
      </c>
      <c r="C29" s="181" t="s">
        <v>17</v>
      </c>
      <c r="D29" s="182"/>
      <c r="E29" s="183" t="s">
        <v>20</v>
      </c>
      <c r="F29" s="73" t="s">
        <v>495</v>
      </c>
      <c r="G29" s="74" t="s">
        <v>112</v>
      </c>
      <c r="H29" s="75">
        <v>11</v>
      </c>
      <c r="I29" s="76">
        <v>6</v>
      </c>
      <c r="J29" s="96">
        <f>2+2+1+1</f>
        <v>6</v>
      </c>
      <c r="K29" s="77">
        <f>1727.9+2093.89+728.54</f>
        <v>4550.33</v>
      </c>
      <c r="L29" s="77">
        <f>1727.9+2093.89+728.54</f>
        <v>4550.33</v>
      </c>
      <c r="M29" s="78">
        <f t="shared" si="1"/>
        <v>0</v>
      </c>
      <c r="N29" s="100"/>
      <c r="O29" s="81"/>
      <c r="P29" s="81"/>
      <c r="Q29" s="79">
        <f t="shared" si="2"/>
        <v>0</v>
      </c>
      <c r="R29" s="141"/>
    </row>
    <row r="30" spans="1:18" s="13" customFormat="1" x14ac:dyDescent="0.25">
      <c r="A30" s="229"/>
      <c r="B30" s="27" t="s">
        <v>491</v>
      </c>
      <c r="C30" s="181" t="s">
        <v>17</v>
      </c>
      <c r="D30" s="182"/>
      <c r="E30" s="183" t="s">
        <v>20</v>
      </c>
      <c r="F30" s="73" t="s">
        <v>504</v>
      </c>
      <c r="G30" s="74" t="s">
        <v>114</v>
      </c>
      <c r="H30" s="75">
        <v>7</v>
      </c>
      <c r="I30" s="76">
        <v>1</v>
      </c>
      <c r="J30" s="96">
        <v>1</v>
      </c>
      <c r="K30" s="77">
        <v>1267.8599999999999</v>
      </c>
      <c r="L30" s="77">
        <v>1267.8599999999999</v>
      </c>
      <c r="M30" s="187">
        <f t="shared" si="1"/>
        <v>0</v>
      </c>
      <c r="N30" s="100"/>
      <c r="O30" s="81"/>
      <c r="P30" s="81"/>
      <c r="Q30" s="232">
        <f t="shared" si="2"/>
        <v>0</v>
      </c>
      <c r="R30" s="141"/>
    </row>
    <row r="31" spans="1:18" s="13" customFormat="1" x14ac:dyDescent="0.25">
      <c r="A31" s="229"/>
      <c r="B31" s="27" t="s">
        <v>491</v>
      </c>
      <c r="C31" s="181" t="s">
        <v>17</v>
      </c>
      <c r="D31" s="182"/>
      <c r="E31" s="183"/>
      <c r="F31" s="73" t="s">
        <v>510</v>
      </c>
      <c r="G31" s="235" t="s">
        <v>117</v>
      </c>
      <c r="H31" s="75">
        <v>1</v>
      </c>
      <c r="I31" s="76"/>
      <c r="J31" s="96"/>
      <c r="K31" s="77"/>
      <c r="L31" s="77"/>
      <c r="M31" s="187">
        <f t="shared" si="1"/>
        <v>0</v>
      </c>
      <c r="N31" s="100"/>
      <c r="O31" s="81"/>
      <c r="P31" s="81"/>
      <c r="Q31" s="232">
        <f t="shared" si="2"/>
        <v>0</v>
      </c>
      <c r="R31" s="141"/>
    </row>
    <row r="32" spans="1:18" s="13" customFormat="1" x14ac:dyDescent="0.25">
      <c r="A32" s="229"/>
      <c r="B32" s="30" t="s">
        <v>31</v>
      </c>
      <c r="C32" s="181" t="s">
        <v>17</v>
      </c>
      <c r="D32" s="182"/>
      <c r="E32" s="183" t="s">
        <v>32</v>
      </c>
      <c r="F32" s="73" t="s">
        <v>331</v>
      </c>
      <c r="G32" s="74" t="s">
        <v>112</v>
      </c>
      <c r="H32" s="75">
        <v>15</v>
      </c>
      <c r="I32" s="76">
        <v>10</v>
      </c>
      <c r="J32" s="96">
        <f>1+2+3+1+4+3</f>
        <v>14</v>
      </c>
      <c r="K32" s="77">
        <f>633.93+1045.98+5377.62+950.9+6004.09+4598.82+8410.14</f>
        <v>27021.48</v>
      </c>
      <c r="L32" s="77">
        <f>633.93+1045.98+5377.62+950.9+6004.09+4598.82+8410.14</f>
        <v>27021.48</v>
      </c>
      <c r="M32" s="187">
        <f t="shared" si="1"/>
        <v>0</v>
      </c>
      <c r="N32" s="100">
        <f>1+3+3+1+1+2+1</f>
        <v>12</v>
      </c>
      <c r="O32" s="81">
        <f>2299.8+15239.58+6152.75+2720.49+1483.38+7043.49+11175.04</f>
        <v>46114.530000000006</v>
      </c>
      <c r="P32" s="81">
        <f>2299.8+15239.58+6152.75+2720.49+1483.38+7043.49+11175.04</f>
        <v>46114.530000000006</v>
      </c>
      <c r="Q32" s="232">
        <f t="shared" si="2"/>
        <v>0</v>
      </c>
      <c r="R32" s="141"/>
    </row>
    <row r="33" spans="1:18" s="13" customFormat="1" x14ac:dyDescent="0.25">
      <c r="A33" s="229"/>
      <c r="B33" s="30" t="s">
        <v>31</v>
      </c>
      <c r="C33" s="181" t="s">
        <v>17</v>
      </c>
      <c r="D33" s="182"/>
      <c r="E33" s="183" t="s">
        <v>32</v>
      </c>
      <c r="F33" s="73" t="s">
        <v>422</v>
      </c>
      <c r="G33" s="235" t="s">
        <v>117</v>
      </c>
      <c r="H33" s="181">
        <v>12</v>
      </c>
      <c r="I33" s="231">
        <v>3</v>
      </c>
      <c r="J33" s="96">
        <v>3</v>
      </c>
      <c r="K33" s="77">
        <v>7586.5</v>
      </c>
      <c r="L33" s="77">
        <v>7586.5</v>
      </c>
      <c r="M33" s="187">
        <f t="shared" si="1"/>
        <v>0</v>
      </c>
      <c r="N33" s="100">
        <v>10</v>
      </c>
      <c r="O33" s="77">
        <v>21507.42</v>
      </c>
      <c r="P33" s="77">
        <v>21507.42</v>
      </c>
      <c r="Q33" s="232">
        <f t="shared" si="2"/>
        <v>0</v>
      </c>
    </row>
    <row r="34" spans="1:18" s="15" customFormat="1" x14ac:dyDescent="0.25">
      <c r="A34" s="229"/>
      <c r="B34" s="62" t="s">
        <v>33</v>
      </c>
      <c r="C34" s="181" t="s">
        <v>17</v>
      </c>
      <c r="D34" s="182"/>
      <c r="E34" s="183" t="s">
        <v>20</v>
      </c>
      <c r="F34" s="73" t="s">
        <v>332</v>
      </c>
      <c r="G34" s="74" t="s">
        <v>112</v>
      </c>
      <c r="H34" s="75">
        <v>11</v>
      </c>
      <c r="I34" s="76">
        <v>7</v>
      </c>
      <c r="J34" s="96">
        <f>1+1+1+1+1+2+1</f>
        <v>8</v>
      </c>
      <c r="K34" s="77">
        <f>845.245+5363.43+5912.72+845.24+12887.16+2852.15+6514.08</f>
        <v>35220.025000000001</v>
      </c>
      <c r="L34" s="77">
        <f>845.245+5363.43+5912.72+845.24+12887.16+2852.15+6514.08</f>
        <v>35220.025000000001</v>
      </c>
      <c r="M34" s="78">
        <f>K34-L34</f>
        <v>0</v>
      </c>
      <c r="N34" s="100">
        <f>2+1+1+1+1+2+1+1</f>
        <v>10</v>
      </c>
      <c r="O34" s="81">
        <f>845.24+1613.64+3380.96+3639.33+1152.6</f>
        <v>10631.77</v>
      </c>
      <c r="P34" s="81">
        <f>845.24+1613.64+3380.96+3639.33+1152.6</f>
        <v>10631.77</v>
      </c>
      <c r="Q34" s="79">
        <f t="shared" si="2"/>
        <v>0</v>
      </c>
      <c r="R34" s="141"/>
    </row>
    <row r="35" spans="1:18" s="15" customFormat="1" x14ac:dyDescent="0.25">
      <c r="A35" s="229"/>
      <c r="B35" s="62" t="s">
        <v>33</v>
      </c>
      <c r="C35" s="181" t="s">
        <v>17</v>
      </c>
      <c r="D35" s="182"/>
      <c r="E35" s="183" t="s">
        <v>20</v>
      </c>
      <c r="F35" s="73" t="s">
        <v>481</v>
      </c>
      <c r="G35" s="230" t="s">
        <v>114</v>
      </c>
      <c r="H35" s="181">
        <v>7</v>
      </c>
      <c r="I35" s="231"/>
      <c r="J35" s="190"/>
      <c r="K35" s="77">
        <v>602.1</v>
      </c>
      <c r="L35" s="77"/>
      <c r="M35" s="187">
        <f t="shared" si="1"/>
        <v>602.1</v>
      </c>
      <c r="N35" s="100">
        <v>15</v>
      </c>
      <c r="O35" s="224">
        <v>43782.74</v>
      </c>
      <c r="P35" s="224">
        <v>43782.74</v>
      </c>
      <c r="Q35" s="232">
        <f t="shared" si="2"/>
        <v>0</v>
      </c>
    </row>
    <row r="36" spans="1:18" s="15" customFormat="1" x14ac:dyDescent="0.25">
      <c r="A36" s="229"/>
      <c r="B36" s="62" t="s">
        <v>147</v>
      </c>
      <c r="C36" s="181" t="s">
        <v>17</v>
      </c>
      <c r="D36" s="182"/>
      <c r="E36" s="183" t="s">
        <v>29</v>
      </c>
      <c r="F36" s="73" t="s">
        <v>334</v>
      </c>
      <c r="G36" s="74" t="s">
        <v>112</v>
      </c>
      <c r="H36" s="75">
        <v>8</v>
      </c>
      <c r="I36" s="234">
        <v>4</v>
      </c>
      <c r="J36" s="96">
        <f>1+1+2+1</f>
        <v>5</v>
      </c>
      <c r="K36" s="77">
        <f>1854.88+2824.48+3058.67</f>
        <v>7738.0300000000007</v>
      </c>
      <c r="L36" s="77">
        <f>1854.88+2824.48+3058.67</f>
        <v>7738.0300000000007</v>
      </c>
      <c r="M36" s="78">
        <f>K36-L36</f>
        <v>0</v>
      </c>
      <c r="N36" s="114">
        <f>1+1+1</f>
        <v>3</v>
      </c>
      <c r="O36" s="81">
        <f>1394.65+2473.17+1961.49</f>
        <v>5829.31</v>
      </c>
      <c r="P36" s="81">
        <f>1394.65+2473.17+1961.49</f>
        <v>5829.31</v>
      </c>
      <c r="Q36" s="79">
        <f t="shared" si="2"/>
        <v>0</v>
      </c>
      <c r="R36" s="141"/>
    </row>
    <row r="37" spans="1:18" s="15" customFormat="1" x14ac:dyDescent="0.25">
      <c r="A37" s="229"/>
      <c r="B37" s="233" t="s">
        <v>147</v>
      </c>
      <c r="C37" s="181" t="s">
        <v>17</v>
      </c>
      <c r="D37" s="182"/>
      <c r="E37" s="183" t="s">
        <v>29</v>
      </c>
      <c r="F37" s="73" t="s">
        <v>423</v>
      </c>
      <c r="G37" s="230" t="s">
        <v>117</v>
      </c>
      <c r="H37" s="181">
        <v>7</v>
      </c>
      <c r="I37" s="231">
        <v>4</v>
      </c>
      <c r="J37" s="96">
        <v>4</v>
      </c>
      <c r="K37" s="77">
        <v>6847.1</v>
      </c>
      <c r="L37" s="77">
        <v>6847.1</v>
      </c>
      <c r="M37" s="187">
        <f t="shared" si="1"/>
        <v>0</v>
      </c>
      <c r="N37" s="100">
        <v>4</v>
      </c>
      <c r="O37" s="224">
        <v>4706.45</v>
      </c>
      <c r="P37" s="224">
        <v>4706.45</v>
      </c>
      <c r="Q37" s="232">
        <f t="shared" si="2"/>
        <v>0</v>
      </c>
    </row>
    <row r="38" spans="1:18" s="13" customFormat="1" x14ac:dyDescent="0.25">
      <c r="A38" s="229"/>
      <c r="B38" s="62" t="s">
        <v>34</v>
      </c>
      <c r="C38" s="181" t="s">
        <v>17</v>
      </c>
      <c r="D38" s="182"/>
      <c r="E38" s="194" t="s">
        <v>35</v>
      </c>
      <c r="F38" s="73" t="s">
        <v>335</v>
      </c>
      <c r="G38" s="74" t="s">
        <v>112</v>
      </c>
      <c r="H38" s="75">
        <v>30</v>
      </c>
      <c r="I38" s="76">
        <v>17</v>
      </c>
      <c r="J38" s="96">
        <f>4+2+2+7+4+1</f>
        <v>20</v>
      </c>
      <c r="K38" s="77">
        <f>8288.4+1267.86+845.24+13964.6+11418.26+11175.62</f>
        <v>46959.98</v>
      </c>
      <c r="L38" s="77">
        <f>8288.4+1267.86+845.24+13964.6+11418.26</f>
        <v>35784.36</v>
      </c>
      <c r="M38" s="78">
        <f>K38-L38</f>
        <v>11175.620000000003</v>
      </c>
      <c r="N38" s="100">
        <f>4+4+6+1+3+1+3+1+2+1</f>
        <v>26</v>
      </c>
      <c r="O38" s="81">
        <f>23915.04+21171.88+6399.1+11460.81+1501.24</f>
        <v>64448.069999999992</v>
      </c>
      <c r="P38" s="81">
        <f>23915.04+21171.88+6399.1+11460.81+1501.24</f>
        <v>64448.069999999992</v>
      </c>
      <c r="Q38" s="79">
        <f t="shared" si="2"/>
        <v>0</v>
      </c>
      <c r="R38" s="141"/>
    </row>
    <row r="39" spans="1:18" s="13" customFormat="1" x14ac:dyDescent="0.25">
      <c r="A39" s="229"/>
      <c r="B39" s="62" t="s">
        <v>34</v>
      </c>
      <c r="C39" s="181" t="s">
        <v>17</v>
      </c>
      <c r="D39" s="182"/>
      <c r="E39" s="194" t="s">
        <v>35</v>
      </c>
      <c r="F39" s="73" t="s">
        <v>424</v>
      </c>
      <c r="G39" s="235" t="s">
        <v>117</v>
      </c>
      <c r="H39" s="181">
        <v>2</v>
      </c>
      <c r="I39" s="231">
        <v>1</v>
      </c>
      <c r="J39" s="96">
        <v>2</v>
      </c>
      <c r="K39" s="77">
        <v>3842</v>
      </c>
      <c r="L39" s="77">
        <v>3842</v>
      </c>
      <c r="M39" s="187">
        <f t="shared" si="1"/>
        <v>0</v>
      </c>
      <c r="N39" s="100">
        <v>3</v>
      </c>
      <c r="O39" s="224">
        <v>9220.7999999999993</v>
      </c>
      <c r="P39" s="224">
        <v>9220.7999999999993</v>
      </c>
      <c r="Q39" s="232">
        <f t="shared" si="2"/>
        <v>0</v>
      </c>
    </row>
    <row r="40" spans="1:18" s="13" customFormat="1" x14ac:dyDescent="0.25">
      <c r="A40" s="229"/>
      <c r="B40" s="27" t="s">
        <v>36</v>
      </c>
      <c r="C40" s="181" t="s">
        <v>17</v>
      </c>
      <c r="D40" s="182"/>
      <c r="E40" s="194" t="s">
        <v>32</v>
      </c>
      <c r="F40" s="73" t="s">
        <v>336</v>
      </c>
      <c r="G40" s="74" t="s">
        <v>112</v>
      </c>
      <c r="H40" s="75">
        <v>24</v>
      </c>
      <c r="I40" s="76">
        <v>15</v>
      </c>
      <c r="J40" s="96">
        <f>1+3+4+2+2+7</f>
        <v>19</v>
      </c>
      <c r="K40" s="77">
        <f>2091.97+4201.22+3643.94+998.92+6188.59</f>
        <v>17124.64</v>
      </c>
      <c r="L40" s="77">
        <f>2091.97+4201.22+3643.94+998.92+6188.59</f>
        <v>17124.64</v>
      </c>
      <c r="M40" s="78">
        <f t="shared" si="1"/>
        <v>0</v>
      </c>
      <c r="N40" s="100">
        <f>4+2+5+1+1+4+1+1</f>
        <v>19</v>
      </c>
      <c r="O40" s="81">
        <f>26828.22+3116.2+14162+4691+13237.22+22342.31</f>
        <v>84376.95</v>
      </c>
      <c r="P40" s="81">
        <f>26828.22+3116.2+14162+4691+13237.22+22342.31</f>
        <v>84376.95</v>
      </c>
      <c r="Q40" s="79">
        <f t="shared" si="2"/>
        <v>0</v>
      </c>
      <c r="R40" s="141"/>
    </row>
    <row r="41" spans="1:18" s="13" customFormat="1" x14ac:dyDescent="0.25">
      <c r="A41" s="229"/>
      <c r="B41" s="27" t="s">
        <v>38</v>
      </c>
      <c r="C41" s="181" t="s">
        <v>17</v>
      </c>
      <c r="D41" s="182"/>
      <c r="E41" s="183" t="s">
        <v>20</v>
      </c>
      <c r="F41" s="73" t="s">
        <v>338</v>
      </c>
      <c r="G41" s="74" t="s">
        <v>112</v>
      </c>
      <c r="H41" s="75">
        <v>40</v>
      </c>
      <c r="I41" s="76">
        <v>31</v>
      </c>
      <c r="J41" s="96">
        <f>5+9+3+4+4+2+3+3+11</f>
        <v>44</v>
      </c>
      <c r="K41" s="77">
        <f>4427.07+14262.52+23391.74+11108.38+9141.17+3923.07+23674.29</f>
        <v>89928.239999999991</v>
      </c>
      <c r="L41" s="77">
        <f>4427.07+14262.52+23391.74+11108.38+9141.17+3923.07+23674.29</f>
        <v>89928.239999999991</v>
      </c>
      <c r="M41" s="78">
        <f t="shared" si="1"/>
        <v>0</v>
      </c>
      <c r="N41" s="100">
        <f>1+14+2+2+2+3+1</f>
        <v>25</v>
      </c>
      <c r="O41" s="81">
        <f>34449.99+27363.78+23604.86+16739.26+15240.34+16003.48</f>
        <v>133401.71</v>
      </c>
      <c r="P41" s="81">
        <f>34449.99+27363.78+23604.86+16739.26+15240.34+16003.48</f>
        <v>133401.71</v>
      </c>
      <c r="Q41" s="79">
        <f t="shared" si="2"/>
        <v>0</v>
      </c>
      <c r="R41" s="141"/>
    </row>
    <row r="42" spans="1:18" s="13" customFormat="1" x14ac:dyDescent="0.25">
      <c r="A42" s="229"/>
      <c r="B42" s="27" t="s">
        <v>38</v>
      </c>
      <c r="C42" s="181" t="s">
        <v>17</v>
      </c>
      <c r="D42" s="182"/>
      <c r="E42" s="183" t="s">
        <v>20</v>
      </c>
      <c r="F42" s="73" t="s">
        <v>268</v>
      </c>
      <c r="G42" s="230" t="s">
        <v>114</v>
      </c>
      <c r="H42" s="181"/>
      <c r="I42" s="231"/>
      <c r="J42" s="190"/>
      <c r="K42" s="77"/>
      <c r="L42" s="77"/>
      <c r="M42" s="187">
        <f t="shared" si="1"/>
        <v>0</v>
      </c>
      <c r="N42" s="100"/>
      <c r="O42" s="224"/>
      <c r="P42" s="224"/>
      <c r="Q42" s="232">
        <f t="shared" si="2"/>
        <v>0</v>
      </c>
    </row>
    <row r="43" spans="1:18" s="13" customFormat="1" x14ac:dyDescent="0.25">
      <c r="A43" s="229"/>
      <c r="B43" s="27" t="s">
        <v>38</v>
      </c>
      <c r="C43" s="181" t="s">
        <v>17</v>
      </c>
      <c r="D43" s="182"/>
      <c r="E43" s="183" t="s">
        <v>18</v>
      </c>
      <c r="F43" s="73" t="s">
        <v>324</v>
      </c>
      <c r="G43" s="230" t="s">
        <v>116</v>
      </c>
      <c r="H43" s="181">
        <v>3</v>
      </c>
      <c r="I43" s="231">
        <v>3</v>
      </c>
      <c r="J43" s="190">
        <v>3</v>
      </c>
      <c r="K43" s="77">
        <v>4098</v>
      </c>
      <c r="L43" s="77">
        <v>4098</v>
      </c>
      <c r="M43" s="187">
        <f t="shared" si="1"/>
        <v>0</v>
      </c>
      <c r="N43" s="100"/>
      <c r="O43" s="224"/>
      <c r="P43" s="224"/>
      <c r="Q43" s="232">
        <f t="shared" si="2"/>
        <v>0</v>
      </c>
    </row>
    <row r="44" spans="1:18" s="13" customFormat="1" x14ac:dyDescent="0.25">
      <c r="A44" s="229"/>
      <c r="B44" s="62" t="s">
        <v>39</v>
      </c>
      <c r="C44" s="181" t="s">
        <v>17</v>
      </c>
      <c r="D44" s="182"/>
      <c r="E44" s="183" t="s">
        <v>20</v>
      </c>
      <c r="F44" s="73" t="s">
        <v>269</v>
      </c>
      <c r="G44" s="230" t="s">
        <v>114</v>
      </c>
      <c r="H44" s="181"/>
      <c r="I44" s="231"/>
      <c r="J44" s="190"/>
      <c r="K44" s="77"/>
      <c r="L44" s="77"/>
      <c r="M44" s="187">
        <f t="shared" si="1"/>
        <v>0</v>
      </c>
      <c r="N44" s="100"/>
      <c r="O44" s="224"/>
      <c r="P44" s="224"/>
      <c r="Q44" s="232">
        <f t="shared" si="2"/>
        <v>0</v>
      </c>
    </row>
    <row r="45" spans="1:18" s="13" customFormat="1" x14ac:dyDescent="0.25">
      <c r="A45" s="229"/>
      <c r="B45" s="27" t="s">
        <v>40</v>
      </c>
      <c r="C45" s="181" t="s">
        <v>17</v>
      </c>
      <c r="D45" s="182"/>
      <c r="E45" s="194" t="s">
        <v>41</v>
      </c>
      <c r="F45" s="73" t="s">
        <v>339</v>
      </c>
      <c r="G45" s="74" t="s">
        <v>112</v>
      </c>
      <c r="H45" s="75">
        <v>23</v>
      </c>
      <c r="I45" s="76">
        <v>18</v>
      </c>
      <c r="J45" s="96">
        <f>1+1+3+9+4+4+3+2+1+1+2</f>
        <v>31</v>
      </c>
      <c r="K45" s="77">
        <f>1045.98+3271.86+15658.52+8166.35+6035.99+8024.36+2759.63+3460.61+3962.12</f>
        <v>52385.42</v>
      </c>
      <c r="L45" s="77">
        <f>1045.98+3271.86+15658.52+8166.35+6035.99+8024.36+2759.63+3460.61</f>
        <v>48423.299999999996</v>
      </c>
      <c r="M45" s="78">
        <f>K45-L45</f>
        <v>3962.1200000000026</v>
      </c>
      <c r="N45" s="100">
        <f>3+13+6+5+4+2+1+1</f>
        <v>35</v>
      </c>
      <c r="O45" s="81">
        <f>17269.31+39990.78+16582.12+23492.44+7068.31+4243.84</f>
        <v>108646.79999999999</v>
      </c>
      <c r="P45" s="81">
        <f>17269.31+39990.78+16582.12+23492.44+7068.31+4243.84</f>
        <v>108646.79999999999</v>
      </c>
      <c r="Q45" s="79">
        <f t="shared" si="2"/>
        <v>0</v>
      </c>
      <c r="R45" s="141"/>
    </row>
    <row r="46" spans="1:18" s="13" customFormat="1" x14ac:dyDescent="0.25">
      <c r="A46" s="229"/>
      <c r="B46" s="27" t="s">
        <v>40</v>
      </c>
      <c r="C46" s="181" t="s">
        <v>17</v>
      </c>
      <c r="D46" s="182"/>
      <c r="E46" s="194" t="s">
        <v>41</v>
      </c>
      <c r="F46" s="73" t="s">
        <v>482</v>
      </c>
      <c r="G46" s="230" t="s">
        <v>114</v>
      </c>
      <c r="H46" s="181"/>
      <c r="I46" s="231"/>
      <c r="J46" s="190"/>
      <c r="K46" s="77"/>
      <c r="L46" s="77"/>
      <c r="M46" s="187">
        <f t="shared" si="1"/>
        <v>0</v>
      </c>
      <c r="N46" s="100">
        <v>1</v>
      </c>
      <c r="O46" s="224">
        <v>3073.6</v>
      </c>
      <c r="P46" s="224">
        <f>3073.6</f>
        <v>3073.6</v>
      </c>
      <c r="Q46" s="232">
        <f t="shared" si="2"/>
        <v>0</v>
      </c>
    </row>
    <row r="47" spans="1:18" s="13" customFormat="1" x14ac:dyDescent="0.25">
      <c r="A47" s="229"/>
      <c r="B47" s="27" t="s">
        <v>148</v>
      </c>
      <c r="C47" s="181" t="s">
        <v>17</v>
      </c>
      <c r="D47" s="182"/>
      <c r="E47" s="183" t="s">
        <v>20</v>
      </c>
      <c r="F47" s="73" t="s">
        <v>340</v>
      </c>
      <c r="G47" s="74" t="s">
        <v>112</v>
      </c>
      <c r="H47" s="75">
        <v>19</v>
      </c>
      <c r="I47" s="82">
        <v>12</v>
      </c>
      <c r="J47" s="96">
        <f>1+2+1+4+4+2</f>
        <v>14</v>
      </c>
      <c r="K47" s="77">
        <f>537.88+2110.03+6723.98+8914.21+1204.2</f>
        <v>19490.3</v>
      </c>
      <c r="L47" s="77">
        <f>537.88+2110.03+6723.98+8914.21+1204.2</f>
        <v>19490.3</v>
      </c>
      <c r="M47" s="78">
        <f>K47-L47</f>
        <v>0</v>
      </c>
      <c r="N47" s="100">
        <f>6+5+3+1+1+1+1</f>
        <v>18</v>
      </c>
      <c r="O47" s="81">
        <f>9370.6+9456.38+8868.69+5367.27+11572.62</f>
        <v>44635.560000000005</v>
      </c>
      <c r="P47" s="81">
        <f>9370.6+9456.38+8868.69+5367.27+11572.62</f>
        <v>44635.560000000005</v>
      </c>
      <c r="Q47" s="79">
        <f t="shared" si="2"/>
        <v>0</v>
      </c>
      <c r="R47" s="141"/>
    </row>
    <row r="48" spans="1:18" s="13" customFormat="1" x14ac:dyDescent="0.25">
      <c r="A48" s="229"/>
      <c r="B48" s="27" t="s">
        <v>148</v>
      </c>
      <c r="C48" s="181" t="s">
        <v>17</v>
      </c>
      <c r="D48" s="182"/>
      <c r="E48" s="194" t="s">
        <v>32</v>
      </c>
      <c r="F48" s="73" t="s">
        <v>425</v>
      </c>
      <c r="G48" s="230" t="s">
        <v>117</v>
      </c>
      <c r="H48" s="181">
        <v>11</v>
      </c>
      <c r="I48" s="231">
        <v>2</v>
      </c>
      <c r="J48" s="96">
        <v>2</v>
      </c>
      <c r="K48" s="77">
        <v>5760.1</v>
      </c>
      <c r="L48" s="77">
        <v>5760.1</v>
      </c>
      <c r="M48" s="187">
        <f t="shared" si="1"/>
        <v>0</v>
      </c>
      <c r="N48" s="100">
        <v>4</v>
      </c>
      <c r="O48" s="224">
        <v>12851.49</v>
      </c>
      <c r="P48" s="224">
        <v>12851.49</v>
      </c>
      <c r="Q48" s="232">
        <f t="shared" si="2"/>
        <v>0</v>
      </c>
    </row>
    <row r="49" spans="1:18" s="13" customFormat="1" x14ac:dyDescent="0.25">
      <c r="A49" s="229"/>
      <c r="B49" s="30" t="s">
        <v>42</v>
      </c>
      <c r="C49" s="181" t="s">
        <v>17</v>
      </c>
      <c r="D49" s="182"/>
      <c r="E49" s="183" t="s">
        <v>23</v>
      </c>
      <c r="F49" s="73" t="s">
        <v>341</v>
      </c>
      <c r="G49" s="74" t="s">
        <v>112</v>
      </c>
      <c r="H49" s="75">
        <v>36</v>
      </c>
      <c r="I49" s="76">
        <v>30</v>
      </c>
      <c r="J49" s="96">
        <f>5+3+5+3+8+3+8+5</f>
        <v>40</v>
      </c>
      <c r="K49" s="77">
        <f>7156.22+3849.11+8154.25+4149.36+15912.38+18649.91</f>
        <v>57871.229999999996</v>
      </c>
      <c r="L49" s="77">
        <f>7156.22+3849.11+8154.25+4149.36+15912.38+18649.91</f>
        <v>57871.229999999996</v>
      </c>
      <c r="M49" s="78">
        <f>K49-L49</f>
        <v>0</v>
      </c>
      <c r="N49" s="100">
        <f>4+6+9+2+4+2+2+3+3+2</f>
        <v>37</v>
      </c>
      <c r="O49" s="81">
        <f>5364.2+26170.88+2849.25+18965.6+9565.56+9423.5+18214.56</f>
        <v>90553.549999999988</v>
      </c>
      <c r="P49" s="81">
        <f>5364.2+26170.88+2849.25+18965.6+9565.56+9423.5+18214.56</f>
        <v>90553.549999999988</v>
      </c>
      <c r="Q49" s="79">
        <f t="shared" si="2"/>
        <v>0</v>
      </c>
      <c r="R49" s="141"/>
    </row>
    <row r="50" spans="1:18" s="13" customFormat="1" x14ac:dyDescent="0.25">
      <c r="A50" s="229"/>
      <c r="B50" s="30" t="s">
        <v>42</v>
      </c>
      <c r="C50" s="181" t="s">
        <v>17</v>
      </c>
      <c r="D50" s="182"/>
      <c r="E50" s="183" t="s">
        <v>23</v>
      </c>
      <c r="F50" s="73" t="s">
        <v>437</v>
      </c>
      <c r="G50" s="230" t="s">
        <v>118</v>
      </c>
      <c r="H50" s="181">
        <v>2</v>
      </c>
      <c r="I50" s="231"/>
      <c r="J50" s="96"/>
      <c r="K50" s="77"/>
      <c r="L50" s="77"/>
      <c r="M50" s="187">
        <f t="shared" si="1"/>
        <v>0</v>
      </c>
      <c r="N50" s="100">
        <v>1</v>
      </c>
      <c r="O50" s="224">
        <v>7766.4</v>
      </c>
      <c r="P50" s="224">
        <v>7766.4</v>
      </c>
      <c r="Q50" s="232">
        <f t="shared" si="2"/>
        <v>0</v>
      </c>
    </row>
    <row r="51" spans="1:18" s="13" customFormat="1" x14ac:dyDescent="0.25">
      <c r="A51" s="229"/>
      <c r="B51" s="30" t="s">
        <v>173</v>
      </c>
      <c r="C51" s="181" t="s">
        <v>17</v>
      </c>
      <c r="D51" s="182"/>
      <c r="E51" s="230" t="s">
        <v>118</v>
      </c>
      <c r="F51" s="73" t="s">
        <v>342</v>
      </c>
      <c r="G51" s="74" t="s">
        <v>112</v>
      </c>
      <c r="H51" s="75">
        <v>4</v>
      </c>
      <c r="I51" s="76">
        <v>4</v>
      </c>
      <c r="J51" s="96">
        <f>1+2+1</f>
        <v>4</v>
      </c>
      <c r="K51" s="77">
        <f>6833.76+696.36</f>
        <v>7530.12</v>
      </c>
      <c r="L51" s="77">
        <f>6833.76+696.36</f>
        <v>7530.12</v>
      </c>
      <c r="M51" s="78">
        <f>K51-L51</f>
        <v>0</v>
      </c>
      <c r="N51" s="100">
        <f>4+2</f>
        <v>6</v>
      </c>
      <c r="O51" s="81">
        <f>5931.9+4183.92+3158.95</f>
        <v>13274.77</v>
      </c>
      <c r="P51" s="81">
        <f>5931.9+4183.92+3158.95</f>
        <v>13274.77</v>
      </c>
      <c r="Q51" s="79">
        <f t="shared" si="2"/>
        <v>0</v>
      </c>
      <c r="R51" s="141"/>
    </row>
    <row r="52" spans="1:18" s="13" customFormat="1" x14ac:dyDescent="0.25">
      <c r="A52" s="229"/>
      <c r="B52" s="62" t="s">
        <v>143</v>
      </c>
      <c r="C52" s="181" t="s">
        <v>64</v>
      </c>
      <c r="D52" s="182" t="s">
        <v>444</v>
      </c>
      <c r="E52" s="183" t="s">
        <v>20</v>
      </c>
      <c r="F52" s="73" t="s">
        <v>445</v>
      </c>
      <c r="G52" s="230" t="s">
        <v>114</v>
      </c>
      <c r="H52" s="181">
        <v>20</v>
      </c>
      <c r="I52" s="234">
        <v>3</v>
      </c>
      <c r="J52" s="190">
        <v>3</v>
      </c>
      <c r="K52" s="193">
        <v>10823.5</v>
      </c>
      <c r="L52" s="193">
        <v>9418.6</v>
      </c>
      <c r="M52" s="187">
        <f t="shared" si="1"/>
        <v>1404.8999999999996</v>
      </c>
      <c r="N52" s="114">
        <v>18</v>
      </c>
      <c r="O52" s="224">
        <v>27390.400000000001</v>
      </c>
      <c r="P52" s="224">
        <v>27390.400000000001</v>
      </c>
      <c r="Q52" s="232">
        <f t="shared" si="2"/>
        <v>0</v>
      </c>
    </row>
    <row r="53" spans="1:18" s="13" customFormat="1" x14ac:dyDescent="0.25">
      <c r="A53" s="229"/>
      <c r="B53" s="30" t="s">
        <v>158</v>
      </c>
      <c r="C53" s="181" t="s">
        <v>17</v>
      </c>
      <c r="D53" s="182"/>
      <c r="E53" s="194" t="s">
        <v>32</v>
      </c>
      <c r="F53" s="73" t="s">
        <v>426</v>
      </c>
      <c r="G53" s="230" t="s">
        <v>117</v>
      </c>
      <c r="H53" s="181">
        <v>11</v>
      </c>
      <c r="I53" s="234">
        <v>5</v>
      </c>
      <c r="J53" s="190">
        <v>6</v>
      </c>
      <c r="K53" s="193">
        <v>10870.84</v>
      </c>
      <c r="L53" s="193">
        <v>10870.84</v>
      </c>
      <c r="M53" s="187">
        <f t="shared" si="1"/>
        <v>0</v>
      </c>
      <c r="N53" s="114">
        <v>5</v>
      </c>
      <c r="O53" s="224">
        <v>16813.7</v>
      </c>
      <c r="P53" s="224">
        <v>16813.7</v>
      </c>
      <c r="Q53" s="232">
        <f t="shared" si="2"/>
        <v>0</v>
      </c>
    </row>
    <row r="54" spans="1:18" s="15" customFormat="1" x14ac:dyDescent="0.25">
      <c r="A54" s="229"/>
      <c r="B54" s="62" t="s">
        <v>43</v>
      </c>
      <c r="C54" s="181" t="s">
        <v>17</v>
      </c>
      <c r="D54" s="182"/>
      <c r="E54" s="183" t="s">
        <v>18</v>
      </c>
      <c r="F54" s="73" t="s">
        <v>344</v>
      </c>
      <c r="G54" s="74" t="s">
        <v>112</v>
      </c>
      <c r="H54" s="75">
        <v>27</v>
      </c>
      <c r="I54" s="76">
        <v>19</v>
      </c>
      <c r="J54" s="96">
        <f>1+2+2+5+2+3+2+3+3</f>
        <v>23</v>
      </c>
      <c r="K54" s="77">
        <f>1776.93+926.88+3328.29+3172.19+9832.29</f>
        <v>19036.580000000002</v>
      </c>
      <c r="L54" s="77">
        <f>1776.93+926.88+3328.29+3172.19</f>
        <v>9204.2900000000009</v>
      </c>
      <c r="M54" s="78">
        <f>K54-L54</f>
        <v>9832.2900000000009</v>
      </c>
      <c r="N54" s="100">
        <f>1+5+4+1+1+1+1</f>
        <v>14</v>
      </c>
      <c r="O54" s="81">
        <f>1223.8+3810.29+4959.02+10043.87+2769.48+2146.91+11926.24-1465.64</f>
        <v>35413.97</v>
      </c>
      <c r="P54" s="81">
        <f>1223.8+3810.29+4959.02+10043.87+2769.48+2146.91+11926.24-1465.64</f>
        <v>35413.97</v>
      </c>
      <c r="Q54" s="79">
        <f t="shared" si="2"/>
        <v>0</v>
      </c>
      <c r="R54" s="141"/>
    </row>
    <row r="55" spans="1:18" s="15" customFormat="1" ht="30" x14ac:dyDescent="0.25">
      <c r="A55" s="229"/>
      <c r="B55" s="62" t="s">
        <v>43</v>
      </c>
      <c r="C55" s="181" t="s">
        <v>304</v>
      </c>
      <c r="D55" s="182" t="s">
        <v>473</v>
      </c>
      <c r="E55" s="183" t="s">
        <v>18</v>
      </c>
      <c r="F55" s="73" t="s">
        <v>323</v>
      </c>
      <c r="G55" s="230" t="s">
        <v>113</v>
      </c>
      <c r="H55" s="181">
        <v>23</v>
      </c>
      <c r="I55" s="234">
        <v>19</v>
      </c>
      <c r="J55" s="98">
        <v>20</v>
      </c>
      <c r="K55" s="77">
        <v>23018</v>
      </c>
      <c r="L55" s="77">
        <v>19054</v>
      </c>
      <c r="M55" s="187">
        <f t="shared" si="1"/>
        <v>3964</v>
      </c>
      <c r="N55" s="114">
        <v>18</v>
      </c>
      <c r="O55" s="224">
        <v>60535</v>
      </c>
      <c r="P55" s="224">
        <v>58327</v>
      </c>
      <c r="Q55" s="232">
        <f t="shared" si="2"/>
        <v>2208</v>
      </c>
    </row>
    <row r="56" spans="1:18" s="13" customFormat="1" x14ac:dyDescent="0.25">
      <c r="A56" s="229"/>
      <c r="B56" s="30" t="s">
        <v>44</v>
      </c>
      <c r="C56" s="181" t="s">
        <v>17</v>
      </c>
      <c r="D56" s="182"/>
      <c r="E56" s="183" t="s">
        <v>20</v>
      </c>
      <c r="F56" s="73" t="s">
        <v>345</v>
      </c>
      <c r="G56" s="74" t="s">
        <v>112</v>
      </c>
      <c r="H56" s="75">
        <v>13</v>
      </c>
      <c r="I56" s="76">
        <v>9</v>
      </c>
      <c r="J56" s="96">
        <f>1+1+1+4+2+1</f>
        <v>10</v>
      </c>
      <c r="K56" s="77">
        <f>2422.38+1267.86+15410.58+1534.35+708.47</f>
        <v>21343.64</v>
      </c>
      <c r="L56" s="77">
        <f>2422.38+1267.86+15410.58+1534.35+708.47</f>
        <v>21343.64</v>
      </c>
      <c r="M56" s="78">
        <f>K56-L56</f>
        <v>0</v>
      </c>
      <c r="N56" s="100">
        <f>1+11</f>
        <v>12</v>
      </c>
      <c r="O56" s="81">
        <f>421.62+4603.39+10559.77+72902.04</f>
        <v>88486.819999999992</v>
      </c>
      <c r="P56" s="81">
        <f>421.62+4603.39+10559.77+72902.04</f>
        <v>88486.819999999992</v>
      </c>
      <c r="Q56" s="79">
        <f t="shared" si="2"/>
        <v>0</v>
      </c>
      <c r="R56" s="141"/>
    </row>
    <row r="57" spans="1:18" s="13" customFormat="1" x14ac:dyDescent="0.25">
      <c r="A57" s="229"/>
      <c r="B57" s="30" t="s">
        <v>44</v>
      </c>
      <c r="C57" s="181" t="s">
        <v>17</v>
      </c>
      <c r="D57" s="182"/>
      <c r="E57" s="183" t="s">
        <v>20</v>
      </c>
      <c r="F57" s="73" t="s">
        <v>483</v>
      </c>
      <c r="G57" s="230" t="s">
        <v>114</v>
      </c>
      <c r="H57" s="181"/>
      <c r="I57" s="231"/>
      <c r="J57" s="190"/>
      <c r="K57" s="77"/>
      <c r="L57" s="77"/>
      <c r="M57" s="187">
        <f t="shared" si="1"/>
        <v>0</v>
      </c>
      <c r="N57" s="100">
        <v>2</v>
      </c>
      <c r="O57" s="224">
        <v>9934.7000000000007</v>
      </c>
      <c r="P57" s="224">
        <v>6723.5</v>
      </c>
      <c r="Q57" s="232">
        <f t="shared" si="2"/>
        <v>3211.2000000000007</v>
      </c>
    </row>
    <row r="58" spans="1:18" s="13" customFormat="1" x14ac:dyDescent="0.25">
      <c r="A58" s="229"/>
      <c r="B58" s="30" t="s">
        <v>492</v>
      </c>
      <c r="C58" s="181" t="s">
        <v>17</v>
      </c>
      <c r="D58" s="182"/>
      <c r="E58" s="183" t="s">
        <v>20</v>
      </c>
      <c r="F58" s="73" t="s">
        <v>499</v>
      </c>
      <c r="G58" s="230" t="s">
        <v>112</v>
      </c>
      <c r="H58" s="181">
        <v>10</v>
      </c>
      <c r="I58" s="231">
        <v>8</v>
      </c>
      <c r="J58" s="190">
        <f>1+8</f>
        <v>9</v>
      </c>
      <c r="K58" s="77">
        <f>1044.98+2096.62</f>
        <v>3141.6</v>
      </c>
      <c r="L58" s="77">
        <f>1044.98</f>
        <v>1044.98</v>
      </c>
      <c r="M58" s="78">
        <f t="shared" si="1"/>
        <v>2096.62</v>
      </c>
      <c r="N58" s="100"/>
      <c r="O58" s="224"/>
      <c r="P58" s="224"/>
      <c r="Q58" s="79">
        <f t="shared" si="2"/>
        <v>0</v>
      </c>
    </row>
    <row r="59" spans="1:18" s="13" customFormat="1" x14ac:dyDescent="0.25">
      <c r="A59" s="229"/>
      <c r="B59" s="27" t="s">
        <v>45</v>
      </c>
      <c r="C59" s="181" t="s">
        <v>17</v>
      </c>
      <c r="D59" s="182"/>
      <c r="E59" s="183" t="s">
        <v>20</v>
      </c>
      <c r="F59" s="73" t="s">
        <v>346</v>
      </c>
      <c r="G59" s="74" t="s">
        <v>112</v>
      </c>
      <c r="H59" s="75"/>
      <c r="I59" s="76"/>
      <c r="J59" s="96"/>
      <c r="K59" s="77"/>
      <c r="L59" s="77"/>
      <c r="M59" s="78">
        <f t="shared" si="1"/>
        <v>0</v>
      </c>
      <c r="N59" s="100">
        <f>1</f>
        <v>1</v>
      </c>
      <c r="O59" s="81">
        <f>17995.91+2729.8</f>
        <v>20725.71</v>
      </c>
      <c r="P59" s="81">
        <f>17995.91+2729.8</f>
        <v>20725.71</v>
      </c>
      <c r="Q59" s="79">
        <f t="shared" si="2"/>
        <v>0</v>
      </c>
      <c r="R59" s="141"/>
    </row>
    <row r="60" spans="1:18" s="13" customFormat="1" x14ac:dyDescent="0.25">
      <c r="A60" s="229"/>
      <c r="B60" s="27" t="s">
        <v>45</v>
      </c>
      <c r="C60" s="181" t="s">
        <v>17</v>
      </c>
      <c r="D60" s="182"/>
      <c r="E60" s="183" t="s">
        <v>20</v>
      </c>
      <c r="F60" s="73" t="s">
        <v>484</v>
      </c>
      <c r="G60" s="230" t="s">
        <v>114</v>
      </c>
      <c r="H60" s="181"/>
      <c r="I60" s="231"/>
      <c r="J60" s="190"/>
      <c r="K60" s="77"/>
      <c r="L60" s="77"/>
      <c r="M60" s="187">
        <f t="shared" si="1"/>
        <v>0</v>
      </c>
      <c r="N60" s="100"/>
      <c r="O60" s="224"/>
      <c r="P60" s="224"/>
      <c r="Q60" s="232">
        <f t="shared" si="2"/>
        <v>0</v>
      </c>
    </row>
    <row r="61" spans="1:18" s="15" customFormat="1" x14ac:dyDescent="0.25">
      <c r="A61" s="229"/>
      <c r="B61" s="27" t="s">
        <v>46</v>
      </c>
      <c r="C61" s="181" t="s">
        <v>17</v>
      </c>
      <c r="D61" s="182"/>
      <c r="E61" s="183" t="s">
        <v>20</v>
      </c>
      <c r="F61" s="73" t="s">
        <v>347</v>
      </c>
      <c r="G61" s="74" t="s">
        <v>112</v>
      </c>
      <c r="H61" s="75">
        <v>18</v>
      </c>
      <c r="I61" s="76">
        <v>15</v>
      </c>
      <c r="J61" s="96">
        <f>1+2+3+2+4+1+4+2+1+5</f>
        <v>25</v>
      </c>
      <c r="K61" s="77">
        <f>1045.98+1068.08+8157.32+1778.85+9152.67+11156.63+11271.63+1490.2</f>
        <v>45121.359999999993</v>
      </c>
      <c r="L61" s="77">
        <f>1045.98+1068.08+8157.32+1778.85+9152.67+11156.63+11271.63+1490.2</f>
        <v>45121.359999999993</v>
      </c>
      <c r="M61" s="78">
        <f>K61-L61</f>
        <v>0</v>
      </c>
      <c r="N61" s="100">
        <f>4+4+1+1+1</f>
        <v>11</v>
      </c>
      <c r="O61" s="81">
        <f>10759.2+10685.34+7362.04</f>
        <v>28806.58</v>
      </c>
      <c r="P61" s="81">
        <f>10759.2+10685.34+7362.04</f>
        <v>28806.58</v>
      </c>
      <c r="Q61" s="79">
        <f t="shared" si="2"/>
        <v>0</v>
      </c>
      <c r="R61" s="141"/>
    </row>
    <row r="62" spans="1:18" s="15" customFormat="1" x14ac:dyDescent="0.25">
      <c r="A62" s="229"/>
      <c r="B62" s="27" t="s">
        <v>46</v>
      </c>
      <c r="C62" s="181" t="s">
        <v>17</v>
      </c>
      <c r="D62" s="182"/>
      <c r="E62" s="183" t="s">
        <v>20</v>
      </c>
      <c r="F62" s="73" t="s">
        <v>273</v>
      </c>
      <c r="G62" s="230" t="s">
        <v>114</v>
      </c>
      <c r="H62" s="181">
        <v>4</v>
      </c>
      <c r="I62" s="231">
        <v>1</v>
      </c>
      <c r="J62" s="190">
        <v>1</v>
      </c>
      <c r="K62" s="77">
        <v>576.29999999999995</v>
      </c>
      <c r="L62" s="77">
        <v>576.29999999999995</v>
      </c>
      <c r="M62" s="187">
        <f t="shared" si="1"/>
        <v>0</v>
      </c>
      <c r="N62" s="100">
        <v>3</v>
      </c>
      <c r="O62" s="224">
        <v>9356.9</v>
      </c>
      <c r="P62" s="224">
        <v>9356.9</v>
      </c>
      <c r="Q62" s="232">
        <f t="shared" si="2"/>
        <v>0</v>
      </c>
    </row>
    <row r="63" spans="1:18" s="13" customFormat="1" ht="45" x14ac:dyDescent="0.25">
      <c r="A63" s="229"/>
      <c r="B63" s="30" t="s">
        <v>47</v>
      </c>
      <c r="C63" s="181" t="s">
        <v>304</v>
      </c>
      <c r="D63" s="182" t="s">
        <v>474</v>
      </c>
      <c r="E63" s="183" t="s">
        <v>18</v>
      </c>
      <c r="F63" s="73" t="s">
        <v>348</v>
      </c>
      <c r="G63" s="74" t="s">
        <v>112</v>
      </c>
      <c r="H63" s="75">
        <v>47</v>
      </c>
      <c r="I63" s="76">
        <v>37</v>
      </c>
      <c r="J63" s="98">
        <f>1+1+3+21+7+2+5+2+7+15+14</f>
        <v>78</v>
      </c>
      <c r="K63" s="77">
        <f>30728.27+19236.99+22614.7+52735.68</f>
        <v>125315.64000000001</v>
      </c>
      <c r="L63" s="77">
        <f>30728.27+19236.99+22614.7</f>
        <v>72579.960000000006</v>
      </c>
      <c r="M63" s="78">
        <f>K63-L63</f>
        <v>52735.680000000008</v>
      </c>
      <c r="N63" s="100">
        <f>7+3+4+10+6+1+2+1+3+2</f>
        <v>39</v>
      </c>
      <c r="O63" s="81">
        <f>8477.51+15159.83+14079.46+15414.2+17995.91+2065.56+1859.53+9543.86+1728.53+14526.84</f>
        <v>100851.23</v>
      </c>
      <c r="P63" s="81">
        <f>8477.51+15159.83+14079.46+15414.2+17995.91+2065.56+1859.53+9543.86+1728.53+14526.84</f>
        <v>100851.23</v>
      </c>
      <c r="Q63" s="79">
        <f t="shared" si="2"/>
        <v>0</v>
      </c>
      <c r="R63" s="141"/>
    </row>
    <row r="64" spans="1:18" s="13" customFormat="1" ht="45" x14ac:dyDescent="0.25">
      <c r="A64" s="229"/>
      <c r="B64" s="62" t="s">
        <v>120</v>
      </c>
      <c r="C64" s="181" t="s">
        <v>304</v>
      </c>
      <c r="D64" s="182" t="s">
        <v>474</v>
      </c>
      <c r="E64" s="183" t="s">
        <v>18</v>
      </c>
      <c r="F64" s="73" t="s">
        <v>334</v>
      </c>
      <c r="G64" s="230" t="s">
        <v>116</v>
      </c>
      <c r="H64" s="181">
        <v>28</v>
      </c>
      <c r="I64" s="234">
        <v>17</v>
      </c>
      <c r="J64" s="98">
        <v>18</v>
      </c>
      <c r="K64" s="77">
        <v>28482</v>
      </c>
      <c r="L64" s="77">
        <v>23264</v>
      </c>
      <c r="M64" s="78">
        <f t="shared" si="1"/>
        <v>5218</v>
      </c>
      <c r="N64" s="100">
        <v>15</v>
      </c>
      <c r="O64" s="224">
        <v>60831</v>
      </c>
      <c r="P64" s="224">
        <v>58623</v>
      </c>
      <c r="Q64" s="232">
        <f t="shared" si="2"/>
        <v>2208</v>
      </c>
    </row>
    <row r="65" spans="1:18" s="13" customFormat="1" x14ac:dyDescent="0.25">
      <c r="A65" s="229"/>
      <c r="B65" s="30" t="s">
        <v>134</v>
      </c>
      <c r="C65" s="181" t="s">
        <v>17</v>
      </c>
      <c r="D65" s="182"/>
      <c r="E65" s="183" t="s">
        <v>20</v>
      </c>
      <c r="F65" s="73" t="s">
        <v>349</v>
      </c>
      <c r="G65" s="74" t="s">
        <v>112</v>
      </c>
      <c r="H65" s="75">
        <v>20</v>
      </c>
      <c r="I65" s="76">
        <v>19</v>
      </c>
      <c r="J65" s="96">
        <f>1+4+1+1+2+1+1+7+1</f>
        <v>19</v>
      </c>
      <c r="K65" s="77">
        <f>7301.48+1473.89+1911.09+1690.48+845.24+6268.51+441.51+1983.45+3361.83</f>
        <v>25277.479999999996</v>
      </c>
      <c r="L65" s="77">
        <f>7301.48+1473.89+1911.09+1690.48+845.24+6268.51+441.51+1983.45</f>
        <v>21915.649999999998</v>
      </c>
      <c r="M65" s="78">
        <f>K65-L65</f>
        <v>3361.8299999999981</v>
      </c>
      <c r="N65" s="100">
        <f>4+1+1+1+1</f>
        <v>8</v>
      </c>
      <c r="O65" s="81">
        <f>5020.05+3215.31+12312.39+4648.82+32425.98+7889.42</f>
        <v>65511.97</v>
      </c>
      <c r="P65" s="81">
        <f>5020.05+3215.31+12312.39+4648.82+32425.98+7889.42</f>
        <v>65511.97</v>
      </c>
      <c r="Q65" s="79">
        <f t="shared" si="2"/>
        <v>0</v>
      </c>
      <c r="R65" s="141"/>
    </row>
    <row r="66" spans="1:18" s="13" customFormat="1" x14ac:dyDescent="0.25">
      <c r="A66" s="229"/>
      <c r="B66" s="30" t="s">
        <v>134</v>
      </c>
      <c r="C66" s="181" t="s">
        <v>17</v>
      </c>
      <c r="D66" s="182"/>
      <c r="E66" s="183" t="s">
        <v>20</v>
      </c>
      <c r="F66" s="73" t="s">
        <v>456</v>
      </c>
      <c r="G66" s="230" t="s">
        <v>114</v>
      </c>
      <c r="H66" s="181">
        <v>20</v>
      </c>
      <c r="I66" s="231">
        <v>5</v>
      </c>
      <c r="J66" s="190">
        <v>5</v>
      </c>
      <c r="K66" s="77">
        <v>13769.22</v>
      </c>
      <c r="L66" s="77">
        <v>10236.9</v>
      </c>
      <c r="M66" s="187">
        <f t="shared" si="1"/>
        <v>3532.3199999999997</v>
      </c>
      <c r="N66" s="100">
        <v>27</v>
      </c>
      <c r="O66" s="224">
        <v>61494.8</v>
      </c>
      <c r="P66" s="224">
        <v>61494.8</v>
      </c>
      <c r="Q66" s="232">
        <f t="shared" si="2"/>
        <v>0</v>
      </c>
    </row>
    <row r="67" spans="1:18" s="13" customFormat="1" x14ac:dyDescent="0.25">
      <c r="A67" s="229"/>
      <c r="B67" s="62" t="s">
        <v>48</v>
      </c>
      <c r="C67" s="181" t="s">
        <v>17</v>
      </c>
      <c r="D67" s="182"/>
      <c r="E67" s="183" t="s">
        <v>20</v>
      </c>
      <c r="F67" s="73" t="s">
        <v>350</v>
      </c>
      <c r="G67" s="74" t="s">
        <v>112</v>
      </c>
      <c r="H67" s="75">
        <v>15</v>
      </c>
      <c r="I67" s="76">
        <v>11</v>
      </c>
      <c r="J67" s="96">
        <f>1+1+2+1+3+2</f>
        <v>10</v>
      </c>
      <c r="K67" s="77">
        <f>4805.96+2585.78+3065.92+2588.55+14407.5+9289.05+3030.73</f>
        <v>39773.49</v>
      </c>
      <c r="L67" s="77">
        <f>4805.96+2585.78+3065.92+2588.55+14407.5+9289.05</f>
        <v>36742.759999999995</v>
      </c>
      <c r="M67" s="78">
        <f t="shared" si="1"/>
        <v>3030.7300000000032</v>
      </c>
      <c r="N67" s="100">
        <f>2+1+2+1</f>
        <v>6</v>
      </c>
      <c r="O67" s="81">
        <f>23174.33+2535.72+11633.02+6993.42+20756.4</f>
        <v>65092.890000000007</v>
      </c>
      <c r="P67" s="81">
        <f>23174.33+2535.72+11633.02+6993.42+20756.4</f>
        <v>65092.890000000007</v>
      </c>
      <c r="Q67" s="79">
        <f t="shared" si="2"/>
        <v>0</v>
      </c>
      <c r="R67" s="141"/>
    </row>
    <row r="68" spans="1:18" s="13" customFormat="1" x14ac:dyDescent="0.25">
      <c r="A68" s="229"/>
      <c r="B68" s="62" t="s">
        <v>49</v>
      </c>
      <c r="C68" s="181" t="s">
        <v>17</v>
      </c>
      <c r="D68" s="182"/>
      <c r="E68" s="183" t="s">
        <v>50</v>
      </c>
      <c r="F68" s="73" t="s">
        <v>351</v>
      </c>
      <c r="G68" s="74" t="s">
        <v>112</v>
      </c>
      <c r="H68" s="75">
        <v>28</v>
      </c>
      <c r="I68" s="76">
        <v>18</v>
      </c>
      <c r="J68" s="96">
        <f>1+4+8+6+5</f>
        <v>24</v>
      </c>
      <c r="K68" s="77">
        <f>525.65+1267.86+6544.72+13939.57+1896.54+9712.48</f>
        <v>33886.82</v>
      </c>
      <c r="L68" s="77">
        <f>525.65+1267.86+6544.72+13939.57+1896.54+9712.48</f>
        <v>33886.82</v>
      </c>
      <c r="M68" s="78">
        <f t="shared" si="1"/>
        <v>0</v>
      </c>
      <c r="N68" s="100">
        <f>5+1+3+1+1</f>
        <v>11</v>
      </c>
      <c r="O68" s="81">
        <f>7374+1806.93+7275.53+4666.9+2684.03+6682.03</f>
        <v>30489.42</v>
      </c>
      <c r="P68" s="81">
        <f>7374+1806.93+7275.53+4666.9+2684.03+6682.03</f>
        <v>30489.42</v>
      </c>
      <c r="Q68" s="232">
        <f t="shared" si="2"/>
        <v>0</v>
      </c>
      <c r="R68" s="141"/>
    </row>
    <row r="69" spans="1:18" s="13" customFormat="1" x14ac:dyDescent="0.25">
      <c r="A69" s="229"/>
      <c r="B69" s="62" t="s">
        <v>49</v>
      </c>
      <c r="C69" s="181" t="s">
        <v>17</v>
      </c>
      <c r="D69" s="182"/>
      <c r="E69" s="183" t="s">
        <v>50</v>
      </c>
      <c r="F69" s="73" t="s">
        <v>427</v>
      </c>
      <c r="G69" s="230" t="s">
        <v>115</v>
      </c>
      <c r="H69" s="181">
        <v>14</v>
      </c>
      <c r="I69" s="231">
        <v>6</v>
      </c>
      <c r="J69" s="96">
        <v>6</v>
      </c>
      <c r="K69" s="77">
        <v>9320.93</v>
      </c>
      <c r="L69" s="77">
        <v>9320.93</v>
      </c>
      <c r="M69" s="187">
        <f t="shared" si="1"/>
        <v>0</v>
      </c>
      <c r="N69" s="100">
        <v>10</v>
      </c>
      <c r="O69" s="224">
        <v>17660.3</v>
      </c>
      <c r="P69" s="224">
        <v>17660.3</v>
      </c>
      <c r="Q69" s="79">
        <f t="shared" si="2"/>
        <v>0</v>
      </c>
    </row>
    <row r="70" spans="1:18" s="13" customFormat="1" x14ac:dyDescent="0.25">
      <c r="A70" s="229"/>
      <c r="B70" s="27" t="s">
        <v>51</v>
      </c>
      <c r="C70" s="181" t="s">
        <v>17</v>
      </c>
      <c r="D70" s="182"/>
      <c r="E70" s="183" t="s">
        <v>20</v>
      </c>
      <c r="F70" s="73" t="s">
        <v>186</v>
      </c>
      <c r="G70" s="74" t="s">
        <v>112</v>
      </c>
      <c r="H70" s="75"/>
      <c r="I70" s="76"/>
      <c r="J70" s="96"/>
      <c r="K70" s="77"/>
      <c r="L70" s="77"/>
      <c r="M70" s="78">
        <f>K70-L70</f>
        <v>0</v>
      </c>
      <c r="N70" s="100">
        <f>1</f>
        <v>1</v>
      </c>
      <c r="O70" s="81">
        <v>2451.87</v>
      </c>
      <c r="P70" s="81">
        <v>2451.87</v>
      </c>
      <c r="Q70" s="232">
        <f t="shared" si="2"/>
        <v>0</v>
      </c>
      <c r="R70" s="141"/>
    </row>
    <row r="71" spans="1:18" s="13" customFormat="1" x14ac:dyDescent="0.25">
      <c r="A71" s="229"/>
      <c r="B71" s="27" t="s">
        <v>51</v>
      </c>
      <c r="C71" s="181" t="s">
        <v>17</v>
      </c>
      <c r="D71" s="182"/>
      <c r="E71" s="183" t="s">
        <v>20</v>
      </c>
      <c r="F71" s="73" t="s">
        <v>276</v>
      </c>
      <c r="G71" s="230" t="s">
        <v>114</v>
      </c>
      <c r="H71" s="181"/>
      <c r="I71" s="231"/>
      <c r="J71" s="190"/>
      <c r="K71" s="77"/>
      <c r="L71" s="77"/>
      <c r="M71" s="187">
        <f t="shared" si="1"/>
        <v>0</v>
      </c>
      <c r="N71" s="100">
        <v>3</v>
      </c>
      <c r="O71" s="224">
        <v>6763.6</v>
      </c>
      <c r="P71" s="224">
        <v>6763.6</v>
      </c>
      <c r="Q71" s="232">
        <f t="shared" si="2"/>
        <v>0</v>
      </c>
    </row>
    <row r="72" spans="1:18" s="13" customFormat="1" x14ac:dyDescent="0.25">
      <c r="A72" s="229"/>
      <c r="B72" s="62" t="s">
        <v>52</v>
      </c>
      <c r="C72" s="181" t="s">
        <v>17</v>
      </c>
      <c r="D72" s="182"/>
      <c r="E72" s="183" t="s">
        <v>20</v>
      </c>
      <c r="F72" s="73" t="s">
        <v>352</v>
      </c>
      <c r="G72" s="74" t="s">
        <v>112</v>
      </c>
      <c r="H72" s="75">
        <v>14</v>
      </c>
      <c r="I72" s="76">
        <v>9</v>
      </c>
      <c r="J72" s="96">
        <f>1+1+1+1+2+3+1+1+1</f>
        <v>12</v>
      </c>
      <c r="K72" s="77">
        <f>10714.2+2747.14+2138.07+6709.4+7033.21+883.08</f>
        <v>30225.1</v>
      </c>
      <c r="L72" s="77">
        <f>10714.2+2747.14+2138.07+6709.4+7033.21</f>
        <v>29342.019999999997</v>
      </c>
      <c r="M72" s="78">
        <f>K72-L72</f>
        <v>883.08000000000175</v>
      </c>
      <c r="N72" s="100">
        <f>4+3+1+1+2+3+1+1</f>
        <v>16</v>
      </c>
      <c r="O72" s="81">
        <f>5977.15+48296.91+7596.86+1061.83+8902.9+6856.31+2935.36</f>
        <v>81627.320000000007</v>
      </c>
      <c r="P72" s="81">
        <f>5977.15+48296.91+7596.86+1061.83+8902.9+6856.31+2935.36</f>
        <v>81627.320000000007</v>
      </c>
      <c r="Q72" s="232">
        <f t="shared" si="2"/>
        <v>0</v>
      </c>
      <c r="R72" s="141"/>
    </row>
    <row r="73" spans="1:18" s="13" customFormat="1" x14ac:dyDescent="0.25">
      <c r="A73" s="229"/>
      <c r="B73" s="62" t="s">
        <v>52</v>
      </c>
      <c r="C73" s="181" t="s">
        <v>17</v>
      </c>
      <c r="D73" s="182"/>
      <c r="E73" s="183" t="s">
        <v>20</v>
      </c>
      <c r="F73" s="73" t="s">
        <v>457</v>
      </c>
      <c r="G73" s="230" t="s">
        <v>114</v>
      </c>
      <c r="H73" s="181">
        <v>13</v>
      </c>
      <c r="I73" s="231">
        <v>4</v>
      </c>
      <c r="J73" s="190">
        <v>4</v>
      </c>
      <c r="K73" s="77">
        <v>11041.4</v>
      </c>
      <c r="L73" s="77">
        <v>11041.4</v>
      </c>
      <c r="M73" s="187">
        <f t="shared" si="1"/>
        <v>0</v>
      </c>
      <c r="N73" s="100">
        <v>20</v>
      </c>
      <c r="O73" s="264">
        <v>53970.82</v>
      </c>
      <c r="P73" s="224">
        <v>52565.919999999998</v>
      </c>
      <c r="Q73" s="232">
        <f t="shared" si="2"/>
        <v>1404.9000000000015</v>
      </c>
    </row>
    <row r="74" spans="1:18" s="13" customFormat="1" x14ac:dyDescent="0.25">
      <c r="A74" s="229"/>
      <c r="B74" s="27" t="s">
        <v>53</v>
      </c>
      <c r="C74" s="181" t="s">
        <v>17</v>
      </c>
      <c r="D74" s="182"/>
      <c r="E74" s="183" t="s">
        <v>20</v>
      </c>
      <c r="F74" s="73" t="s">
        <v>353</v>
      </c>
      <c r="G74" s="74" t="s">
        <v>112</v>
      </c>
      <c r="H74" s="75">
        <v>11</v>
      </c>
      <c r="I74" s="76">
        <v>8</v>
      </c>
      <c r="J74" s="96">
        <f>2+2+2+1+2</f>
        <v>9</v>
      </c>
      <c r="K74" s="77">
        <f>3655.66+6862.24+2535.72+3550.85</f>
        <v>16604.469999999998</v>
      </c>
      <c r="L74" s="77">
        <f>3655.66+6862.24+2535.72</f>
        <v>13053.619999999999</v>
      </c>
      <c r="M74" s="78">
        <f t="shared" si="1"/>
        <v>3550.8499999999985</v>
      </c>
      <c r="N74" s="100">
        <f>1+2+2+1+1+1</f>
        <v>8</v>
      </c>
      <c r="O74" s="81">
        <f>1743.3+3921.71+422.62+5626.45+37901.04</f>
        <v>49615.12</v>
      </c>
      <c r="P74" s="81">
        <f>1743.3+3921.71+422.62+5626.45+37901.04</f>
        <v>49615.12</v>
      </c>
      <c r="Q74" s="232">
        <f t="shared" si="2"/>
        <v>0</v>
      </c>
      <c r="R74" s="141"/>
    </row>
    <row r="75" spans="1:18" s="13" customFormat="1" x14ac:dyDescent="0.25">
      <c r="A75" s="229"/>
      <c r="B75" s="27" t="s">
        <v>149</v>
      </c>
      <c r="C75" s="181" t="s">
        <v>17</v>
      </c>
      <c r="D75" s="182"/>
      <c r="E75" s="183" t="s">
        <v>383</v>
      </c>
      <c r="F75" s="73" t="s">
        <v>354</v>
      </c>
      <c r="G75" s="74" t="s">
        <v>112</v>
      </c>
      <c r="H75" s="75">
        <v>39</v>
      </c>
      <c r="I75" s="76">
        <v>9</v>
      </c>
      <c r="J75" s="96">
        <f>7+3</f>
        <v>10</v>
      </c>
      <c r="K75" s="77">
        <f>7743.07+4386.1</f>
        <v>12129.17</v>
      </c>
      <c r="L75" s="77">
        <f>7743.07+4386.1</f>
        <v>12129.17</v>
      </c>
      <c r="M75" s="78">
        <f t="shared" si="1"/>
        <v>0</v>
      </c>
      <c r="N75" s="100">
        <f>2+2+2</f>
        <v>6</v>
      </c>
      <c r="O75" s="81">
        <f>3676.8+3431.65+6320.35</f>
        <v>13428.800000000001</v>
      </c>
      <c r="P75" s="81">
        <f>3676.8+3431.65+6320.35</f>
        <v>13428.800000000001</v>
      </c>
      <c r="Q75" s="79">
        <f t="shared" si="2"/>
        <v>0</v>
      </c>
      <c r="R75" s="141"/>
    </row>
    <row r="76" spans="1:18" s="13" customFormat="1" x14ac:dyDescent="0.25">
      <c r="A76" s="229"/>
      <c r="B76" s="27" t="s">
        <v>149</v>
      </c>
      <c r="C76" s="181" t="s">
        <v>17</v>
      </c>
      <c r="D76" s="182"/>
      <c r="E76" s="183" t="s">
        <v>383</v>
      </c>
      <c r="F76" s="73" t="s">
        <v>438</v>
      </c>
      <c r="G76" s="230" t="s">
        <v>118</v>
      </c>
      <c r="H76" s="181">
        <v>15</v>
      </c>
      <c r="I76" s="234">
        <v>1</v>
      </c>
      <c r="J76" s="190">
        <v>1</v>
      </c>
      <c r="K76" s="193">
        <v>576.29999999999995</v>
      </c>
      <c r="L76" s="193">
        <v>576.29999999999995</v>
      </c>
      <c r="M76" s="78">
        <f t="shared" si="1"/>
        <v>0</v>
      </c>
      <c r="N76" s="114">
        <v>7</v>
      </c>
      <c r="O76" s="224">
        <v>9835.52</v>
      </c>
      <c r="P76" s="224">
        <v>9835.52</v>
      </c>
      <c r="Q76" s="232">
        <f t="shared" si="2"/>
        <v>0</v>
      </c>
    </row>
    <row r="77" spans="1:18" s="13" customFormat="1" x14ac:dyDescent="0.25">
      <c r="A77" s="229"/>
      <c r="B77" s="62" t="s">
        <v>107</v>
      </c>
      <c r="C77" s="181" t="s">
        <v>17</v>
      </c>
      <c r="D77" s="182"/>
      <c r="E77" s="194" t="s">
        <v>20</v>
      </c>
      <c r="F77" s="73" t="s">
        <v>355</v>
      </c>
      <c r="G77" s="74" t="s">
        <v>112</v>
      </c>
      <c r="H77" s="75">
        <v>12</v>
      </c>
      <c r="I77" s="76">
        <v>8</v>
      </c>
      <c r="J77" s="96">
        <f>1+3+3+2+1</f>
        <v>10</v>
      </c>
      <c r="K77" s="77">
        <f>666.63+7071.2+5333.38+13316.37+23091.24+4686.95+2216.53</f>
        <v>56382.3</v>
      </c>
      <c r="L77" s="77">
        <f>666.63+7071.2+5333.38+13316.37+23091.24+4686.95+2216.53</f>
        <v>56382.3</v>
      </c>
      <c r="M77" s="78">
        <f t="shared" si="1"/>
        <v>0</v>
      </c>
      <c r="N77" s="100">
        <f>2+6+1+1+2</f>
        <v>12</v>
      </c>
      <c r="O77" s="81">
        <f>7612.92+18804.48+9163.33+3260.98+6297.63</f>
        <v>45139.340000000004</v>
      </c>
      <c r="P77" s="81">
        <f>7612.92+18804.48+9163.33+3260.98+6297.63</f>
        <v>45139.340000000004</v>
      </c>
      <c r="Q77" s="79">
        <f t="shared" si="2"/>
        <v>0</v>
      </c>
      <c r="R77" s="141"/>
    </row>
    <row r="78" spans="1:18" s="13" customFormat="1" x14ac:dyDescent="0.25">
      <c r="A78" s="229"/>
      <c r="B78" s="30" t="s">
        <v>54</v>
      </c>
      <c r="C78" s="181" t="s">
        <v>17</v>
      </c>
      <c r="D78" s="182"/>
      <c r="E78" s="194" t="s">
        <v>20</v>
      </c>
      <c r="F78" s="73" t="s">
        <v>356</v>
      </c>
      <c r="G78" s="74" t="s">
        <v>112</v>
      </c>
      <c r="H78" s="75"/>
      <c r="I78" s="76"/>
      <c r="J78" s="96"/>
      <c r="K78" s="77">
        <f>9075.37</f>
        <v>9075.3700000000008</v>
      </c>
      <c r="L78" s="77">
        <f>9075.37</f>
        <v>9075.3700000000008</v>
      </c>
      <c r="M78" s="78">
        <f t="shared" si="1"/>
        <v>0</v>
      </c>
      <c r="N78" s="100">
        <f>4+1+1+2+1</f>
        <v>9</v>
      </c>
      <c r="O78" s="81">
        <f>17895.28+17443.73+5473.41+2994.97</f>
        <v>43807.39</v>
      </c>
      <c r="P78" s="81">
        <f>17895.28+17443.73+5473.41</f>
        <v>40812.42</v>
      </c>
      <c r="Q78" s="79">
        <f t="shared" si="2"/>
        <v>2994.9700000000012</v>
      </c>
      <c r="R78" s="141"/>
    </row>
    <row r="79" spans="1:18" s="13" customFormat="1" ht="30" x14ac:dyDescent="0.25">
      <c r="A79" s="229"/>
      <c r="B79" s="27" t="s">
        <v>55</v>
      </c>
      <c r="C79" s="181" t="s">
        <v>304</v>
      </c>
      <c r="D79" s="182" t="s">
        <v>387</v>
      </c>
      <c r="E79" s="183" t="s">
        <v>20</v>
      </c>
      <c r="F79" s="73" t="s">
        <v>357</v>
      </c>
      <c r="G79" s="74" t="s">
        <v>112</v>
      </c>
      <c r="H79" s="75">
        <v>21</v>
      </c>
      <c r="I79" s="76">
        <v>12</v>
      </c>
      <c r="J79" s="96">
        <f>3+1+1+2+1+1+1</f>
        <v>10</v>
      </c>
      <c r="K79" s="77">
        <f>1267.86+6667.8+5756.15+1180.38+4780.37+4352.43+2850.42+2493.42</f>
        <v>29348.829999999994</v>
      </c>
      <c r="L79" s="77">
        <f>1267.86+6667.8+5756.15+1180.38+4780.37+4352.43+2850.42+2493.42</f>
        <v>29348.829999999994</v>
      </c>
      <c r="M79" s="78">
        <f t="shared" si="1"/>
        <v>0</v>
      </c>
      <c r="N79" s="100">
        <f>2+1+2+2+2+1+2+1</f>
        <v>13</v>
      </c>
      <c r="O79" s="81">
        <f>34854.19+2113.1+6430.67+5463.42+39145.22+2535.72+5132.44+12985.86</f>
        <v>108660.62000000001</v>
      </c>
      <c r="P79" s="81">
        <f>34854.19+2113.1+6430.67+5463.42+39145.22+2535.72+5132.44+12985.86</f>
        <v>108660.62000000001</v>
      </c>
      <c r="Q79" s="232">
        <f t="shared" si="2"/>
        <v>0</v>
      </c>
      <c r="R79" s="141"/>
    </row>
    <row r="80" spans="1:18" s="13" customFormat="1" ht="30" x14ac:dyDescent="0.25">
      <c r="A80" s="229"/>
      <c r="B80" s="62" t="s">
        <v>56</v>
      </c>
      <c r="C80" s="181" t="s">
        <v>17</v>
      </c>
      <c r="D80" s="182" t="s">
        <v>386</v>
      </c>
      <c r="E80" s="183" t="s">
        <v>18</v>
      </c>
      <c r="F80" s="73" t="s">
        <v>358</v>
      </c>
      <c r="G80" s="74" t="s">
        <v>112</v>
      </c>
      <c r="H80" s="75">
        <v>12</v>
      </c>
      <c r="I80" s="76">
        <v>6</v>
      </c>
      <c r="J80" s="96">
        <f>1+1+2+2</f>
        <v>6</v>
      </c>
      <c r="K80" s="77">
        <f>678.11+678.11+4865.7+5265.72</f>
        <v>11487.64</v>
      </c>
      <c r="L80" s="77">
        <f>678.11+678.11+4865.7</f>
        <v>6221.92</v>
      </c>
      <c r="M80" s="78">
        <f t="shared" si="1"/>
        <v>5265.7199999999993</v>
      </c>
      <c r="N80" s="100">
        <f>1</f>
        <v>1</v>
      </c>
      <c r="O80" s="81">
        <f>4395.5</f>
        <v>4395.5</v>
      </c>
      <c r="P80" s="81">
        <f>4395.5</f>
        <v>4395.5</v>
      </c>
      <c r="Q80" s="79">
        <f t="shared" si="2"/>
        <v>0</v>
      </c>
      <c r="R80" s="141"/>
    </row>
    <row r="81" spans="1:18" s="13" customFormat="1" ht="30" x14ac:dyDescent="0.25">
      <c r="A81" s="229"/>
      <c r="B81" s="62" t="s">
        <v>56</v>
      </c>
      <c r="C81" s="181" t="s">
        <v>304</v>
      </c>
      <c r="D81" s="182" t="s">
        <v>386</v>
      </c>
      <c r="E81" s="183" t="s">
        <v>18</v>
      </c>
      <c r="F81" s="73" t="s">
        <v>476</v>
      </c>
      <c r="G81" s="230" t="s">
        <v>113</v>
      </c>
      <c r="H81" s="181">
        <v>11</v>
      </c>
      <c r="I81" s="231">
        <v>6</v>
      </c>
      <c r="J81" s="96">
        <v>6</v>
      </c>
      <c r="K81" s="77">
        <v>11288</v>
      </c>
      <c r="L81" s="77">
        <v>11288</v>
      </c>
      <c r="M81" s="78">
        <f t="shared" si="1"/>
        <v>0</v>
      </c>
      <c r="N81" s="100"/>
      <c r="O81" s="224">
        <v>7612</v>
      </c>
      <c r="P81" s="224">
        <v>7612</v>
      </c>
      <c r="Q81" s="232">
        <f t="shared" ref="Q81:Q145" si="3">O81-P81</f>
        <v>0</v>
      </c>
    </row>
    <row r="82" spans="1:18" s="13" customFormat="1" x14ac:dyDescent="0.25">
      <c r="A82" s="229"/>
      <c r="B82" s="62" t="s">
        <v>156</v>
      </c>
      <c r="C82" s="181" t="s">
        <v>304</v>
      </c>
      <c r="D82" s="182"/>
      <c r="E82" s="183" t="s">
        <v>20</v>
      </c>
      <c r="F82" s="73" t="s">
        <v>359</v>
      </c>
      <c r="G82" s="74" t="s">
        <v>112</v>
      </c>
      <c r="H82" s="75">
        <v>4</v>
      </c>
      <c r="I82" s="76">
        <v>2</v>
      </c>
      <c r="J82" s="96">
        <f>2</f>
        <v>2</v>
      </c>
      <c r="K82" s="77">
        <f>1690.48+993.47</f>
        <v>2683.95</v>
      </c>
      <c r="L82" s="77">
        <f>1690.48+993.47</f>
        <v>2683.95</v>
      </c>
      <c r="M82" s="78">
        <f t="shared" si="1"/>
        <v>0</v>
      </c>
      <c r="N82" s="100">
        <f>3+1+1</f>
        <v>5</v>
      </c>
      <c r="O82" s="81">
        <f>5488.54+2398.37+422.62+1605.6</f>
        <v>9915.130000000001</v>
      </c>
      <c r="P82" s="81">
        <f>5488.54+2398.37+422.62+1605.6</f>
        <v>9915.130000000001</v>
      </c>
      <c r="Q82" s="79">
        <f t="shared" si="3"/>
        <v>0</v>
      </c>
      <c r="R82" s="141"/>
    </row>
    <row r="83" spans="1:18" s="15" customFormat="1" x14ac:dyDescent="0.25">
      <c r="A83" s="229"/>
      <c r="B83" s="62" t="s">
        <v>57</v>
      </c>
      <c r="C83" s="181" t="s">
        <v>17</v>
      </c>
      <c r="D83" s="182"/>
      <c r="E83" s="183" t="s">
        <v>20</v>
      </c>
      <c r="F83" s="73" t="s">
        <v>360</v>
      </c>
      <c r="G83" s="74" t="s">
        <v>112</v>
      </c>
      <c r="H83" s="75">
        <v>7</v>
      </c>
      <c r="I83" s="76">
        <v>6</v>
      </c>
      <c r="J83" s="96">
        <f>2+1+1+2</f>
        <v>6</v>
      </c>
      <c r="K83" s="77">
        <f>806.82+1728.9+422.62+2958.34</f>
        <v>5916.68</v>
      </c>
      <c r="L83" s="77">
        <f>806.82+1728.9+422.62+2958.34</f>
        <v>5916.68</v>
      </c>
      <c r="M83" s="78">
        <f t="shared" si="1"/>
        <v>0</v>
      </c>
      <c r="N83" s="100">
        <f>2+1</f>
        <v>3</v>
      </c>
      <c r="O83" s="81">
        <f>2745.3</f>
        <v>2745.3</v>
      </c>
      <c r="P83" s="81">
        <f>2745.3</f>
        <v>2745.3</v>
      </c>
      <c r="Q83" s="232">
        <f t="shared" si="3"/>
        <v>0</v>
      </c>
      <c r="R83" s="141"/>
    </row>
    <row r="84" spans="1:18" s="15" customFormat="1" x14ac:dyDescent="0.25">
      <c r="A84" s="229"/>
      <c r="B84" s="62" t="s">
        <v>57</v>
      </c>
      <c r="C84" s="181" t="s">
        <v>17</v>
      </c>
      <c r="D84" s="182"/>
      <c r="E84" s="183" t="s">
        <v>20</v>
      </c>
      <c r="F84" s="73" t="s">
        <v>458</v>
      </c>
      <c r="G84" s="230" t="s">
        <v>114</v>
      </c>
      <c r="H84" s="181">
        <v>32</v>
      </c>
      <c r="I84" s="231">
        <v>7</v>
      </c>
      <c r="J84" s="190">
        <v>7</v>
      </c>
      <c r="K84" s="77">
        <v>19508.099999999999</v>
      </c>
      <c r="L84" s="77">
        <v>15092.7</v>
      </c>
      <c r="M84" s="187">
        <f t="shared" si="1"/>
        <v>4415.3999999999978</v>
      </c>
      <c r="N84" s="100">
        <v>19</v>
      </c>
      <c r="O84" s="224">
        <v>42687.199999999997</v>
      </c>
      <c r="P84" s="224">
        <v>42687.199999999997</v>
      </c>
      <c r="Q84" s="232">
        <f t="shared" si="3"/>
        <v>0</v>
      </c>
    </row>
    <row r="85" spans="1:18" s="13" customFormat="1" x14ac:dyDescent="0.25">
      <c r="A85" s="229"/>
      <c r="B85" s="62" t="s">
        <v>58</v>
      </c>
      <c r="C85" s="181" t="s">
        <v>17</v>
      </c>
      <c r="D85" s="182"/>
      <c r="E85" s="183" t="s">
        <v>20</v>
      </c>
      <c r="F85" s="73" t="s">
        <v>361</v>
      </c>
      <c r="G85" s="74" t="s">
        <v>112</v>
      </c>
      <c r="H85" s="75">
        <v>9</v>
      </c>
      <c r="I85" s="76">
        <v>6</v>
      </c>
      <c r="J85" s="96">
        <f>1+2+1+1+1</f>
        <v>6</v>
      </c>
      <c r="K85" s="77">
        <f>1892.47+3118.94+422.62+1324.62+883.08</f>
        <v>7641.73</v>
      </c>
      <c r="L85" s="77">
        <f>1892.47+3118.94+422.62+1324.62</f>
        <v>6758.65</v>
      </c>
      <c r="M85" s="78">
        <f>K85-L85</f>
        <v>883.07999999999993</v>
      </c>
      <c r="N85" s="100">
        <f>1+1+3</f>
        <v>5</v>
      </c>
      <c r="O85" s="81">
        <f>9196.24+2480.78+2954.11+15214.32</f>
        <v>29845.45</v>
      </c>
      <c r="P85" s="81">
        <f>9196.24+2480.78+2954.11+15214.32</f>
        <v>29845.45</v>
      </c>
      <c r="Q85" s="232">
        <f t="shared" si="3"/>
        <v>0</v>
      </c>
      <c r="R85" s="141"/>
    </row>
    <row r="86" spans="1:18" s="13" customFormat="1" x14ac:dyDescent="0.25">
      <c r="A86" s="229"/>
      <c r="B86" s="62" t="s">
        <v>58</v>
      </c>
      <c r="C86" s="181" t="s">
        <v>17</v>
      </c>
      <c r="D86" s="182"/>
      <c r="E86" s="183" t="s">
        <v>20</v>
      </c>
      <c r="F86" s="73" t="s">
        <v>478</v>
      </c>
      <c r="G86" s="230" t="s">
        <v>114</v>
      </c>
      <c r="H86" s="181">
        <v>15</v>
      </c>
      <c r="I86" s="231">
        <v>2</v>
      </c>
      <c r="J86" s="190">
        <v>2</v>
      </c>
      <c r="K86" s="77">
        <v>3765.16</v>
      </c>
      <c r="L86" s="77">
        <v>3765.16</v>
      </c>
      <c r="M86" s="187">
        <f t="shared" si="1"/>
        <v>0</v>
      </c>
      <c r="N86" s="100">
        <v>21</v>
      </c>
      <c r="O86" s="224">
        <v>54215.77</v>
      </c>
      <c r="P86" s="224">
        <v>54215.77</v>
      </c>
      <c r="Q86" s="232">
        <f t="shared" si="3"/>
        <v>0</v>
      </c>
    </row>
    <row r="87" spans="1:18" s="13" customFormat="1" x14ac:dyDescent="0.25">
      <c r="A87" s="229"/>
      <c r="B87" s="62" t="s">
        <v>59</v>
      </c>
      <c r="C87" s="181" t="s">
        <v>17</v>
      </c>
      <c r="D87" s="182"/>
      <c r="E87" s="183" t="s">
        <v>20</v>
      </c>
      <c r="F87" s="73" t="s">
        <v>362</v>
      </c>
      <c r="G87" s="74" t="s">
        <v>112</v>
      </c>
      <c r="H87" s="75">
        <v>11</v>
      </c>
      <c r="I87" s="76">
        <v>8</v>
      </c>
      <c r="J87" s="96">
        <f>1+1+1+3+1+1</f>
        <v>8</v>
      </c>
      <c r="K87" s="77">
        <f>403.41+1431.16+845.24+998.92+3059.87</f>
        <v>6738.6</v>
      </c>
      <c r="L87" s="77">
        <f>403.41+1431.16+845.24+998.92+3059.87</f>
        <v>6738.6</v>
      </c>
      <c r="M87" s="78">
        <f>K87-L87</f>
        <v>0</v>
      </c>
      <c r="N87" s="100">
        <f>1+2+2+1+1+1+1</f>
        <v>9</v>
      </c>
      <c r="O87" s="81">
        <f>6646.05+1267.86+979.71</f>
        <v>8893.619999999999</v>
      </c>
      <c r="P87" s="81">
        <f>2353.23+5561.68+978.71</f>
        <v>8893.619999999999</v>
      </c>
      <c r="Q87" s="232">
        <f t="shared" si="3"/>
        <v>0</v>
      </c>
      <c r="R87" s="141"/>
    </row>
    <row r="88" spans="1:18" s="13" customFormat="1" x14ac:dyDescent="0.25">
      <c r="A88" s="229"/>
      <c r="B88" s="62" t="s">
        <v>59</v>
      </c>
      <c r="C88" s="181" t="s">
        <v>17</v>
      </c>
      <c r="D88" s="182"/>
      <c r="E88" s="183" t="s">
        <v>20</v>
      </c>
      <c r="F88" s="73" t="s">
        <v>128</v>
      </c>
      <c r="G88" s="230" t="s">
        <v>114</v>
      </c>
      <c r="H88" s="181"/>
      <c r="I88" s="231"/>
      <c r="J88" s="190"/>
      <c r="K88" s="77"/>
      <c r="L88" s="77"/>
      <c r="M88" s="187">
        <f t="shared" si="1"/>
        <v>0</v>
      </c>
      <c r="N88" s="100"/>
      <c r="O88" s="224"/>
      <c r="P88" s="224"/>
      <c r="Q88" s="232">
        <f t="shared" si="3"/>
        <v>0</v>
      </c>
    </row>
    <row r="89" spans="1:18" s="13" customFormat="1" x14ac:dyDescent="0.25">
      <c r="A89" s="229"/>
      <c r="B89" s="27" t="s">
        <v>60</v>
      </c>
      <c r="C89" s="181" t="s">
        <v>17</v>
      </c>
      <c r="D89" s="182"/>
      <c r="E89" s="183" t="s">
        <v>20</v>
      </c>
      <c r="F89" s="73" t="s">
        <v>364</v>
      </c>
      <c r="G89" s="74" t="s">
        <v>112</v>
      </c>
      <c r="H89" s="75">
        <v>16</v>
      </c>
      <c r="I89" s="76">
        <v>11</v>
      </c>
      <c r="J89" s="96">
        <f>1+1+1+4+4+2</f>
        <v>13</v>
      </c>
      <c r="K89" s="77">
        <f>634.93+893.27+2930.22+8503.46</f>
        <v>12961.88</v>
      </c>
      <c r="L89" s="77">
        <f>634.93+893.27+2930.22+8503.46</f>
        <v>12961.88</v>
      </c>
      <c r="M89" s="78">
        <f>K89-L89</f>
        <v>0</v>
      </c>
      <c r="N89" s="100">
        <f>4+1+3+1+1</f>
        <v>10</v>
      </c>
      <c r="O89" s="81">
        <f>15124.53+2065.75+8492.52+5828.3</f>
        <v>31511.1</v>
      </c>
      <c r="P89" s="81">
        <f>15124.53+2065.75+8492.52</f>
        <v>25682.799999999999</v>
      </c>
      <c r="Q89" s="232">
        <f t="shared" si="3"/>
        <v>5828.2999999999993</v>
      </c>
      <c r="R89" s="141"/>
    </row>
    <row r="90" spans="1:18" s="13" customFormat="1" x14ac:dyDescent="0.25">
      <c r="A90" s="229"/>
      <c r="B90" s="27" t="s">
        <v>60</v>
      </c>
      <c r="C90" s="181" t="s">
        <v>17</v>
      </c>
      <c r="D90" s="182"/>
      <c r="E90" s="183" t="s">
        <v>20</v>
      </c>
      <c r="F90" s="73" t="s">
        <v>479</v>
      </c>
      <c r="G90" s="230" t="s">
        <v>114</v>
      </c>
      <c r="H90" s="181">
        <v>12</v>
      </c>
      <c r="I90" s="231">
        <v>2</v>
      </c>
      <c r="J90" s="190">
        <v>2</v>
      </c>
      <c r="K90" s="77">
        <v>5186.7</v>
      </c>
      <c r="L90" s="77">
        <v>5186.7</v>
      </c>
      <c r="M90" s="187">
        <f t="shared" si="1"/>
        <v>0</v>
      </c>
      <c r="N90" s="100">
        <v>12</v>
      </c>
      <c r="O90" s="224">
        <v>41221.599999999999</v>
      </c>
      <c r="P90" s="224">
        <v>41221.599999999999</v>
      </c>
      <c r="Q90" s="232">
        <f t="shared" si="3"/>
        <v>0</v>
      </c>
    </row>
    <row r="91" spans="1:18" s="13" customFormat="1" x14ac:dyDescent="0.25">
      <c r="A91" s="229"/>
      <c r="B91" s="27" t="s">
        <v>493</v>
      </c>
      <c r="C91" s="181" t="s">
        <v>17</v>
      </c>
      <c r="D91" s="182"/>
      <c r="E91" s="183" t="s">
        <v>20</v>
      </c>
      <c r="F91" s="73" t="s">
        <v>496</v>
      </c>
      <c r="G91" s="230" t="s">
        <v>112</v>
      </c>
      <c r="H91" s="181">
        <v>12</v>
      </c>
      <c r="I91" s="231">
        <v>8</v>
      </c>
      <c r="J91" s="190">
        <f>3+2+1+3+1+2+1</f>
        <v>13</v>
      </c>
      <c r="K91" s="77">
        <f>3387.04+3467.41+1267.86+2218.74+8089.94+1924.71</f>
        <v>20355.699999999997</v>
      </c>
      <c r="L91" s="77">
        <f>3387.04+3467.41+1267.86+2218.74+8089.94</f>
        <v>18430.989999999998</v>
      </c>
      <c r="M91" s="78">
        <f t="shared" ref="M91:M155" si="4">K91-L91</f>
        <v>1924.7099999999991</v>
      </c>
      <c r="N91" s="100"/>
      <c r="O91" s="224"/>
      <c r="P91" s="224"/>
      <c r="Q91" s="232">
        <f t="shared" si="3"/>
        <v>0</v>
      </c>
    </row>
    <row r="92" spans="1:18" s="15" customFormat="1" x14ac:dyDescent="0.25">
      <c r="A92" s="229"/>
      <c r="B92" s="27" t="s">
        <v>61</v>
      </c>
      <c r="C92" s="181" t="s">
        <v>17</v>
      </c>
      <c r="D92" s="182"/>
      <c r="E92" s="183" t="s">
        <v>20</v>
      </c>
      <c r="F92" s="73" t="s">
        <v>363</v>
      </c>
      <c r="G92" s="74" t="s">
        <v>112</v>
      </c>
      <c r="H92" s="75"/>
      <c r="I92" s="76"/>
      <c r="J92" s="96"/>
      <c r="K92" s="77"/>
      <c r="L92" s="77"/>
      <c r="M92" s="78">
        <f t="shared" si="4"/>
        <v>0</v>
      </c>
      <c r="N92" s="100"/>
      <c r="O92" s="81"/>
      <c r="P92" s="81"/>
      <c r="Q92" s="232">
        <f t="shared" si="3"/>
        <v>0</v>
      </c>
      <c r="R92" s="141"/>
    </row>
    <row r="93" spans="1:18" s="15" customFormat="1" x14ac:dyDescent="0.25">
      <c r="A93" s="229"/>
      <c r="B93" s="236" t="s">
        <v>306</v>
      </c>
      <c r="C93" s="181" t="s">
        <v>17</v>
      </c>
      <c r="D93" s="182"/>
      <c r="E93" s="183" t="s">
        <v>35</v>
      </c>
      <c r="F93" s="73" t="s">
        <v>365</v>
      </c>
      <c r="G93" s="230" t="s">
        <v>112</v>
      </c>
      <c r="H93" s="181">
        <v>33</v>
      </c>
      <c r="I93" s="231">
        <v>19</v>
      </c>
      <c r="J93" s="190">
        <f>1+2+1+3+3+2+3+1+2+1</f>
        <v>19</v>
      </c>
      <c r="K93" s="77">
        <f>1045.98+2658.7+35696.14+4892.46+1024.04+2384.53+10793.24+5320.79+2075.24+1324.62+1192.16</f>
        <v>68407.899999999994</v>
      </c>
      <c r="L93" s="77">
        <f>1045.98+2658.7+35696.14+4892.46+1024.04+2384.53+10793.24+5320.79+2075.24+1324.62</f>
        <v>67215.739999999991</v>
      </c>
      <c r="M93" s="78">
        <f>K93-L93</f>
        <v>1192.1600000000035</v>
      </c>
      <c r="N93" s="114">
        <f>7+2+2+2+1+1+1</f>
        <v>16</v>
      </c>
      <c r="O93" s="224">
        <f>2313.84+6162.57+2330.32+1690.48+3706.14+3107.65+4960.7</f>
        <v>24271.7</v>
      </c>
      <c r="P93" s="224">
        <f>2313.84+6162.57+2330.32+1690.48+3706.14+3107.65</f>
        <v>19311</v>
      </c>
      <c r="Q93" s="232">
        <f t="shared" si="3"/>
        <v>4960.7000000000007</v>
      </c>
      <c r="R93" s="141"/>
    </row>
    <row r="94" spans="1:18" s="13" customFormat="1" x14ac:dyDescent="0.25">
      <c r="A94" s="229"/>
      <c r="B94" s="62" t="s">
        <v>306</v>
      </c>
      <c r="C94" s="181" t="s">
        <v>17</v>
      </c>
      <c r="D94" s="182"/>
      <c r="E94" s="183" t="s">
        <v>27</v>
      </c>
      <c r="F94" s="73" t="s">
        <v>421</v>
      </c>
      <c r="G94" s="230" t="s">
        <v>117</v>
      </c>
      <c r="H94" s="181">
        <v>4</v>
      </c>
      <c r="I94" s="231"/>
      <c r="J94" s="96"/>
      <c r="K94" s="77"/>
      <c r="L94" s="77"/>
      <c r="M94" s="78">
        <f>K94-L94</f>
        <v>0</v>
      </c>
      <c r="N94" s="100"/>
      <c r="O94" s="77"/>
      <c r="P94" s="77"/>
      <c r="Q94" s="79">
        <f>O94-P94</f>
        <v>0</v>
      </c>
    </row>
    <row r="95" spans="1:18" s="13" customFormat="1" x14ac:dyDescent="0.25">
      <c r="A95" s="229"/>
      <c r="B95" s="27" t="s">
        <v>62</v>
      </c>
      <c r="C95" s="181" t="s">
        <v>17</v>
      </c>
      <c r="D95" s="182"/>
      <c r="E95" s="183" t="s">
        <v>35</v>
      </c>
      <c r="F95" s="73" t="s">
        <v>366</v>
      </c>
      <c r="G95" s="74" t="s">
        <v>112</v>
      </c>
      <c r="H95" s="75">
        <v>27</v>
      </c>
      <c r="I95" s="76">
        <v>16</v>
      </c>
      <c r="J95" s="96">
        <f>1+3+1+1+2+4+4</f>
        <v>16</v>
      </c>
      <c r="K95" s="77">
        <f>3613.4+1872.01+1394.65+3518.32+15902.72+5370.89</f>
        <v>31671.989999999998</v>
      </c>
      <c r="L95" s="77">
        <f>3613.4+1872.01+1394.65+3518.32+15902.72</f>
        <v>26301.1</v>
      </c>
      <c r="M95" s="78">
        <f>K95-L95</f>
        <v>5370.8899999999994</v>
      </c>
      <c r="N95" s="100">
        <f>6+2+1+2+1+3</f>
        <v>15</v>
      </c>
      <c r="O95" s="81">
        <f>19511.33+1270.93+3979.74+2500.85+8530.18+845.24+12787.47</f>
        <v>49425.74</v>
      </c>
      <c r="P95" s="81">
        <f>19511.33+1270.93+3979.74+2500.85+8530.18+845.24+12787.47</f>
        <v>49425.74</v>
      </c>
      <c r="Q95" s="79">
        <f t="shared" si="3"/>
        <v>0</v>
      </c>
      <c r="R95" s="141"/>
    </row>
    <row r="96" spans="1:18" s="13" customFormat="1" x14ac:dyDescent="0.25">
      <c r="A96" s="229"/>
      <c r="B96" s="27" t="s">
        <v>62</v>
      </c>
      <c r="C96" s="181" t="s">
        <v>17</v>
      </c>
      <c r="D96" s="182"/>
      <c r="E96" s="183" t="s">
        <v>35</v>
      </c>
      <c r="F96" s="73" t="s">
        <v>428</v>
      </c>
      <c r="G96" s="230" t="s">
        <v>117</v>
      </c>
      <c r="H96" s="181">
        <v>2</v>
      </c>
      <c r="I96" s="231"/>
      <c r="J96" s="96"/>
      <c r="K96" s="77"/>
      <c r="L96" s="77"/>
      <c r="M96" s="78">
        <f t="shared" si="4"/>
        <v>0</v>
      </c>
      <c r="N96" s="100">
        <v>9</v>
      </c>
      <c r="O96" s="224">
        <v>22788.1</v>
      </c>
      <c r="P96" s="224">
        <v>22788.1</v>
      </c>
      <c r="Q96" s="232">
        <f t="shared" si="3"/>
        <v>0</v>
      </c>
    </row>
    <row r="97" spans="1:19" s="13" customFormat="1" x14ac:dyDescent="0.25">
      <c r="A97" s="229"/>
      <c r="B97" s="27" t="s">
        <v>155</v>
      </c>
      <c r="C97" s="181" t="s">
        <v>17</v>
      </c>
      <c r="D97" s="182"/>
      <c r="E97" s="183" t="s">
        <v>20</v>
      </c>
      <c r="F97" s="73" t="s">
        <v>367</v>
      </c>
      <c r="G97" s="74" t="s">
        <v>112</v>
      </c>
      <c r="H97" s="75">
        <v>12</v>
      </c>
      <c r="I97" s="82">
        <v>9</v>
      </c>
      <c r="J97" s="96">
        <f>1+2+3+1+2+2</f>
        <v>11</v>
      </c>
      <c r="K97" s="77">
        <f>3117.56+2266.78+5307.72+3606.94</f>
        <v>14299.000000000002</v>
      </c>
      <c r="L97" s="77">
        <f>3117.56+2266.78+5307.72+3606.94</f>
        <v>14299.000000000002</v>
      </c>
      <c r="M97" s="78">
        <f>K97-L97</f>
        <v>0</v>
      </c>
      <c r="N97" s="100">
        <f>1+1+1</f>
        <v>3</v>
      </c>
      <c r="O97" s="81">
        <f>1798.06+2123.67</f>
        <v>3921.73</v>
      </c>
      <c r="P97" s="81">
        <f>1798.06+2123.67</f>
        <v>3921.73</v>
      </c>
      <c r="Q97" s="232">
        <f t="shared" si="3"/>
        <v>0</v>
      </c>
      <c r="R97" s="141"/>
    </row>
    <row r="98" spans="1:19" s="13" customFormat="1" x14ac:dyDescent="0.25">
      <c r="A98" s="229"/>
      <c r="B98" s="27" t="s">
        <v>155</v>
      </c>
      <c r="C98" s="181" t="s">
        <v>17</v>
      </c>
      <c r="D98" s="182"/>
      <c r="E98" s="183" t="s">
        <v>20</v>
      </c>
      <c r="F98" s="73" t="s">
        <v>459</v>
      </c>
      <c r="G98" s="230" t="s">
        <v>114</v>
      </c>
      <c r="H98" s="181">
        <v>12</v>
      </c>
      <c r="I98" s="231">
        <v>4</v>
      </c>
      <c r="J98" s="190">
        <v>4</v>
      </c>
      <c r="K98" s="77">
        <v>8154.2</v>
      </c>
      <c r="L98" s="77">
        <v>6313.5</v>
      </c>
      <c r="M98" s="187">
        <f t="shared" ref="M98" si="5">K98-L98</f>
        <v>1840.6999999999998</v>
      </c>
      <c r="N98" s="100">
        <v>15</v>
      </c>
      <c r="O98" s="224">
        <v>33202.26</v>
      </c>
      <c r="P98" s="224">
        <v>33202.26</v>
      </c>
      <c r="Q98" s="232">
        <f t="shared" si="3"/>
        <v>0</v>
      </c>
    </row>
    <row r="99" spans="1:19" s="13" customFormat="1" x14ac:dyDescent="0.25">
      <c r="A99" s="229"/>
      <c r="B99" s="30" t="s">
        <v>66</v>
      </c>
      <c r="C99" s="181" t="s">
        <v>17</v>
      </c>
      <c r="D99" s="182"/>
      <c r="E99" s="183" t="s">
        <v>21</v>
      </c>
      <c r="F99" s="73" t="s">
        <v>368</v>
      </c>
      <c r="G99" s="74" t="s">
        <v>112</v>
      </c>
      <c r="H99" s="75">
        <v>31</v>
      </c>
      <c r="I99" s="76">
        <v>22</v>
      </c>
      <c r="J99" s="96">
        <f>1+3+2+3+2+1+2+1+3+7+4</f>
        <v>29</v>
      </c>
      <c r="K99" s="77">
        <f>1045.98+4309.04+3820.12+1872.01+4253.49+3044.79+1191.19+4942.84+9299.2+9796.16+4139.27</f>
        <v>47714.090000000011</v>
      </c>
      <c r="L99" s="77">
        <f>1045.98+4309.04+3820.12+1872.01+4253.49+3044.79+1191.19+4942.84+9299.2+9796.16+4139.27</f>
        <v>47714.090000000011</v>
      </c>
      <c r="M99" s="78">
        <f>K99-L99</f>
        <v>0</v>
      </c>
      <c r="N99" s="100">
        <f>6+3+8+7+1+1+1+2+1+1+1+1+1+1</f>
        <v>35</v>
      </c>
      <c r="O99" s="81">
        <f>11911.17+23136+18060.17+1977.84+2091.97+19535.65+19124.11+3199.71+4430.07+5418.9+2717.24</f>
        <v>111602.83</v>
      </c>
      <c r="P99" s="81">
        <f>11911.17+23136+18060.17+1977.84+2091.97+19535.65+19124.11+3199.71+4430.07+5418.9</f>
        <v>108885.59</v>
      </c>
      <c r="Q99" s="232">
        <f t="shared" si="3"/>
        <v>2717.2400000000052</v>
      </c>
      <c r="R99" s="141"/>
    </row>
    <row r="100" spans="1:19" s="13" customFormat="1" x14ac:dyDescent="0.25">
      <c r="A100" s="229"/>
      <c r="B100" s="30" t="s">
        <v>66</v>
      </c>
      <c r="C100" s="181" t="s">
        <v>17</v>
      </c>
      <c r="D100" s="182"/>
      <c r="E100" s="183" t="s">
        <v>21</v>
      </c>
      <c r="F100" s="73" t="s">
        <v>439</v>
      </c>
      <c r="G100" s="230" t="s">
        <v>118</v>
      </c>
      <c r="H100" s="181">
        <v>6</v>
      </c>
      <c r="I100" s="231">
        <v>3</v>
      </c>
      <c r="J100" s="96">
        <v>3</v>
      </c>
      <c r="K100" s="77">
        <v>5367.3</v>
      </c>
      <c r="L100" s="77">
        <v>5367.3</v>
      </c>
      <c r="M100" s="187">
        <f t="shared" si="4"/>
        <v>0</v>
      </c>
      <c r="N100" s="100">
        <v>17</v>
      </c>
      <c r="O100" s="224">
        <v>66871.69</v>
      </c>
      <c r="P100" s="224">
        <v>66871.69</v>
      </c>
      <c r="Q100" s="79">
        <f t="shared" si="3"/>
        <v>0</v>
      </c>
    </row>
    <row r="101" spans="1:19" s="13" customFormat="1" x14ac:dyDescent="0.25">
      <c r="A101" s="229"/>
      <c r="B101" s="62" t="s">
        <v>137</v>
      </c>
      <c r="C101" s="181" t="s">
        <v>17</v>
      </c>
      <c r="D101" s="182"/>
      <c r="E101" s="194" t="s">
        <v>35</v>
      </c>
      <c r="F101" s="73" t="s">
        <v>369</v>
      </c>
      <c r="G101" s="74" t="s">
        <v>112</v>
      </c>
      <c r="H101" s="75">
        <v>31</v>
      </c>
      <c r="I101" s="76">
        <v>17</v>
      </c>
      <c r="J101" s="96">
        <f>3+3+1+4+1+3+2</f>
        <v>17</v>
      </c>
      <c r="K101" s="77">
        <f>504.26+845.24+3380.96+422.62+2535.72+6256.62</f>
        <v>13945.419999999998</v>
      </c>
      <c r="L101" s="77">
        <f>504.26+845.24+3380.96+422.62+2535.72+6256.62</f>
        <v>13945.419999999998</v>
      </c>
      <c r="M101" s="78">
        <f>K101-L101</f>
        <v>0</v>
      </c>
      <c r="N101" s="100">
        <f>5+1+1+2+1</f>
        <v>10</v>
      </c>
      <c r="O101" s="81">
        <f>2617.36+422.62+3852.18+3380.96+422.62</f>
        <v>10695.74</v>
      </c>
      <c r="P101" s="81">
        <f>2617.36+422.62+3852.18+3380.96+422.62</f>
        <v>10695.74</v>
      </c>
      <c r="Q101" s="232">
        <f t="shared" si="3"/>
        <v>0</v>
      </c>
      <c r="R101" s="141"/>
    </row>
    <row r="102" spans="1:19" s="13" customFormat="1" x14ac:dyDescent="0.25">
      <c r="A102" s="229"/>
      <c r="B102" s="62" t="s">
        <v>137</v>
      </c>
      <c r="C102" s="181" t="s">
        <v>17</v>
      </c>
      <c r="D102" s="182"/>
      <c r="E102" s="194" t="s">
        <v>35</v>
      </c>
      <c r="F102" s="73" t="s">
        <v>429</v>
      </c>
      <c r="G102" s="230" t="s">
        <v>117</v>
      </c>
      <c r="H102" s="181">
        <v>9</v>
      </c>
      <c r="I102" s="231">
        <v>1</v>
      </c>
      <c r="J102" s="190">
        <v>1</v>
      </c>
      <c r="K102" s="193">
        <v>1921</v>
      </c>
      <c r="L102" s="193">
        <v>1921</v>
      </c>
      <c r="M102" s="78">
        <f t="shared" si="4"/>
        <v>0</v>
      </c>
      <c r="N102" s="114">
        <v>2</v>
      </c>
      <c r="O102" s="224">
        <v>10565.5</v>
      </c>
      <c r="P102" s="224">
        <v>10565.5</v>
      </c>
      <c r="Q102" s="79">
        <f t="shared" si="3"/>
        <v>0</v>
      </c>
    </row>
    <row r="103" spans="1:19" s="13" customFormat="1" x14ac:dyDescent="0.25">
      <c r="A103" s="229"/>
      <c r="B103" s="30" t="s">
        <v>67</v>
      </c>
      <c r="C103" s="181" t="s">
        <v>17</v>
      </c>
      <c r="D103" s="182"/>
      <c r="E103" s="194" t="s">
        <v>21</v>
      </c>
      <c r="F103" s="73" t="s">
        <v>370</v>
      </c>
      <c r="G103" s="74" t="s">
        <v>112</v>
      </c>
      <c r="H103" s="75">
        <v>29</v>
      </c>
      <c r="I103" s="76">
        <v>20</v>
      </c>
      <c r="J103" s="96">
        <f>2+1+1+2+1+1+2+2+1+2+5+5</f>
        <v>25</v>
      </c>
      <c r="K103" s="77">
        <f>3319.85+1198.9+864.45+7235.32+1947.89+5377.75+8701.73+3581.7+8737.54+7647.65</f>
        <v>48612.780000000006</v>
      </c>
      <c r="L103" s="77">
        <f>3319.85+1198.9+864.45+7235.32+1947.89+5377.75+8701.73+3581.7+8737.54+7647.65</f>
        <v>48612.780000000006</v>
      </c>
      <c r="M103" s="78">
        <f>K103-L103</f>
        <v>0</v>
      </c>
      <c r="N103" s="100">
        <f>4+9+4+4+1+3+1+3+1+1+1+1+1+1</f>
        <v>35</v>
      </c>
      <c r="O103" s="81">
        <f>29696.65+38129.03+13567.9+20687.05+2022.79+8145.77+17250.05+1233.28+5568.04+11106.62</f>
        <v>147407.18</v>
      </c>
      <c r="P103" s="81">
        <f>29696.65+38129.03+13567.9+20687.05+2022.79+8145.77+17250.05+1233.28+5568.04+11106.62</f>
        <v>147407.18</v>
      </c>
      <c r="Q103" s="232">
        <f t="shared" si="3"/>
        <v>0</v>
      </c>
      <c r="R103" s="141"/>
    </row>
    <row r="104" spans="1:19" s="13" customFormat="1" x14ac:dyDescent="0.25">
      <c r="A104" s="229"/>
      <c r="B104" s="30" t="s">
        <v>67</v>
      </c>
      <c r="C104" s="181" t="s">
        <v>17</v>
      </c>
      <c r="D104" s="182"/>
      <c r="E104" s="194" t="s">
        <v>21</v>
      </c>
      <c r="F104" s="73" t="s">
        <v>440</v>
      </c>
      <c r="G104" s="230" t="s">
        <v>118</v>
      </c>
      <c r="H104" s="181">
        <v>15</v>
      </c>
      <c r="I104" s="231">
        <v>2</v>
      </c>
      <c r="J104" s="96">
        <v>2</v>
      </c>
      <c r="K104" s="77">
        <v>5282.54</v>
      </c>
      <c r="L104" s="77">
        <v>5282.54</v>
      </c>
      <c r="M104" s="78">
        <f t="shared" si="4"/>
        <v>0</v>
      </c>
      <c r="N104" s="100">
        <v>20</v>
      </c>
      <c r="O104" s="224">
        <v>66027.179999999993</v>
      </c>
      <c r="P104" s="224">
        <v>66027.179999999993</v>
      </c>
      <c r="Q104" s="79">
        <f t="shared" si="3"/>
        <v>0</v>
      </c>
    </row>
    <row r="105" spans="1:19" s="13" customFormat="1" x14ac:dyDescent="0.25">
      <c r="A105" s="229"/>
      <c r="B105" s="30" t="s">
        <v>68</v>
      </c>
      <c r="C105" s="181" t="s">
        <v>17</v>
      </c>
      <c r="D105" s="182"/>
      <c r="E105" s="194" t="s">
        <v>32</v>
      </c>
      <c r="F105" s="73" t="s">
        <v>371</v>
      </c>
      <c r="G105" s="74" t="s">
        <v>112</v>
      </c>
      <c r="H105" s="75">
        <v>19</v>
      </c>
      <c r="I105" s="76">
        <v>16</v>
      </c>
      <c r="J105" s="96">
        <f>2+1+2+5+5+3+1+2</f>
        <v>21</v>
      </c>
      <c r="K105" s="77">
        <f>1128.59+422.62+1152.6+4557.81+10981.59+5362.88+4996.85+4352.15+3073.96</f>
        <v>36029.050000000003</v>
      </c>
      <c r="L105" s="77">
        <f>1128.59+422.62+1152.6+4557.81+10981.59+5362.88+4996.85+4352.15+3073.96</f>
        <v>36029.050000000003</v>
      </c>
      <c r="M105" s="78">
        <f>K105-L105</f>
        <v>0</v>
      </c>
      <c r="N105" s="100">
        <f>6+5+1+4+2+2+1</f>
        <v>21</v>
      </c>
      <c r="O105" s="81">
        <f>7813.73+8523.5+1452.28+12582.19+18077.76+4987.46+2373.79</f>
        <v>55810.709999999992</v>
      </c>
      <c r="P105" s="81">
        <f>7813.73+8523.5+1452.28+12582.19+18077.76+4987.46+2373.79</f>
        <v>55810.709999999992</v>
      </c>
      <c r="Q105" s="232">
        <f t="shared" si="3"/>
        <v>0</v>
      </c>
      <c r="R105" s="141"/>
    </row>
    <row r="106" spans="1:19" s="13" customFormat="1" x14ac:dyDescent="0.25">
      <c r="A106" s="229"/>
      <c r="B106" s="30" t="s">
        <v>68</v>
      </c>
      <c r="C106" s="181" t="s">
        <v>17</v>
      </c>
      <c r="D106" s="182"/>
      <c r="E106" s="194" t="s">
        <v>32</v>
      </c>
      <c r="F106" s="73" t="s">
        <v>430</v>
      </c>
      <c r="G106" s="235" t="s">
        <v>117</v>
      </c>
      <c r="H106" s="181">
        <v>3</v>
      </c>
      <c r="I106" s="231"/>
      <c r="J106" s="96"/>
      <c r="K106" s="77"/>
      <c r="L106" s="77"/>
      <c r="M106" s="78">
        <f t="shared" si="4"/>
        <v>0</v>
      </c>
      <c r="N106" s="100"/>
      <c r="O106" s="77"/>
      <c r="P106" s="77"/>
      <c r="Q106" s="79">
        <f t="shared" si="3"/>
        <v>0</v>
      </c>
    </row>
    <row r="107" spans="1:19" s="15" customFormat="1" x14ac:dyDescent="0.25">
      <c r="A107" s="229"/>
      <c r="B107" s="27" t="s">
        <v>69</v>
      </c>
      <c r="C107" s="181" t="s">
        <v>17</v>
      </c>
      <c r="D107" s="182"/>
      <c r="E107" s="183" t="s">
        <v>20</v>
      </c>
      <c r="F107" s="73" t="s">
        <v>372</v>
      </c>
      <c r="G107" s="74" t="s">
        <v>112</v>
      </c>
      <c r="H107" s="75">
        <v>7</v>
      </c>
      <c r="I107" s="76">
        <v>3</v>
      </c>
      <c r="J107" s="96">
        <f>1+1+1+1</f>
        <v>4</v>
      </c>
      <c r="K107" s="77">
        <f>422.62+17390.69+3114.71+475.45+2326.92</f>
        <v>23730.39</v>
      </c>
      <c r="L107" s="77">
        <f>422.62+17390.69+3114.71+475.45+2326.92</f>
        <v>23730.39</v>
      </c>
      <c r="M107" s="78">
        <f t="shared" si="4"/>
        <v>0</v>
      </c>
      <c r="N107" s="100">
        <f>3+2+1+1+1+1</f>
        <v>9</v>
      </c>
      <c r="O107" s="77">
        <f>7210.31+3647.96+1306.28+1267.86+2697.06</f>
        <v>16129.470000000001</v>
      </c>
      <c r="P107" s="77">
        <f>7210.31+3647.96+1306.28+1267.86+2697.06</f>
        <v>16129.470000000001</v>
      </c>
      <c r="Q107" s="232">
        <f t="shared" si="3"/>
        <v>0</v>
      </c>
      <c r="R107" s="141"/>
    </row>
    <row r="108" spans="1:19" s="15" customFormat="1" x14ac:dyDescent="0.25">
      <c r="A108" s="229"/>
      <c r="B108" s="236" t="s">
        <v>502</v>
      </c>
      <c r="C108" s="181"/>
      <c r="D108" s="182"/>
      <c r="E108" s="183"/>
      <c r="F108" s="73" t="s">
        <v>508</v>
      </c>
      <c r="G108" s="74" t="s">
        <v>112</v>
      </c>
      <c r="H108" s="75">
        <v>12</v>
      </c>
      <c r="I108" s="76">
        <v>5</v>
      </c>
      <c r="J108" s="96">
        <f>4+1</f>
        <v>5</v>
      </c>
      <c r="K108" s="77">
        <f>6145.3+993.47</f>
        <v>7138.77</v>
      </c>
      <c r="L108" s="77">
        <f>6145.3+993.47</f>
        <v>7138.77</v>
      </c>
      <c r="M108" s="78">
        <f t="shared" si="4"/>
        <v>0</v>
      </c>
      <c r="N108" s="100"/>
      <c r="O108" s="77"/>
      <c r="P108" s="77"/>
      <c r="Q108" s="232">
        <f t="shared" si="3"/>
        <v>0</v>
      </c>
      <c r="R108" s="141"/>
    </row>
    <row r="109" spans="1:19" s="15" customFormat="1" x14ac:dyDescent="0.25">
      <c r="A109" s="229"/>
      <c r="B109" s="236" t="s">
        <v>502</v>
      </c>
      <c r="C109" s="181"/>
      <c r="D109" s="182"/>
      <c r="E109" s="183"/>
      <c r="F109" s="73" t="s">
        <v>511</v>
      </c>
      <c r="G109" s="235" t="s">
        <v>117</v>
      </c>
      <c r="H109" s="75">
        <v>4</v>
      </c>
      <c r="I109" s="76"/>
      <c r="J109" s="96"/>
      <c r="K109" s="77"/>
      <c r="L109" s="77"/>
      <c r="M109" s="78">
        <f t="shared" si="4"/>
        <v>0</v>
      </c>
      <c r="N109" s="100"/>
      <c r="O109" s="77"/>
      <c r="P109" s="77"/>
      <c r="Q109" s="232">
        <f t="shared" si="3"/>
        <v>0</v>
      </c>
      <c r="R109" s="141"/>
    </row>
    <row r="110" spans="1:19" s="13" customFormat="1" x14ac:dyDescent="0.25">
      <c r="A110" s="229"/>
      <c r="B110" s="62" t="s">
        <v>70</v>
      </c>
      <c r="C110" s="181" t="s">
        <v>17</v>
      </c>
      <c r="D110" s="182"/>
      <c r="E110" s="183" t="s">
        <v>20</v>
      </c>
      <c r="F110" s="73" t="s">
        <v>373</v>
      </c>
      <c r="G110" s="74" t="s">
        <v>112</v>
      </c>
      <c r="H110" s="75">
        <v>15</v>
      </c>
      <c r="I110" s="76">
        <v>9</v>
      </c>
      <c r="J110" s="96">
        <f>2+2+2+3+1</f>
        <v>10</v>
      </c>
      <c r="K110" s="77">
        <f>19498+3011.17+8156.45</f>
        <v>30665.62</v>
      </c>
      <c r="L110" s="77">
        <f>19498+3011.17+8156.45</f>
        <v>30665.62</v>
      </c>
      <c r="M110" s="78">
        <f>K110-L110</f>
        <v>0</v>
      </c>
      <c r="N110" s="100">
        <f>2+3+4+2+1</f>
        <v>12</v>
      </c>
      <c r="O110" s="81">
        <f>7606.2+16795.84+3492.18</f>
        <v>27894.22</v>
      </c>
      <c r="P110" s="81">
        <f>7606.2+16795.84</f>
        <v>24402.04</v>
      </c>
      <c r="Q110" s="79">
        <f t="shared" si="3"/>
        <v>3492.1800000000003</v>
      </c>
      <c r="R110" s="141"/>
    </row>
    <row r="111" spans="1:19" s="13" customFormat="1" x14ac:dyDescent="0.25">
      <c r="A111" s="229"/>
      <c r="B111" s="62" t="s">
        <v>70</v>
      </c>
      <c r="C111" s="181" t="s">
        <v>17</v>
      </c>
      <c r="D111" s="182"/>
      <c r="E111" s="183" t="s">
        <v>20</v>
      </c>
      <c r="F111" s="73" t="s">
        <v>460</v>
      </c>
      <c r="G111" s="230" t="s">
        <v>114</v>
      </c>
      <c r="H111" s="181">
        <v>32</v>
      </c>
      <c r="I111" s="231">
        <v>11</v>
      </c>
      <c r="J111" s="190">
        <v>11</v>
      </c>
      <c r="K111" s="77">
        <v>30417.34</v>
      </c>
      <c r="L111" s="77">
        <v>15164.14</v>
      </c>
      <c r="M111" s="187">
        <f t="shared" ref="M111" si="6">K111-L111</f>
        <v>15253.2</v>
      </c>
      <c r="N111" s="100">
        <v>31</v>
      </c>
      <c r="O111" s="224">
        <v>75536.87</v>
      </c>
      <c r="P111" s="224">
        <v>72927.77</v>
      </c>
      <c r="Q111" s="232">
        <f t="shared" si="3"/>
        <v>2609.0999999999913</v>
      </c>
    </row>
    <row r="112" spans="1:19" s="15" customFormat="1" x14ac:dyDescent="0.25">
      <c r="A112" s="229"/>
      <c r="B112" s="62" t="s">
        <v>71</v>
      </c>
      <c r="C112" s="181" t="s">
        <v>17</v>
      </c>
      <c r="D112" s="182"/>
      <c r="E112" s="183" t="s">
        <v>32</v>
      </c>
      <c r="F112" s="73" t="s">
        <v>374</v>
      </c>
      <c r="G112" s="74" t="s">
        <v>112</v>
      </c>
      <c r="H112" s="75">
        <v>19</v>
      </c>
      <c r="I112" s="76">
        <v>13</v>
      </c>
      <c r="J112" s="96">
        <f>3+1+2+1+1+3+3</f>
        <v>14</v>
      </c>
      <c r="K112" s="77">
        <f>1536.8+461.04+1748.88+633.93+3169.65+2435.83+3203.17</f>
        <v>13189.300000000001</v>
      </c>
      <c r="L112" s="77">
        <f>1536.8+461.04+1748.88+633.93+3169.65+2435.83</f>
        <v>9986.130000000001</v>
      </c>
      <c r="M112" s="78">
        <f>K112-L112</f>
        <v>3203.17</v>
      </c>
      <c r="N112" s="100">
        <f>3+2+1+1+2+1</f>
        <v>10</v>
      </c>
      <c r="O112" s="81">
        <f>9567.93+3616.67+403.41+14275.52+10922.18+12907.41</f>
        <v>51693.119999999995</v>
      </c>
      <c r="P112" s="81">
        <f>9567.93+3616.67+403.41+14275.52+10922.18+12907.41</f>
        <v>51693.119999999995</v>
      </c>
      <c r="Q112" s="79">
        <f t="shared" si="3"/>
        <v>0</v>
      </c>
      <c r="R112" s="141"/>
      <c r="S112" s="36"/>
    </row>
    <row r="113" spans="1:18" s="15" customFormat="1" x14ac:dyDescent="0.25">
      <c r="A113" s="229"/>
      <c r="B113" s="62" t="s">
        <v>71</v>
      </c>
      <c r="C113" s="181" t="s">
        <v>17</v>
      </c>
      <c r="D113" s="182"/>
      <c r="E113" s="183" t="s">
        <v>32</v>
      </c>
      <c r="F113" s="73" t="s">
        <v>431</v>
      </c>
      <c r="G113" s="230" t="s">
        <v>115</v>
      </c>
      <c r="H113" s="181">
        <v>7</v>
      </c>
      <c r="I113" s="231">
        <v>4</v>
      </c>
      <c r="J113" s="96">
        <v>4</v>
      </c>
      <c r="K113" s="237">
        <v>6627.45</v>
      </c>
      <c r="L113" s="237">
        <v>6627.45</v>
      </c>
      <c r="M113" s="187">
        <f t="shared" si="4"/>
        <v>0</v>
      </c>
      <c r="N113" s="114">
        <f>5</f>
        <v>5</v>
      </c>
      <c r="O113" s="77">
        <v>6595.5</v>
      </c>
      <c r="P113" s="77">
        <v>6595.5</v>
      </c>
      <c r="Q113" s="232">
        <f t="shared" si="3"/>
        <v>0</v>
      </c>
    </row>
    <row r="114" spans="1:18" s="13" customFormat="1" x14ac:dyDescent="0.25">
      <c r="A114" s="229"/>
      <c r="B114" s="62" t="s">
        <v>319</v>
      </c>
      <c r="C114" s="181" t="s">
        <v>17</v>
      </c>
      <c r="D114" s="182"/>
      <c r="E114" s="183" t="s">
        <v>20</v>
      </c>
      <c r="F114" s="73" t="s">
        <v>375</v>
      </c>
      <c r="G114" s="74" t="s">
        <v>112</v>
      </c>
      <c r="H114" s="75">
        <v>30</v>
      </c>
      <c r="I114" s="76">
        <v>24</v>
      </c>
      <c r="J114" s="96">
        <f>2+1+4+3+6+2+7+1+2</f>
        <v>28</v>
      </c>
      <c r="K114" s="77">
        <f>710.77+1523.35+6753.23+7215.52+1437.48+28056.52+6091.99+2561.63</f>
        <v>54350.489999999991</v>
      </c>
      <c r="L114" s="77">
        <f>710.77+1523.35+6753.23+7215.52+1437.48+28056.52+6091.99+2561.63</f>
        <v>54350.489999999991</v>
      </c>
      <c r="M114" s="78">
        <f t="shared" si="4"/>
        <v>0</v>
      </c>
      <c r="N114" s="100">
        <f>3+1+2+1+2</f>
        <v>9</v>
      </c>
      <c r="O114" s="77">
        <f>13419.94+726.71+2846.77+3770.56+4653.31</f>
        <v>25417.290000000005</v>
      </c>
      <c r="P114" s="77">
        <f>13419.94+726.71+2846.77+3770.56+4653.31</f>
        <v>25417.290000000005</v>
      </c>
      <c r="Q114" s="79">
        <f>O114-P114</f>
        <v>0</v>
      </c>
      <c r="R114" s="141"/>
    </row>
    <row r="115" spans="1:18" s="15" customFormat="1" x14ac:dyDescent="0.25">
      <c r="A115" s="229"/>
      <c r="B115" s="62" t="s">
        <v>150</v>
      </c>
      <c r="C115" s="181" t="s">
        <v>17</v>
      </c>
      <c r="D115" s="182"/>
      <c r="E115" s="183" t="s">
        <v>35</v>
      </c>
      <c r="F115" s="73" t="s">
        <v>376</v>
      </c>
      <c r="G115" s="74" t="s">
        <v>112</v>
      </c>
      <c r="H115" s="75">
        <v>29</v>
      </c>
      <c r="I115" s="76">
        <v>11</v>
      </c>
      <c r="J115" s="96">
        <f>1+1+2+2+1+3+1</f>
        <v>11</v>
      </c>
      <c r="K115" s="77">
        <f>1343.65+384.2+1690.4+4889.84+2417.43</f>
        <v>10725.52</v>
      </c>
      <c r="L115" s="77">
        <f>1343.65+384.2+1690.4+4889.84</f>
        <v>8308.09</v>
      </c>
      <c r="M115" s="78">
        <f t="shared" si="4"/>
        <v>2417.4300000000003</v>
      </c>
      <c r="N115" s="114">
        <f>8+1+1+2+3+1+1+1</f>
        <v>18</v>
      </c>
      <c r="O115" s="77">
        <f>5997.32+3719.39+3054.34+13138.17+6578.46+6198.68</f>
        <v>38686.36</v>
      </c>
      <c r="P115" s="77">
        <f>5997.32+3719.39+3054.34+13138.17+6578.46+6198.68</f>
        <v>38686.36</v>
      </c>
      <c r="Q115" s="79">
        <f t="shared" si="3"/>
        <v>0</v>
      </c>
      <c r="R115" s="141"/>
    </row>
    <row r="116" spans="1:18" s="15" customFormat="1" x14ac:dyDescent="0.25">
      <c r="A116" s="229"/>
      <c r="B116" s="233" t="s">
        <v>150</v>
      </c>
      <c r="C116" s="181" t="s">
        <v>17</v>
      </c>
      <c r="D116" s="182"/>
      <c r="E116" s="183" t="s">
        <v>32</v>
      </c>
      <c r="F116" s="73" t="s">
        <v>487</v>
      </c>
      <c r="G116" s="230" t="s">
        <v>117</v>
      </c>
      <c r="H116" s="181">
        <v>4</v>
      </c>
      <c r="I116" s="231">
        <v>4</v>
      </c>
      <c r="J116" s="96">
        <v>4</v>
      </c>
      <c r="K116" s="77">
        <v>12443.4</v>
      </c>
      <c r="L116" s="77">
        <v>12443.4</v>
      </c>
      <c r="M116" s="187">
        <f t="shared" si="4"/>
        <v>0</v>
      </c>
      <c r="N116" s="100">
        <v>3</v>
      </c>
      <c r="O116" s="77">
        <v>9645.1</v>
      </c>
      <c r="P116" s="77">
        <v>9645.1</v>
      </c>
      <c r="Q116" s="232">
        <f t="shared" si="3"/>
        <v>0</v>
      </c>
    </row>
    <row r="117" spans="1:18" s="13" customFormat="1" x14ac:dyDescent="0.25">
      <c r="A117" s="229"/>
      <c r="B117" s="30" t="s">
        <v>72</v>
      </c>
      <c r="C117" s="181" t="s">
        <v>17</v>
      </c>
      <c r="D117" s="182"/>
      <c r="E117" s="183" t="s">
        <v>21</v>
      </c>
      <c r="F117" s="73" t="s">
        <v>377</v>
      </c>
      <c r="G117" s="74" t="s">
        <v>112</v>
      </c>
      <c r="H117" s="75">
        <v>22</v>
      </c>
      <c r="I117" s="76">
        <v>10</v>
      </c>
      <c r="J117" s="96">
        <f>1+1+1+1+6+2+1</f>
        <v>13</v>
      </c>
      <c r="K117" s="77">
        <f>633.93+1415.78+1610.18+1394.65+18140.86+2440.63+4140.81</f>
        <v>29776.840000000004</v>
      </c>
      <c r="L117" s="77">
        <f>633.93+1415.78+1610.18+1394.65+18140.86+2440.63+4140.81</f>
        <v>29776.840000000004</v>
      </c>
      <c r="M117" s="78">
        <f>K117-L117</f>
        <v>0</v>
      </c>
      <c r="N117" s="100">
        <f>1+3+1+1+1+3+1+3+1</f>
        <v>15</v>
      </c>
      <c r="O117" s="81">
        <f>1950.74+10237.13+6595.95+3861.21+1348.53+10328.94+50451.86-19567+15859.78</f>
        <v>81067.14</v>
      </c>
      <c r="P117" s="81">
        <f>1950.74+10237.13+6595.95+3861.21+1348.53+10328.94+50451.86-19567+15859.78</f>
        <v>81067.14</v>
      </c>
      <c r="Q117" s="79">
        <f t="shared" si="3"/>
        <v>0</v>
      </c>
      <c r="R117" s="141"/>
    </row>
    <row r="118" spans="1:18" s="13" customFormat="1" x14ac:dyDescent="0.25">
      <c r="A118" s="229"/>
      <c r="B118" s="30" t="s">
        <v>72</v>
      </c>
      <c r="C118" s="181" t="s">
        <v>17</v>
      </c>
      <c r="D118" s="182"/>
      <c r="E118" s="183" t="s">
        <v>21</v>
      </c>
      <c r="F118" s="73" t="s">
        <v>441</v>
      </c>
      <c r="G118" s="230" t="s">
        <v>118</v>
      </c>
      <c r="H118" s="181">
        <v>7</v>
      </c>
      <c r="I118" s="231">
        <v>1</v>
      </c>
      <c r="J118" s="96">
        <v>1</v>
      </c>
      <c r="K118" s="77">
        <v>1728.9</v>
      </c>
      <c r="L118" s="77">
        <v>1728.9</v>
      </c>
      <c r="M118" s="187">
        <f t="shared" si="4"/>
        <v>0</v>
      </c>
      <c r="N118" s="100">
        <v>14</v>
      </c>
      <c r="O118" s="224">
        <v>46633.58</v>
      </c>
      <c r="P118" s="224">
        <v>46633.58</v>
      </c>
      <c r="Q118" s="232">
        <f t="shared" si="3"/>
        <v>0</v>
      </c>
    </row>
    <row r="119" spans="1:18" s="15" customFormat="1" x14ac:dyDescent="0.25">
      <c r="A119" s="229"/>
      <c r="B119" s="30" t="s">
        <v>73</v>
      </c>
      <c r="C119" s="181" t="s">
        <v>17</v>
      </c>
      <c r="D119" s="182"/>
      <c r="E119" s="183" t="s">
        <v>74</v>
      </c>
      <c r="F119" s="73" t="s">
        <v>378</v>
      </c>
      <c r="G119" s="74" t="s">
        <v>112</v>
      </c>
      <c r="H119" s="75">
        <v>31</v>
      </c>
      <c r="I119" s="76">
        <v>27</v>
      </c>
      <c r="J119" s="96">
        <f>9+8+2+2+10+1+6</f>
        <v>38</v>
      </c>
      <c r="K119" s="77">
        <f>6305.33+12574.83+14899.84+13657.06+15923.24</f>
        <v>63360.299999999996</v>
      </c>
      <c r="L119" s="77">
        <f>6305.33+12574.83+14899.84+13657.06+15923.24</f>
        <v>63360.299999999996</v>
      </c>
      <c r="M119" s="78">
        <f>K119-L119</f>
        <v>0</v>
      </c>
      <c r="N119" s="100">
        <f>5+3+3+1+1+2</f>
        <v>15</v>
      </c>
      <c r="O119" s="81">
        <f>5416.39+9506.99+12269.39+7610.68+1928.68</f>
        <v>36732.129999999997</v>
      </c>
      <c r="P119" s="81">
        <f>5416.39+9506.99+12269.39+7610.68+1928.68</f>
        <v>36732.129999999997</v>
      </c>
      <c r="Q119" s="79">
        <f t="shared" si="3"/>
        <v>0</v>
      </c>
      <c r="R119" s="141"/>
    </row>
    <row r="120" spans="1:18" s="15" customFormat="1" x14ac:dyDescent="0.25">
      <c r="A120" s="229"/>
      <c r="B120" s="30" t="s">
        <v>73</v>
      </c>
      <c r="C120" s="181" t="s">
        <v>17</v>
      </c>
      <c r="D120" s="182"/>
      <c r="E120" s="183" t="s">
        <v>74</v>
      </c>
      <c r="F120" s="73" t="s">
        <v>282</v>
      </c>
      <c r="G120" s="230" t="s">
        <v>114</v>
      </c>
      <c r="H120" s="181"/>
      <c r="I120" s="231"/>
      <c r="J120" s="190"/>
      <c r="K120" s="77"/>
      <c r="L120" s="77"/>
      <c r="M120" s="187">
        <f t="shared" ref="M120" si="7">K120-L120</f>
        <v>0</v>
      </c>
      <c r="N120" s="100">
        <v>1</v>
      </c>
      <c r="O120" s="224">
        <v>1728.9</v>
      </c>
      <c r="P120" s="224">
        <v>1728.9</v>
      </c>
      <c r="Q120" s="232">
        <f t="shared" si="3"/>
        <v>0</v>
      </c>
    </row>
    <row r="121" spans="1:18" s="13" customFormat="1" x14ac:dyDescent="0.25">
      <c r="A121" s="229"/>
      <c r="B121" s="30" t="s">
        <v>135</v>
      </c>
      <c r="C121" s="181" t="s">
        <v>17</v>
      </c>
      <c r="D121" s="182"/>
      <c r="E121" s="194" t="s">
        <v>35</v>
      </c>
      <c r="F121" s="73" t="s">
        <v>379</v>
      </c>
      <c r="G121" s="74" t="s">
        <v>112</v>
      </c>
      <c r="H121" s="75">
        <v>31</v>
      </c>
      <c r="I121" s="76">
        <v>22</v>
      </c>
      <c r="J121" s="96">
        <f>1+6+5+3+3+5</f>
        <v>23</v>
      </c>
      <c r="K121" s="77">
        <f>697.32+4374.12+5747.44+4426.94+15712.05</f>
        <v>30957.87</v>
      </c>
      <c r="L121" s="77">
        <f>697.32+4374.12+5747.44+4426.94+15712.05</f>
        <v>30957.87</v>
      </c>
      <c r="M121" s="78">
        <f>K121-L121</f>
        <v>0</v>
      </c>
      <c r="N121" s="100">
        <f>2+5+1+2+2+2</f>
        <v>14</v>
      </c>
      <c r="O121" s="81">
        <f>6432.89+2283.68+4932.13</f>
        <v>13648.7</v>
      </c>
      <c r="P121" s="81">
        <f>6432.89+2283.68+4932.13</f>
        <v>13648.7</v>
      </c>
      <c r="Q121" s="232">
        <f t="shared" si="3"/>
        <v>0</v>
      </c>
      <c r="R121" s="141"/>
    </row>
    <row r="122" spans="1:18" s="13" customFormat="1" x14ac:dyDescent="0.25">
      <c r="A122" s="229"/>
      <c r="B122" s="30" t="s">
        <v>135</v>
      </c>
      <c r="C122" s="181" t="s">
        <v>17</v>
      </c>
      <c r="D122" s="182"/>
      <c r="E122" s="194" t="s">
        <v>35</v>
      </c>
      <c r="F122" s="73" t="s">
        <v>432</v>
      </c>
      <c r="G122" s="230" t="s">
        <v>115</v>
      </c>
      <c r="H122" s="181">
        <v>2</v>
      </c>
      <c r="I122" s="231"/>
      <c r="J122" s="96"/>
      <c r="K122" s="77"/>
      <c r="L122" s="77"/>
      <c r="M122" s="78">
        <f t="shared" si="4"/>
        <v>0</v>
      </c>
      <c r="N122" s="100">
        <v>1</v>
      </c>
      <c r="O122" s="224">
        <v>2689.4</v>
      </c>
      <c r="P122" s="224">
        <v>2689.4</v>
      </c>
      <c r="Q122" s="79">
        <f t="shared" si="3"/>
        <v>0</v>
      </c>
    </row>
    <row r="123" spans="1:18" s="13" customFormat="1" x14ac:dyDescent="0.25">
      <c r="A123" s="229"/>
      <c r="B123" s="30" t="s">
        <v>145</v>
      </c>
      <c r="C123" s="181" t="s">
        <v>17</v>
      </c>
      <c r="D123" s="182"/>
      <c r="E123" s="194" t="s">
        <v>20</v>
      </c>
      <c r="F123" s="73" t="s">
        <v>380</v>
      </c>
      <c r="G123" s="74" t="s">
        <v>112</v>
      </c>
      <c r="H123" s="75">
        <v>14</v>
      </c>
      <c r="I123" s="82">
        <v>12</v>
      </c>
      <c r="J123" s="96">
        <f>2+1+1+2+2+5+3+2</f>
        <v>18</v>
      </c>
      <c r="K123" s="77">
        <f>5169.72+1100+538.84+4293.82+3949.22+3361.76+5643.1+4037.33</f>
        <v>28093.79</v>
      </c>
      <c r="L123" s="77">
        <f>5169.72+1100+538.84+4293.82+3949.22+3361.76+5643.1</f>
        <v>24056.46</v>
      </c>
      <c r="M123" s="78">
        <f>K123-L123</f>
        <v>4037.3300000000017</v>
      </c>
      <c r="N123" s="100">
        <f>1+1+2+1+2</f>
        <v>7</v>
      </c>
      <c r="O123" s="81">
        <f>5120.23+3915.15+1114.12+14002.49</f>
        <v>24151.989999999998</v>
      </c>
      <c r="P123" s="81">
        <f>5120.23+3915.15+1114.12+14002.49</f>
        <v>24151.989999999998</v>
      </c>
      <c r="Q123" s="232">
        <f t="shared" si="3"/>
        <v>0</v>
      </c>
      <c r="R123" s="141"/>
    </row>
    <row r="124" spans="1:18" s="13" customFormat="1" x14ac:dyDescent="0.25">
      <c r="A124" s="229"/>
      <c r="B124" s="30" t="s">
        <v>145</v>
      </c>
      <c r="C124" s="181" t="s">
        <v>17</v>
      </c>
      <c r="D124" s="182"/>
      <c r="E124" s="194" t="s">
        <v>20</v>
      </c>
      <c r="F124" s="73" t="s">
        <v>461</v>
      </c>
      <c r="G124" s="230" t="s">
        <v>114</v>
      </c>
      <c r="H124" s="181">
        <v>5</v>
      </c>
      <c r="I124" s="231">
        <v>1</v>
      </c>
      <c r="J124" s="190">
        <v>1</v>
      </c>
      <c r="K124" s="77">
        <v>1921</v>
      </c>
      <c r="L124" s="77">
        <v>1921</v>
      </c>
      <c r="M124" s="187">
        <f t="shared" ref="M124" si="8">K124-L124</f>
        <v>0</v>
      </c>
      <c r="N124" s="100">
        <v>10</v>
      </c>
      <c r="O124" s="224">
        <v>22933.25</v>
      </c>
      <c r="P124" s="224">
        <v>22933.25</v>
      </c>
      <c r="Q124" s="232">
        <f t="shared" si="3"/>
        <v>0</v>
      </c>
    </row>
    <row r="125" spans="1:18" s="13" customFormat="1" x14ac:dyDescent="0.25">
      <c r="A125" s="229"/>
      <c r="B125" s="62" t="s">
        <v>76</v>
      </c>
      <c r="C125" s="181" t="s">
        <v>17</v>
      </c>
      <c r="D125" s="182"/>
      <c r="E125" s="183" t="s">
        <v>20</v>
      </c>
      <c r="F125" s="73" t="s">
        <v>381</v>
      </c>
      <c r="G125" s="74" t="s">
        <v>112</v>
      </c>
      <c r="H125" s="75">
        <v>22</v>
      </c>
      <c r="I125" s="76">
        <v>17</v>
      </c>
      <c r="J125" s="96">
        <f>1+6+3+1+3+1+2+2+2</f>
        <v>21</v>
      </c>
      <c r="K125" s="77">
        <f>6556.06+2806.39+2697.06+1267.86+11775.51+1557.35+2113.1+4117.36</f>
        <v>32890.689999999995</v>
      </c>
      <c r="L125" s="77">
        <f>6556.06+2806.39+2697.06+1267.86+11775.51+1557.35+2113.1+4117.36</f>
        <v>32890.689999999995</v>
      </c>
      <c r="M125" s="78">
        <f>K125-L125</f>
        <v>0</v>
      </c>
      <c r="N125" s="100">
        <f>5+6+2+1+1+1+1</f>
        <v>17</v>
      </c>
      <c r="O125" s="81">
        <f>11527.9+19846.52+1011.91+9641+2451.87+10072.83+11307.66+2243.83+6181.56</f>
        <v>74285.08</v>
      </c>
      <c r="P125" s="81">
        <f>11527.9+19846.52+1011.91+9641+2451.87+10072.83+11307.66+2243.83+6181.56</f>
        <v>74285.08</v>
      </c>
      <c r="Q125" s="232">
        <f t="shared" si="3"/>
        <v>0</v>
      </c>
      <c r="R125" s="141"/>
    </row>
    <row r="126" spans="1:18" s="13" customFormat="1" x14ac:dyDescent="0.25">
      <c r="A126" s="229"/>
      <c r="B126" s="62" t="s">
        <v>76</v>
      </c>
      <c r="C126" s="181" t="s">
        <v>17</v>
      </c>
      <c r="D126" s="182"/>
      <c r="E126" s="183" t="s">
        <v>20</v>
      </c>
      <c r="F126" s="73" t="s">
        <v>462</v>
      </c>
      <c r="G126" s="230" t="s">
        <v>114</v>
      </c>
      <c r="H126" s="181">
        <v>13</v>
      </c>
      <c r="I126" s="231">
        <v>1</v>
      </c>
      <c r="J126" s="190">
        <v>1</v>
      </c>
      <c r="K126" s="77">
        <v>2113.1</v>
      </c>
      <c r="L126" s="77">
        <v>2113.1</v>
      </c>
      <c r="M126" s="187">
        <f t="shared" ref="M126" si="9">K126-L126</f>
        <v>0</v>
      </c>
      <c r="N126" s="100">
        <v>8</v>
      </c>
      <c r="O126" s="224">
        <v>27398.29</v>
      </c>
      <c r="P126" s="224">
        <v>27398.29</v>
      </c>
      <c r="Q126" s="232">
        <f t="shared" si="3"/>
        <v>0</v>
      </c>
    </row>
    <row r="127" spans="1:18" s="13" customFormat="1" x14ac:dyDescent="0.25">
      <c r="A127" s="229"/>
      <c r="B127" s="30" t="s">
        <v>77</v>
      </c>
      <c r="C127" s="181" t="s">
        <v>17</v>
      </c>
      <c r="D127" s="182"/>
      <c r="E127" s="183" t="s">
        <v>32</v>
      </c>
      <c r="F127" s="73" t="s">
        <v>388</v>
      </c>
      <c r="G127" s="74" t="s">
        <v>112</v>
      </c>
      <c r="H127" s="75">
        <v>18</v>
      </c>
      <c r="I127" s="76">
        <v>12</v>
      </c>
      <c r="J127" s="96">
        <f>2+2+2+6+1+1+1</f>
        <v>15</v>
      </c>
      <c r="K127" s="77">
        <f>2440.63+1507.02+2101.48+13625.7+1324.62</f>
        <v>20999.45</v>
      </c>
      <c r="L127" s="77">
        <f>2440.63+1507.02+2101.48+13625.7+1324.62</f>
        <v>20999.45</v>
      </c>
      <c r="M127" s="78">
        <f>K127-L127</f>
        <v>0</v>
      </c>
      <c r="N127" s="100">
        <f>5+2+3+3+1+1</f>
        <v>15</v>
      </c>
      <c r="O127" s="81">
        <f>11716.73+6848.82+4046.18+11166.34+8845.95</f>
        <v>42624.020000000004</v>
      </c>
      <c r="P127" s="81">
        <f>11716.73+6848.82+4046.18+11166.34+8845.95</f>
        <v>42624.020000000004</v>
      </c>
      <c r="Q127" s="232">
        <f t="shared" si="3"/>
        <v>0</v>
      </c>
      <c r="R127" s="141"/>
    </row>
    <row r="128" spans="1:18" s="13" customFormat="1" x14ac:dyDescent="0.25">
      <c r="A128" s="229"/>
      <c r="B128" s="30" t="s">
        <v>77</v>
      </c>
      <c r="C128" s="181" t="s">
        <v>17</v>
      </c>
      <c r="D128" s="182"/>
      <c r="E128" s="183" t="s">
        <v>32</v>
      </c>
      <c r="F128" s="73" t="s">
        <v>433</v>
      </c>
      <c r="G128" s="230" t="s">
        <v>117</v>
      </c>
      <c r="H128" s="181">
        <v>2</v>
      </c>
      <c r="I128" s="231">
        <v>1</v>
      </c>
      <c r="J128" s="96">
        <v>1</v>
      </c>
      <c r="K128" s="77">
        <v>1921</v>
      </c>
      <c r="L128" s="77">
        <v>1921</v>
      </c>
      <c r="M128" s="78">
        <f t="shared" si="4"/>
        <v>0</v>
      </c>
      <c r="N128" s="100">
        <v>6</v>
      </c>
      <c r="O128" s="224">
        <v>18164.11</v>
      </c>
      <c r="P128" s="224">
        <v>18164.11</v>
      </c>
      <c r="Q128" s="79">
        <f t="shared" si="3"/>
        <v>0</v>
      </c>
    </row>
    <row r="129" spans="1:18" s="13" customFormat="1" x14ac:dyDescent="0.25">
      <c r="A129" s="229"/>
      <c r="B129" s="30" t="s">
        <v>321</v>
      </c>
      <c r="C129" s="181" t="s">
        <v>17</v>
      </c>
      <c r="D129" s="182"/>
      <c r="E129" s="183" t="s">
        <v>21</v>
      </c>
      <c r="F129" s="73" t="s">
        <v>489</v>
      </c>
      <c r="G129" s="230" t="s">
        <v>112</v>
      </c>
      <c r="H129" s="181">
        <v>6</v>
      </c>
      <c r="I129" s="231">
        <v>1</v>
      </c>
      <c r="J129" s="96">
        <f>1</f>
        <v>1</v>
      </c>
      <c r="K129" s="77">
        <f>2547.89</f>
        <v>2547.89</v>
      </c>
      <c r="L129" s="77">
        <f>2547.89</f>
        <v>2547.89</v>
      </c>
      <c r="M129" s="78">
        <f t="shared" si="4"/>
        <v>0</v>
      </c>
      <c r="N129" s="100"/>
      <c r="O129" s="224"/>
      <c r="P129" s="224"/>
      <c r="Q129" s="79">
        <f t="shared" si="3"/>
        <v>0</v>
      </c>
      <c r="R129" s="141"/>
    </row>
    <row r="130" spans="1:18" s="13" customFormat="1" ht="30" x14ac:dyDescent="0.25">
      <c r="A130" s="229"/>
      <c r="B130" s="62" t="s">
        <v>79</v>
      </c>
      <c r="C130" s="181" t="s">
        <v>304</v>
      </c>
      <c r="D130" s="182" t="s">
        <v>385</v>
      </c>
      <c r="E130" s="183" t="s">
        <v>18</v>
      </c>
      <c r="F130" s="73" t="s">
        <v>389</v>
      </c>
      <c r="G130" s="74" t="s">
        <v>112</v>
      </c>
      <c r="H130" s="75">
        <v>18</v>
      </c>
      <c r="I130" s="76">
        <v>12</v>
      </c>
      <c r="J130" s="96">
        <f>2+5+2+3+2+2</f>
        <v>16</v>
      </c>
      <c r="K130" s="77">
        <f>2091.97+3190.2+5703.08+6368.88+4029.68+4560.06</f>
        <v>25943.870000000003</v>
      </c>
      <c r="L130" s="77">
        <f>2091.97+3190.2+5703.08+6368.88+4029.68</f>
        <v>21383.81</v>
      </c>
      <c r="M130" s="78">
        <f t="shared" si="4"/>
        <v>4560.0600000000013</v>
      </c>
      <c r="N130" s="100">
        <f>2+2+1+2+1+1+3</f>
        <v>12</v>
      </c>
      <c r="O130" s="81">
        <f>1547.4+4166.12+7835.61+1675.01+4717.63+6039.62+18829.39+23135.63</f>
        <v>67946.41</v>
      </c>
      <c r="P130" s="81">
        <f>1547.4+4166.12+7835.61+1675.01+4717.63+6039.62+18829.39</f>
        <v>44810.78</v>
      </c>
      <c r="Q130" s="232">
        <f t="shared" si="3"/>
        <v>23135.630000000005</v>
      </c>
      <c r="R130" s="141"/>
    </row>
    <row r="131" spans="1:18" s="13" customFormat="1" ht="30" x14ac:dyDescent="0.25">
      <c r="A131" s="229"/>
      <c r="B131" s="62" t="s">
        <v>79</v>
      </c>
      <c r="C131" s="181" t="s">
        <v>304</v>
      </c>
      <c r="D131" s="182" t="s">
        <v>475</v>
      </c>
      <c r="E131" s="183" t="s">
        <v>18</v>
      </c>
      <c r="F131" s="73" t="s">
        <v>329</v>
      </c>
      <c r="G131" s="230" t="s">
        <v>113</v>
      </c>
      <c r="H131" s="181">
        <v>41</v>
      </c>
      <c r="I131" s="234">
        <v>27</v>
      </c>
      <c r="J131" s="98">
        <v>31</v>
      </c>
      <c r="K131" s="224">
        <v>41069</v>
      </c>
      <c r="L131" s="224">
        <v>27151</v>
      </c>
      <c r="M131" s="78">
        <f t="shared" si="4"/>
        <v>13918</v>
      </c>
      <c r="N131" s="100">
        <v>15</v>
      </c>
      <c r="O131" s="224">
        <v>54906</v>
      </c>
      <c r="P131" s="224">
        <v>54906</v>
      </c>
      <c r="Q131" s="79">
        <f t="shared" si="3"/>
        <v>0</v>
      </c>
    </row>
    <row r="132" spans="1:18" s="13" customFormat="1" x14ac:dyDescent="0.25">
      <c r="A132" s="229"/>
      <c r="B132" s="62" t="s">
        <v>151</v>
      </c>
      <c r="C132" s="181" t="s">
        <v>17</v>
      </c>
      <c r="D132" s="182"/>
      <c r="E132" s="183" t="s">
        <v>32</v>
      </c>
      <c r="F132" s="73" t="s">
        <v>390</v>
      </c>
      <c r="G132" s="74" t="s">
        <v>112</v>
      </c>
      <c r="H132" s="75">
        <v>55</v>
      </c>
      <c r="I132" s="82">
        <v>43</v>
      </c>
      <c r="J132" s="96">
        <f>1+3+3+5+3+9+4+6+3+2+6+5+3+2</f>
        <v>55</v>
      </c>
      <c r="K132" s="81">
        <f>2317+4640.19+5864.19+10765+12519.53+4514.35+14486.46+3421.94+27163.56</f>
        <v>85692.22</v>
      </c>
      <c r="L132" s="81">
        <f>2317+4640.19+5864.19+10765+12519.53+4514.35+14486.46+3421.94+27163.56</f>
        <v>85692.22</v>
      </c>
      <c r="M132" s="78">
        <f>K132-L132</f>
        <v>0</v>
      </c>
      <c r="N132" s="100">
        <f>9+3+5+1+4+4+1</f>
        <v>27</v>
      </c>
      <c r="O132" s="81">
        <f>10726.94+18822.65+5703.53+12846.53+1320.36+4050.1+22728.38</f>
        <v>76198.490000000005</v>
      </c>
      <c r="P132" s="81">
        <f>10726.94+18822.65+5703.53+12846.53+1320.36+4050.1+22728.38</f>
        <v>76198.490000000005</v>
      </c>
      <c r="Q132" s="232">
        <f t="shared" si="3"/>
        <v>0</v>
      </c>
      <c r="R132" s="141"/>
    </row>
    <row r="133" spans="1:18" s="13" customFormat="1" x14ac:dyDescent="0.25">
      <c r="A133" s="229"/>
      <c r="B133" s="62" t="s">
        <v>151</v>
      </c>
      <c r="C133" s="181" t="s">
        <v>17</v>
      </c>
      <c r="D133" s="182"/>
      <c r="E133" s="183" t="s">
        <v>32</v>
      </c>
      <c r="F133" s="73" t="s">
        <v>434</v>
      </c>
      <c r="G133" s="230" t="s">
        <v>117</v>
      </c>
      <c r="H133" s="181">
        <v>11</v>
      </c>
      <c r="I133" s="231">
        <v>3</v>
      </c>
      <c r="J133" s="96">
        <v>3</v>
      </c>
      <c r="K133" s="77">
        <v>3411.9</v>
      </c>
      <c r="L133" s="77">
        <v>3411.9</v>
      </c>
      <c r="M133" s="78">
        <f t="shared" si="4"/>
        <v>0</v>
      </c>
      <c r="N133" s="100">
        <v>13</v>
      </c>
      <c r="O133" s="224">
        <v>24537.7</v>
      </c>
      <c r="P133" s="224">
        <v>24537.7</v>
      </c>
      <c r="Q133" s="79">
        <f t="shared" si="3"/>
        <v>0</v>
      </c>
    </row>
    <row r="134" spans="1:18" s="13" customFormat="1" x14ac:dyDescent="0.25">
      <c r="A134" s="229"/>
      <c r="B134" s="62" t="s">
        <v>80</v>
      </c>
      <c r="C134" s="181" t="s">
        <v>17</v>
      </c>
      <c r="D134" s="182"/>
      <c r="E134" s="183" t="s">
        <v>81</v>
      </c>
      <c r="F134" s="73" t="s">
        <v>417</v>
      </c>
      <c r="G134" s="74" t="s">
        <v>112</v>
      </c>
      <c r="H134" s="75"/>
      <c r="I134" s="76"/>
      <c r="J134" s="96"/>
      <c r="K134" s="77">
        <f>749.19+8649.27</f>
        <v>9398.4600000000009</v>
      </c>
      <c r="L134" s="77">
        <f>749.19+8649.27</f>
        <v>9398.4600000000009</v>
      </c>
      <c r="M134" s="78">
        <f>K134-L134</f>
        <v>0</v>
      </c>
      <c r="N134" s="100">
        <f>2+2</f>
        <v>4</v>
      </c>
      <c r="O134" s="81">
        <f>3040.94+9398.46</f>
        <v>12439.4</v>
      </c>
      <c r="P134" s="81">
        <f>3040.94+9398.46</f>
        <v>12439.4</v>
      </c>
      <c r="Q134" s="232">
        <f t="shared" si="3"/>
        <v>0</v>
      </c>
      <c r="R134" s="141"/>
    </row>
    <row r="135" spans="1:18" s="13" customFormat="1" x14ac:dyDescent="0.25">
      <c r="A135" s="229"/>
      <c r="B135" s="62" t="s">
        <v>80</v>
      </c>
      <c r="C135" s="181" t="s">
        <v>17</v>
      </c>
      <c r="D135" s="182"/>
      <c r="E135" s="183" t="s">
        <v>81</v>
      </c>
      <c r="F135" s="73" t="s">
        <v>285</v>
      </c>
      <c r="G135" s="230" t="s">
        <v>114</v>
      </c>
      <c r="H135" s="181"/>
      <c r="I135" s="231"/>
      <c r="J135" s="190"/>
      <c r="K135" s="77"/>
      <c r="L135" s="77"/>
      <c r="M135" s="187">
        <f t="shared" ref="M135" si="10">K135-L135</f>
        <v>0</v>
      </c>
      <c r="N135" s="100">
        <v>23</v>
      </c>
      <c r="O135" s="224">
        <v>58735.99</v>
      </c>
      <c r="P135" s="224">
        <v>58735.99</v>
      </c>
      <c r="Q135" s="232">
        <f t="shared" si="3"/>
        <v>0</v>
      </c>
    </row>
    <row r="136" spans="1:18" s="13" customFormat="1" x14ac:dyDescent="0.25">
      <c r="A136" s="229"/>
      <c r="B136" s="30" t="s">
        <v>82</v>
      </c>
      <c r="C136" s="181" t="s">
        <v>17</v>
      </c>
      <c r="D136" s="182"/>
      <c r="E136" s="183" t="s">
        <v>20</v>
      </c>
      <c r="F136" s="73" t="s">
        <v>394</v>
      </c>
      <c r="G136" s="74" t="s">
        <v>112</v>
      </c>
      <c r="H136" s="75">
        <v>13</v>
      </c>
      <c r="I136" s="76">
        <v>11</v>
      </c>
      <c r="J136" s="96">
        <f>4+3+2+2+1+1</f>
        <v>13</v>
      </c>
      <c r="K136" s="77">
        <f>7750.47+2207.69+1376.8</f>
        <v>11334.96</v>
      </c>
      <c r="L136" s="77">
        <f>7750.47+2207.69+1376.8</f>
        <v>11334.96</v>
      </c>
      <c r="M136" s="78">
        <f>K136-L136</f>
        <v>0</v>
      </c>
      <c r="N136" s="100">
        <f>3+5+1+1+1</f>
        <v>11</v>
      </c>
      <c r="O136" s="81">
        <f>5975.84+23579.15+1426.34</f>
        <v>30981.33</v>
      </c>
      <c r="P136" s="81">
        <f>5975.84+23579.15+1426.34</f>
        <v>30981.33</v>
      </c>
      <c r="Q136" s="232">
        <f t="shared" si="3"/>
        <v>0</v>
      </c>
      <c r="R136" s="141"/>
    </row>
    <row r="137" spans="1:18" s="13" customFormat="1" x14ac:dyDescent="0.25">
      <c r="A137" s="229"/>
      <c r="B137" s="30" t="s">
        <v>82</v>
      </c>
      <c r="C137" s="181" t="s">
        <v>17</v>
      </c>
      <c r="D137" s="182"/>
      <c r="E137" s="183" t="s">
        <v>20</v>
      </c>
      <c r="F137" s="73" t="s">
        <v>463</v>
      </c>
      <c r="G137" s="230" t="s">
        <v>114</v>
      </c>
      <c r="H137" s="181">
        <v>19</v>
      </c>
      <c r="I137" s="231">
        <v>5</v>
      </c>
      <c r="J137" s="190">
        <v>5</v>
      </c>
      <c r="K137" s="77">
        <v>11385.5</v>
      </c>
      <c r="L137" s="77">
        <v>10181.299999999999</v>
      </c>
      <c r="M137" s="187">
        <f t="shared" ref="M137" si="11">K137-L137</f>
        <v>1204.2000000000007</v>
      </c>
      <c r="N137" s="100">
        <v>14</v>
      </c>
      <c r="O137" s="224">
        <v>48620.71</v>
      </c>
      <c r="P137" s="224">
        <v>48620.71</v>
      </c>
      <c r="Q137" s="232">
        <f t="shared" si="3"/>
        <v>0</v>
      </c>
    </row>
    <row r="138" spans="1:18" s="13" customFormat="1" x14ac:dyDescent="0.25">
      <c r="A138" s="229"/>
      <c r="B138" s="30" t="s">
        <v>309</v>
      </c>
      <c r="C138" s="181"/>
      <c r="D138" s="182"/>
      <c r="E138" s="183" t="s">
        <v>20</v>
      </c>
      <c r="F138" s="73" t="s">
        <v>391</v>
      </c>
      <c r="G138" s="230" t="s">
        <v>112</v>
      </c>
      <c r="H138" s="181">
        <v>14</v>
      </c>
      <c r="I138" s="231">
        <v>9</v>
      </c>
      <c r="J138" s="190">
        <f>1+5+2+1+1</f>
        <v>10</v>
      </c>
      <c r="K138" s="77">
        <f>3606.1+3402.77+2649.24+993.47</f>
        <v>10651.58</v>
      </c>
      <c r="L138" s="77">
        <f>3606.1+3402.77+2649.24</f>
        <v>9658.11</v>
      </c>
      <c r="M138" s="78">
        <f t="shared" si="4"/>
        <v>993.46999999999935</v>
      </c>
      <c r="N138" s="100">
        <f>1+5+1+3</f>
        <v>10</v>
      </c>
      <c r="O138" s="224">
        <f>3088.97+13147.65+1267.86+5955.71</f>
        <v>23460.19</v>
      </c>
      <c r="P138" s="224">
        <f>3088.97+13147.65+1267.86+5955.71</f>
        <v>23460.19</v>
      </c>
      <c r="Q138" s="232">
        <f t="shared" si="3"/>
        <v>0</v>
      </c>
      <c r="R138" s="141"/>
    </row>
    <row r="139" spans="1:18" s="13" customFormat="1" x14ac:dyDescent="0.25">
      <c r="A139" s="229"/>
      <c r="B139" s="30" t="s">
        <v>152</v>
      </c>
      <c r="C139" s="181" t="s">
        <v>17</v>
      </c>
      <c r="D139" s="182"/>
      <c r="E139" s="183" t="s">
        <v>35</v>
      </c>
      <c r="F139" s="73" t="s">
        <v>392</v>
      </c>
      <c r="G139" s="74" t="s">
        <v>112</v>
      </c>
      <c r="H139" s="75">
        <v>7</v>
      </c>
      <c r="I139" s="76">
        <v>6</v>
      </c>
      <c r="J139" s="96">
        <f>1+1+2+1+1+1</f>
        <v>7</v>
      </c>
      <c r="K139" s="77">
        <f>403.41+845.24+2113.1</f>
        <v>3361.75</v>
      </c>
      <c r="L139" s="77">
        <f>403.41+845.24+2113.1</f>
        <v>3361.75</v>
      </c>
      <c r="M139" s="78">
        <f t="shared" si="4"/>
        <v>0</v>
      </c>
      <c r="N139" s="100">
        <f>2+2+2+1+1+1+2</f>
        <v>11</v>
      </c>
      <c r="O139" s="81">
        <f>1690.48+3050.26+3661.61+4648.82+1267.86+1690.48+9282.42+4052.53</f>
        <v>29344.46</v>
      </c>
      <c r="P139" s="81">
        <f>1690.48+3050.26+3661.61+4648.82+1267.86+1690.48+9282.42+4052.53</f>
        <v>29344.46</v>
      </c>
      <c r="Q139" s="232">
        <f t="shared" si="3"/>
        <v>0</v>
      </c>
      <c r="R139" s="141"/>
    </row>
    <row r="140" spans="1:18" s="13" customFormat="1" x14ac:dyDescent="0.25">
      <c r="A140" s="229"/>
      <c r="B140" s="30" t="s">
        <v>83</v>
      </c>
      <c r="C140" s="181" t="s">
        <v>17</v>
      </c>
      <c r="D140" s="182"/>
      <c r="E140" s="183" t="s">
        <v>20</v>
      </c>
      <c r="F140" s="73" t="s">
        <v>393</v>
      </c>
      <c r="G140" s="74" t="s">
        <v>112</v>
      </c>
      <c r="H140" s="75">
        <v>12</v>
      </c>
      <c r="I140" s="76">
        <v>8</v>
      </c>
      <c r="J140" s="96">
        <f>1+1+2+1+1+1+1+1</f>
        <v>9</v>
      </c>
      <c r="K140" s="77">
        <f>768.4+2535.72+845.24+14407.5+883.08</f>
        <v>19439.940000000002</v>
      </c>
      <c r="L140" s="77">
        <f>768.4+2535.72+845.24+14407.5+883.08</f>
        <v>19439.940000000002</v>
      </c>
      <c r="M140" s="78">
        <f>K140-L140</f>
        <v>0</v>
      </c>
      <c r="N140" s="100">
        <f>1+2+1+1+1+2</f>
        <v>8</v>
      </c>
      <c r="O140" s="81">
        <f>5837.09+1922.92+4288.54+1686.25</f>
        <v>13734.8</v>
      </c>
      <c r="P140" s="81">
        <f>5837.09+1922.92+4288.54+1686.25</f>
        <v>13734.8</v>
      </c>
      <c r="Q140" s="232">
        <f t="shared" si="3"/>
        <v>0</v>
      </c>
      <c r="R140" s="141"/>
    </row>
    <row r="141" spans="1:18" s="13" customFormat="1" x14ac:dyDescent="0.25">
      <c r="A141" s="229"/>
      <c r="B141" s="30" t="s">
        <v>83</v>
      </c>
      <c r="C141" s="181" t="s">
        <v>17</v>
      </c>
      <c r="D141" s="182"/>
      <c r="E141" s="183" t="s">
        <v>20</v>
      </c>
      <c r="F141" s="73" t="s">
        <v>464</v>
      </c>
      <c r="G141" s="230" t="s">
        <v>114</v>
      </c>
      <c r="H141" s="181">
        <v>30</v>
      </c>
      <c r="I141" s="231">
        <v>7</v>
      </c>
      <c r="J141" s="190">
        <v>7</v>
      </c>
      <c r="K141" s="77">
        <v>24797.49</v>
      </c>
      <c r="L141" s="77">
        <v>19177.89</v>
      </c>
      <c r="M141" s="187">
        <f t="shared" ref="M141" si="12">K141-L141</f>
        <v>5619.6000000000022</v>
      </c>
      <c r="N141" s="100">
        <v>28</v>
      </c>
      <c r="O141" s="224">
        <v>106750.62</v>
      </c>
      <c r="P141" s="224">
        <v>85315.86</v>
      </c>
      <c r="Q141" s="232">
        <f t="shared" si="3"/>
        <v>21434.759999999995</v>
      </c>
    </row>
    <row r="142" spans="1:18" s="13" customFormat="1" ht="45" x14ac:dyDescent="0.25">
      <c r="A142" s="229"/>
      <c r="B142" s="30" t="s">
        <v>85</v>
      </c>
      <c r="C142" s="181" t="s">
        <v>304</v>
      </c>
      <c r="D142" s="182" t="s">
        <v>415</v>
      </c>
      <c r="E142" s="183" t="s">
        <v>20</v>
      </c>
      <c r="F142" s="73" t="s">
        <v>395</v>
      </c>
      <c r="G142" s="74" t="s">
        <v>112</v>
      </c>
      <c r="H142" s="75">
        <v>18</v>
      </c>
      <c r="I142" s="76">
        <v>7</v>
      </c>
      <c r="J142" s="96">
        <f>2+1</f>
        <v>3</v>
      </c>
      <c r="K142" s="77">
        <f>4800.58+2591.84</f>
        <v>7392.42</v>
      </c>
      <c r="L142" s="77">
        <f>4800.58+2591.84</f>
        <v>7392.42</v>
      </c>
      <c r="M142" s="78">
        <f t="shared" si="4"/>
        <v>0</v>
      </c>
      <c r="N142" s="100">
        <f>2+1+2</f>
        <v>5</v>
      </c>
      <c r="O142" s="81">
        <f>3917.73+8936.21+5669.37+31185.72+18292.46</f>
        <v>68001.489999999991</v>
      </c>
      <c r="P142" s="81">
        <f>3917.73+8936.21+5669.37+31185.72+18292.46</f>
        <v>68001.489999999991</v>
      </c>
      <c r="Q142" s="79">
        <f t="shared" si="3"/>
        <v>0</v>
      </c>
      <c r="R142" s="141"/>
    </row>
    <row r="143" spans="1:18" s="13" customFormat="1" x14ac:dyDescent="0.25">
      <c r="A143" s="229"/>
      <c r="B143" s="27" t="s">
        <v>86</v>
      </c>
      <c r="C143" s="181" t="s">
        <v>17</v>
      </c>
      <c r="D143" s="182"/>
      <c r="E143" s="194" t="s">
        <v>20</v>
      </c>
      <c r="F143" s="73" t="s">
        <v>396</v>
      </c>
      <c r="G143" s="74" t="s">
        <v>112</v>
      </c>
      <c r="H143" s="75">
        <v>17</v>
      </c>
      <c r="I143" s="76">
        <v>10</v>
      </c>
      <c r="J143" s="96">
        <f>1+3+1+7+2+2</f>
        <v>16</v>
      </c>
      <c r="K143" s="77">
        <f>950.9+5134.06+2091.97+528.03+8954.46+5719.74</f>
        <v>23379.159999999996</v>
      </c>
      <c r="L143" s="77">
        <f>950.9+5134.06+2091.97+528.03+8954.46+5719.74</f>
        <v>23379.159999999996</v>
      </c>
      <c r="M143" s="78">
        <f t="shared" si="4"/>
        <v>0</v>
      </c>
      <c r="N143" s="100">
        <f>15+4+2+1+2+2</f>
        <v>26</v>
      </c>
      <c r="O143" s="81">
        <f>30236.61+18366.75+8887.09+1077.68+8961.95</f>
        <v>67530.080000000002</v>
      </c>
      <c r="P143" s="81">
        <f>30236.61+18366.75+8887.09+1077.68+8961.95</f>
        <v>67530.080000000002</v>
      </c>
      <c r="Q143" s="232">
        <f t="shared" si="3"/>
        <v>0</v>
      </c>
      <c r="R143" s="141"/>
    </row>
    <row r="144" spans="1:18" s="13" customFormat="1" x14ac:dyDescent="0.25">
      <c r="A144" s="229"/>
      <c r="B144" s="27" t="s">
        <v>86</v>
      </c>
      <c r="C144" s="181" t="s">
        <v>17</v>
      </c>
      <c r="D144" s="182"/>
      <c r="E144" s="194" t="s">
        <v>20</v>
      </c>
      <c r="F144" s="73" t="s">
        <v>465</v>
      </c>
      <c r="G144" s="230" t="s">
        <v>114</v>
      </c>
      <c r="H144" s="181">
        <v>8</v>
      </c>
      <c r="I144" s="231">
        <v>1</v>
      </c>
      <c r="J144" s="190">
        <v>1</v>
      </c>
      <c r="K144" s="77">
        <v>3933.72</v>
      </c>
      <c r="L144" s="77">
        <v>3933.72</v>
      </c>
      <c r="M144" s="187">
        <f t="shared" si="4"/>
        <v>0</v>
      </c>
      <c r="N144" s="100">
        <v>9</v>
      </c>
      <c r="O144" s="224">
        <v>20829.13</v>
      </c>
      <c r="P144" s="224">
        <v>15209.53</v>
      </c>
      <c r="Q144" s="232">
        <f t="shared" si="3"/>
        <v>5619.6</v>
      </c>
    </row>
    <row r="145" spans="1:18" s="13" customFormat="1" x14ac:dyDescent="0.25">
      <c r="A145" s="229"/>
      <c r="B145" s="62" t="s">
        <v>312</v>
      </c>
      <c r="C145" s="181" t="s">
        <v>17</v>
      </c>
      <c r="D145" s="182"/>
      <c r="E145" s="194" t="s">
        <v>20</v>
      </c>
      <c r="F145" s="73" t="s">
        <v>320</v>
      </c>
      <c r="G145" s="74" t="s">
        <v>112</v>
      </c>
      <c r="H145" s="75">
        <v>16</v>
      </c>
      <c r="I145" s="76">
        <v>13</v>
      </c>
      <c r="J145" s="96">
        <f>1+1+1+2+3+4</f>
        <v>12</v>
      </c>
      <c r="K145" s="77">
        <f>3319.49+845.24+4965.79</f>
        <v>9130.52</v>
      </c>
      <c r="L145" s="77">
        <f>3319.49+845.24+4965.79</f>
        <v>9130.52</v>
      </c>
      <c r="M145" s="78">
        <f t="shared" si="4"/>
        <v>0</v>
      </c>
      <c r="N145" s="100">
        <f>5+6+1+1</f>
        <v>13</v>
      </c>
      <c r="O145" s="81">
        <f>4226.2+6627.45+4360.59+6336.1</f>
        <v>21550.34</v>
      </c>
      <c r="P145" s="81">
        <f>4226.2+6627.45+4360.59</f>
        <v>15214.24</v>
      </c>
      <c r="Q145" s="232">
        <f t="shared" si="3"/>
        <v>6336.1</v>
      </c>
      <c r="R145" s="141"/>
    </row>
    <row r="146" spans="1:18" s="13" customFormat="1" x14ac:dyDescent="0.25">
      <c r="A146" s="229"/>
      <c r="B146" s="62" t="s">
        <v>494</v>
      </c>
      <c r="C146" s="181" t="s">
        <v>17</v>
      </c>
      <c r="D146" s="182"/>
      <c r="E146" s="194" t="s">
        <v>20</v>
      </c>
      <c r="F146" s="73" t="s">
        <v>497</v>
      </c>
      <c r="G146" s="74" t="s">
        <v>112</v>
      </c>
      <c r="H146" s="75">
        <v>13</v>
      </c>
      <c r="I146" s="76">
        <v>9</v>
      </c>
      <c r="J146" s="96">
        <f>1+1+1+1+2+1+2</f>
        <v>9</v>
      </c>
      <c r="K146" s="77">
        <f>3379+5494.06+576.3+2417.43+3057.66+2384.32</f>
        <v>17308.77</v>
      </c>
      <c r="L146" s="77">
        <f>3379+5494.06+576.3+2417.43+3057.66+2384.32</f>
        <v>17308.77</v>
      </c>
      <c r="M146" s="78">
        <f t="shared" si="4"/>
        <v>0</v>
      </c>
      <c r="N146" s="100"/>
      <c r="O146" s="81"/>
      <c r="P146" s="81"/>
      <c r="Q146" s="232">
        <f t="shared" ref="Q146:Q190" si="13">O146-P146</f>
        <v>0</v>
      </c>
      <c r="R146" s="141"/>
    </row>
    <row r="147" spans="1:18" s="13" customFormat="1" x14ac:dyDescent="0.25">
      <c r="A147" s="229"/>
      <c r="B147" s="62" t="s">
        <v>494</v>
      </c>
      <c r="C147" s="181" t="s">
        <v>17</v>
      </c>
      <c r="D147" s="182"/>
      <c r="E147" s="194" t="s">
        <v>20</v>
      </c>
      <c r="F147" s="73" t="s">
        <v>507</v>
      </c>
      <c r="G147" s="74" t="s">
        <v>114</v>
      </c>
      <c r="H147" s="75">
        <v>33</v>
      </c>
      <c r="I147" s="76">
        <v>4</v>
      </c>
      <c r="J147" s="96">
        <v>4</v>
      </c>
      <c r="K147" s="77">
        <v>14361.56</v>
      </c>
      <c r="L147" s="77">
        <v>8300.42</v>
      </c>
      <c r="M147" s="187">
        <f t="shared" si="4"/>
        <v>6061.1399999999994</v>
      </c>
      <c r="N147" s="100"/>
      <c r="O147" s="81"/>
      <c r="P147" s="81"/>
      <c r="Q147" s="232">
        <f t="shared" si="13"/>
        <v>0</v>
      </c>
      <c r="R147" s="141"/>
    </row>
    <row r="148" spans="1:18" s="13" customFormat="1" x14ac:dyDescent="0.25">
      <c r="A148" s="229"/>
      <c r="B148" s="30" t="s">
        <v>88</v>
      </c>
      <c r="C148" s="181" t="s">
        <v>17</v>
      </c>
      <c r="D148" s="182"/>
      <c r="E148" s="183" t="s">
        <v>89</v>
      </c>
      <c r="F148" s="73" t="s">
        <v>397</v>
      </c>
      <c r="G148" s="74" t="s">
        <v>112</v>
      </c>
      <c r="H148" s="75">
        <v>19</v>
      </c>
      <c r="I148" s="76">
        <v>12</v>
      </c>
      <c r="J148" s="96">
        <f>1+3+1+2+4+1</f>
        <v>12</v>
      </c>
      <c r="K148" s="77">
        <f>4226.2+2394.91+6485.1+556.71+4126.31+9704.16</f>
        <v>27493.39</v>
      </c>
      <c r="L148" s="77">
        <f>4226.2+2394.91+6485.1+556.71+4126.31</f>
        <v>17789.23</v>
      </c>
      <c r="M148" s="78">
        <f>K148-L148</f>
        <v>9704.16</v>
      </c>
      <c r="N148" s="100">
        <f>4+1+3+1+2+2+1+1+2</f>
        <v>17</v>
      </c>
      <c r="O148" s="81">
        <f>11967.83+2831.55+10544.37+9418.99+3799.13+1798.04+2548.4-12193.52+4083.77</f>
        <v>34798.559999999998</v>
      </c>
      <c r="P148" s="81">
        <f>11967.83+2831.55+10544.37+9418.99+3799.13+1798.04+2548.4-12193.52+4083.77</f>
        <v>34798.559999999998</v>
      </c>
      <c r="Q148" s="79">
        <f t="shared" si="13"/>
        <v>0</v>
      </c>
      <c r="R148" s="141"/>
    </row>
    <row r="149" spans="1:18" s="13" customFormat="1" x14ac:dyDescent="0.25">
      <c r="A149" s="229"/>
      <c r="B149" s="30" t="s">
        <v>88</v>
      </c>
      <c r="C149" s="181" t="s">
        <v>17</v>
      </c>
      <c r="D149" s="182"/>
      <c r="E149" s="183" t="s">
        <v>89</v>
      </c>
      <c r="F149" s="73" t="s">
        <v>442</v>
      </c>
      <c r="G149" s="230" t="s">
        <v>118</v>
      </c>
      <c r="H149" s="181">
        <v>7</v>
      </c>
      <c r="I149" s="231"/>
      <c r="J149" s="96"/>
      <c r="K149" s="77"/>
      <c r="L149" s="77"/>
      <c r="M149" s="187">
        <f t="shared" si="4"/>
        <v>0</v>
      </c>
      <c r="N149" s="100">
        <v>3</v>
      </c>
      <c r="O149" s="224">
        <v>11020.82</v>
      </c>
      <c r="P149" s="224">
        <v>11020.82</v>
      </c>
      <c r="Q149" s="232">
        <f t="shared" si="13"/>
        <v>0</v>
      </c>
    </row>
    <row r="150" spans="1:18" s="13" customFormat="1" x14ac:dyDescent="0.25">
      <c r="A150" s="229"/>
      <c r="B150" s="30" t="s">
        <v>88</v>
      </c>
      <c r="C150" s="181" t="s">
        <v>17</v>
      </c>
      <c r="D150" s="182"/>
      <c r="E150" s="194" t="s">
        <v>505</v>
      </c>
      <c r="F150" s="73" t="s">
        <v>506</v>
      </c>
      <c r="G150" s="230" t="s">
        <v>114</v>
      </c>
      <c r="H150" s="181">
        <v>6</v>
      </c>
      <c r="I150" s="231">
        <v>1</v>
      </c>
      <c r="J150" s="96">
        <v>1</v>
      </c>
      <c r="K150" s="77">
        <v>3763.9</v>
      </c>
      <c r="L150" s="77">
        <v>3763.9</v>
      </c>
      <c r="M150" s="187">
        <f t="shared" si="4"/>
        <v>0</v>
      </c>
      <c r="N150" s="100"/>
      <c r="O150" s="224"/>
      <c r="P150" s="224"/>
      <c r="Q150" s="232">
        <f t="shared" si="13"/>
        <v>0</v>
      </c>
    </row>
    <row r="151" spans="1:18" s="13" customFormat="1" x14ac:dyDescent="0.25">
      <c r="A151" s="229"/>
      <c r="B151" s="30" t="s">
        <v>90</v>
      </c>
      <c r="C151" s="181" t="s">
        <v>17</v>
      </c>
      <c r="D151" s="182"/>
      <c r="E151" s="194" t="s">
        <v>20</v>
      </c>
      <c r="F151" s="73" t="s">
        <v>398</v>
      </c>
      <c r="G151" s="74" t="s">
        <v>112</v>
      </c>
      <c r="H151" s="75">
        <v>11</v>
      </c>
      <c r="I151" s="76">
        <v>7</v>
      </c>
      <c r="J151" s="96">
        <f>1+1+1+4</f>
        <v>7</v>
      </c>
      <c r="K151" s="77">
        <f>422.62+4662.44+7580.13</f>
        <v>12665.189999999999</v>
      </c>
      <c r="L151" s="77">
        <f>422.62+4662.44+7580.13</f>
        <v>12665.189999999999</v>
      </c>
      <c r="M151" s="78">
        <f>K151-L151</f>
        <v>0</v>
      </c>
      <c r="N151" s="100">
        <f>1+1+1+1+2</f>
        <v>6</v>
      </c>
      <c r="O151" s="81">
        <f>2122.67+787.61+15453.48+6194.26</f>
        <v>24558.019999999997</v>
      </c>
      <c r="P151" s="81">
        <f>2122.67+787.61+15453.48+6194.26</f>
        <v>24558.019999999997</v>
      </c>
      <c r="Q151" s="79">
        <f t="shared" si="13"/>
        <v>0</v>
      </c>
      <c r="R151" s="141"/>
    </row>
    <row r="152" spans="1:18" s="13" customFormat="1" x14ac:dyDescent="0.25">
      <c r="A152" s="229"/>
      <c r="B152" s="30" t="s">
        <v>90</v>
      </c>
      <c r="C152" s="181" t="s">
        <v>17</v>
      </c>
      <c r="D152" s="182"/>
      <c r="E152" s="194" t="s">
        <v>20</v>
      </c>
      <c r="F152" s="73" t="s">
        <v>466</v>
      </c>
      <c r="G152" s="230" t="s">
        <v>114</v>
      </c>
      <c r="H152" s="181">
        <v>18</v>
      </c>
      <c r="I152" s="231">
        <v>4</v>
      </c>
      <c r="J152" s="190">
        <v>4</v>
      </c>
      <c r="K152" s="77">
        <v>10468.56</v>
      </c>
      <c r="L152" s="77">
        <v>10468.56</v>
      </c>
      <c r="M152" s="187">
        <f t="shared" ref="M152" si="14">K152-L152</f>
        <v>0</v>
      </c>
      <c r="N152" s="100">
        <v>25</v>
      </c>
      <c r="O152" s="224">
        <v>81936.800000000003</v>
      </c>
      <c r="P152" s="224">
        <v>81936.800000000003</v>
      </c>
      <c r="Q152" s="232">
        <f t="shared" si="13"/>
        <v>0</v>
      </c>
    </row>
    <row r="153" spans="1:18" s="13" customFormat="1" x14ac:dyDescent="0.25">
      <c r="A153" s="229"/>
      <c r="B153" s="30" t="s">
        <v>91</v>
      </c>
      <c r="C153" s="181" t="s">
        <v>17</v>
      </c>
      <c r="D153" s="182"/>
      <c r="E153" s="194" t="s">
        <v>20</v>
      </c>
      <c r="F153" s="73" t="s">
        <v>399</v>
      </c>
      <c r="G153" s="74" t="s">
        <v>112</v>
      </c>
      <c r="H153" s="75"/>
      <c r="I153" s="76"/>
      <c r="J153" s="96"/>
      <c r="K153" s="77"/>
      <c r="L153" s="77"/>
      <c r="M153" s="78">
        <f>K153-L153</f>
        <v>0</v>
      </c>
      <c r="N153" s="100"/>
      <c r="O153" s="81"/>
      <c r="P153" s="81"/>
      <c r="Q153" s="79">
        <f t="shared" si="13"/>
        <v>0</v>
      </c>
      <c r="R153" s="141"/>
    </row>
    <row r="154" spans="1:18" s="13" customFormat="1" x14ac:dyDescent="0.25">
      <c r="A154" s="229"/>
      <c r="B154" s="62" t="s">
        <v>138</v>
      </c>
      <c r="C154" s="181" t="s">
        <v>17</v>
      </c>
      <c r="D154" s="182"/>
      <c r="E154" s="194" t="s">
        <v>20</v>
      </c>
      <c r="F154" s="73" t="s">
        <v>467</v>
      </c>
      <c r="G154" s="230" t="s">
        <v>114</v>
      </c>
      <c r="H154" s="181">
        <v>9</v>
      </c>
      <c r="I154" s="231">
        <v>3</v>
      </c>
      <c r="J154" s="190">
        <v>3</v>
      </c>
      <c r="K154" s="193">
        <v>5542.2</v>
      </c>
      <c r="L154" s="193">
        <v>5542.2</v>
      </c>
      <c r="M154" s="187">
        <f t="shared" ref="M154" si="15">K154-L154</f>
        <v>0</v>
      </c>
      <c r="N154" s="114">
        <v>7</v>
      </c>
      <c r="O154" s="224">
        <v>16429.099999999999</v>
      </c>
      <c r="P154" s="224">
        <v>16429.099999999999</v>
      </c>
      <c r="Q154" s="232">
        <f t="shared" si="13"/>
        <v>0</v>
      </c>
    </row>
    <row r="155" spans="1:18" s="13" customFormat="1" x14ac:dyDescent="0.25">
      <c r="A155" s="229"/>
      <c r="B155" s="62" t="s">
        <v>138</v>
      </c>
      <c r="C155" s="181" t="s">
        <v>17</v>
      </c>
      <c r="D155" s="182"/>
      <c r="E155" s="194" t="s">
        <v>20</v>
      </c>
      <c r="F155" s="73" t="s">
        <v>400</v>
      </c>
      <c r="G155" s="74" t="s">
        <v>112</v>
      </c>
      <c r="H155" s="75">
        <v>12</v>
      </c>
      <c r="I155" s="82">
        <v>8</v>
      </c>
      <c r="J155" s="96">
        <f>3+1+1+2+2</f>
        <v>9</v>
      </c>
      <c r="K155" s="77">
        <f>2224.52+9639.33+3232.07+1625.67+1324.62</f>
        <v>18046.21</v>
      </c>
      <c r="L155" s="77">
        <f>2224.52+9639.33+3232.07+1625.67</f>
        <v>16721.59</v>
      </c>
      <c r="M155" s="78">
        <f t="shared" si="4"/>
        <v>1324.619999999999</v>
      </c>
      <c r="N155" s="100">
        <f>5+4+2</f>
        <v>11</v>
      </c>
      <c r="O155" s="81">
        <f>8995.87+8641.99+5740.02</f>
        <v>23377.88</v>
      </c>
      <c r="P155" s="81">
        <f>8995.87+8641.99+5740.02</f>
        <v>23377.88</v>
      </c>
      <c r="Q155" s="79">
        <f t="shared" si="13"/>
        <v>0</v>
      </c>
      <c r="R155" s="141"/>
    </row>
    <row r="156" spans="1:18" s="13" customFormat="1" x14ac:dyDescent="0.25">
      <c r="A156" s="229"/>
      <c r="B156" s="62" t="s">
        <v>157</v>
      </c>
      <c r="C156" s="181" t="s">
        <v>17</v>
      </c>
      <c r="D156" s="182"/>
      <c r="E156" s="194" t="s">
        <v>20</v>
      </c>
      <c r="F156" s="73" t="s">
        <v>401</v>
      </c>
      <c r="G156" s="74" t="s">
        <v>112</v>
      </c>
      <c r="H156" s="75">
        <v>14</v>
      </c>
      <c r="I156" s="82"/>
      <c r="J156" s="96"/>
      <c r="K156" s="77"/>
      <c r="L156" s="77"/>
      <c r="M156" s="78">
        <f t="shared" ref="M156:M188" si="16">K156-L156</f>
        <v>0</v>
      </c>
      <c r="N156" s="100"/>
      <c r="O156" s="81"/>
      <c r="P156" s="81"/>
      <c r="Q156" s="232">
        <f t="shared" si="13"/>
        <v>0</v>
      </c>
      <c r="R156" s="141"/>
    </row>
    <row r="157" spans="1:18" s="13" customFormat="1" x14ac:dyDescent="0.25">
      <c r="A157" s="229"/>
      <c r="B157" s="62" t="s">
        <v>513</v>
      </c>
      <c r="C157" s="181"/>
      <c r="D157" s="182"/>
      <c r="E157" s="194" t="s">
        <v>20</v>
      </c>
      <c r="F157" s="73"/>
      <c r="G157" s="74" t="s">
        <v>112</v>
      </c>
      <c r="H157" s="75">
        <v>2</v>
      </c>
      <c r="I157" s="82"/>
      <c r="J157" s="96"/>
      <c r="K157" s="77"/>
      <c r="L157" s="77"/>
      <c r="M157" s="78"/>
      <c r="N157" s="100"/>
      <c r="O157" s="81"/>
      <c r="P157" s="81"/>
      <c r="Q157" s="232"/>
      <c r="R157" s="141"/>
    </row>
    <row r="158" spans="1:18" s="15" customFormat="1" x14ac:dyDescent="0.25">
      <c r="A158" s="229"/>
      <c r="B158" s="62" t="s">
        <v>92</v>
      </c>
      <c r="C158" s="181" t="s">
        <v>17</v>
      </c>
      <c r="D158" s="182"/>
      <c r="E158" s="194" t="s">
        <v>20</v>
      </c>
      <c r="F158" s="73" t="s">
        <v>402</v>
      </c>
      <c r="G158" s="74" t="s">
        <v>112</v>
      </c>
      <c r="H158" s="75">
        <v>12</v>
      </c>
      <c r="I158" s="76">
        <v>10</v>
      </c>
      <c r="J158" s="96">
        <f>1+2+5+2</f>
        <v>10</v>
      </c>
      <c r="K158" s="77">
        <f>1951.74+1335.1+2996.76</f>
        <v>6283.6</v>
      </c>
      <c r="L158" s="77">
        <f>1951.74+1335.1+2996.76</f>
        <v>6283.6</v>
      </c>
      <c r="M158" s="78">
        <f>K158-L158</f>
        <v>0</v>
      </c>
      <c r="N158" s="100">
        <f>4+1+1</f>
        <v>6</v>
      </c>
      <c r="O158" s="81">
        <f>12624.74+2697.06+1225.93</f>
        <v>16547.73</v>
      </c>
      <c r="P158" s="81">
        <f>12624.74+2697.06+1225.93</f>
        <v>16547.73</v>
      </c>
      <c r="Q158" s="232">
        <f t="shared" si="13"/>
        <v>0</v>
      </c>
      <c r="R158" s="141"/>
    </row>
    <row r="159" spans="1:18" s="15" customFormat="1" x14ac:dyDescent="0.25">
      <c r="A159" s="229"/>
      <c r="B159" s="62" t="s">
        <v>92</v>
      </c>
      <c r="C159" s="181" t="s">
        <v>17</v>
      </c>
      <c r="D159" s="182"/>
      <c r="E159" s="194" t="s">
        <v>20</v>
      </c>
      <c r="F159" s="73" t="s">
        <v>129</v>
      </c>
      <c r="G159" s="230" t="s">
        <v>114</v>
      </c>
      <c r="H159" s="181"/>
      <c r="I159" s="231"/>
      <c r="J159" s="190"/>
      <c r="K159" s="77"/>
      <c r="L159" s="77"/>
      <c r="M159" s="187">
        <f t="shared" ref="M159" si="17">K159-L159</f>
        <v>0</v>
      </c>
      <c r="N159" s="114"/>
      <c r="O159" s="224"/>
      <c r="P159" s="224"/>
      <c r="Q159" s="232">
        <f t="shared" si="13"/>
        <v>0</v>
      </c>
    </row>
    <row r="160" spans="1:18" s="13" customFormat="1" x14ac:dyDescent="0.25">
      <c r="A160" s="229"/>
      <c r="B160" s="30" t="s">
        <v>93</v>
      </c>
      <c r="C160" s="181" t="s">
        <v>17</v>
      </c>
      <c r="D160" s="182"/>
      <c r="E160" s="183" t="s">
        <v>94</v>
      </c>
      <c r="F160" s="73" t="s">
        <v>403</v>
      </c>
      <c r="G160" s="74" t="s">
        <v>112</v>
      </c>
      <c r="H160" s="75">
        <v>7</v>
      </c>
      <c r="I160" s="76">
        <v>2</v>
      </c>
      <c r="J160" s="96">
        <f>2</f>
        <v>2</v>
      </c>
      <c r="K160" s="77">
        <f>2336.84</f>
        <v>2336.84</v>
      </c>
      <c r="L160" s="77">
        <f>2336.84</f>
        <v>2336.84</v>
      </c>
      <c r="M160" s="78">
        <f>K160-L160</f>
        <v>0</v>
      </c>
      <c r="N160" s="100">
        <f>3+8</f>
        <v>11</v>
      </c>
      <c r="O160" s="81">
        <f>20117.75</f>
        <v>20117.75</v>
      </c>
      <c r="P160" s="81">
        <f>20117.75</f>
        <v>20117.75</v>
      </c>
      <c r="Q160" s="232">
        <f t="shared" si="13"/>
        <v>0</v>
      </c>
      <c r="R160" s="141"/>
    </row>
    <row r="161" spans="1:18" s="13" customFormat="1" x14ac:dyDescent="0.25">
      <c r="A161" s="229"/>
      <c r="B161" s="30" t="s">
        <v>93</v>
      </c>
      <c r="C161" s="181" t="s">
        <v>17</v>
      </c>
      <c r="D161" s="182"/>
      <c r="E161" s="183" t="s">
        <v>94</v>
      </c>
      <c r="F161" s="73" t="s">
        <v>130</v>
      </c>
      <c r="G161" s="230" t="s">
        <v>114</v>
      </c>
      <c r="H161" s="181"/>
      <c r="I161" s="231"/>
      <c r="J161" s="190"/>
      <c r="K161" s="77"/>
      <c r="L161" s="77"/>
      <c r="M161" s="187">
        <f t="shared" ref="M161" si="18">K161-L161</f>
        <v>0</v>
      </c>
      <c r="N161" s="100"/>
      <c r="O161" s="224"/>
      <c r="P161" s="224"/>
      <c r="Q161" s="232">
        <f t="shared" si="13"/>
        <v>0</v>
      </c>
    </row>
    <row r="162" spans="1:18" s="13" customFormat="1" x14ac:dyDescent="0.25">
      <c r="A162" s="229"/>
      <c r="B162" s="30" t="s">
        <v>93</v>
      </c>
      <c r="C162" s="181" t="s">
        <v>17</v>
      </c>
      <c r="D162" s="182"/>
      <c r="E162" s="183" t="s">
        <v>94</v>
      </c>
      <c r="F162" s="73" t="s">
        <v>240</v>
      </c>
      <c r="G162" s="230" t="s">
        <v>118</v>
      </c>
      <c r="H162" s="181"/>
      <c r="I162" s="231"/>
      <c r="J162" s="96"/>
      <c r="K162" s="77"/>
      <c r="L162" s="77"/>
      <c r="M162" s="78">
        <f t="shared" si="16"/>
        <v>0</v>
      </c>
      <c r="N162" s="100"/>
      <c r="O162" s="224"/>
      <c r="P162" s="224"/>
      <c r="Q162" s="232">
        <f t="shared" si="13"/>
        <v>0</v>
      </c>
    </row>
    <row r="163" spans="1:18" s="13" customFormat="1" x14ac:dyDescent="0.25">
      <c r="A163" s="229"/>
      <c r="B163" s="30" t="s">
        <v>95</v>
      </c>
      <c r="C163" s="181" t="s">
        <v>17</v>
      </c>
      <c r="D163" s="182"/>
      <c r="E163" s="194" t="s">
        <v>20</v>
      </c>
      <c r="F163" s="73" t="s">
        <v>404</v>
      </c>
      <c r="G163" s="74" t="s">
        <v>112</v>
      </c>
      <c r="H163" s="75">
        <v>17</v>
      </c>
      <c r="I163" s="76">
        <v>11</v>
      </c>
      <c r="J163" s="96">
        <f>1+4+4+5+2</f>
        <v>16</v>
      </c>
      <c r="K163" s="77">
        <f>1061.35+5770.05+5238.9+6606.04</f>
        <v>18676.34</v>
      </c>
      <c r="L163" s="77">
        <f>1061.35+5770.05+5238.9</f>
        <v>12070.3</v>
      </c>
      <c r="M163" s="78">
        <f>K163-L163</f>
        <v>6606.0400000000009</v>
      </c>
      <c r="N163" s="100">
        <f>1+6+1+4+1+1</f>
        <v>14</v>
      </c>
      <c r="O163" s="81">
        <f>11603.82+7559.28+6777.29+24757.02</f>
        <v>50697.41</v>
      </c>
      <c r="P163" s="81">
        <f>11603.82+7559.28+6777.29+24757.02</f>
        <v>50697.41</v>
      </c>
      <c r="Q163" s="79">
        <f t="shared" si="13"/>
        <v>0</v>
      </c>
      <c r="R163" s="141"/>
    </row>
    <row r="164" spans="1:18" s="13" customFormat="1" x14ac:dyDescent="0.25">
      <c r="A164" s="229"/>
      <c r="B164" s="30" t="s">
        <v>95</v>
      </c>
      <c r="C164" s="181" t="s">
        <v>17</v>
      </c>
      <c r="D164" s="182"/>
      <c r="E164" s="194" t="s">
        <v>20</v>
      </c>
      <c r="F164" s="73" t="s">
        <v>291</v>
      </c>
      <c r="G164" s="230" t="s">
        <v>114</v>
      </c>
      <c r="H164" s="181">
        <v>8</v>
      </c>
      <c r="I164" s="231">
        <v>2</v>
      </c>
      <c r="J164" s="190">
        <v>2</v>
      </c>
      <c r="K164" s="77">
        <v>2356.8000000000002</v>
      </c>
      <c r="L164" s="77">
        <v>2356.8000000000002</v>
      </c>
      <c r="M164" s="187">
        <f t="shared" ref="M164" si="19">K164-L164</f>
        <v>0</v>
      </c>
      <c r="N164" s="100">
        <v>12</v>
      </c>
      <c r="O164" s="224">
        <v>29189.15</v>
      </c>
      <c r="P164" s="224">
        <v>29189.15</v>
      </c>
      <c r="Q164" s="232">
        <f t="shared" si="13"/>
        <v>0</v>
      </c>
    </row>
    <row r="165" spans="1:18" s="13" customFormat="1" x14ac:dyDescent="0.25">
      <c r="A165" s="229"/>
      <c r="B165" s="30" t="s">
        <v>96</v>
      </c>
      <c r="C165" s="181" t="s">
        <v>17</v>
      </c>
      <c r="D165" s="182"/>
      <c r="E165" s="194" t="s">
        <v>97</v>
      </c>
      <c r="F165" s="73" t="s">
        <v>405</v>
      </c>
      <c r="G165" s="74" t="s">
        <v>112</v>
      </c>
      <c r="H165" s="75">
        <v>1</v>
      </c>
      <c r="I165" s="76">
        <v>1</v>
      </c>
      <c r="J165" s="96">
        <f>2</f>
        <v>2</v>
      </c>
      <c r="K165" s="77"/>
      <c r="L165" s="77"/>
      <c r="M165" s="78">
        <f>K165-L165</f>
        <v>0</v>
      </c>
      <c r="N165" s="103">
        <f>1+2+1</f>
        <v>4</v>
      </c>
      <c r="O165" s="77">
        <f>1742.31+9358.48</f>
        <v>11100.789999999999</v>
      </c>
      <c r="P165" s="77">
        <f>1742.31+9358.48</f>
        <v>11100.789999999999</v>
      </c>
      <c r="Q165" s="79">
        <f t="shared" si="13"/>
        <v>0</v>
      </c>
      <c r="R165" s="141"/>
    </row>
    <row r="166" spans="1:18" s="13" customFormat="1" x14ac:dyDescent="0.25">
      <c r="A166" s="229"/>
      <c r="B166" s="30" t="s">
        <v>96</v>
      </c>
      <c r="C166" s="181" t="s">
        <v>17</v>
      </c>
      <c r="D166" s="182"/>
      <c r="E166" s="194" t="s">
        <v>97</v>
      </c>
      <c r="F166" s="73" t="s">
        <v>468</v>
      </c>
      <c r="G166" s="230" t="s">
        <v>114</v>
      </c>
      <c r="H166" s="181">
        <v>1</v>
      </c>
      <c r="I166" s="231"/>
      <c r="J166" s="190"/>
      <c r="K166" s="77"/>
      <c r="L166" s="77"/>
      <c r="M166" s="187">
        <f t="shared" ref="M166" si="20">K166-L166</f>
        <v>0</v>
      </c>
      <c r="N166" s="100">
        <v>4</v>
      </c>
      <c r="O166" s="224">
        <v>8676.6</v>
      </c>
      <c r="P166" s="224">
        <v>8676.6</v>
      </c>
      <c r="Q166" s="232">
        <f t="shared" si="13"/>
        <v>0</v>
      </c>
    </row>
    <row r="167" spans="1:18" s="13" customFormat="1" x14ac:dyDescent="0.25">
      <c r="A167" s="229"/>
      <c r="B167" s="30" t="s">
        <v>98</v>
      </c>
      <c r="C167" s="181" t="s">
        <v>17</v>
      </c>
      <c r="D167" s="182"/>
      <c r="E167" s="194" t="s">
        <v>35</v>
      </c>
      <c r="F167" s="73" t="s">
        <v>406</v>
      </c>
      <c r="G167" s="74" t="s">
        <v>112</v>
      </c>
      <c r="H167" s="75">
        <v>35</v>
      </c>
      <c r="I167" s="76">
        <v>22</v>
      </c>
      <c r="J167" s="96">
        <f>1+2+1+1+4+4+1+2</f>
        <v>16</v>
      </c>
      <c r="K167" s="77">
        <f>845.24+1764.25+8353.03+1298.98+7610.68+13826.64+2752.31+9720.26+116979.76-2616.91+4851.2</f>
        <v>165385.44</v>
      </c>
      <c r="L167" s="77">
        <f>845.24+1764.25+8353.03+1298.98+7610.68+13826.64+2752.31+9720.26+116979.76-2616.91+4851.2</f>
        <v>165385.44</v>
      </c>
      <c r="M167" s="78">
        <f>K167-L167</f>
        <v>0</v>
      </c>
      <c r="N167" s="100">
        <f>9+1+1+4+2+1+2+4+2+1+1</f>
        <v>28</v>
      </c>
      <c r="O167" s="81">
        <v>76864.27</v>
      </c>
      <c r="P167" s="81">
        <v>76864.27</v>
      </c>
      <c r="Q167" s="79">
        <f t="shared" si="13"/>
        <v>0</v>
      </c>
      <c r="R167" s="141"/>
    </row>
    <row r="168" spans="1:18" s="13" customFormat="1" x14ac:dyDescent="0.25">
      <c r="A168" s="229"/>
      <c r="B168" s="30" t="s">
        <v>98</v>
      </c>
      <c r="C168" s="181" t="s">
        <v>17</v>
      </c>
      <c r="D168" s="182"/>
      <c r="E168" s="194" t="s">
        <v>35</v>
      </c>
      <c r="F168" s="73" t="s">
        <v>435</v>
      </c>
      <c r="G168" s="235" t="s">
        <v>117</v>
      </c>
      <c r="H168" s="181">
        <v>6</v>
      </c>
      <c r="I168" s="231">
        <v>2</v>
      </c>
      <c r="J168" s="96">
        <v>2</v>
      </c>
      <c r="K168" s="77">
        <v>2486.83</v>
      </c>
      <c r="L168" s="77">
        <v>2486.83</v>
      </c>
      <c r="M168" s="78">
        <f t="shared" si="16"/>
        <v>0</v>
      </c>
      <c r="N168" s="100">
        <v>5</v>
      </c>
      <c r="O168" s="77">
        <v>18950.45</v>
      </c>
      <c r="P168" s="77">
        <v>18950.45</v>
      </c>
      <c r="Q168" s="232">
        <f t="shared" si="13"/>
        <v>0</v>
      </c>
    </row>
    <row r="169" spans="1:18" s="13" customFormat="1" x14ac:dyDescent="0.25">
      <c r="A169" s="229"/>
      <c r="B169" s="30" t="s">
        <v>488</v>
      </c>
      <c r="C169" s="181" t="s">
        <v>17</v>
      </c>
      <c r="D169" s="182"/>
      <c r="E169" s="194" t="s">
        <v>97</v>
      </c>
      <c r="F169" s="73" t="s">
        <v>498</v>
      </c>
      <c r="G169" s="235" t="s">
        <v>112</v>
      </c>
      <c r="H169" s="181">
        <v>14</v>
      </c>
      <c r="I169" s="231">
        <v>6</v>
      </c>
      <c r="J169" s="96">
        <f>4+1+1</f>
        <v>6</v>
      </c>
      <c r="K169" s="77">
        <f>1535.8+576.3+802.8</f>
        <v>2914.8999999999996</v>
      </c>
      <c r="L169" s="77">
        <f>1535.8+576.3+802.8</f>
        <v>2914.8999999999996</v>
      </c>
      <c r="M169" s="78">
        <f t="shared" si="16"/>
        <v>0</v>
      </c>
      <c r="N169" s="100"/>
      <c r="O169" s="77"/>
      <c r="P169" s="77"/>
      <c r="Q169" s="232"/>
    </row>
    <row r="170" spans="1:18" s="15" customFormat="1" x14ac:dyDescent="0.25">
      <c r="A170" s="229"/>
      <c r="B170" s="30" t="s">
        <v>99</v>
      </c>
      <c r="C170" s="181" t="s">
        <v>17</v>
      </c>
      <c r="D170" s="182"/>
      <c r="E170" s="183" t="s">
        <v>32</v>
      </c>
      <c r="F170" s="73" t="s">
        <v>418</v>
      </c>
      <c r="G170" s="74" t="s">
        <v>112</v>
      </c>
      <c r="H170" s="75"/>
      <c r="I170" s="76"/>
      <c r="J170" s="96"/>
      <c r="K170" s="77"/>
      <c r="L170" s="77"/>
      <c r="M170" s="78">
        <f t="shared" si="16"/>
        <v>0</v>
      </c>
      <c r="N170" s="100"/>
      <c r="O170" s="81"/>
      <c r="P170" s="81"/>
      <c r="Q170" s="79">
        <f t="shared" si="13"/>
        <v>0</v>
      </c>
      <c r="R170" s="141"/>
    </row>
    <row r="171" spans="1:18" s="15" customFormat="1" x14ac:dyDescent="0.25">
      <c r="A171" s="229"/>
      <c r="B171" s="30" t="s">
        <v>99</v>
      </c>
      <c r="C171" s="181" t="s">
        <v>17</v>
      </c>
      <c r="D171" s="182"/>
      <c r="E171" s="183" t="s">
        <v>32</v>
      </c>
      <c r="F171" s="73" t="s">
        <v>423</v>
      </c>
      <c r="G171" s="235" t="s">
        <v>117</v>
      </c>
      <c r="H171" s="181"/>
      <c r="I171" s="231"/>
      <c r="J171" s="190"/>
      <c r="K171" s="77"/>
      <c r="L171" s="77"/>
      <c r="M171" s="78">
        <f t="shared" si="16"/>
        <v>0</v>
      </c>
      <c r="N171" s="114"/>
      <c r="O171" s="77"/>
      <c r="P171" s="77"/>
      <c r="Q171" s="232">
        <f t="shared" si="13"/>
        <v>0</v>
      </c>
    </row>
    <row r="172" spans="1:18" s="15" customFormat="1" ht="30" x14ac:dyDescent="0.25">
      <c r="A172" s="229"/>
      <c r="B172" s="30" t="s">
        <v>144</v>
      </c>
      <c r="C172" s="181" t="s">
        <v>304</v>
      </c>
      <c r="D172" s="182" t="s">
        <v>313</v>
      </c>
      <c r="E172" s="194" t="s">
        <v>97</v>
      </c>
      <c r="F172" s="73" t="s">
        <v>407</v>
      </c>
      <c r="G172" s="66" t="s">
        <v>112</v>
      </c>
      <c r="H172" s="75">
        <v>19</v>
      </c>
      <c r="I172" s="76">
        <v>18</v>
      </c>
      <c r="J172" s="98">
        <f>2+2+1+3+1+1+5+2+1+4</f>
        <v>22</v>
      </c>
      <c r="K172" s="77">
        <f>950.9+1449.39+2272.32+2785.92+5112.01+6655.23</f>
        <v>19225.77</v>
      </c>
      <c r="L172" s="77">
        <f>950.9+1449.39+2272.32+2785.92+5112.01+6655.23</f>
        <v>19225.77</v>
      </c>
      <c r="M172" s="78">
        <f>K172-L172</f>
        <v>0</v>
      </c>
      <c r="N172" s="100">
        <f>3+2+1+1+1+1</f>
        <v>9</v>
      </c>
      <c r="O172" s="77">
        <f>5020.57+5566.06+2694.94+845.24</f>
        <v>14126.810000000001</v>
      </c>
      <c r="P172" s="77">
        <f>5020.57+5566.06+2694.94+845.24</f>
        <v>14126.810000000001</v>
      </c>
      <c r="Q172" s="79">
        <f t="shared" si="13"/>
        <v>0</v>
      </c>
      <c r="R172" s="141"/>
    </row>
    <row r="173" spans="1:18" s="15" customFormat="1" x14ac:dyDescent="0.25">
      <c r="A173" s="229"/>
      <c r="B173" s="30" t="s">
        <v>488</v>
      </c>
      <c r="C173" s="181"/>
      <c r="D173" s="182"/>
      <c r="E173" s="194"/>
      <c r="F173" s="73" t="s">
        <v>509</v>
      </c>
      <c r="G173" s="66" t="s">
        <v>114</v>
      </c>
      <c r="H173" s="75">
        <v>23</v>
      </c>
      <c r="I173" s="76">
        <v>8</v>
      </c>
      <c r="J173" s="98">
        <v>8</v>
      </c>
      <c r="K173" s="77">
        <v>13216.48</v>
      </c>
      <c r="L173" s="77">
        <v>13216.48</v>
      </c>
      <c r="M173" s="187">
        <f t="shared" ref="M173:M176" si="21">K173-L173</f>
        <v>0</v>
      </c>
      <c r="N173" s="100"/>
      <c r="O173" s="77"/>
      <c r="P173" s="77"/>
      <c r="Q173" s="232">
        <f t="shared" si="13"/>
        <v>0</v>
      </c>
    </row>
    <row r="174" spans="1:18" s="15" customFormat="1" x14ac:dyDescent="0.25">
      <c r="A174" s="229"/>
      <c r="B174" s="30" t="s">
        <v>514</v>
      </c>
      <c r="C174" s="181"/>
      <c r="D174" s="182"/>
      <c r="E174" s="194" t="s">
        <v>18</v>
      </c>
      <c r="F174" s="73"/>
      <c r="G174" s="66" t="s">
        <v>113</v>
      </c>
      <c r="H174" s="75">
        <v>1</v>
      </c>
      <c r="I174" s="76"/>
      <c r="J174" s="98"/>
      <c r="K174" s="77"/>
      <c r="L174" s="77"/>
      <c r="M174" s="187"/>
      <c r="N174" s="100"/>
      <c r="O174" s="77"/>
      <c r="P174" s="77"/>
      <c r="Q174" s="232"/>
    </row>
    <row r="175" spans="1:18" s="15" customFormat="1" x14ac:dyDescent="0.25">
      <c r="A175" s="229"/>
      <c r="B175" s="30" t="s">
        <v>488</v>
      </c>
      <c r="C175" s="181"/>
      <c r="D175" s="182"/>
      <c r="E175" s="194"/>
      <c r="F175" s="73" t="s">
        <v>512</v>
      </c>
      <c r="G175" s="66" t="s">
        <v>113</v>
      </c>
      <c r="H175" s="75">
        <v>11</v>
      </c>
      <c r="I175" s="76">
        <v>7</v>
      </c>
      <c r="J175" s="98">
        <v>7</v>
      </c>
      <c r="K175" s="77">
        <v>12080</v>
      </c>
      <c r="L175" s="77">
        <v>7271</v>
      </c>
      <c r="M175" s="78">
        <f t="shared" si="21"/>
        <v>4809</v>
      </c>
      <c r="N175" s="100"/>
      <c r="O175" s="77"/>
      <c r="P175" s="77"/>
      <c r="Q175" s="79"/>
    </row>
    <row r="176" spans="1:18" s="15" customFormat="1" ht="30" x14ac:dyDescent="0.25">
      <c r="A176" s="229"/>
      <c r="B176" s="238" t="s">
        <v>144</v>
      </c>
      <c r="C176" s="181" t="s">
        <v>446</v>
      </c>
      <c r="D176" s="182" t="s">
        <v>313</v>
      </c>
      <c r="E176" s="183" t="s">
        <v>20</v>
      </c>
      <c r="F176" s="73" t="s">
        <v>485</v>
      </c>
      <c r="G176" s="235" t="s">
        <v>114</v>
      </c>
      <c r="H176" s="181">
        <v>31</v>
      </c>
      <c r="I176" s="234">
        <v>7</v>
      </c>
      <c r="J176" s="202">
        <v>7</v>
      </c>
      <c r="K176" s="77">
        <v>35181.31</v>
      </c>
      <c r="L176" s="77">
        <v>26994.22</v>
      </c>
      <c r="M176" s="187">
        <f t="shared" si="21"/>
        <v>8187.0899999999965</v>
      </c>
      <c r="N176" s="100">
        <v>21</v>
      </c>
      <c r="O176" s="224">
        <v>53276.800000000003</v>
      </c>
      <c r="P176" s="224">
        <v>53276.800000000003</v>
      </c>
      <c r="Q176" s="232">
        <f t="shared" ref="Q176" si="22">O176-P176</f>
        <v>0</v>
      </c>
    </row>
    <row r="177" spans="1:18" s="21" customFormat="1" ht="45" x14ac:dyDescent="0.25">
      <c r="A177" s="181"/>
      <c r="B177" s="30" t="s">
        <v>100</v>
      </c>
      <c r="C177" s="181" t="s">
        <v>304</v>
      </c>
      <c r="D177" s="182" t="s">
        <v>416</v>
      </c>
      <c r="E177" s="194" t="s">
        <v>20</v>
      </c>
      <c r="F177" s="73" t="s">
        <v>408</v>
      </c>
      <c r="G177" s="27" t="s">
        <v>112</v>
      </c>
      <c r="H177" s="75">
        <v>23</v>
      </c>
      <c r="I177" s="76">
        <v>14</v>
      </c>
      <c r="J177" s="98">
        <f>5+1+4+6</f>
        <v>16</v>
      </c>
      <c r="K177" s="86">
        <f>6524.55+600.31+19349.45+15377.18</f>
        <v>41851.490000000005</v>
      </c>
      <c r="L177" s="86">
        <f>6524.55+600.31+19349.45+15377.18</f>
        <v>41851.490000000005</v>
      </c>
      <c r="M177" s="78">
        <f>K177-L177</f>
        <v>0</v>
      </c>
      <c r="N177" s="100">
        <f>1+3+2+3</f>
        <v>9</v>
      </c>
      <c r="O177" s="87">
        <f>10770.58+2113.01+3508.24+19305.88</f>
        <v>35697.710000000006</v>
      </c>
      <c r="P177" s="87">
        <f>10770.58+2113.01+3508.24+19305.88</f>
        <v>35697.710000000006</v>
      </c>
      <c r="Q177" s="79">
        <f t="shared" si="13"/>
        <v>0</v>
      </c>
      <c r="R177" s="141"/>
    </row>
    <row r="178" spans="1:18" s="21" customFormat="1" ht="60" x14ac:dyDescent="0.25">
      <c r="A178" s="181"/>
      <c r="B178" s="30" t="s">
        <v>100</v>
      </c>
      <c r="C178" s="203" t="s">
        <v>125</v>
      </c>
      <c r="D178" s="182" t="s">
        <v>126</v>
      </c>
      <c r="E178" s="194" t="s">
        <v>20</v>
      </c>
      <c r="F178" s="73" t="s">
        <v>486</v>
      </c>
      <c r="G178" s="236" t="s">
        <v>114</v>
      </c>
      <c r="H178" s="181">
        <v>10</v>
      </c>
      <c r="I178" s="234"/>
      <c r="J178" s="202"/>
      <c r="K178" s="86"/>
      <c r="L178" s="86"/>
      <c r="M178" s="187">
        <f t="shared" ref="M178" si="23">K178-L178</f>
        <v>0</v>
      </c>
      <c r="N178" s="100"/>
      <c r="O178" s="239">
        <v>71568.429999999993</v>
      </c>
      <c r="P178" s="239">
        <v>36488.1</v>
      </c>
      <c r="Q178" s="232">
        <f t="shared" si="13"/>
        <v>35080.329999999994</v>
      </c>
    </row>
    <row r="179" spans="1:18" s="13" customFormat="1" x14ac:dyDescent="0.25">
      <c r="A179" s="229"/>
      <c r="B179" s="62" t="s">
        <v>101</v>
      </c>
      <c r="C179" s="181" t="s">
        <v>17</v>
      </c>
      <c r="D179" s="182"/>
      <c r="E179" s="194" t="s">
        <v>20</v>
      </c>
      <c r="F179" s="73" t="s">
        <v>409</v>
      </c>
      <c r="G179" s="74" t="s">
        <v>112</v>
      </c>
      <c r="H179" s="75">
        <v>12</v>
      </c>
      <c r="I179" s="76">
        <v>8</v>
      </c>
      <c r="J179" s="96">
        <f>1+5+1+1+2+2</f>
        <v>12</v>
      </c>
      <c r="K179" s="77">
        <f>1045.98+3354.45+1225.93+742.59</f>
        <v>6368.9500000000007</v>
      </c>
      <c r="L179" s="77">
        <f>1045.98+3354.45+1225.93+742.59</f>
        <v>6368.9500000000007</v>
      </c>
      <c r="M179" s="78">
        <f t="shared" si="16"/>
        <v>0</v>
      </c>
      <c r="N179" s="100">
        <f>5+2+1+1</f>
        <v>9</v>
      </c>
      <c r="O179" s="81">
        <f>6288.07+3061.62+3426.18+12951.18</f>
        <v>25727.05</v>
      </c>
      <c r="P179" s="81">
        <f>6288.07+3061.62+3426.18+12951.18</f>
        <v>25727.05</v>
      </c>
      <c r="Q179" s="79">
        <f t="shared" si="13"/>
        <v>0</v>
      </c>
      <c r="R179" s="141"/>
    </row>
    <row r="180" spans="1:18" s="13" customFormat="1" x14ac:dyDescent="0.25">
      <c r="A180" s="229"/>
      <c r="B180" s="62" t="s">
        <v>146</v>
      </c>
      <c r="C180" s="181" t="s">
        <v>17</v>
      </c>
      <c r="D180" s="182"/>
      <c r="E180" s="194" t="s">
        <v>20</v>
      </c>
      <c r="F180" s="73" t="s">
        <v>410</v>
      </c>
      <c r="G180" s="74" t="s">
        <v>112</v>
      </c>
      <c r="H180" s="75">
        <v>13</v>
      </c>
      <c r="I180" s="76">
        <v>10</v>
      </c>
      <c r="J180" s="96">
        <f>4+1+1+2+1+2</f>
        <v>11</v>
      </c>
      <c r="K180" s="77">
        <f>4610.77+1568.98+1854.88+422.62+1334.13+2599.07+5262.18</f>
        <v>17652.63</v>
      </c>
      <c r="L180" s="77">
        <f>4610.77+1568.98+1854.88+422.62+1334.13+2599.07</f>
        <v>12390.45</v>
      </c>
      <c r="M180" s="78">
        <f t="shared" si="16"/>
        <v>5262.18</v>
      </c>
      <c r="N180" s="100">
        <f>5+1+1+2+1+1</f>
        <v>11</v>
      </c>
      <c r="O180" s="81">
        <f>13579.06+1287.07+2636.18+26196.83</f>
        <v>43699.14</v>
      </c>
      <c r="P180" s="81">
        <f>13579.06+1287.07+2636.18+26196.83</f>
        <v>43699.14</v>
      </c>
      <c r="Q180" s="232">
        <f t="shared" si="13"/>
        <v>0</v>
      </c>
      <c r="R180" s="141"/>
    </row>
    <row r="181" spans="1:18" s="13" customFormat="1" x14ac:dyDescent="0.25">
      <c r="A181" s="229"/>
      <c r="B181" s="62" t="s">
        <v>146</v>
      </c>
      <c r="C181" s="181" t="s">
        <v>17</v>
      </c>
      <c r="D181" s="182"/>
      <c r="E181" s="183" t="s">
        <v>21</v>
      </c>
      <c r="F181" s="73" t="s">
        <v>443</v>
      </c>
      <c r="G181" s="230" t="s">
        <v>118</v>
      </c>
      <c r="H181" s="181">
        <v>10</v>
      </c>
      <c r="I181" s="234">
        <v>2</v>
      </c>
      <c r="J181" s="190">
        <v>2</v>
      </c>
      <c r="K181" s="193">
        <v>1754.7</v>
      </c>
      <c r="L181" s="193">
        <v>1754.7</v>
      </c>
      <c r="M181" s="187">
        <f t="shared" si="16"/>
        <v>0</v>
      </c>
      <c r="N181" s="114">
        <v>5</v>
      </c>
      <c r="O181" s="224">
        <v>5349.99</v>
      </c>
      <c r="P181" s="224">
        <v>5349.99</v>
      </c>
      <c r="Q181" s="79">
        <f t="shared" si="13"/>
        <v>0</v>
      </c>
    </row>
    <row r="182" spans="1:18" s="13" customFormat="1" x14ac:dyDescent="0.25">
      <c r="A182" s="229"/>
      <c r="B182" s="27" t="s">
        <v>102</v>
      </c>
      <c r="C182" s="181" t="s">
        <v>17</v>
      </c>
      <c r="D182" s="182"/>
      <c r="E182" s="194" t="s">
        <v>20</v>
      </c>
      <c r="F182" s="73" t="s">
        <v>411</v>
      </c>
      <c r="G182" s="74" t="s">
        <v>112</v>
      </c>
      <c r="H182" s="75">
        <v>12</v>
      </c>
      <c r="I182" s="76">
        <v>8</v>
      </c>
      <c r="J182" s="96">
        <f>1+1+2+1+2+1</f>
        <v>8</v>
      </c>
      <c r="K182" s="77">
        <f>845.24+845.24+1690.48+1394.65+2689.38+1324.62</f>
        <v>8789.61</v>
      </c>
      <c r="L182" s="77">
        <f>845.24+845.24+1690.48+1394.65+2689.38</f>
        <v>7464.9900000000007</v>
      </c>
      <c r="M182" s="78">
        <f>K182-L182</f>
        <v>1324.62</v>
      </c>
      <c r="N182" s="100">
        <f>3+1+1+1</f>
        <v>6</v>
      </c>
      <c r="O182" s="81">
        <f>7808.21+30833.77-12193.52+9963.17+5385.9</f>
        <v>41797.530000000006</v>
      </c>
      <c r="P182" s="81">
        <f>7808.21+30833.77-12193.52+9963.17</f>
        <v>36411.630000000005</v>
      </c>
      <c r="Q182" s="232">
        <f t="shared" si="13"/>
        <v>5385.9000000000015</v>
      </c>
      <c r="R182" s="141"/>
    </row>
    <row r="183" spans="1:18" s="13" customFormat="1" x14ac:dyDescent="0.25">
      <c r="A183" s="229"/>
      <c r="B183" s="27" t="s">
        <v>102</v>
      </c>
      <c r="C183" s="181" t="s">
        <v>17</v>
      </c>
      <c r="D183" s="182"/>
      <c r="E183" s="194" t="s">
        <v>20</v>
      </c>
      <c r="F183" s="73" t="s">
        <v>469</v>
      </c>
      <c r="G183" s="230" t="s">
        <v>114</v>
      </c>
      <c r="H183" s="181">
        <v>10</v>
      </c>
      <c r="I183" s="231">
        <v>3</v>
      </c>
      <c r="J183" s="190">
        <v>3</v>
      </c>
      <c r="K183" s="77">
        <v>1267.8599999999999</v>
      </c>
      <c r="L183" s="77">
        <v>1267.8599999999999</v>
      </c>
      <c r="M183" s="187">
        <f t="shared" ref="M183" si="24">K183-L183</f>
        <v>0</v>
      </c>
      <c r="N183" s="100">
        <v>8</v>
      </c>
      <c r="O183" s="224">
        <v>31795.42</v>
      </c>
      <c r="P183" s="224">
        <v>24770.92</v>
      </c>
      <c r="Q183" s="232">
        <f t="shared" si="13"/>
        <v>7024.5</v>
      </c>
    </row>
    <row r="184" spans="1:18" s="13" customFormat="1" x14ac:dyDescent="0.25">
      <c r="A184" s="229"/>
      <c r="B184" s="27" t="s">
        <v>103</v>
      </c>
      <c r="C184" s="181" t="s">
        <v>17</v>
      </c>
      <c r="D184" s="182"/>
      <c r="E184" s="183" t="s">
        <v>20</v>
      </c>
      <c r="F184" s="73" t="s">
        <v>412</v>
      </c>
      <c r="G184" s="74" t="s">
        <v>112</v>
      </c>
      <c r="H184" s="75">
        <v>14</v>
      </c>
      <c r="I184" s="76">
        <v>9</v>
      </c>
      <c r="J184" s="96">
        <f>4+1+2+3</f>
        <v>10</v>
      </c>
      <c r="K184" s="77">
        <f>16248.67+1092.81+2003.49</f>
        <v>19344.97</v>
      </c>
      <c r="L184" s="77">
        <f>16248.67+1092.81+2003.49</f>
        <v>19344.97</v>
      </c>
      <c r="M184" s="78">
        <f>K184-L184</f>
        <v>0</v>
      </c>
      <c r="N184" s="100">
        <f>7+2+1+1+2</f>
        <v>13</v>
      </c>
      <c r="O184" s="77">
        <f>20193.14+7541.5</f>
        <v>27734.639999999999</v>
      </c>
      <c r="P184" s="77">
        <f>20193.14+7541.5</f>
        <v>27734.639999999999</v>
      </c>
      <c r="Q184" s="232">
        <f t="shared" si="13"/>
        <v>0</v>
      </c>
      <c r="R184" s="141"/>
    </row>
    <row r="185" spans="1:18" s="13" customFormat="1" x14ac:dyDescent="0.25">
      <c r="A185" s="229"/>
      <c r="B185" s="27" t="s">
        <v>103</v>
      </c>
      <c r="C185" s="181" t="s">
        <v>17</v>
      </c>
      <c r="D185" s="182"/>
      <c r="E185" s="183" t="s">
        <v>20</v>
      </c>
      <c r="F185" s="73" t="s">
        <v>470</v>
      </c>
      <c r="G185" s="230" t="s">
        <v>114</v>
      </c>
      <c r="H185" s="181">
        <v>13</v>
      </c>
      <c r="I185" s="231">
        <v>1</v>
      </c>
      <c r="J185" s="190">
        <v>1</v>
      </c>
      <c r="K185" s="77">
        <v>4940.1000000000004</v>
      </c>
      <c r="L185" s="77">
        <v>4940.1000000000004</v>
      </c>
      <c r="M185" s="187">
        <f t="shared" ref="M185:M187" si="25">K185-L185</f>
        <v>0</v>
      </c>
      <c r="N185" s="100">
        <v>4</v>
      </c>
      <c r="O185" s="224">
        <v>10431.89</v>
      </c>
      <c r="P185" s="224">
        <v>10431.89</v>
      </c>
      <c r="Q185" s="232">
        <f t="shared" si="13"/>
        <v>0</v>
      </c>
    </row>
    <row r="186" spans="1:18" s="15" customFormat="1" x14ac:dyDescent="0.25">
      <c r="A186" s="229"/>
      <c r="B186" s="27" t="s">
        <v>104</v>
      </c>
      <c r="C186" s="181" t="s">
        <v>17</v>
      </c>
      <c r="D186" s="182"/>
      <c r="E186" s="183" t="s">
        <v>20</v>
      </c>
      <c r="F186" s="73" t="s">
        <v>413</v>
      </c>
      <c r="G186" s="74" t="s">
        <v>112</v>
      </c>
      <c r="H186" s="75">
        <v>14</v>
      </c>
      <c r="I186" s="76">
        <v>12</v>
      </c>
      <c r="J186" s="96">
        <f>3+1+2+4+1+1</f>
        <v>12</v>
      </c>
      <c r="K186" s="77">
        <f>5112.82+422.64+8302.14+1605.5+1092.81</f>
        <v>16535.91</v>
      </c>
      <c r="L186" s="77">
        <f>5112.82+422.64+8302.14+1605.5</f>
        <v>15443.099999999999</v>
      </c>
      <c r="M186" s="78">
        <f>K186-L186</f>
        <v>1092.8100000000013</v>
      </c>
      <c r="N186" s="100">
        <f>4+1+1+2</f>
        <v>8</v>
      </c>
      <c r="O186" s="81">
        <f>7087.22+3426.18+3496.22</f>
        <v>14009.619999999999</v>
      </c>
      <c r="P186" s="81">
        <f>7087.22+3426.18+3496.22</f>
        <v>14009.619999999999</v>
      </c>
      <c r="Q186" s="232">
        <f t="shared" si="13"/>
        <v>0</v>
      </c>
      <c r="R186" s="141"/>
    </row>
    <row r="187" spans="1:18" s="15" customFormat="1" x14ac:dyDescent="0.25">
      <c r="A187" s="229"/>
      <c r="B187" s="27" t="s">
        <v>104</v>
      </c>
      <c r="C187" s="181" t="s">
        <v>17</v>
      </c>
      <c r="D187" s="182"/>
      <c r="E187" s="183" t="s">
        <v>20</v>
      </c>
      <c r="F187" s="73" t="s">
        <v>471</v>
      </c>
      <c r="G187" s="230" t="s">
        <v>114</v>
      </c>
      <c r="H187" s="181">
        <v>36</v>
      </c>
      <c r="I187" s="231">
        <v>6</v>
      </c>
      <c r="J187" s="190">
        <v>6</v>
      </c>
      <c r="K187" s="77">
        <v>20374.36</v>
      </c>
      <c r="L187" s="77">
        <v>15557.56</v>
      </c>
      <c r="M187" s="187">
        <f t="shared" si="25"/>
        <v>4816.8000000000011</v>
      </c>
      <c r="N187" s="114">
        <v>18</v>
      </c>
      <c r="O187" s="224">
        <v>40887.050000000003</v>
      </c>
      <c r="P187" s="224">
        <v>40887.050000000003</v>
      </c>
      <c r="Q187" s="232">
        <f t="shared" si="13"/>
        <v>0</v>
      </c>
    </row>
    <row r="188" spans="1:18" s="13" customFormat="1" x14ac:dyDescent="0.25">
      <c r="A188" s="229"/>
      <c r="B188" s="30" t="s">
        <v>26</v>
      </c>
      <c r="C188" s="181" t="s">
        <v>17</v>
      </c>
      <c r="D188" s="182"/>
      <c r="E188" s="183" t="s">
        <v>32</v>
      </c>
      <c r="F188" s="73" t="s">
        <v>246</v>
      </c>
      <c r="G188" s="74" t="s">
        <v>117</v>
      </c>
      <c r="H188" s="75"/>
      <c r="I188" s="76"/>
      <c r="J188" s="96"/>
      <c r="K188" s="77"/>
      <c r="L188" s="77"/>
      <c r="M188" s="78">
        <f t="shared" si="16"/>
        <v>0</v>
      </c>
      <c r="N188" s="100">
        <v>5</v>
      </c>
      <c r="O188" s="81">
        <v>7808.15</v>
      </c>
      <c r="P188" s="81">
        <v>7808.15</v>
      </c>
      <c r="Q188" s="232">
        <f t="shared" si="13"/>
        <v>0</v>
      </c>
    </row>
    <row r="189" spans="1:18" s="13" customFormat="1" x14ac:dyDescent="0.25">
      <c r="A189" s="229"/>
      <c r="B189" s="62" t="s">
        <v>106</v>
      </c>
      <c r="C189" s="181" t="s">
        <v>17</v>
      </c>
      <c r="D189" s="205"/>
      <c r="E189" s="194" t="s">
        <v>20</v>
      </c>
      <c r="F189" s="73" t="s">
        <v>414</v>
      </c>
      <c r="G189" s="74" t="s">
        <v>112</v>
      </c>
      <c r="H189" s="75">
        <v>12</v>
      </c>
      <c r="I189" s="76">
        <v>6</v>
      </c>
      <c r="J189" s="96">
        <f>1+4+2</f>
        <v>7</v>
      </c>
      <c r="K189" s="77">
        <f>3125.9</f>
        <v>3125.9</v>
      </c>
      <c r="L189" s="77">
        <f>3125.9</f>
        <v>3125.9</v>
      </c>
      <c r="M189" s="78">
        <f>K189-L189</f>
        <v>0</v>
      </c>
      <c r="N189" s="100">
        <f>3+1</f>
        <v>4</v>
      </c>
      <c r="O189" s="81">
        <f>15956.85+4551.62+19965.34</f>
        <v>40473.81</v>
      </c>
      <c r="P189" s="81">
        <f>15956.85+4551.62+19965.34</f>
        <v>40473.81</v>
      </c>
      <c r="Q189" s="232">
        <f t="shared" si="13"/>
        <v>0</v>
      </c>
      <c r="R189" s="141"/>
    </row>
    <row r="190" spans="1:18" x14ac:dyDescent="0.25">
      <c r="A190" s="262"/>
      <c r="B190" s="66"/>
      <c r="C190" s="263"/>
      <c r="D190" s="235"/>
      <c r="E190" s="235"/>
      <c r="F190" s="73"/>
      <c r="G190" s="235" t="s">
        <v>131</v>
      </c>
      <c r="H190" s="240">
        <f>SUM(H10:H189)</f>
        <v>2467</v>
      </c>
      <c r="I190" s="261">
        <f>SUM(I10:I189)</f>
        <v>1311</v>
      </c>
      <c r="J190" s="208">
        <f>SUM(J10:J189)</f>
        <v>1561</v>
      </c>
      <c r="K190" s="209">
        <f>SUM(K10:K189)</f>
        <v>2834288.5450000009</v>
      </c>
      <c r="L190" s="209">
        <f>SUM(L10:L189)</f>
        <v>2602210.0450000009</v>
      </c>
      <c r="M190" s="210">
        <f>K190-L190</f>
        <v>232078.5</v>
      </c>
      <c r="N190" s="208">
        <f>SUM(N10:N189)</f>
        <v>1730</v>
      </c>
      <c r="O190" s="241">
        <f>SUM(O10:O189)</f>
        <v>5435712.0600000005</v>
      </c>
      <c r="P190" s="241">
        <f>SUM(P10:P189)</f>
        <v>5289948.3899999987</v>
      </c>
      <c r="Q190" s="79">
        <f t="shared" si="13"/>
        <v>145763.67000000179</v>
      </c>
      <c r="R190" s="129"/>
    </row>
    <row r="191" spans="1:18" x14ac:dyDescent="0.25">
      <c r="K191" s="91" t="s">
        <v>305</v>
      </c>
    </row>
    <row r="192" spans="1:18" ht="45" x14ac:dyDescent="0.25">
      <c r="B192" s="89" t="s">
        <v>316</v>
      </c>
      <c r="F192" s="104" t="s">
        <v>317</v>
      </c>
      <c r="M192" s="142"/>
      <c r="Q192" s="133"/>
    </row>
    <row r="193" spans="13:13" s="6" customFormat="1" x14ac:dyDescent="0.25">
      <c r="M193" s="216"/>
    </row>
  </sheetData>
  <autoFilter ref="A8:Q192"/>
  <mergeCells count="7">
    <mergeCell ref="O1:Q1"/>
    <mergeCell ref="A3:Q3"/>
    <mergeCell ref="A4:Q4"/>
    <mergeCell ref="A5:Q5"/>
    <mergeCell ref="B7:G7"/>
    <mergeCell ref="H7:M7"/>
    <mergeCell ref="N7:Q7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93"/>
  <sheetViews>
    <sheetView workbookViewId="0">
      <selection sqref="A1:XFD1048576"/>
    </sheetView>
  </sheetViews>
  <sheetFormatPr defaultRowHeight="15" x14ac:dyDescent="0.25"/>
  <cols>
    <col min="1" max="1" width="1.85546875" style="6" customWidth="1"/>
    <col min="2" max="2" width="38.28515625" style="88" customWidth="1"/>
    <col min="3" max="3" width="6.5703125" style="19" customWidth="1"/>
    <col min="4" max="4" width="17.42578125" style="19" customWidth="1"/>
    <col min="5" max="5" width="19" style="19" customWidth="1"/>
    <col min="6" max="6" width="19" style="89" customWidth="1"/>
    <col min="7" max="7" width="20.140625" style="89" customWidth="1"/>
    <col min="8" max="9" width="15.7109375" style="90" customWidth="1"/>
    <col min="10" max="10" width="15.7109375" style="99" customWidth="1"/>
    <col min="11" max="13" width="15.7109375" style="91" customWidth="1"/>
    <col min="14" max="14" width="15.7109375" style="99" customWidth="1"/>
    <col min="15" max="17" width="15.7109375" style="92" customWidth="1"/>
    <col min="18" max="18" width="11.7109375" style="6" customWidth="1"/>
    <col min="19" max="19" width="9.42578125" style="6" customWidth="1"/>
    <col min="20" max="21" width="9.140625" style="6" customWidth="1"/>
    <col min="22" max="16384" width="9.140625" style="6"/>
  </cols>
  <sheetData>
    <row r="1" spans="1:18" s="105" customFormat="1" x14ac:dyDescent="0.25">
      <c r="A1" s="60"/>
      <c r="B1" s="60"/>
      <c r="C1" s="225"/>
      <c r="D1" s="225"/>
      <c r="E1" s="225"/>
      <c r="F1" s="63"/>
      <c r="G1" s="63"/>
      <c r="H1" s="64"/>
      <c r="I1" s="64"/>
      <c r="J1" s="93"/>
      <c r="K1" s="65"/>
      <c r="L1" s="65"/>
      <c r="M1" s="65"/>
      <c r="N1" s="93"/>
      <c r="O1" s="362" t="s">
        <v>15</v>
      </c>
      <c r="P1" s="362"/>
      <c r="Q1" s="362"/>
    </row>
    <row r="2" spans="1:18" s="105" customFormat="1" x14ac:dyDescent="0.25">
      <c r="A2" s="266"/>
      <c r="B2" s="266"/>
      <c r="C2" s="267"/>
      <c r="D2" s="267"/>
      <c r="E2" s="267"/>
      <c r="F2" s="66"/>
      <c r="G2" s="66"/>
      <c r="H2" s="265"/>
      <c r="I2" s="265"/>
      <c r="J2" s="94"/>
      <c r="K2" s="67"/>
      <c r="L2" s="67"/>
      <c r="M2" s="67"/>
      <c r="N2" s="94"/>
      <c r="O2" s="68"/>
      <c r="P2" s="68"/>
      <c r="Q2" s="68"/>
    </row>
    <row r="3" spans="1:18" s="105" customFormat="1" x14ac:dyDescent="0.25">
      <c r="A3" s="380" t="s">
        <v>318</v>
      </c>
      <c r="B3" s="367"/>
      <c r="C3" s="380"/>
      <c r="D3" s="380"/>
      <c r="E3" s="380"/>
      <c r="F3" s="367"/>
      <c r="G3" s="367"/>
      <c r="H3" s="366"/>
      <c r="I3" s="366"/>
      <c r="J3" s="367"/>
      <c r="K3" s="367"/>
      <c r="L3" s="367"/>
      <c r="M3" s="367"/>
      <c r="N3" s="367"/>
      <c r="O3" s="367"/>
      <c r="P3" s="367"/>
      <c r="Q3" s="367"/>
    </row>
    <row r="4" spans="1:18" s="105" customFormat="1" x14ac:dyDescent="0.25">
      <c r="A4" s="381">
        <v>43724</v>
      </c>
      <c r="B4" s="373"/>
      <c r="C4" s="382"/>
      <c r="D4" s="382"/>
      <c r="E4" s="382"/>
      <c r="F4" s="373"/>
      <c r="G4" s="373"/>
      <c r="H4" s="372"/>
      <c r="I4" s="372"/>
      <c r="J4" s="373"/>
      <c r="K4" s="373"/>
      <c r="L4" s="373"/>
      <c r="M4" s="373"/>
      <c r="N4" s="373"/>
      <c r="O4" s="373"/>
      <c r="P4" s="373"/>
      <c r="Q4" s="373"/>
    </row>
    <row r="5" spans="1:18" s="105" customFormat="1" x14ac:dyDescent="0.25">
      <c r="A5" s="367" t="s">
        <v>14</v>
      </c>
      <c r="B5" s="367"/>
      <c r="C5" s="367"/>
      <c r="D5" s="367"/>
      <c r="E5" s="367"/>
      <c r="F5" s="367"/>
      <c r="G5" s="367"/>
      <c r="H5" s="366"/>
      <c r="I5" s="366"/>
      <c r="J5" s="367"/>
      <c r="K5" s="367"/>
      <c r="L5" s="367"/>
      <c r="M5" s="367"/>
      <c r="N5" s="367"/>
      <c r="O5" s="367"/>
      <c r="P5" s="367"/>
      <c r="Q5" s="367"/>
    </row>
    <row r="6" spans="1:18" s="105" customFormat="1" x14ac:dyDescent="0.25">
      <c r="A6" s="266"/>
      <c r="B6" s="266"/>
      <c r="C6" s="267"/>
      <c r="D6" s="267"/>
      <c r="E6" s="267"/>
      <c r="F6" s="66"/>
      <c r="G6" s="66"/>
      <c r="H6" s="265"/>
      <c r="I6" s="265"/>
      <c r="J6" s="94"/>
      <c r="K6" s="67"/>
      <c r="L6" s="67"/>
      <c r="M6" s="67"/>
      <c r="N6" s="94"/>
      <c r="O6" s="68"/>
      <c r="P6" s="68"/>
      <c r="Q6" s="68"/>
    </row>
    <row r="7" spans="1:18" x14ac:dyDescent="0.25">
      <c r="A7" s="227" t="s">
        <v>0</v>
      </c>
      <c r="B7" s="367" t="s">
        <v>10</v>
      </c>
      <c r="C7" s="380"/>
      <c r="D7" s="380"/>
      <c r="E7" s="380"/>
      <c r="F7" s="367"/>
      <c r="G7" s="367"/>
      <c r="H7" s="366" t="s">
        <v>472</v>
      </c>
      <c r="I7" s="366"/>
      <c r="J7" s="367"/>
      <c r="K7" s="367"/>
      <c r="L7" s="367"/>
      <c r="M7" s="367"/>
      <c r="N7" s="367" t="s">
        <v>132</v>
      </c>
      <c r="O7" s="367"/>
      <c r="P7" s="367"/>
      <c r="Q7" s="367"/>
    </row>
    <row r="8" spans="1:18" ht="195" x14ac:dyDescent="0.25">
      <c r="A8" s="227"/>
      <c r="B8" s="266" t="s">
        <v>4</v>
      </c>
      <c r="C8" s="267" t="s">
        <v>1</v>
      </c>
      <c r="D8" s="267" t="s">
        <v>3</v>
      </c>
      <c r="E8" s="267" t="s">
        <v>2</v>
      </c>
      <c r="F8" s="266" t="s">
        <v>6</v>
      </c>
      <c r="G8" s="66" t="s">
        <v>5</v>
      </c>
      <c r="H8" s="266" t="s">
        <v>7</v>
      </c>
      <c r="I8" s="266" t="s">
        <v>8</v>
      </c>
      <c r="J8" s="94" t="s">
        <v>9</v>
      </c>
      <c r="K8" s="67" t="s">
        <v>11</v>
      </c>
      <c r="L8" s="67" t="s">
        <v>12</v>
      </c>
      <c r="M8" s="67" t="s">
        <v>13</v>
      </c>
      <c r="N8" s="94" t="s">
        <v>9</v>
      </c>
      <c r="O8" s="68" t="s">
        <v>11</v>
      </c>
      <c r="P8" s="68" t="s">
        <v>12</v>
      </c>
      <c r="Q8" s="68" t="s">
        <v>13</v>
      </c>
    </row>
    <row r="9" spans="1:18" x14ac:dyDescent="0.25">
      <c r="A9" s="228">
        <v>1</v>
      </c>
      <c r="B9" s="61">
        <f>A9+1</f>
        <v>2</v>
      </c>
      <c r="C9" s="228">
        <f t="shared" ref="C9:Q9" si="0">B9+1</f>
        <v>3</v>
      </c>
      <c r="D9" s="228">
        <f t="shared" si="0"/>
        <v>4</v>
      </c>
      <c r="E9" s="228">
        <f t="shared" si="0"/>
        <v>5</v>
      </c>
      <c r="F9" s="69">
        <f t="shared" si="0"/>
        <v>6</v>
      </c>
      <c r="G9" s="69">
        <f t="shared" si="0"/>
        <v>7</v>
      </c>
      <c r="H9" s="70">
        <f t="shared" si="0"/>
        <v>8</v>
      </c>
      <c r="I9" s="70">
        <f t="shared" si="0"/>
        <v>9</v>
      </c>
      <c r="J9" s="95">
        <f t="shared" si="0"/>
        <v>10</v>
      </c>
      <c r="K9" s="71">
        <f t="shared" si="0"/>
        <v>11</v>
      </c>
      <c r="L9" s="71">
        <f t="shared" si="0"/>
        <v>12</v>
      </c>
      <c r="M9" s="71">
        <f t="shared" si="0"/>
        <v>13</v>
      </c>
      <c r="N9" s="95">
        <f t="shared" si="0"/>
        <v>14</v>
      </c>
      <c r="O9" s="72">
        <f t="shared" si="0"/>
        <v>15</v>
      </c>
      <c r="P9" s="72">
        <f t="shared" si="0"/>
        <v>16</v>
      </c>
      <c r="Q9" s="72">
        <f t="shared" si="0"/>
        <v>17</v>
      </c>
    </row>
    <row r="10" spans="1:18" s="13" customFormat="1" ht="30" x14ac:dyDescent="0.25">
      <c r="A10" s="229"/>
      <c r="B10" s="62" t="s">
        <v>16</v>
      </c>
      <c r="C10" s="181" t="s">
        <v>304</v>
      </c>
      <c r="D10" s="182" t="s">
        <v>315</v>
      </c>
      <c r="E10" s="183" t="s">
        <v>18</v>
      </c>
      <c r="F10" s="73" t="s">
        <v>322</v>
      </c>
      <c r="G10" s="74" t="s">
        <v>112</v>
      </c>
      <c r="H10" s="75">
        <v>12</v>
      </c>
      <c r="I10" s="76">
        <v>10</v>
      </c>
      <c r="J10" s="98">
        <f>2+1+3+3+1+3</f>
        <v>13</v>
      </c>
      <c r="K10" s="77">
        <f>4792.51+1138.19+504.26+11366.06+4859.68+3954.5</f>
        <v>26615.200000000001</v>
      </c>
      <c r="L10" s="77">
        <f>4792.51+1138.19+504.26+11366.06+4859.68+3954.5</f>
        <v>26615.200000000001</v>
      </c>
      <c r="M10" s="78">
        <f>K10-L10</f>
        <v>0</v>
      </c>
      <c r="N10" s="100">
        <f>2+5+1+2+1</f>
        <v>11</v>
      </c>
      <c r="O10" s="77">
        <f>9108.77+6924.32+22366.06+8197.52</f>
        <v>46596.67</v>
      </c>
      <c r="P10" s="77">
        <f>9108.77+6924.32+22366.06+8197.52</f>
        <v>46596.67</v>
      </c>
      <c r="Q10" s="79">
        <f>O10-P10</f>
        <v>0</v>
      </c>
      <c r="R10" s="141"/>
    </row>
    <row r="11" spans="1:18" s="13" customFormat="1" ht="30" x14ac:dyDescent="0.25">
      <c r="A11" s="229"/>
      <c r="B11" s="62" t="s">
        <v>16</v>
      </c>
      <c r="C11" s="181" t="s">
        <v>304</v>
      </c>
      <c r="D11" s="182" t="s">
        <v>315</v>
      </c>
      <c r="E11" s="183" t="s">
        <v>18</v>
      </c>
      <c r="F11" s="73" t="s">
        <v>322</v>
      </c>
      <c r="G11" s="230" t="s">
        <v>116</v>
      </c>
      <c r="H11" s="181">
        <v>10</v>
      </c>
      <c r="I11" s="231">
        <v>5</v>
      </c>
      <c r="J11" s="96">
        <v>5</v>
      </c>
      <c r="K11" s="224">
        <v>7070</v>
      </c>
      <c r="L11" s="224">
        <v>7070</v>
      </c>
      <c r="M11" s="187">
        <f t="shared" ref="M11:M90" si="1">K11-L11</f>
        <v>0</v>
      </c>
      <c r="N11" s="100"/>
      <c r="O11" s="224">
        <v>2945</v>
      </c>
      <c r="P11" s="224">
        <v>2945</v>
      </c>
      <c r="Q11" s="232">
        <f t="shared" ref="Q11:Q80" si="2">O11-P11</f>
        <v>0</v>
      </c>
    </row>
    <row r="12" spans="1:18" s="13" customFormat="1" x14ac:dyDescent="0.25">
      <c r="A12" s="229"/>
      <c r="B12" s="62" t="s">
        <v>490</v>
      </c>
      <c r="C12" s="181" t="s">
        <v>304</v>
      </c>
      <c r="D12" s="182"/>
      <c r="E12" s="183"/>
      <c r="F12" s="189" t="s">
        <v>501</v>
      </c>
      <c r="G12" s="230" t="s">
        <v>112</v>
      </c>
      <c r="H12" s="181">
        <v>16</v>
      </c>
      <c r="I12" s="231">
        <v>11</v>
      </c>
      <c r="J12" s="96">
        <f>5+1+3+1+1+2+2</f>
        <v>15</v>
      </c>
      <c r="K12" s="224">
        <f>8352.39+384.2+1463.8+3720.67+546.41+5470.48</f>
        <v>19937.949999999997</v>
      </c>
      <c r="L12" s="224">
        <f>8352.39+384.2+1463.8+3720.67+546.41+5470.48</f>
        <v>19937.949999999997</v>
      </c>
      <c r="M12" s="78">
        <f t="shared" si="1"/>
        <v>0</v>
      </c>
      <c r="N12" s="100"/>
      <c r="O12" s="224"/>
      <c r="P12" s="224"/>
      <c r="Q12" s="79">
        <f t="shared" si="2"/>
        <v>0</v>
      </c>
    </row>
    <row r="13" spans="1:18" s="15" customFormat="1" x14ac:dyDescent="0.25">
      <c r="A13" s="229"/>
      <c r="B13" s="62" t="s">
        <v>19</v>
      </c>
      <c r="C13" s="181" t="s">
        <v>17</v>
      </c>
      <c r="D13" s="182"/>
      <c r="E13" s="183" t="s">
        <v>20</v>
      </c>
      <c r="F13" s="73" t="s">
        <v>323</v>
      </c>
      <c r="G13" s="74" t="s">
        <v>112</v>
      </c>
      <c r="H13" s="75">
        <v>12</v>
      </c>
      <c r="I13" s="76">
        <v>10</v>
      </c>
      <c r="J13" s="96">
        <f>1+2+5+2+1+5+1</f>
        <v>17</v>
      </c>
      <c r="K13" s="77">
        <f>422.62+4792.51+1796.14+1373.52+5511.59+1707.76</f>
        <v>15604.140000000001</v>
      </c>
      <c r="L13" s="77">
        <f>422.62+4792.51+1796.14+1373.52+5511.59</f>
        <v>13896.380000000001</v>
      </c>
      <c r="M13" s="78">
        <f t="shared" si="1"/>
        <v>1707.7600000000002</v>
      </c>
      <c r="N13" s="100">
        <f>8+3+1+2</f>
        <v>14</v>
      </c>
      <c r="O13" s="81">
        <f>6459.36+7124.45</f>
        <v>13583.81</v>
      </c>
      <c r="P13" s="81">
        <f>6459.36+7124.45</f>
        <v>13583.81</v>
      </c>
      <c r="Q13" s="79">
        <f t="shared" si="2"/>
        <v>0</v>
      </c>
      <c r="R13" s="141"/>
    </row>
    <row r="14" spans="1:18" s="15" customFormat="1" x14ac:dyDescent="0.25">
      <c r="A14" s="229"/>
      <c r="B14" s="62" t="s">
        <v>19</v>
      </c>
      <c r="C14" s="181" t="s">
        <v>17</v>
      </c>
      <c r="D14" s="182"/>
      <c r="E14" s="183" t="s">
        <v>20</v>
      </c>
      <c r="F14" s="73" t="s">
        <v>451</v>
      </c>
      <c r="G14" s="230" t="s">
        <v>114</v>
      </c>
      <c r="H14" s="181">
        <v>8</v>
      </c>
      <c r="I14" s="231">
        <v>2</v>
      </c>
      <c r="J14" s="190">
        <v>2</v>
      </c>
      <c r="K14" s="77">
        <v>3916.92</v>
      </c>
      <c r="L14" s="77">
        <v>2592.3000000000002</v>
      </c>
      <c r="M14" s="187">
        <f t="shared" si="1"/>
        <v>1324.62</v>
      </c>
      <c r="N14" s="100">
        <v>9</v>
      </c>
      <c r="O14" s="224">
        <v>16688.7</v>
      </c>
      <c r="P14" s="224">
        <v>16688.7</v>
      </c>
      <c r="Q14" s="232">
        <f t="shared" si="2"/>
        <v>0</v>
      </c>
    </row>
    <row r="15" spans="1:18" s="15" customFormat="1" x14ac:dyDescent="0.25">
      <c r="A15" s="229"/>
      <c r="B15" s="62" t="s">
        <v>153</v>
      </c>
      <c r="C15" s="181" t="s">
        <v>17</v>
      </c>
      <c r="D15" s="182"/>
      <c r="E15" s="183" t="s">
        <v>20</v>
      </c>
      <c r="F15" s="73" t="s">
        <v>324</v>
      </c>
      <c r="G15" s="74" t="s">
        <v>112</v>
      </c>
      <c r="H15" s="75">
        <v>14</v>
      </c>
      <c r="I15" s="82">
        <v>8</v>
      </c>
      <c r="J15" s="96">
        <f>1+1+2+1+1+2+1+1+1</f>
        <v>11</v>
      </c>
      <c r="K15" s="77">
        <f>950.9+2451.87+3074.57+845.24+1977.86+1284.48+883.08+401.4</f>
        <v>11869.4</v>
      </c>
      <c r="L15" s="77">
        <f>950.9+2451.87+3074.57+845.24+1977.86+1284.48+883.08</f>
        <v>11468</v>
      </c>
      <c r="M15" s="78">
        <f>K15-L15</f>
        <v>401.39999999999964</v>
      </c>
      <c r="N15" s="114">
        <f>1+2+1+2+1+1</f>
        <v>8</v>
      </c>
      <c r="O15" s="81">
        <f>422.62+945.61+2484.69+7964.81+1536.8+2498.17</f>
        <v>15852.699999999999</v>
      </c>
      <c r="P15" s="81">
        <f>422.62+945.61+2484.69+7964.81+1536.8+2498.17</f>
        <v>15852.699999999999</v>
      </c>
      <c r="Q15" s="79">
        <f t="shared" si="2"/>
        <v>0</v>
      </c>
      <c r="R15" s="141"/>
    </row>
    <row r="16" spans="1:18" s="15" customFormat="1" x14ac:dyDescent="0.25">
      <c r="A16" s="229"/>
      <c r="B16" s="233" t="s">
        <v>153</v>
      </c>
      <c r="C16" s="181" t="s">
        <v>17</v>
      </c>
      <c r="D16" s="182"/>
      <c r="E16" s="183" t="s">
        <v>20</v>
      </c>
      <c r="F16" s="73" t="s">
        <v>452</v>
      </c>
      <c r="G16" s="230" t="s">
        <v>114</v>
      </c>
      <c r="H16" s="181">
        <v>15</v>
      </c>
      <c r="I16" s="231">
        <v>3</v>
      </c>
      <c r="J16" s="190">
        <v>3</v>
      </c>
      <c r="K16" s="77">
        <v>13390.16</v>
      </c>
      <c r="L16" s="77">
        <v>12185.96</v>
      </c>
      <c r="M16" s="187">
        <f t="shared" si="1"/>
        <v>1204.2000000000007</v>
      </c>
      <c r="N16" s="100">
        <v>9</v>
      </c>
      <c r="O16" s="224">
        <v>23692.400000000001</v>
      </c>
      <c r="P16" s="224">
        <v>23692.400000000001</v>
      </c>
      <c r="Q16" s="232">
        <f t="shared" si="2"/>
        <v>0</v>
      </c>
    </row>
    <row r="17" spans="1:18" s="13" customFormat="1" x14ac:dyDescent="0.25">
      <c r="A17" s="229"/>
      <c r="B17" s="30" t="s">
        <v>22</v>
      </c>
      <c r="C17" s="181" t="s">
        <v>17</v>
      </c>
      <c r="D17" s="182"/>
      <c r="E17" s="183" t="s">
        <v>23</v>
      </c>
      <c r="F17" s="73" t="s">
        <v>325</v>
      </c>
      <c r="G17" s="74" t="s">
        <v>112</v>
      </c>
      <c r="H17" s="75">
        <v>36</v>
      </c>
      <c r="I17" s="76">
        <v>10</v>
      </c>
      <c r="J17" s="96">
        <f>1+2+1+9</f>
        <v>13</v>
      </c>
      <c r="K17" s="77">
        <f>2698.64+1402.33+11601.84</f>
        <v>15702.81</v>
      </c>
      <c r="L17" s="77">
        <f>2698.64+1402.33+11601.84</f>
        <v>15702.81</v>
      </c>
      <c r="M17" s="78">
        <f>K17-L17</f>
        <v>0</v>
      </c>
      <c r="N17" s="100">
        <f>14+3+7+1+1</f>
        <v>26</v>
      </c>
      <c r="O17" s="81">
        <f>22716.4+4171.06+18768.39+8172.47</f>
        <v>53828.320000000007</v>
      </c>
      <c r="P17" s="81">
        <f>22716.4+4171.06+18768.39+8172.47</f>
        <v>53828.320000000007</v>
      </c>
      <c r="Q17" s="79">
        <f t="shared" si="2"/>
        <v>0</v>
      </c>
      <c r="R17" s="141"/>
    </row>
    <row r="18" spans="1:18" s="13" customFormat="1" x14ac:dyDescent="0.25">
      <c r="A18" s="229"/>
      <c r="B18" s="30" t="s">
        <v>154</v>
      </c>
      <c r="C18" s="181" t="s">
        <v>17</v>
      </c>
      <c r="D18" s="182"/>
      <c r="E18" s="183" t="s">
        <v>20</v>
      </c>
      <c r="F18" s="73" t="s">
        <v>453</v>
      </c>
      <c r="G18" s="230" t="s">
        <v>114</v>
      </c>
      <c r="H18" s="181">
        <v>30</v>
      </c>
      <c r="I18" s="234">
        <v>2</v>
      </c>
      <c r="J18" s="190">
        <v>2</v>
      </c>
      <c r="K18" s="193">
        <v>2938.2</v>
      </c>
      <c r="L18" s="193">
        <v>2938.2</v>
      </c>
      <c r="M18" s="187">
        <f t="shared" si="1"/>
        <v>0</v>
      </c>
      <c r="N18" s="114">
        <v>16</v>
      </c>
      <c r="O18" s="224">
        <v>41112.769999999997</v>
      </c>
      <c r="P18" s="224">
        <v>41112.769999999997</v>
      </c>
      <c r="Q18" s="232">
        <f t="shared" si="2"/>
        <v>0</v>
      </c>
    </row>
    <row r="19" spans="1:18" s="13" customFormat="1" x14ac:dyDescent="0.25">
      <c r="A19" s="229"/>
      <c r="B19" s="30" t="s">
        <v>154</v>
      </c>
      <c r="C19" s="181" t="s">
        <v>17</v>
      </c>
      <c r="D19" s="182"/>
      <c r="E19" s="183" t="s">
        <v>20</v>
      </c>
      <c r="F19" s="73" t="s">
        <v>326</v>
      </c>
      <c r="G19" s="74" t="s">
        <v>112</v>
      </c>
      <c r="H19" s="75">
        <v>22</v>
      </c>
      <c r="I19" s="76">
        <v>15</v>
      </c>
      <c r="J19" s="96">
        <f>1+1+2+2+2+6+1+4+1</f>
        <v>20</v>
      </c>
      <c r="K19" s="77">
        <f>950.9+864.46+845.24+405.02+739.59+6850.57+12952.58+883.08</f>
        <v>24491.440000000002</v>
      </c>
      <c r="L19" s="77">
        <f>950.9+864.46+845.24+405.02+739.59+6850.57+12952.58+883.08</f>
        <v>24491.440000000002</v>
      </c>
      <c r="M19" s="78">
        <f t="shared" si="1"/>
        <v>0</v>
      </c>
      <c r="N19" s="100">
        <f>6+3+1+1+1+2+1+1</f>
        <v>16</v>
      </c>
      <c r="O19" s="81">
        <f>6681.33+7017+1523.5+9094.74+3532.32</f>
        <v>27848.89</v>
      </c>
      <c r="P19" s="81">
        <f>6681.33+7017+1523.5+9094.74+3532.32</f>
        <v>27848.89</v>
      </c>
      <c r="Q19" s="79">
        <f t="shared" si="2"/>
        <v>0</v>
      </c>
      <c r="R19" s="141"/>
    </row>
    <row r="20" spans="1:18" s="13" customFormat="1" x14ac:dyDescent="0.25">
      <c r="A20" s="229"/>
      <c r="B20" s="62" t="s">
        <v>24</v>
      </c>
      <c r="C20" s="181" t="s">
        <v>17</v>
      </c>
      <c r="D20" s="182"/>
      <c r="E20" s="183" t="s">
        <v>20</v>
      </c>
      <c r="F20" s="73" t="s">
        <v>327</v>
      </c>
      <c r="G20" s="74" t="s">
        <v>112</v>
      </c>
      <c r="H20" s="75">
        <v>7</v>
      </c>
      <c r="I20" s="76">
        <v>4</v>
      </c>
      <c r="J20" s="96">
        <f>3+1+1</f>
        <v>5</v>
      </c>
      <c r="K20" s="77">
        <f>1191.02</f>
        <v>1191.02</v>
      </c>
      <c r="L20" s="77">
        <f>1191.02</f>
        <v>1191.02</v>
      </c>
      <c r="M20" s="78">
        <f t="shared" si="1"/>
        <v>0</v>
      </c>
      <c r="N20" s="100">
        <f>1+1</f>
        <v>2</v>
      </c>
      <c r="O20" s="81">
        <f>576.3+1810.93</f>
        <v>2387.23</v>
      </c>
      <c r="P20" s="81">
        <f>576.3+1810.93</f>
        <v>2387.23</v>
      </c>
      <c r="Q20" s="232">
        <f t="shared" si="2"/>
        <v>0</v>
      </c>
      <c r="R20" s="141"/>
    </row>
    <row r="21" spans="1:18" s="13" customFormat="1" x14ac:dyDescent="0.25">
      <c r="A21" s="229"/>
      <c r="B21" s="62" t="s">
        <v>24</v>
      </c>
      <c r="C21" s="181" t="s">
        <v>17</v>
      </c>
      <c r="D21" s="182"/>
      <c r="E21" s="183" t="s">
        <v>20</v>
      </c>
      <c r="F21" s="73" t="s">
        <v>454</v>
      </c>
      <c r="G21" s="230" t="s">
        <v>114</v>
      </c>
      <c r="H21" s="181">
        <v>12</v>
      </c>
      <c r="I21" s="231"/>
      <c r="J21" s="190"/>
      <c r="K21" s="77"/>
      <c r="L21" s="77"/>
      <c r="M21" s="187">
        <f t="shared" si="1"/>
        <v>0</v>
      </c>
      <c r="N21" s="100">
        <v>16</v>
      </c>
      <c r="O21" s="224">
        <v>35336.5</v>
      </c>
      <c r="P21" s="224">
        <v>35336.5</v>
      </c>
      <c r="Q21" s="232">
        <f t="shared" si="2"/>
        <v>0</v>
      </c>
    </row>
    <row r="22" spans="1:18" s="13" customFormat="1" x14ac:dyDescent="0.25">
      <c r="A22" s="229"/>
      <c r="B22" s="62" t="s">
        <v>25</v>
      </c>
      <c r="C22" s="181" t="s">
        <v>17</v>
      </c>
      <c r="D22" s="182"/>
      <c r="E22" s="183" t="s">
        <v>20</v>
      </c>
      <c r="F22" s="73" t="s">
        <v>328</v>
      </c>
      <c r="G22" s="74" t="s">
        <v>112</v>
      </c>
      <c r="H22" s="75">
        <v>13</v>
      </c>
      <c r="I22" s="76">
        <v>7</v>
      </c>
      <c r="J22" s="96">
        <f>1+1+1+1+1+1+1+2</f>
        <v>9</v>
      </c>
      <c r="K22" s="173">
        <f>403.41+1605.6+3697.9+1204.2+1092.81</f>
        <v>8003.92</v>
      </c>
      <c r="L22" s="173">
        <f>403.41+1605.6+3697.9</f>
        <v>5706.91</v>
      </c>
      <c r="M22" s="78">
        <f>K22-L22</f>
        <v>2297.0100000000002</v>
      </c>
      <c r="N22" s="100">
        <f>6+1+2+2+1</f>
        <v>12</v>
      </c>
      <c r="O22" s="81">
        <f>14526.7+5595.3+2440.62+2839.24</f>
        <v>25401.86</v>
      </c>
      <c r="P22" s="81">
        <f>14526.7+5595.3+2440.62+2839.24</f>
        <v>25401.86</v>
      </c>
      <c r="Q22" s="232">
        <f t="shared" si="2"/>
        <v>0</v>
      </c>
      <c r="R22" s="141"/>
    </row>
    <row r="23" spans="1:18" s="13" customFormat="1" x14ac:dyDescent="0.25">
      <c r="A23" s="229"/>
      <c r="B23" s="62" t="s">
        <v>25</v>
      </c>
      <c r="C23" s="181" t="s">
        <v>17</v>
      </c>
      <c r="D23" s="182"/>
      <c r="E23" s="183" t="s">
        <v>20</v>
      </c>
      <c r="F23" s="73" t="s">
        <v>455</v>
      </c>
      <c r="G23" s="230" t="s">
        <v>114</v>
      </c>
      <c r="H23" s="181">
        <v>6</v>
      </c>
      <c r="I23" s="231"/>
      <c r="J23" s="190"/>
      <c r="K23" s="77"/>
      <c r="L23" s="77"/>
      <c r="M23" s="187">
        <f t="shared" si="1"/>
        <v>0</v>
      </c>
      <c r="N23" s="100">
        <v>3</v>
      </c>
      <c r="O23" s="224">
        <v>7219.8</v>
      </c>
      <c r="P23" s="224">
        <v>7219.8</v>
      </c>
      <c r="Q23" s="232">
        <f t="shared" si="2"/>
        <v>0</v>
      </c>
    </row>
    <row r="24" spans="1:18" s="13" customFormat="1" x14ac:dyDescent="0.25">
      <c r="A24" s="229"/>
      <c r="B24" s="62" t="s">
        <v>26</v>
      </c>
      <c r="C24" s="181" t="s">
        <v>17</v>
      </c>
      <c r="D24" s="182"/>
      <c r="E24" s="183" t="s">
        <v>27</v>
      </c>
      <c r="F24" s="73" t="s">
        <v>329</v>
      </c>
      <c r="G24" s="74" t="s">
        <v>112</v>
      </c>
      <c r="H24" s="75">
        <v>16</v>
      </c>
      <c r="I24" s="76">
        <v>13</v>
      </c>
      <c r="J24" s="96">
        <f>2+2+4+1+4+1+1</f>
        <v>15</v>
      </c>
      <c r="K24" s="77">
        <f>845.24+1056.55+5121.1+26225.35+422.62+16490.35+1457.08+1479.16</f>
        <v>53097.450000000004</v>
      </c>
      <c r="L24" s="77">
        <f>845.24+1056.55+5121.1+26225.35+422.62+16490.35+1457.08</f>
        <v>51618.29</v>
      </c>
      <c r="M24" s="78">
        <f t="shared" si="1"/>
        <v>1479.1600000000035</v>
      </c>
      <c r="N24" s="100">
        <f>6+1+1+2+1</f>
        <v>11</v>
      </c>
      <c r="O24" s="81">
        <f>17838.53+2535.75+7238.9</f>
        <v>27613.18</v>
      </c>
      <c r="P24" s="81">
        <f>17838.53+2535.75+7238.9</f>
        <v>27613.18</v>
      </c>
      <c r="Q24" s="232">
        <f t="shared" si="2"/>
        <v>0</v>
      </c>
      <c r="R24" s="141"/>
    </row>
    <row r="25" spans="1:18" s="15" customFormat="1" x14ac:dyDescent="0.25">
      <c r="A25" s="229"/>
      <c r="B25" s="62" t="s">
        <v>28</v>
      </c>
      <c r="C25" s="181" t="s">
        <v>17</v>
      </c>
      <c r="D25" s="182"/>
      <c r="E25" s="194" t="s">
        <v>29</v>
      </c>
      <c r="F25" s="73" t="s">
        <v>330</v>
      </c>
      <c r="G25" s="74" t="s">
        <v>112</v>
      </c>
      <c r="H25" s="75">
        <v>8</v>
      </c>
      <c r="I25" s="76">
        <v>8</v>
      </c>
      <c r="J25" s="96">
        <f>2+1+2+1+1+1</f>
        <v>8</v>
      </c>
      <c r="K25" s="77">
        <f>6135.14+2440.63+9722.07+968.96+2258.48</f>
        <v>21525.279999999999</v>
      </c>
      <c r="L25" s="77">
        <f>6135.14+2440.63+9722.07+968.96</f>
        <v>19266.8</v>
      </c>
      <c r="M25" s="78">
        <f t="shared" si="1"/>
        <v>2258.4799999999996</v>
      </c>
      <c r="N25" s="100">
        <f>3+2+4+3+1+1</f>
        <v>14</v>
      </c>
      <c r="O25" s="81">
        <f>5310.83+4630.52+14679.01+36087.29+8956.5+10112.26</f>
        <v>79776.409999999989</v>
      </c>
      <c r="P25" s="81">
        <f>5310.83+4630.52+14679.01+36087.29+8956.5</f>
        <v>69664.149999999994</v>
      </c>
      <c r="Q25" s="232">
        <f t="shared" si="2"/>
        <v>10112.259999999995</v>
      </c>
      <c r="R25" s="141"/>
    </row>
    <row r="26" spans="1:18" s="15" customFormat="1" x14ac:dyDescent="0.25">
      <c r="A26" s="229"/>
      <c r="B26" s="62" t="s">
        <v>28</v>
      </c>
      <c r="C26" s="181" t="s">
        <v>17</v>
      </c>
      <c r="D26" s="182"/>
      <c r="E26" s="194" t="s">
        <v>29</v>
      </c>
      <c r="F26" s="73" t="s">
        <v>420</v>
      </c>
      <c r="G26" s="235" t="s">
        <v>117</v>
      </c>
      <c r="H26" s="181">
        <v>2</v>
      </c>
      <c r="I26" s="231"/>
      <c r="J26" s="96"/>
      <c r="K26" s="77"/>
      <c r="L26" s="77"/>
      <c r="M26" s="78">
        <f t="shared" si="1"/>
        <v>0</v>
      </c>
      <c r="N26" s="100">
        <v>2</v>
      </c>
      <c r="O26" s="224">
        <v>2766.24</v>
      </c>
      <c r="P26" s="224">
        <v>2766.24</v>
      </c>
      <c r="Q26" s="79">
        <f t="shared" si="2"/>
        <v>0</v>
      </c>
    </row>
    <row r="27" spans="1:18" s="15" customFormat="1" x14ac:dyDescent="0.25">
      <c r="A27" s="229"/>
      <c r="B27" s="233" t="s">
        <v>500</v>
      </c>
      <c r="C27" s="181" t="s">
        <v>17</v>
      </c>
      <c r="D27" s="182"/>
      <c r="E27" s="194"/>
      <c r="F27" s="73" t="s">
        <v>503</v>
      </c>
      <c r="G27" s="235" t="s">
        <v>112</v>
      </c>
      <c r="H27" s="181">
        <v>20</v>
      </c>
      <c r="I27" s="231">
        <v>13</v>
      </c>
      <c r="J27" s="96">
        <f>2+2+2+1+3+5+2</f>
        <v>17</v>
      </c>
      <c r="K27" s="77">
        <f>1202.51+3555.1+602.1+708.47+7232.25</f>
        <v>13300.43</v>
      </c>
      <c r="L27" s="77">
        <f>1202.51+3555.1+602.1+708.47</f>
        <v>6068.18</v>
      </c>
      <c r="M27" s="78">
        <f t="shared" si="1"/>
        <v>7232.25</v>
      </c>
      <c r="N27" s="100"/>
      <c r="O27" s="224"/>
      <c r="P27" s="224"/>
      <c r="Q27" s="79">
        <f t="shared" si="2"/>
        <v>0</v>
      </c>
    </row>
    <row r="28" spans="1:18" s="13" customFormat="1" x14ac:dyDescent="0.25">
      <c r="A28" s="229"/>
      <c r="B28" s="27" t="s">
        <v>30</v>
      </c>
      <c r="C28" s="181" t="s">
        <v>17</v>
      </c>
      <c r="D28" s="182"/>
      <c r="E28" s="194" t="s">
        <v>21</v>
      </c>
      <c r="F28" s="73" t="s">
        <v>333</v>
      </c>
      <c r="G28" s="74" t="s">
        <v>112</v>
      </c>
      <c r="H28" s="75">
        <v>18</v>
      </c>
      <c r="I28" s="76">
        <v>13</v>
      </c>
      <c r="J28" s="96">
        <f>3+1+3+1+4+1+1+2+1</f>
        <v>17</v>
      </c>
      <c r="K28" s="77">
        <f>16637.24+1045.98+2789.73</f>
        <v>20472.95</v>
      </c>
      <c r="L28" s="77">
        <f>16637.24+1045.98+2789.73</f>
        <v>20472.95</v>
      </c>
      <c r="M28" s="78">
        <f t="shared" si="1"/>
        <v>0</v>
      </c>
      <c r="N28" s="100">
        <f>9+1+3+1+1+1+2+1+1+2+1</f>
        <v>23</v>
      </c>
      <c r="O28" s="81">
        <f>77047.8+15703.07+7288.94</f>
        <v>100039.81</v>
      </c>
      <c r="P28" s="81">
        <f>77047.8+15703.07+7288.94</f>
        <v>100039.81</v>
      </c>
      <c r="Q28" s="79">
        <f>O28-P28</f>
        <v>0</v>
      </c>
      <c r="R28" s="141"/>
    </row>
    <row r="29" spans="1:18" s="13" customFormat="1" x14ac:dyDescent="0.25">
      <c r="A29" s="229"/>
      <c r="B29" s="27" t="s">
        <v>491</v>
      </c>
      <c r="C29" s="181" t="s">
        <v>17</v>
      </c>
      <c r="D29" s="182"/>
      <c r="E29" s="183" t="s">
        <v>20</v>
      </c>
      <c r="F29" s="73" t="s">
        <v>495</v>
      </c>
      <c r="G29" s="74" t="s">
        <v>112</v>
      </c>
      <c r="H29" s="75">
        <v>11</v>
      </c>
      <c r="I29" s="76">
        <v>6</v>
      </c>
      <c r="J29" s="96">
        <f>2+2+1+1+1</f>
        <v>7</v>
      </c>
      <c r="K29" s="77">
        <f>1727.9+2093.89+728.54</f>
        <v>4550.33</v>
      </c>
      <c r="L29" s="77">
        <f>1727.9+2093.89+728.54</f>
        <v>4550.33</v>
      </c>
      <c r="M29" s="78">
        <f t="shared" si="1"/>
        <v>0</v>
      </c>
      <c r="N29" s="100"/>
      <c r="O29" s="81"/>
      <c r="P29" s="81"/>
      <c r="Q29" s="79">
        <f t="shared" si="2"/>
        <v>0</v>
      </c>
      <c r="R29" s="141"/>
    </row>
    <row r="30" spans="1:18" s="13" customFormat="1" x14ac:dyDescent="0.25">
      <c r="A30" s="229"/>
      <c r="B30" s="27" t="s">
        <v>491</v>
      </c>
      <c r="C30" s="181" t="s">
        <v>17</v>
      </c>
      <c r="D30" s="182"/>
      <c r="E30" s="183" t="s">
        <v>20</v>
      </c>
      <c r="F30" s="73" t="s">
        <v>504</v>
      </c>
      <c r="G30" s="74" t="s">
        <v>114</v>
      </c>
      <c r="H30" s="75">
        <v>7</v>
      </c>
      <c r="I30" s="76">
        <v>1</v>
      </c>
      <c r="J30" s="96">
        <v>1</v>
      </c>
      <c r="K30" s="77">
        <v>1267.8599999999999</v>
      </c>
      <c r="L30" s="77">
        <v>1267.8599999999999</v>
      </c>
      <c r="M30" s="187">
        <f t="shared" si="1"/>
        <v>0</v>
      </c>
      <c r="N30" s="100"/>
      <c r="O30" s="81"/>
      <c r="P30" s="81"/>
      <c r="Q30" s="232">
        <f t="shared" si="2"/>
        <v>0</v>
      </c>
      <c r="R30" s="141"/>
    </row>
    <row r="31" spans="1:18" s="13" customFormat="1" x14ac:dyDescent="0.25">
      <c r="A31" s="229"/>
      <c r="B31" s="27" t="s">
        <v>491</v>
      </c>
      <c r="C31" s="181" t="s">
        <v>17</v>
      </c>
      <c r="D31" s="182"/>
      <c r="E31" s="183"/>
      <c r="F31" s="73" t="s">
        <v>510</v>
      </c>
      <c r="G31" s="235" t="s">
        <v>117</v>
      </c>
      <c r="H31" s="75">
        <v>1</v>
      </c>
      <c r="I31" s="76"/>
      <c r="J31" s="96"/>
      <c r="K31" s="77"/>
      <c r="L31" s="77"/>
      <c r="M31" s="187">
        <f t="shared" si="1"/>
        <v>0</v>
      </c>
      <c r="N31" s="100"/>
      <c r="O31" s="81"/>
      <c r="P31" s="81"/>
      <c r="Q31" s="232">
        <f t="shared" si="2"/>
        <v>0</v>
      </c>
      <c r="R31" s="141"/>
    </row>
    <row r="32" spans="1:18" s="13" customFormat="1" x14ac:dyDescent="0.25">
      <c r="A32" s="229"/>
      <c r="B32" s="30" t="s">
        <v>31</v>
      </c>
      <c r="C32" s="181" t="s">
        <v>17</v>
      </c>
      <c r="D32" s="182"/>
      <c r="E32" s="183" t="s">
        <v>32</v>
      </c>
      <c r="F32" s="73" t="s">
        <v>331</v>
      </c>
      <c r="G32" s="74" t="s">
        <v>112</v>
      </c>
      <c r="H32" s="75">
        <v>15</v>
      </c>
      <c r="I32" s="76">
        <v>10</v>
      </c>
      <c r="J32" s="96">
        <f>1+2+3+1+4+3</f>
        <v>14</v>
      </c>
      <c r="K32" s="77">
        <f>633.93+1045.98+5377.62+950.9+6004.09+4598.82+8410.14</f>
        <v>27021.48</v>
      </c>
      <c r="L32" s="77">
        <f>633.93+1045.98+5377.62+950.9+6004.09+4598.82+8410.14</f>
        <v>27021.48</v>
      </c>
      <c r="M32" s="187">
        <f t="shared" si="1"/>
        <v>0</v>
      </c>
      <c r="N32" s="100">
        <f>1+3+3+1+1+2+1</f>
        <v>12</v>
      </c>
      <c r="O32" s="81">
        <f>2299.8+15239.58+6152.75+2720.49+1483.38+7043.49+11175.04</f>
        <v>46114.530000000006</v>
      </c>
      <c r="P32" s="81">
        <f>2299.8+15239.58+6152.75+2720.49+1483.38+7043.49+11175.04</f>
        <v>46114.530000000006</v>
      </c>
      <c r="Q32" s="232">
        <f t="shared" si="2"/>
        <v>0</v>
      </c>
      <c r="R32" s="141"/>
    </row>
    <row r="33" spans="1:18" s="13" customFormat="1" x14ac:dyDescent="0.25">
      <c r="A33" s="229"/>
      <c r="B33" s="30" t="s">
        <v>31</v>
      </c>
      <c r="C33" s="181" t="s">
        <v>17</v>
      </c>
      <c r="D33" s="182"/>
      <c r="E33" s="183" t="s">
        <v>32</v>
      </c>
      <c r="F33" s="73" t="s">
        <v>422</v>
      </c>
      <c r="G33" s="235" t="s">
        <v>117</v>
      </c>
      <c r="H33" s="181">
        <v>12</v>
      </c>
      <c r="I33" s="231">
        <v>3</v>
      </c>
      <c r="J33" s="96">
        <v>3</v>
      </c>
      <c r="K33" s="77">
        <v>7586.5</v>
      </c>
      <c r="L33" s="77">
        <v>7586.5</v>
      </c>
      <c r="M33" s="187">
        <f t="shared" si="1"/>
        <v>0</v>
      </c>
      <c r="N33" s="100">
        <v>10</v>
      </c>
      <c r="O33" s="77">
        <v>21507.42</v>
      </c>
      <c r="P33" s="77">
        <v>21507.42</v>
      </c>
      <c r="Q33" s="232">
        <f t="shared" si="2"/>
        <v>0</v>
      </c>
    </row>
    <row r="34" spans="1:18" s="15" customFormat="1" x14ac:dyDescent="0.25">
      <c r="A34" s="229"/>
      <c r="B34" s="62" t="s">
        <v>33</v>
      </c>
      <c r="C34" s="181" t="s">
        <v>17</v>
      </c>
      <c r="D34" s="182"/>
      <c r="E34" s="183" t="s">
        <v>20</v>
      </c>
      <c r="F34" s="73" t="s">
        <v>332</v>
      </c>
      <c r="G34" s="74" t="s">
        <v>112</v>
      </c>
      <c r="H34" s="75">
        <v>11</v>
      </c>
      <c r="I34" s="76">
        <v>7</v>
      </c>
      <c r="J34" s="96">
        <f>1+1+1+1+1+2+1</f>
        <v>8</v>
      </c>
      <c r="K34" s="77">
        <f>845.245+5363.43+5912.72+845.24+12887.16+2852.15+6514.08</f>
        <v>35220.025000000001</v>
      </c>
      <c r="L34" s="77">
        <f>845.245+5363.43+5912.72+845.24+12887.16+2852.15+6514.08</f>
        <v>35220.025000000001</v>
      </c>
      <c r="M34" s="78">
        <f>K34-L34</f>
        <v>0</v>
      </c>
      <c r="N34" s="100">
        <f>2+1+1+1+1+2+1+1</f>
        <v>10</v>
      </c>
      <c r="O34" s="81">
        <f>845.24+1613.64+3380.96+3639.33+1152.6</f>
        <v>10631.77</v>
      </c>
      <c r="P34" s="81">
        <f>845.24+1613.64+3380.96+3639.33+1152.6</f>
        <v>10631.77</v>
      </c>
      <c r="Q34" s="79">
        <f t="shared" si="2"/>
        <v>0</v>
      </c>
      <c r="R34" s="141"/>
    </row>
    <row r="35" spans="1:18" s="15" customFormat="1" x14ac:dyDescent="0.25">
      <c r="A35" s="229"/>
      <c r="B35" s="62" t="s">
        <v>33</v>
      </c>
      <c r="C35" s="181" t="s">
        <v>17</v>
      </c>
      <c r="D35" s="182"/>
      <c r="E35" s="183" t="s">
        <v>20</v>
      </c>
      <c r="F35" s="73" t="s">
        <v>481</v>
      </c>
      <c r="G35" s="230" t="s">
        <v>114</v>
      </c>
      <c r="H35" s="181">
        <v>7</v>
      </c>
      <c r="I35" s="231"/>
      <c r="J35" s="190"/>
      <c r="K35" s="77">
        <v>602.1</v>
      </c>
      <c r="L35" s="77"/>
      <c r="M35" s="187">
        <f t="shared" si="1"/>
        <v>602.1</v>
      </c>
      <c r="N35" s="100">
        <v>15</v>
      </c>
      <c r="O35" s="224">
        <v>43782.74</v>
      </c>
      <c r="P35" s="224">
        <v>43782.74</v>
      </c>
      <c r="Q35" s="232">
        <f t="shared" si="2"/>
        <v>0</v>
      </c>
    </row>
    <row r="36" spans="1:18" s="15" customFormat="1" x14ac:dyDescent="0.25">
      <c r="A36" s="229"/>
      <c r="B36" s="62" t="s">
        <v>147</v>
      </c>
      <c r="C36" s="181" t="s">
        <v>17</v>
      </c>
      <c r="D36" s="182"/>
      <c r="E36" s="183" t="s">
        <v>29</v>
      </c>
      <c r="F36" s="73" t="s">
        <v>334</v>
      </c>
      <c r="G36" s="74" t="s">
        <v>112</v>
      </c>
      <c r="H36" s="75">
        <v>8</v>
      </c>
      <c r="I36" s="234">
        <v>4</v>
      </c>
      <c r="J36" s="96">
        <f>1+1+2+1</f>
        <v>5</v>
      </c>
      <c r="K36" s="77">
        <f>1854.88+2824.48+3058.67</f>
        <v>7738.0300000000007</v>
      </c>
      <c r="L36" s="77">
        <f>1854.88+2824.48+3058.67</f>
        <v>7738.0300000000007</v>
      </c>
      <c r="M36" s="78">
        <f>K36-L36</f>
        <v>0</v>
      </c>
      <c r="N36" s="114">
        <f>1+1+1</f>
        <v>3</v>
      </c>
      <c r="O36" s="81">
        <f>1394.65+2473.17+1961.49</f>
        <v>5829.31</v>
      </c>
      <c r="P36" s="81">
        <f>1394.65+2473.17+1961.49</f>
        <v>5829.31</v>
      </c>
      <c r="Q36" s="79">
        <f t="shared" si="2"/>
        <v>0</v>
      </c>
      <c r="R36" s="141"/>
    </row>
    <row r="37" spans="1:18" s="15" customFormat="1" x14ac:dyDescent="0.25">
      <c r="A37" s="229"/>
      <c r="B37" s="233" t="s">
        <v>147</v>
      </c>
      <c r="C37" s="181" t="s">
        <v>17</v>
      </c>
      <c r="D37" s="182"/>
      <c r="E37" s="183" t="s">
        <v>29</v>
      </c>
      <c r="F37" s="73" t="s">
        <v>423</v>
      </c>
      <c r="G37" s="230" t="s">
        <v>117</v>
      </c>
      <c r="H37" s="181">
        <v>7</v>
      </c>
      <c r="I37" s="231">
        <v>4</v>
      </c>
      <c r="J37" s="96">
        <v>4</v>
      </c>
      <c r="K37" s="77">
        <v>6847.1</v>
      </c>
      <c r="L37" s="77">
        <v>6847.1</v>
      </c>
      <c r="M37" s="187">
        <f t="shared" si="1"/>
        <v>0</v>
      </c>
      <c r="N37" s="100">
        <v>4</v>
      </c>
      <c r="O37" s="224">
        <v>4706.45</v>
      </c>
      <c r="P37" s="224">
        <v>4706.45</v>
      </c>
      <c r="Q37" s="232">
        <f t="shared" si="2"/>
        <v>0</v>
      </c>
    </row>
    <row r="38" spans="1:18" s="13" customFormat="1" x14ac:dyDescent="0.25">
      <c r="A38" s="229"/>
      <c r="B38" s="62" t="s">
        <v>34</v>
      </c>
      <c r="C38" s="181" t="s">
        <v>17</v>
      </c>
      <c r="D38" s="182"/>
      <c r="E38" s="194" t="s">
        <v>35</v>
      </c>
      <c r="F38" s="73" t="s">
        <v>335</v>
      </c>
      <c r="G38" s="74" t="s">
        <v>112</v>
      </c>
      <c r="H38" s="75">
        <v>30</v>
      </c>
      <c r="I38" s="76">
        <v>17</v>
      </c>
      <c r="J38" s="96">
        <f>4+2+2+7+4+1</f>
        <v>20</v>
      </c>
      <c r="K38" s="77">
        <f>8288.4+1267.86+845.24+13964.6+11418.26+11175.62+1092.81</f>
        <v>48052.79</v>
      </c>
      <c r="L38" s="77">
        <f>8288.4+1267.86+845.24+13964.6+11418.26</f>
        <v>35784.36</v>
      </c>
      <c r="M38" s="78">
        <f>K38-L38</f>
        <v>12268.43</v>
      </c>
      <c r="N38" s="100">
        <f>4+4+6+1+3+1+3+1+2+1</f>
        <v>26</v>
      </c>
      <c r="O38" s="81">
        <f>23915.04+21171.88+6399.1+11460.81+1501.24+2795.71</f>
        <v>67243.78</v>
      </c>
      <c r="P38" s="81">
        <f>23915.04+21171.88+6399.1+11460.81+1501.24</f>
        <v>64448.069999999992</v>
      </c>
      <c r="Q38" s="79">
        <f t="shared" si="2"/>
        <v>2795.7100000000064</v>
      </c>
      <c r="R38" s="141"/>
    </row>
    <row r="39" spans="1:18" s="13" customFormat="1" x14ac:dyDescent="0.25">
      <c r="A39" s="229"/>
      <c r="B39" s="62" t="s">
        <v>34</v>
      </c>
      <c r="C39" s="181" t="s">
        <v>17</v>
      </c>
      <c r="D39" s="182"/>
      <c r="E39" s="194" t="s">
        <v>35</v>
      </c>
      <c r="F39" s="73" t="s">
        <v>424</v>
      </c>
      <c r="G39" s="235" t="s">
        <v>117</v>
      </c>
      <c r="H39" s="181">
        <v>2</v>
      </c>
      <c r="I39" s="231">
        <v>1</v>
      </c>
      <c r="J39" s="96">
        <v>2</v>
      </c>
      <c r="K39" s="77">
        <v>3842</v>
      </c>
      <c r="L39" s="77">
        <v>3842</v>
      </c>
      <c r="M39" s="187">
        <f t="shared" si="1"/>
        <v>0</v>
      </c>
      <c r="N39" s="100">
        <v>3</v>
      </c>
      <c r="O39" s="224">
        <v>9220.7999999999993</v>
      </c>
      <c r="P39" s="224">
        <v>9220.7999999999993</v>
      </c>
      <c r="Q39" s="232">
        <f t="shared" si="2"/>
        <v>0</v>
      </c>
    </row>
    <row r="40" spans="1:18" s="13" customFormat="1" x14ac:dyDescent="0.25">
      <c r="A40" s="229"/>
      <c r="B40" s="27" t="s">
        <v>36</v>
      </c>
      <c r="C40" s="181" t="s">
        <v>17</v>
      </c>
      <c r="D40" s="182"/>
      <c r="E40" s="194" t="s">
        <v>32</v>
      </c>
      <c r="F40" s="73" t="s">
        <v>336</v>
      </c>
      <c r="G40" s="74" t="s">
        <v>112</v>
      </c>
      <c r="H40" s="75">
        <v>24</v>
      </c>
      <c r="I40" s="76">
        <v>15</v>
      </c>
      <c r="J40" s="96">
        <f>1+3+4+2+2+7</f>
        <v>19</v>
      </c>
      <c r="K40" s="77">
        <f>2091.97+4201.22+3643.94+998.92+6188.59</f>
        <v>17124.64</v>
      </c>
      <c r="L40" s="77">
        <f>2091.97+4201.22+3643.94+998.92+6188.59</f>
        <v>17124.64</v>
      </c>
      <c r="M40" s="78">
        <f t="shared" si="1"/>
        <v>0</v>
      </c>
      <c r="N40" s="100">
        <f>4+2+5+1+1+4+1+1</f>
        <v>19</v>
      </c>
      <c r="O40" s="81">
        <f>26828.22+3116.2+14162+4691+13237.22+22342.31+1888.86</f>
        <v>86265.81</v>
      </c>
      <c r="P40" s="81">
        <f>26828.22+3116.2+14162+4691+13237.22+22342.31</f>
        <v>84376.95</v>
      </c>
      <c r="Q40" s="79">
        <f t="shared" si="2"/>
        <v>1888.8600000000006</v>
      </c>
      <c r="R40" s="141"/>
    </row>
    <row r="41" spans="1:18" s="13" customFormat="1" x14ac:dyDescent="0.25">
      <c r="A41" s="229"/>
      <c r="B41" s="27" t="s">
        <v>38</v>
      </c>
      <c r="C41" s="181" t="s">
        <v>17</v>
      </c>
      <c r="D41" s="182"/>
      <c r="E41" s="183" t="s">
        <v>20</v>
      </c>
      <c r="F41" s="73" t="s">
        <v>338</v>
      </c>
      <c r="G41" s="74" t="s">
        <v>112</v>
      </c>
      <c r="H41" s="75">
        <v>40</v>
      </c>
      <c r="I41" s="76">
        <v>31</v>
      </c>
      <c r="J41" s="96">
        <f>5+9+3+4+4+2+3+3+11</f>
        <v>44</v>
      </c>
      <c r="K41" s="77">
        <f>4427.07+14262.52+23391.74+11108.38+9141.17+3923.07+23674.29</f>
        <v>89928.239999999991</v>
      </c>
      <c r="L41" s="77">
        <f>4427.07+14262.52+23391.74+11108.38+9141.17+3923.07+23674.29</f>
        <v>89928.239999999991</v>
      </c>
      <c r="M41" s="78">
        <f t="shared" si="1"/>
        <v>0</v>
      </c>
      <c r="N41" s="100">
        <f>1+14+2+2+2+3+1</f>
        <v>25</v>
      </c>
      <c r="O41" s="81">
        <f>34449.99+27363.78+23604.86+16739.26+15240.34+16003.48</f>
        <v>133401.71</v>
      </c>
      <c r="P41" s="81">
        <f>34449.99+27363.78+23604.86+16739.26+15240.34+16003.48</f>
        <v>133401.71</v>
      </c>
      <c r="Q41" s="79">
        <f t="shared" si="2"/>
        <v>0</v>
      </c>
      <c r="R41" s="141"/>
    </row>
    <row r="42" spans="1:18" s="13" customFormat="1" x14ac:dyDescent="0.25">
      <c r="A42" s="229"/>
      <c r="B42" s="27" t="s">
        <v>38</v>
      </c>
      <c r="C42" s="181" t="s">
        <v>17</v>
      </c>
      <c r="D42" s="182"/>
      <c r="E42" s="183" t="s">
        <v>20</v>
      </c>
      <c r="F42" s="73" t="s">
        <v>268</v>
      </c>
      <c r="G42" s="230" t="s">
        <v>114</v>
      </c>
      <c r="H42" s="181"/>
      <c r="I42" s="231"/>
      <c r="J42" s="190"/>
      <c r="K42" s="77"/>
      <c r="L42" s="77"/>
      <c r="M42" s="187">
        <f t="shared" si="1"/>
        <v>0</v>
      </c>
      <c r="N42" s="100"/>
      <c r="O42" s="224"/>
      <c r="P42" s="224"/>
      <c r="Q42" s="232">
        <f t="shared" si="2"/>
        <v>0</v>
      </c>
    </row>
    <row r="43" spans="1:18" s="13" customFormat="1" x14ac:dyDescent="0.25">
      <c r="A43" s="229"/>
      <c r="B43" s="27" t="s">
        <v>38</v>
      </c>
      <c r="C43" s="181" t="s">
        <v>17</v>
      </c>
      <c r="D43" s="182"/>
      <c r="E43" s="183" t="s">
        <v>18</v>
      </c>
      <c r="F43" s="73" t="s">
        <v>324</v>
      </c>
      <c r="G43" s="230" t="s">
        <v>116</v>
      </c>
      <c r="H43" s="181">
        <v>3</v>
      </c>
      <c r="I43" s="231">
        <v>3</v>
      </c>
      <c r="J43" s="190">
        <v>3</v>
      </c>
      <c r="K43" s="77">
        <v>4098</v>
      </c>
      <c r="L43" s="77">
        <v>4098</v>
      </c>
      <c r="M43" s="187">
        <f t="shared" si="1"/>
        <v>0</v>
      </c>
      <c r="N43" s="100"/>
      <c r="O43" s="224"/>
      <c r="P43" s="224"/>
      <c r="Q43" s="232">
        <f t="shared" si="2"/>
        <v>0</v>
      </c>
    </row>
    <row r="44" spans="1:18" s="13" customFormat="1" x14ac:dyDescent="0.25">
      <c r="A44" s="229"/>
      <c r="B44" s="62" t="s">
        <v>39</v>
      </c>
      <c r="C44" s="181" t="s">
        <v>17</v>
      </c>
      <c r="D44" s="182"/>
      <c r="E44" s="183" t="s">
        <v>20</v>
      </c>
      <c r="F44" s="73" t="s">
        <v>269</v>
      </c>
      <c r="G44" s="230" t="s">
        <v>114</v>
      </c>
      <c r="H44" s="181"/>
      <c r="I44" s="231"/>
      <c r="J44" s="190"/>
      <c r="K44" s="77"/>
      <c r="L44" s="77"/>
      <c r="M44" s="187">
        <f t="shared" si="1"/>
        <v>0</v>
      </c>
      <c r="N44" s="100"/>
      <c r="O44" s="224"/>
      <c r="P44" s="224"/>
      <c r="Q44" s="232">
        <f t="shared" si="2"/>
        <v>0</v>
      </c>
    </row>
    <row r="45" spans="1:18" s="13" customFormat="1" x14ac:dyDescent="0.25">
      <c r="A45" s="229"/>
      <c r="B45" s="27" t="s">
        <v>40</v>
      </c>
      <c r="C45" s="181" t="s">
        <v>17</v>
      </c>
      <c r="D45" s="182"/>
      <c r="E45" s="194" t="s">
        <v>41</v>
      </c>
      <c r="F45" s="73" t="s">
        <v>339</v>
      </c>
      <c r="G45" s="74" t="s">
        <v>112</v>
      </c>
      <c r="H45" s="75">
        <v>23</v>
      </c>
      <c r="I45" s="76">
        <v>18</v>
      </c>
      <c r="J45" s="96">
        <f>1+1+3+9+4+4+3+2+1+1+2</f>
        <v>31</v>
      </c>
      <c r="K45" s="77">
        <f>1045.98+3271.86+15658.52+8166.35+6035.99+8024.36+2759.63+3460.61+3962.12</f>
        <v>52385.42</v>
      </c>
      <c r="L45" s="77">
        <f>1045.98+3271.86+15658.52+8166.35+6035.99+8024.36+2759.63+3460.61</f>
        <v>48423.299999999996</v>
      </c>
      <c r="M45" s="78">
        <f>K45-L45</f>
        <v>3962.1200000000026</v>
      </c>
      <c r="N45" s="100">
        <f>3+13+6+5+4+2+1+1</f>
        <v>35</v>
      </c>
      <c r="O45" s="81">
        <f>17269.31+39990.78+16582.12+23492.44+7068.31+4243.84</f>
        <v>108646.79999999999</v>
      </c>
      <c r="P45" s="81">
        <f>17269.31+39990.78+16582.12+23492.44+7068.31+4243.84</f>
        <v>108646.79999999999</v>
      </c>
      <c r="Q45" s="79">
        <f t="shared" si="2"/>
        <v>0</v>
      </c>
      <c r="R45" s="141"/>
    </row>
    <row r="46" spans="1:18" s="13" customFormat="1" x14ac:dyDescent="0.25">
      <c r="A46" s="229"/>
      <c r="B46" s="27" t="s">
        <v>40</v>
      </c>
      <c r="C46" s="181" t="s">
        <v>17</v>
      </c>
      <c r="D46" s="182"/>
      <c r="E46" s="194" t="s">
        <v>41</v>
      </c>
      <c r="F46" s="73" t="s">
        <v>482</v>
      </c>
      <c r="G46" s="230" t="s">
        <v>114</v>
      </c>
      <c r="H46" s="181"/>
      <c r="I46" s="231"/>
      <c r="J46" s="190"/>
      <c r="K46" s="77"/>
      <c r="L46" s="77"/>
      <c r="M46" s="187">
        <f t="shared" si="1"/>
        <v>0</v>
      </c>
      <c r="N46" s="100">
        <v>1</v>
      </c>
      <c r="O46" s="224">
        <v>3073.6</v>
      </c>
      <c r="P46" s="224">
        <f>3073.6</f>
        <v>3073.6</v>
      </c>
      <c r="Q46" s="232">
        <f t="shared" si="2"/>
        <v>0</v>
      </c>
    </row>
    <row r="47" spans="1:18" s="13" customFormat="1" x14ac:dyDescent="0.25">
      <c r="A47" s="229"/>
      <c r="B47" s="27" t="s">
        <v>148</v>
      </c>
      <c r="C47" s="181" t="s">
        <v>17</v>
      </c>
      <c r="D47" s="182"/>
      <c r="E47" s="183" t="s">
        <v>20</v>
      </c>
      <c r="F47" s="73" t="s">
        <v>340</v>
      </c>
      <c r="G47" s="74" t="s">
        <v>112</v>
      </c>
      <c r="H47" s="75">
        <v>19</v>
      </c>
      <c r="I47" s="82">
        <v>12</v>
      </c>
      <c r="J47" s="96">
        <f>1+2+1+4+4+2</f>
        <v>14</v>
      </c>
      <c r="K47" s="77">
        <f>537.88+2110.03+6723.98+8914.21+1204.2</f>
        <v>19490.3</v>
      </c>
      <c r="L47" s="77">
        <f>537.88+2110.03+6723.98+8914.21+1204.2</f>
        <v>19490.3</v>
      </c>
      <c r="M47" s="78">
        <f>K47-L47</f>
        <v>0</v>
      </c>
      <c r="N47" s="100">
        <f>6+5+3+1+1+1+1</f>
        <v>18</v>
      </c>
      <c r="O47" s="81">
        <f>9370.6+9456.38+8868.69+5367.27+11572.62</f>
        <v>44635.560000000005</v>
      </c>
      <c r="P47" s="81">
        <f>9370.6+9456.38+8868.69+5367.27+11572.62</f>
        <v>44635.560000000005</v>
      </c>
      <c r="Q47" s="79">
        <f t="shared" si="2"/>
        <v>0</v>
      </c>
      <c r="R47" s="141"/>
    </row>
    <row r="48" spans="1:18" s="13" customFormat="1" x14ac:dyDescent="0.25">
      <c r="A48" s="229"/>
      <c r="B48" s="27" t="s">
        <v>148</v>
      </c>
      <c r="C48" s="181" t="s">
        <v>17</v>
      </c>
      <c r="D48" s="182"/>
      <c r="E48" s="194" t="s">
        <v>32</v>
      </c>
      <c r="F48" s="73" t="s">
        <v>425</v>
      </c>
      <c r="G48" s="230" t="s">
        <v>117</v>
      </c>
      <c r="H48" s="181">
        <v>11</v>
      </c>
      <c r="I48" s="231">
        <v>2</v>
      </c>
      <c r="J48" s="96">
        <v>2</v>
      </c>
      <c r="K48" s="77">
        <v>5760.1</v>
      </c>
      <c r="L48" s="77">
        <v>5760.1</v>
      </c>
      <c r="M48" s="187">
        <f t="shared" si="1"/>
        <v>0</v>
      </c>
      <c r="N48" s="100">
        <v>4</v>
      </c>
      <c r="O48" s="224">
        <v>12851.49</v>
      </c>
      <c r="P48" s="224">
        <v>12851.49</v>
      </c>
      <c r="Q48" s="232">
        <f t="shared" si="2"/>
        <v>0</v>
      </c>
    </row>
    <row r="49" spans="1:18" s="13" customFormat="1" x14ac:dyDescent="0.25">
      <c r="A49" s="229"/>
      <c r="B49" s="30" t="s">
        <v>42</v>
      </c>
      <c r="C49" s="181" t="s">
        <v>17</v>
      </c>
      <c r="D49" s="182"/>
      <c r="E49" s="183" t="s">
        <v>23</v>
      </c>
      <c r="F49" s="73" t="s">
        <v>341</v>
      </c>
      <c r="G49" s="74" t="s">
        <v>112</v>
      </c>
      <c r="H49" s="75">
        <v>36</v>
      </c>
      <c r="I49" s="76">
        <v>30</v>
      </c>
      <c r="J49" s="96">
        <f>5+3+5+3+8+3+8+5</f>
        <v>40</v>
      </c>
      <c r="K49" s="77">
        <f>7156.22+3849.11+8154.25+4149.36+15912.38+18649.91</f>
        <v>57871.229999999996</v>
      </c>
      <c r="L49" s="77">
        <f>7156.22+3849.11+8154.25+4149.36+15912.38+18649.91</f>
        <v>57871.229999999996</v>
      </c>
      <c r="M49" s="78">
        <f>K49-L49</f>
        <v>0</v>
      </c>
      <c r="N49" s="100">
        <f>4+6+9+2+4+2+2+3+3+2</f>
        <v>37</v>
      </c>
      <c r="O49" s="81">
        <f>5364.2+26170.88+2849.25+18965.6+9565.56+9423.5+18214.56</f>
        <v>90553.549999999988</v>
      </c>
      <c r="P49" s="81">
        <f>5364.2+26170.88+2849.25+18965.6+9565.56+9423.5+18214.56</f>
        <v>90553.549999999988</v>
      </c>
      <c r="Q49" s="79">
        <f t="shared" si="2"/>
        <v>0</v>
      </c>
      <c r="R49" s="141"/>
    </row>
    <row r="50" spans="1:18" s="13" customFormat="1" x14ac:dyDescent="0.25">
      <c r="A50" s="229"/>
      <c r="B50" s="30" t="s">
        <v>42</v>
      </c>
      <c r="C50" s="181" t="s">
        <v>17</v>
      </c>
      <c r="D50" s="182"/>
      <c r="E50" s="183" t="s">
        <v>23</v>
      </c>
      <c r="F50" s="73" t="s">
        <v>437</v>
      </c>
      <c r="G50" s="230" t="s">
        <v>118</v>
      </c>
      <c r="H50" s="181">
        <v>2</v>
      </c>
      <c r="I50" s="231"/>
      <c r="J50" s="96"/>
      <c r="K50" s="77"/>
      <c r="L50" s="77"/>
      <c r="M50" s="187">
        <f t="shared" si="1"/>
        <v>0</v>
      </c>
      <c r="N50" s="100">
        <v>1</v>
      </c>
      <c r="O50" s="224">
        <v>7766.4</v>
      </c>
      <c r="P50" s="224">
        <v>7766.4</v>
      </c>
      <c r="Q50" s="232">
        <f t="shared" si="2"/>
        <v>0</v>
      </c>
    </row>
    <row r="51" spans="1:18" s="13" customFormat="1" x14ac:dyDescent="0.25">
      <c r="A51" s="229"/>
      <c r="B51" s="30" t="s">
        <v>173</v>
      </c>
      <c r="C51" s="181" t="s">
        <v>17</v>
      </c>
      <c r="D51" s="182"/>
      <c r="E51" s="230" t="s">
        <v>118</v>
      </c>
      <c r="F51" s="73" t="s">
        <v>342</v>
      </c>
      <c r="G51" s="74" t="s">
        <v>112</v>
      </c>
      <c r="H51" s="75">
        <v>4</v>
      </c>
      <c r="I51" s="76">
        <v>4</v>
      </c>
      <c r="J51" s="96">
        <f>1+2+1</f>
        <v>4</v>
      </c>
      <c r="K51" s="77">
        <f>6833.76+696.36</f>
        <v>7530.12</v>
      </c>
      <c r="L51" s="77">
        <f>6833.76+696.36</f>
        <v>7530.12</v>
      </c>
      <c r="M51" s="78">
        <f>K51-L51</f>
        <v>0</v>
      </c>
      <c r="N51" s="100">
        <f>4+2</f>
        <v>6</v>
      </c>
      <c r="O51" s="81">
        <f>5931.9+4183.92+3158.95</f>
        <v>13274.77</v>
      </c>
      <c r="P51" s="81">
        <f>5931.9+4183.92+3158.95</f>
        <v>13274.77</v>
      </c>
      <c r="Q51" s="79">
        <f t="shared" si="2"/>
        <v>0</v>
      </c>
      <c r="R51" s="141"/>
    </row>
    <row r="52" spans="1:18" s="13" customFormat="1" x14ac:dyDescent="0.25">
      <c r="A52" s="229"/>
      <c r="B52" s="62" t="s">
        <v>143</v>
      </c>
      <c r="C52" s="181" t="s">
        <v>64</v>
      </c>
      <c r="D52" s="182" t="s">
        <v>444</v>
      </c>
      <c r="E52" s="183" t="s">
        <v>20</v>
      </c>
      <c r="F52" s="73" t="s">
        <v>445</v>
      </c>
      <c r="G52" s="230" t="s">
        <v>114</v>
      </c>
      <c r="H52" s="181">
        <v>20</v>
      </c>
      <c r="I52" s="234">
        <v>3</v>
      </c>
      <c r="J52" s="190">
        <v>3</v>
      </c>
      <c r="K52" s="193">
        <v>10823.5</v>
      </c>
      <c r="L52" s="193">
        <v>9418.6</v>
      </c>
      <c r="M52" s="187">
        <f t="shared" si="1"/>
        <v>1404.8999999999996</v>
      </c>
      <c r="N52" s="114">
        <v>18</v>
      </c>
      <c r="O52" s="224">
        <v>27390.400000000001</v>
      </c>
      <c r="P52" s="224">
        <v>27390.400000000001</v>
      </c>
      <c r="Q52" s="232">
        <f t="shared" si="2"/>
        <v>0</v>
      </c>
    </row>
    <row r="53" spans="1:18" s="13" customFormat="1" x14ac:dyDescent="0.25">
      <c r="A53" s="229"/>
      <c r="B53" s="30" t="s">
        <v>158</v>
      </c>
      <c r="C53" s="181" t="s">
        <v>17</v>
      </c>
      <c r="D53" s="182"/>
      <c r="E53" s="194" t="s">
        <v>32</v>
      </c>
      <c r="F53" s="73" t="s">
        <v>426</v>
      </c>
      <c r="G53" s="230" t="s">
        <v>117</v>
      </c>
      <c r="H53" s="181">
        <v>11</v>
      </c>
      <c r="I53" s="234">
        <v>5</v>
      </c>
      <c r="J53" s="190">
        <v>6</v>
      </c>
      <c r="K53" s="193">
        <v>10870.84</v>
      </c>
      <c r="L53" s="193">
        <v>10870.84</v>
      </c>
      <c r="M53" s="187">
        <f t="shared" si="1"/>
        <v>0</v>
      </c>
      <c r="N53" s="114">
        <v>5</v>
      </c>
      <c r="O53" s="224">
        <v>16813.7</v>
      </c>
      <c r="P53" s="224">
        <v>16813.7</v>
      </c>
      <c r="Q53" s="232">
        <f t="shared" si="2"/>
        <v>0</v>
      </c>
    </row>
    <row r="54" spans="1:18" s="15" customFormat="1" x14ac:dyDescent="0.25">
      <c r="A54" s="229"/>
      <c r="B54" s="62" t="s">
        <v>43</v>
      </c>
      <c r="C54" s="181" t="s">
        <v>17</v>
      </c>
      <c r="D54" s="182"/>
      <c r="E54" s="183" t="s">
        <v>18</v>
      </c>
      <c r="F54" s="73" t="s">
        <v>344</v>
      </c>
      <c r="G54" s="74" t="s">
        <v>112</v>
      </c>
      <c r="H54" s="75">
        <v>27</v>
      </c>
      <c r="I54" s="76">
        <v>19</v>
      </c>
      <c r="J54" s="96">
        <f>1+2+2+5+2+3+2+3+3+3</f>
        <v>26</v>
      </c>
      <c r="K54" s="77">
        <f>1776.93+926.88+3328.29+3172.19+9832.29</f>
        <v>19036.580000000002</v>
      </c>
      <c r="L54" s="77">
        <f>1776.93+926.88+3328.29+3172.19</f>
        <v>9204.2900000000009</v>
      </c>
      <c r="M54" s="78">
        <f>K54-L54</f>
        <v>9832.2900000000009</v>
      </c>
      <c r="N54" s="100">
        <f>1+5+4+1+1+1+1</f>
        <v>14</v>
      </c>
      <c r="O54" s="81">
        <f>1223.8+3810.29+4959.02+10043.87+2769.48+2146.91+11926.24-1465.64</f>
        <v>35413.97</v>
      </c>
      <c r="P54" s="81">
        <f>1223.8+3810.29+4959.02+10043.87+2769.48+2146.91+11926.24-1465.64</f>
        <v>35413.97</v>
      </c>
      <c r="Q54" s="79">
        <f t="shared" si="2"/>
        <v>0</v>
      </c>
      <c r="R54" s="141"/>
    </row>
    <row r="55" spans="1:18" s="15" customFormat="1" ht="30" x14ac:dyDescent="0.25">
      <c r="A55" s="229"/>
      <c r="B55" s="62" t="s">
        <v>43</v>
      </c>
      <c r="C55" s="181" t="s">
        <v>304</v>
      </c>
      <c r="D55" s="182" t="s">
        <v>473</v>
      </c>
      <c r="E55" s="183" t="s">
        <v>18</v>
      </c>
      <c r="F55" s="73" t="s">
        <v>323</v>
      </c>
      <c r="G55" s="230" t="s">
        <v>113</v>
      </c>
      <c r="H55" s="181">
        <v>23</v>
      </c>
      <c r="I55" s="234">
        <v>19</v>
      </c>
      <c r="J55" s="98">
        <v>20</v>
      </c>
      <c r="K55" s="77">
        <v>23018</v>
      </c>
      <c r="L55" s="77">
        <v>19054</v>
      </c>
      <c r="M55" s="187">
        <f t="shared" si="1"/>
        <v>3964</v>
      </c>
      <c r="N55" s="114">
        <v>18</v>
      </c>
      <c r="O55" s="224">
        <v>60535</v>
      </c>
      <c r="P55" s="224">
        <v>58327</v>
      </c>
      <c r="Q55" s="232">
        <f t="shared" si="2"/>
        <v>2208</v>
      </c>
    </row>
    <row r="56" spans="1:18" s="13" customFormat="1" x14ac:dyDescent="0.25">
      <c r="A56" s="229"/>
      <c r="B56" s="30" t="s">
        <v>44</v>
      </c>
      <c r="C56" s="181" t="s">
        <v>17</v>
      </c>
      <c r="D56" s="182"/>
      <c r="E56" s="183" t="s">
        <v>20</v>
      </c>
      <c r="F56" s="73" t="s">
        <v>345</v>
      </c>
      <c r="G56" s="74" t="s">
        <v>112</v>
      </c>
      <c r="H56" s="75">
        <v>13</v>
      </c>
      <c r="I56" s="76">
        <v>9</v>
      </c>
      <c r="J56" s="96">
        <f>1+1+1+4+2+1</f>
        <v>10</v>
      </c>
      <c r="K56" s="77">
        <f>2422.38+1267.86+15410.58+1534.35+708.47</f>
        <v>21343.64</v>
      </c>
      <c r="L56" s="77">
        <f>2422.38+1267.86+15410.58+1534.35+708.47</f>
        <v>21343.64</v>
      </c>
      <c r="M56" s="78">
        <f>K56-L56</f>
        <v>0</v>
      </c>
      <c r="N56" s="100">
        <f>1+11</f>
        <v>12</v>
      </c>
      <c r="O56" s="81">
        <f>421.62+4603.39+10559.77+72902.04</f>
        <v>88486.819999999992</v>
      </c>
      <c r="P56" s="81">
        <f>421.62+4603.39+10559.77+72902.04</f>
        <v>88486.819999999992</v>
      </c>
      <c r="Q56" s="79">
        <f t="shared" si="2"/>
        <v>0</v>
      </c>
      <c r="R56" s="141"/>
    </row>
    <row r="57" spans="1:18" s="13" customFormat="1" x14ac:dyDescent="0.25">
      <c r="A57" s="229"/>
      <c r="B57" s="30" t="s">
        <v>44</v>
      </c>
      <c r="C57" s="181" t="s">
        <v>17</v>
      </c>
      <c r="D57" s="182"/>
      <c r="E57" s="183" t="s">
        <v>20</v>
      </c>
      <c r="F57" s="73" t="s">
        <v>483</v>
      </c>
      <c r="G57" s="230" t="s">
        <v>114</v>
      </c>
      <c r="H57" s="181"/>
      <c r="I57" s="231"/>
      <c r="J57" s="190"/>
      <c r="K57" s="77"/>
      <c r="L57" s="77"/>
      <c r="M57" s="187">
        <f t="shared" si="1"/>
        <v>0</v>
      </c>
      <c r="N57" s="100">
        <v>2</v>
      </c>
      <c r="O57" s="224">
        <v>9934.7000000000007</v>
      </c>
      <c r="P57" s="224">
        <v>6723.5</v>
      </c>
      <c r="Q57" s="232">
        <f t="shared" si="2"/>
        <v>3211.2000000000007</v>
      </c>
    </row>
    <row r="58" spans="1:18" s="13" customFormat="1" x14ac:dyDescent="0.25">
      <c r="A58" s="229"/>
      <c r="B58" s="30" t="s">
        <v>492</v>
      </c>
      <c r="C58" s="181" t="s">
        <v>17</v>
      </c>
      <c r="D58" s="182"/>
      <c r="E58" s="183" t="s">
        <v>20</v>
      </c>
      <c r="F58" s="73" t="s">
        <v>499</v>
      </c>
      <c r="G58" s="230" t="s">
        <v>112</v>
      </c>
      <c r="H58" s="181">
        <v>10</v>
      </c>
      <c r="I58" s="231">
        <v>8</v>
      </c>
      <c r="J58" s="190">
        <f>1+8</f>
        <v>9</v>
      </c>
      <c r="K58" s="77">
        <f>1044.98+2096.62</f>
        <v>3141.6</v>
      </c>
      <c r="L58" s="77">
        <f>1044.98</f>
        <v>1044.98</v>
      </c>
      <c r="M58" s="78">
        <f t="shared" si="1"/>
        <v>2096.62</v>
      </c>
      <c r="N58" s="100"/>
      <c r="O58" s="224"/>
      <c r="P58" s="224"/>
      <c r="Q58" s="79">
        <f t="shared" si="2"/>
        <v>0</v>
      </c>
    </row>
    <row r="59" spans="1:18" s="13" customFormat="1" x14ac:dyDescent="0.25">
      <c r="A59" s="229"/>
      <c r="B59" s="27" t="s">
        <v>45</v>
      </c>
      <c r="C59" s="181" t="s">
        <v>17</v>
      </c>
      <c r="D59" s="182"/>
      <c r="E59" s="183" t="s">
        <v>20</v>
      </c>
      <c r="F59" s="73" t="s">
        <v>346</v>
      </c>
      <c r="G59" s="74" t="s">
        <v>112</v>
      </c>
      <c r="H59" s="75"/>
      <c r="I59" s="76"/>
      <c r="J59" s="96"/>
      <c r="K59" s="77"/>
      <c r="L59" s="77"/>
      <c r="M59" s="78">
        <f t="shared" si="1"/>
        <v>0</v>
      </c>
      <c r="N59" s="100">
        <f>1</f>
        <v>1</v>
      </c>
      <c r="O59" s="81">
        <f>17995.91+2729.8</f>
        <v>20725.71</v>
      </c>
      <c r="P59" s="81">
        <f>17995.91+2729.8</f>
        <v>20725.71</v>
      </c>
      <c r="Q59" s="79">
        <f t="shared" si="2"/>
        <v>0</v>
      </c>
      <c r="R59" s="141"/>
    </row>
    <row r="60" spans="1:18" s="13" customFormat="1" x14ac:dyDescent="0.25">
      <c r="A60" s="229"/>
      <c r="B60" s="27" t="s">
        <v>45</v>
      </c>
      <c r="C60" s="181" t="s">
        <v>17</v>
      </c>
      <c r="D60" s="182"/>
      <c r="E60" s="183" t="s">
        <v>20</v>
      </c>
      <c r="F60" s="73" t="s">
        <v>484</v>
      </c>
      <c r="G60" s="230" t="s">
        <v>114</v>
      </c>
      <c r="H60" s="181"/>
      <c r="I60" s="231"/>
      <c r="J60" s="190"/>
      <c r="K60" s="77"/>
      <c r="L60" s="77"/>
      <c r="M60" s="187">
        <f t="shared" si="1"/>
        <v>0</v>
      </c>
      <c r="N60" s="100"/>
      <c r="O60" s="224"/>
      <c r="P60" s="224"/>
      <c r="Q60" s="232">
        <f t="shared" si="2"/>
        <v>0</v>
      </c>
    </row>
    <row r="61" spans="1:18" s="15" customFormat="1" x14ac:dyDescent="0.25">
      <c r="A61" s="229"/>
      <c r="B61" s="27" t="s">
        <v>46</v>
      </c>
      <c r="C61" s="181" t="s">
        <v>17</v>
      </c>
      <c r="D61" s="182"/>
      <c r="E61" s="183" t="s">
        <v>20</v>
      </c>
      <c r="F61" s="73" t="s">
        <v>347</v>
      </c>
      <c r="G61" s="74" t="s">
        <v>112</v>
      </c>
      <c r="H61" s="75">
        <v>18</v>
      </c>
      <c r="I61" s="76">
        <v>15</v>
      </c>
      <c r="J61" s="96">
        <f>1+2+3+2+4+1+4+2+1+5+1</f>
        <v>26</v>
      </c>
      <c r="K61" s="77">
        <f>1045.98+1068.08+8157.32+1778.85+9152.67+11156.63+11271.63+1490.2+9025.41</f>
        <v>54146.76999999999</v>
      </c>
      <c r="L61" s="77">
        <f>1045.98+1068.08+8157.32+1778.85+9152.67+11156.63+11271.63+1490.2</f>
        <v>45121.359999999993</v>
      </c>
      <c r="M61" s="78">
        <f>K61-L61</f>
        <v>9025.4099999999962</v>
      </c>
      <c r="N61" s="100">
        <f>4+4+1+1+1</f>
        <v>11</v>
      </c>
      <c r="O61" s="81">
        <f>10759.2+10685.34+7362.04</f>
        <v>28806.58</v>
      </c>
      <c r="P61" s="81">
        <f>10759.2+10685.34+7362.04</f>
        <v>28806.58</v>
      </c>
      <c r="Q61" s="79">
        <f t="shared" si="2"/>
        <v>0</v>
      </c>
      <c r="R61" s="141"/>
    </row>
    <row r="62" spans="1:18" s="15" customFormat="1" x14ac:dyDescent="0.25">
      <c r="A62" s="229"/>
      <c r="B62" s="27" t="s">
        <v>46</v>
      </c>
      <c r="C62" s="181" t="s">
        <v>17</v>
      </c>
      <c r="D62" s="182"/>
      <c r="E62" s="183" t="s">
        <v>20</v>
      </c>
      <c r="F62" s="73" t="s">
        <v>273</v>
      </c>
      <c r="G62" s="230" t="s">
        <v>114</v>
      </c>
      <c r="H62" s="181">
        <v>4</v>
      </c>
      <c r="I62" s="231">
        <v>1</v>
      </c>
      <c r="J62" s="190">
        <v>1</v>
      </c>
      <c r="K62" s="77">
        <v>576.29999999999995</v>
      </c>
      <c r="L62" s="77">
        <v>576.29999999999995</v>
      </c>
      <c r="M62" s="187">
        <f t="shared" si="1"/>
        <v>0</v>
      </c>
      <c r="N62" s="100">
        <v>3</v>
      </c>
      <c r="O62" s="224">
        <v>9356.9</v>
      </c>
      <c r="P62" s="224">
        <v>9356.9</v>
      </c>
      <c r="Q62" s="232">
        <f t="shared" si="2"/>
        <v>0</v>
      </c>
    </row>
    <row r="63" spans="1:18" s="13" customFormat="1" ht="45" x14ac:dyDescent="0.25">
      <c r="A63" s="229"/>
      <c r="B63" s="30" t="s">
        <v>47</v>
      </c>
      <c r="C63" s="181" t="s">
        <v>304</v>
      </c>
      <c r="D63" s="182" t="s">
        <v>474</v>
      </c>
      <c r="E63" s="183" t="s">
        <v>18</v>
      </c>
      <c r="F63" s="73" t="s">
        <v>348</v>
      </c>
      <c r="G63" s="74" t="s">
        <v>112</v>
      </c>
      <c r="H63" s="75">
        <v>47</v>
      </c>
      <c r="I63" s="76">
        <v>37</v>
      </c>
      <c r="J63" s="98">
        <f>1+1+3+21+7+2+5+2+7+15+14</f>
        <v>78</v>
      </c>
      <c r="K63" s="77">
        <f>30728.27+19236.99+22614.7+52735.68</f>
        <v>125315.64000000001</v>
      </c>
      <c r="L63" s="77">
        <f>30728.27+19236.99+22614.7</f>
        <v>72579.960000000006</v>
      </c>
      <c r="M63" s="78">
        <f>K63-L63</f>
        <v>52735.680000000008</v>
      </c>
      <c r="N63" s="100">
        <f>7+3+4+10+6+1+2+1+3+2</f>
        <v>39</v>
      </c>
      <c r="O63" s="81">
        <f>8477.51+15159.83+14079.46+15414.2+17995.91+2065.56+1859.53+9543.86+1728.53+14526.84</f>
        <v>100851.23</v>
      </c>
      <c r="P63" s="81">
        <f>8477.51+15159.83+14079.46+15414.2+17995.91+2065.56+1859.53+9543.86+1728.53+14526.84</f>
        <v>100851.23</v>
      </c>
      <c r="Q63" s="79">
        <f t="shared" si="2"/>
        <v>0</v>
      </c>
      <c r="R63" s="141"/>
    </row>
    <row r="64" spans="1:18" s="13" customFormat="1" ht="45" x14ac:dyDescent="0.25">
      <c r="A64" s="229"/>
      <c r="B64" s="62" t="s">
        <v>120</v>
      </c>
      <c r="C64" s="181" t="s">
        <v>304</v>
      </c>
      <c r="D64" s="182" t="s">
        <v>474</v>
      </c>
      <c r="E64" s="183" t="s">
        <v>18</v>
      </c>
      <c r="F64" s="73" t="s">
        <v>334</v>
      </c>
      <c r="G64" s="230" t="s">
        <v>116</v>
      </c>
      <c r="H64" s="181">
        <v>28</v>
      </c>
      <c r="I64" s="234">
        <v>17</v>
      </c>
      <c r="J64" s="98">
        <v>18</v>
      </c>
      <c r="K64" s="77">
        <v>28482</v>
      </c>
      <c r="L64" s="77">
        <v>23264</v>
      </c>
      <c r="M64" s="78">
        <f t="shared" si="1"/>
        <v>5218</v>
      </c>
      <c r="N64" s="100">
        <v>15</v>
      </c>
      <c r="O64" s="224">
        <v>60831</v>
      </c>
      <c r="P64" s="224">
        <v>58623</v>
      </c>
      <c r="Q64" s="232">
        <f t="shared" si="2"/>
        <v>2208</v>
      </c>
    </row>
    <row r="65" spans="1:18" s="13" customFormat="1" x14ac:dyDescent="0.25">
      <c r="A65" s="229"/>
      <c r="B65" s="30" t="s">
        <v>134</v>
      </c>
      <c r="C65" s="181" t="s">
        <v>17</v>
      </c>
      <c r="D65" s="182"/>
      <c r="E65" s="183" t="s">
        <v>20</v>
      </c>
      <c r="F65" s="73" t="s">
        <v>349</v>
      </c>
      <c r="G65" s="74" t="s">
        <v>112</v>
      </c>
      <c r="H65" s="75">
        <v>20</v>
      </c>
      <c r="I65" s="76">
        <v>19</v>
      </c>
      <c r="J65" s="96">
        <f>1+4+1+1+2+1+1+7+1</f>
        <v>19</v>
      </c>
      <c r="K65" s="77">
        <f>7301.48+1473.89+1911.09+1690.48+845.24+6268.51+441.51+1983.45+3361.83+883.11</f>
        <v>26160.589999999997</v>
      </c>
      <c r="L65" s="77">
        <f>7301.48+1473.89+1911.09+1690.48+845.24+6268.51+441.51+1983.45</f>
        <v>21915.649999999998</v>
      </c>
      <c r="M65" s="78">
        <f>K65-L65</f>
        <v>4244.9399999999987</v>
      </c>
      <c r="N65" s="100">
        <f>4+1+1+1+1</f>
        <v>8</v>
      </c>
      <c r="O65" s="81">
        <f>5020.05+3215.31+12312.39+4648.82+32425.98+7889.42</f>
        <v>65511.97</v>
      </c>
      <c r="P65" s="81">
        <f>5020.05+3215.31+12312.39+4648.82+32425.98+7889.42</f>
        <v>65511.97</v>
      </c>
      <c r="Q65" s="79">
        <f t="shared" si="2"/>
        <v>0</v>
      </c>
      <c r="R65" s="141"/>
    </row>
    <row r="66" spans="1:18" s="13" customFormat="1" x14ac:dyDescent="0.25">
      <c r="A66" s="229"/>
      <c r="B66" s="30" t="s">
        <v>134</v>
      </c>
      <c r="C66" s="181" t="s">
        <v>17</v>
      </c>
      <c r="D66" s="182"/>
      <c r="E66" s="183" t="s">
        <v>20</v>
      </c>
      <c r="F66" s="73" t="s">
        <v>456</v>
      </c>
      <c r="G66" s="230" t="s">
        <v>114</v>
      </c>
      <c r="H66" s="181">
        <v>20</v>
      </c>
      <c r="I66" s="231">
        <v>5</v>
      </c>
      <c r="J66" s="190">
        <v>5</v>
      </c>
      <c r="K66" s="77">
        <v>13769.22</v>
      </c>
      <c r="L66" s="77">
        <v>10236.9</v>
      </c>
      <c r="M66" s="187">
        <f t="shared" si="1"/>
        <v>3532.3199999999997</v>
      </c>
      <c r="N66" s="100">
        <v>27</v>
      </c>
      <c r="O66" s="224">
        <v>61494.8</v>
      </c>
      <c r="P66" s="224">
        <v>61494.8</v>
      </c>
      <c r="Q66" s="232">
        <f t="shared" si="2"/>
        <v>0</v>
      </c>
    </row>
    <row r="67" spans="1:18" s="13" customFormat="1" x14ac:dyDescent="0.25">
      <c r="A67" s="229"/>
      <c r="B67" s="62" t="s">
        <v>48</v>
      </c>
      <c r="C67" s="181" t="s">
        <v>17</v>
      </c>
      <c r="D67" s="182"/>
      <c r="E67" s="183" t="s">
        <v>20</v>
      </c>
      <c r="F67" s="73" t="s">
        <v>350</v>
      </c>
      <c r="G67" s="74" t="s">
        <v>112</v>
      </c>
      <c r="H67" s="75">
        <v>15</v>
      </c>
      <c r="I67" s="76">
        <v>11</v>
      </c>
      <c r="J67" s="96">
        <f>1+1+2+1+3+2</f>
        <v>10</v>
      </c>
      <c r="K67" s="77">
        <f>4805.96+2585.78+3065.92+2588.55+14407.5+9289.05+3030.73</f>
        <v>39773.49</v>
      </c>
      <c r="L67" s="77">
        <f>4805.96+2585.78+3065.92+2588.55+14407.5+9289.05</f>
        <v>36742.759999999995</v>
      </c>
      <c r="M67" s="78">
        <f t="shared" si="1"/>
        <v>3030.7300000000032</v>
      </c>
      <c r="N67" s="100">
        <f>2+1+2+1+3</f>
        <v>9</v>
      </c>
      <c r="O67" s="81">
        <f>23174.33+2535.72+11633.02+6993.42+20756.4</f>
        <v>65092.890000000007</v>
      </c>
      <c r="P67" s="81">
        <f>23174.33+2535.72+11633.02+6993.42+20756.4</f>
        <v>65092.890000000007</v>
      </c>
      <c r="Q67" s="79">
        <f t="shared" si="2"/>
        <v>0</v>
      </c>
      <c r="R67" s="141"/>
    </row>
    <row r="68" spans="1:18" s="13" customFormat="1" x14ac:dyDescent="0.25">
      <c r="A68" s="229"/>
      <c r="B68" s="62" t="s">
        <v>49</v>
      </c>
      <c r="C68" s="181" t="s">
        <v>17</v>
      </c>
      <c r="D68" s="182"/>
      <c r="E68" s="183" t="s">
        <v>50</v>
      </c>
      <c r="F68" s="73" t="s">
        <v>351</v>
      </c>
      <c r="G68" s="74" t="s">
        <v>112</v>
      </c>
      <c r="H68" s="75">
        <v>28</v>
      </c>
      <c r="I68" s="76">
        <v>18</v>
      </c>
      <c r="J68" s="96">
        <f>1+4+8+6+5</f>
        <v>24</v>
      </c>
      <c r="K68" s="77">
        <f>525.65+1267.86+6544.72+13939.57+1896.54+9712.48+14471.86</f>
        <v>48358.68</v>
      </c>
      <c r="L68" s="77">
        <f>525.65+1267.86+6544.72+13939.57+1896.54+9712.48</f>
        <v>33886.82</v>
      </c>
      <c r="M68" s="78">
        <f t="shared" si="1"/>
        <v>14471.86</v>
      </c>
      <c r="N68" s="100">
        <f>5+1+3+1+1</f>
        <v>11</v>
      </c>
      <c r="O68" s="81">
        <f>7374+1806.93+7275.53+4666.9+2684.03+6682.03+10412.84</f>
        <v>40902.259999999995</v>
      </c>
      <c r="P68" s="81">
        <f>7374+1806.93+7275.53+4666.9+2684.03+6682.03</f>
        <v>30489.42</v>
      </c>
      <c r="Q68" s="232">
        <f t="shared" si="2"/>
        <v>10412.839999999997</v>
      </c>
      <c r="R68" s="141"/>
    </row>
    <row r="69" spans="1:18" s="13" customFormat="1" x14ac:dyDescent="0.25">
      <c r="A69" s="229"/>
      <c r="B69" s="62" t="s">
        <v>49</v>
      </c>
      <c r="C69" s="181" t="s">
        <v>17</v>
      </c>
      <c r="D69" s="182"/>
      <c r="E69" s="183" t="s">
        <v>50</v>
      </c>
      <c r="F69" s="73" t="s">
        <v>427</v>
      </c>
      <c r="G69" s="230" t="s">
        <v>115</v>
      </c>
      <c r="H69" s="181">
        <v>14</v>
      </c>
      <c r="I69" s="231">
        <v>6</v>
      </c>
      <c r="J69" s="96">
        <v>6</v>
      </c>
      <c r="K69" s="77">
        <v>9320.93</v>
      </c>
      <c r="L69" s="77">
        <v>9320.93</v>
      </c>
      <c r="M69" s="187">
        <f t="shared" si="1"/>
        <v>0</v>
      </c>
      <c r="N69" s="100">
        <v>10</v>
      </c>
      <c r="O69" s="224">
        <v>17660.3</v>
      </c>
      <c r="P69" s="224">
        <v>17660.3</v>
      </c>
      <c r="Q69" s="79">
        <f t="shared" si="2"/>
        <v>0</v>
      </c>
    </row>
    <row r="70" spans="1:18" s="13" customFormat="1" x14ac:dyDescent="0.25">
      <c r="A70" s="229"/>
      <c r="B70" s="27" t="s">
        <v>51</v>
      </c>
      <c r="C70" s="181" t="s">
        <v>17</v>
      </c>
      <c r="D70" s="182"/>
      <c r="E70" s="183" t="s">
        <v>20</v>
      </c>
      <c r="F70" s="73" t="s">
        <v>186</v>
      </c>
      <c r="G70" s="74" t="s">
        <v>112</v>
      </c>
      <c r="H70" s="75"/>
      <c r="I70" s="76"/>
      <c r="J70" s="96"/>
      <c r="K70" s="77"/>
      <c r="L70" s="77"/>
      <c r="M70" s="78">
        <f>K70-L70</f>
        <v>0</v>
      </c>
      <c r="N70" s="100">
        <f>1</f>
        <v>1</v>
      </c>
      <c r="O70" s="81">
        <v>2451.87</v>
      </c>
      <c r="P70" s="81">
        <v>2451.87</v>
      </c>
      <c r="Q70" s="232">
        <f t="shared" si="2"/>
        <v>0</v>
      </c>
      <c r="R70" s="141"/>
    </row>
    <row r="71" spans="1:18" s="13" customFormat="1" x14ac:dyDescent="0.25">
      <c r="A71" s="229"/>
      <c r="B71" s="27" t="s">
        <v>51</v>
      </c>
      <c r="C71" s="181" t="s">
        <v>17</v>
      </c>
      <c r="D71" s="182"/>
      <c r="E71" s="183" t="s">
        <v>20</v>
      </c>
      <c r="F71" s="73" t="s">
        <v>276</v>
      </c>
      <c r="G71" s="230" t="s">
        <v>114</v>
      </c>
      <c r="H71" s="181"/>
      <c r="I71" s="231"/>
      <c r="J71" s="190"/>
      <c r="K71" s="77"/>
      <c r="L71" s="77"/>
      <c r="M71" s="187">
        <f t="shared" si="1"/>
        <v>0</v>
      </c>
      <c r="N71" s="100">
        <v>3</v>
      </c>
      <c r="O71" s="224">
        <v>6763.6</v>
      </c>
      <c r="P71" s="224">
        <v>6763.6</v>
      </c>
      <c r="Q71" s="232">
        <f t="shared" si="2"/>
        <v>0</v>
      </c>
    </row>
    <row r="72" spans="1:18" s="13" customFormat="1" x14ac:dyDescent="0.25">
      <c r="A72" s="229"/>
      <c r="B72" s="62" t="s">
        <v>52</v>
      </c>
      <c r="C72" s="181" t="s">
        <v>17</v>
      </c>
      <c r="D72" s="182"/>
      <c r="E72" s="183" t="s">
        <v>20</v>
      </c>
      <c r="F72" s="73" t="s">
        <v>352</v>
      </c>
      <c r="G72" s="74" t="s">
        <v>112</v>
      </c>
      <c r="H72" s="75">
        <v>14</v>
      </c>
      <c r="I72" s="76">
        <v>9</v>
      </c>
      <c r="J72" s="96">
        <f>1+1+1+1+2+3+1+1+1</f>
        <v>12</v>
      </c>
      <c r="K72" s="77">
        <f>10714.2+2747.14+2138.07+6709.4+7033.21+883.08+708.47</f>
        <v>30933.57</v>
      </c>
      <c r="L72" s="77">
        <f>10714.2+2747.14+2138.07+6709.4+7033.21</f>
        <v>29342.019999999997</v>
      </c>
      <c r="M72" s="78">
        <f>K72-L72</f>
        <v>1591.5500000000029</v>
      </c>
      <c r="N72" s="100">
        <f>4+3+1+1+2+3+1+1</f>
        <v>16</v>
      </c>
      <c r="O72" s="81">
        <f>5977.15+48296.91+7596.86+1061.83+8902.9+6856.31+2935.36</f>
        <v>81627.320000000007</v>
      </c>
      <c r="P72" s="81">
        <f>5977.15+48296.91+7596.86+1061.83+8902.9+6856.31+2935.36</f>
        <v>81627.320000000007</v>
      </c>
      <c r="Q72" s="232">
        <f t="shared" si="2"/>
        <v>0</v>
      </c>
      <c r="R72" s="141"/>
    </row>
    <row r="73" spans="1:18" s="13" customFormat="1" x14ac:dyDescent="0.25">
      <c r="A73" s="229"/>
      <c r="B73" s="62" t="s">
        <v>52</v>
      </c>
      <c r="C73" s="181" t="s">
        <v>17</v>
      </c>
      <c r="D73" s="182"/>
      <c r="E73" s="183" t="s">
        <v>20</v>
      </c>
      <c r="F73" s="73" t="s">
        <v>457</v>
      </c>
      <c r="G73" s="230" t="s">
        <v>114</v>
      </c>
      <c r="H73" s="181">
        <v>13</v>
      </c>
      <c r="I73" s="231">
        <v>4</v>
      </c>
      <c r="J73" s="190">
        <v>4</v>
      </c>
      <c r="K73" s="77">
        <v>11041.4</v>
      </c>
      <c r="L73" s="77">
        <v>11041.4</v>
      </c>
      <c r="M73" s="187">
        <f t="shared" si="1"/>
        <v>0</v>
      </c>
      <c r="N73" s="100">
        <v>20</v>
      </c>
      <c r="O73" s="264">
        <v>53970.82</v>
      </c>
      <c r="P73" s="224">
        <v>52565.919999999998</v>
      </c>
      <c r="Q73" s="232">
        <f t="shared" si="2"/>
        <v>1404.9000000000015</v>
      </c>
    </row>
    <row r="74" spans="1:18" s="13" customFormat="1" x14ac:dyDescent="0.25">
      <c r="A74" s="229"/>
      <c r="B74" s="27" t="s">
        <v>53</v>
      </c>
      <c r="C74" s="181" t="s">
        <v>17</v>
      </c>
      <c r="D74" s="182"/>
      <c r="E74" s="183" t="s">
        <v>20</v>
      </c>
      <c r="F74" s="73" t="s">
        <v>353</v>
      </c>
      <c r="G74" s="74" t="s">
        <v>112</v>
      </c>
      <c r="H74" s="75">
        <v>11</v>
      </c>
      <c r="I74" s="76">
        <v>8</v>
      </c>
      <c r="J74" s="96">
        <f>2+2+2+1+2+1</f>
        <v>10</v>
      </c>
      <c r="K74" s="77">
        <f>3655.66+6862.24+2535.72+3550.85</f>
        <v>16604.469999999998</v>
      </c>
      <c r="L74" s="77">
        <f>3655.66+6862.24+2535.72</f>
        <v>13053.619999999999</v>
      </c>
      <c r="M74" s="78">
        <f t="shared" si="1"/>
        <v>3550.8499999999985</v>
      </c>
      <c r="N74" s="100">
        <f>1+2+2+1+1+1</f>
        <v>8</v>
      </c>
      <c r="O74" s="81">
        <f>1743.3+3921.71+422.62+5626.45+37901.04</f>
        <v>49615.12</v>
      </c>
      <c r="P74" s="81">
        <f>1743.3+3921.71+422.62+5626.45+37901.04</f>
        <v>49615.12</v>
      </c>
      <c r="Q74" s="232">
        <f t="shared" si="2"/>
        <v>0</v>
      </c>
      <c r="R74" s="141"/>
    </row>
    <row r="75" spans="1:18" s="13" customFormat="1" x14ac:dyDescent="0.25">
      <c r="A75" s="229"/>
      <c r="B75" s="27" t="s">
        <v>149</v>
      </c>
      <c r="C75" s="181" t="s">
        <v>17</v>
      </c>
      <c r="D75" s="182"/>
      <c r="E75" s="183" t="s">
        <v>383</v>
      </c>
      <c r="F75" s="73" t="s">
        <v>354</v>
      </c>
      <c r="G75" s="74" t="s">
        <v>112</v>
      </c>
      <c r="H75" s="75">
        <v>39</v>
      </c>
      <c r="I75" s="76">
        <v>9</v>
      </c>
      <c r="J75" s="96">
        <f>7+3</f>
        <v>10</v>
      </c>
      <c r="K75" s="77">
        <f>7743.07+4386.1</f>
        <v>12129.17</v>
      </c>
      <c r="L75" s="77">
        <f>7743.07+4386.1</f>
        <v>12129.17</v>
      </c>
      <c r="M75" s="78">
        <f t="shared" si="1"/>
        <v>0</v>
      </c>
      <c r="N75" s="100">
        <f>2+2+2</f>
        <v>6</v>
      </c>
      <c r="O75" s="81">
        <f>3676.8+3431.65+6320.35</f>
        <v>13428.800000000001</v>
      </c>
      <c r="P75" s="81">
        <f>3676.8+3431.65+6320.35</f>
        <v>13428.800000000001</v>
      </c>
      <c r="Q75" s="79">
        <f t="shared" si="2"/>
        <v>0</v>
      </c>
      <c r="R75" s="141"/>
    </row>
    <row r="76" spans="1:18" s="13" customFormat="1" x14ac:dyDescent="0.25">
      <c r="A76" s="229"/>
      <c r="B76" s="27" t="s">
        <v>149</v>
      </c>
      <c r="C76" s="181" t="s">
        <v>17</v>
      </c>
      <c r="D76" s="182"/>
      <c r="E76" s="183" t="s">
        <v>383</v>
      </c>
      <c r="F76" s="73" t="s">
        <v>438</v>
      </c>
      <c r="G76" s="230" t="s">
        <v>118</v>
      </c>
      <c r="H76" s="181">
        <v>15</v>
      </c>
      <c r="I76" s="234">
        <v>1</v>
      </c>
      <c r="J76" s="190">
        <v>1</v>
      </c>
      <c r="K76" s="193">
        <v>576.29999999999995</v>
      </c>
      <c r="L76" s="193">
        <v>576.29999999999995</v>
      </c>
      <c r="M76" s="78">
        <f t="shared" si="1"/>
        <v>0</v>
      </c>
      <c r="N76" s="114">
        <v>7</v>
      </c>
      <c r="O76" s="224">
        <v>9835.52</v>
      </c>
      <c r="P76" s="224">
        <v>9835.52</v>
      </c>
      <c r="Q76" s="232">
        <f t="shared" si="2"/>
        <v>0</v>
      </c>
    </row>
    <row r="77" spans="1:18" s="13" customFormat="1" x14ac:dyDescent="0.25">
      <c r="A77" s="229"/>
      <c r="B77" s="62" t="s">
        <v>107</v>
      </c>
      <c r="C77" s="181" t="s">
        <v>17</v>
      </c>
      <c r="D77" s="182"/>
      <c r="E77" s="194" t="s">
        <v>20</v>
      </c>
      <c r="F77" s="73" t="s">
        <v>355</v>
      </c>
      <c r="G77" s="74" t="s">
        <v>112</v>
      </c>
      <c r="H77" s="75">
        <v>12</v>
      </c>
      <c r="I77" s="76">
        <v>8</v>
      </c>
      <c r="J77" s="96">
        <f>1+3+3+2+1</f>
        <v>10</v>
      </c>
      <c r="K77" s="77">
        <f>666.63+7071.2+5333.38+13316.37+23091.24+4686.95+2216.53</f>
        <v>56382.3</v>
      </c>
      <c r="L77" s="77">
        <f>666.63+7071.2+5333.38+13316.37+23091.24+4686.95+2216.53</f>
        <v>56382.3</v>
      </c>
      <c r="M77" s="78">
        <f t="shared" si="1"/>
        <v>0</v>
      </c>
      <c r="N77" s="100">
        <f>2+6+1+1+2</f>
        <v>12</v>
      </c>
      <c r="O77" s="81">
        <f>7612.92+18804.48+9163.33+3260.98+6297.63</f>
        <v>45139.340000000004</v>
      </c>
      <c r="P77" s="81">
        <f>7612.92+18804.48+9163.33+3260.98+6297.63</f>
        <v>45139.340000000004</v>
      </c>
      <c r="Q77" s="79">
        <f t="shared" si="2"/>
        <v>0</v>
      </c>
      <c r="R77" s="141"/>
    </row>
    <row r="78" spans="1:18" s="13" customFormat="1" x14ac:dyDescent="0.25">
      <c r="A78" s="229"/>
      <c r="B78" s="30" t="s">
        <v>54</v>
      </c>
      <c r="C78" s="181" t="s">
        <v>17</v>
      </c>
      <c r="D78" s="182"/>
      <c r="E78" s="194" t="s">
        <v>20</v>
      </c>
      <c r="F78" s="73" t="s">
        <v>356</v>
      </c>
      <c r="G78" s="74" t="s">
        <v>112</v>
      </c>
      <c r="H78" s="75"/>
      <c r="I78" s="76"/>
      <c r="J78" s="96"/>
      <c r="K78" s="77">
        <f>9075.37</f>
        <v>9075.3700000000008</v>
      </c>
      <c r="L78" s="77">
        <f>9075.37</f>
        <v>9075.3700000000008</v>
      </c>
      <c r="M78" s="78">
        <f t="shared" si="1"/>
        <v>0</v>
      </c>
      <c r="N78" s="100">
        <f>4+1+1+2+1</f>
        <v>9</v>
      </c>
      <c r="O78" s="81">
        <f>17895.28+17443.73+5473.41+2994.97</f>
        <v>43807.39</v>
      </c>
      <c r="P78" s="81">
        <f>17895.28+17443.73+5473.41</f>
        <v>40812.42</v>
      </c>
      <c r="Q78" s="79">
        <f t="shared" si="2"/>
        <v>2994.9700000000012</v>
      </c>
      <c r="R78" s="141"/>
    </row>
    <row r="79" spans="1:18" s="13" customFormat="1" ht="30" x14ac:dyDescent="0.25">
      <c r="A79" s="229"/>
      <c r="B79" s="27" t="s">
        <v>55</v>
      </c>
      <c r="C79" s="181" t="s">
        <v>304</v>
      </c>
      <c r="D79" s="182" t="s">
        <v>387</v>
      </c>
      <c r="E79" s="183" t="s">
        <v>20</v>
      </c>
      <c r="F79" s="73" t="s">
        <v>357</v>
      </c>
      <c r="G79" s="74" t="s">
        <v>112</v>
      </c>
      <c r="H79" s="75">
        <v>21</v>
      </c>
      <c r="I79" s="76">
        <v>12</v>
      </c>
      <c r="J79" s="96">
        <f>3+1+1+2+1+1+1+3</f>
        <v>13</v>
      </c>
      <c r="K79" s="77">
        <f>1267.86+6667.8+5756.15+1180.38+4780.37+4352.43+2850.42+2493.42</f>
        <v>29348.829999999994</v>
      </c>
      <c r="L79" s="77">
        <f>1267.86+6667.8+5756.15+1180.38+4780.37+4352.43+2850.42+2493.42</f>
        <v>29348.829999999994</v>
      </c>
      <c r="M79" s="78">
        <f t="shared" si="1"/>
        <v>0</v>
      </c>
      <c r="N79" s="100">
        <f>2+1+2+2+2+1+2+1</f>
        <v>13</v>
      </c>
      <c r="O79" s="81">
        <f>34854.19+2113.1+6430.67+5463.42+39145.22+2535.72+5132.44+12985.86</f>
        <v>108660.62000000001</v>
      </c>
      <c r="P79" s="81">
        <f>34854.19+2113.1+6430.67+5463.42+39145.22+2535.72+5132.44+12985.86</f>
        <v>108660.62000000001</v>
      </c>
      <c r="Q79" s="232">
        <f t="shared" si="2"/>
        <v>0</v>
      </c>
      <c r="R79" s="141"/>
    </row>
    <row r="80" spans="1:18" s="13" customFormat="1" ht="30" x14ac:dyDescent="0.25">
      <c r="A80" s="229"/>
      <c r="B80" s="62" t="s">
        <v>56</v>
      </c>
      <c r="C80" s="181" t="s">
        <v>17</v>
      </c>
      <c r="D80" s="182" t="s">
        <v>386</v>
      </c>
      <c r="E80" s="183" t="s">
        <v>18</v>
      </c>
      <c r="F80" s="73" t="s">
        <v>358</v>
      </c>
      <c r="G80" s="74" t="s">
        <v>112</v>
      </c>
      <c r="H80" s="75">
        <v>12</v>
      </c>
      <c r="I80" s="76">
        <v>6</v>
      </c>
      <c r="J80" s="96">
        <f>1+1+2+2</f>
        <v>6</v>
      </c>
      <c r="K80" s="77">
        <f>678.11+678.11+4865.7+5265.72</f>
        <v>11487.64</v>
      </c>
      <c r="L80" s="77">
        <f>678.11+678.11+4865.7</f>
        <v>6221.92</v>
      </c>
      <c r="M80" s="78">
        <f t="shared" si="1"/>
        <v>5265.7199999999993</v>
      </c>
      <c r="N80" s="100">
        <f>1</f>
        <v>1</v>
      </c>
      <c r="O80" s="81">
        <f>4395.5</f>
        <v>4395.5</v>
      </c>
      <c r="P80" s="81">
        <f>4395.5</f>
        <v>4395.5</v>
      </c>
      <c r="Q80" s="79">
        <f t="shared" si="2"/>
        <v>0</v>
      </c>
      <c r="R80" s="141"/>
    </row>
    <row r="81" spans="1:18" s="13" customFormat="1" ht="30" x14ac:dyDescent="0.25">
      <c r="A81" s="229"/>
      <c r="B81" s="62" t="s">
        <v>56</v>
      </c>
      <c r="C81" s="181" t="s">
        <v>304</v>
      </c>
      <c r="D81" s="182" t="s">
        <v>386</v>
      </c>
      <c r="E81" s="183" t="s">
        <v>18</v>
      </c>
      <c r="F81" s="73" t="s">
        <v>476</v>
      </c>
      <c r="G81" s="230" t="s">
        <v>113</v>
      </c>
      <c r="H81" s="181">
        <v>11</v>
      </c>
      <c r="I81" s="231">
        <v>6</v>
      </c>
      <c r="J81" s="96">
        <v>6</v>
      </c>
      <c r="K81" s="77">
        <v>11288</v>
      </c>
      <c r="L81" s="77">
        <v>11288</v>
      </c>
      <c r="M81" s="78">
        <f t="shared" si="1"/>
        <v>0</v>
      </c>
      <c r="N81" s="100"/>
      <c r="O81" s="224">
        <v>7612</v>
      </c>
      <c r="P81" s="224">
        <v>7612</v>
      </c>
      <c r="Q81" s="232">
        <f t="shared" ref="Q81:Q145" si="3">O81-P81</f>
        <v>0</v>
      </c>
    </row>
    <row r="82" spans="1:18" s="13" customFormat="1" x14ac:dyDescent="0.25">
      <c r="A82" s="229"/>
      <c r="B82" s="62" t="s">
        <v>156</v>
      </c>
      <c r="C82" s="181" t="s">
        <v>304</v>
      </c>
      <c r="D82" s="182"/>
      <c r="E82" s="183" t="s">
        <v>20</v>
      </c>
      <c r="F82" s="73" t="s">
        <v>359</v>
      </c>
      <c r="G82" s="74" t="s">
        <v>112</v>
      </c>
      <c r="H82" s="75">
        <v>4</v>
      </c>
      <c r="I82" s="76">
        <v>2</v>
      </c>
      <c r="J82" s="96">
        <f>2</f>
        <v>2</v>
      </c>
      <c r="K82" s="77">
        <f>1690.48+993.47</f>
        <v>2683.95</v>
      </c>
      <c r="L82" s="77">
        <f>1690.48+993.47</f>
        <v>2683.95</v>
      </c>
      <c r="M82" s="78">
        <f t="shared" si="1"/>
        <v>0</v>
      </c>
      <c r="N82" s="100">
        <f>3+1+1</f>
        <v>5</v>
      </c>
      <c r="O82" s="81">
        <f>5488.54+2398.37+422.62+1605.6</f>
        <v>9915.130000000001</v>
      </c>
      <c r="P82" s="81">
        <f>5488.54+2398.37+422.62+1605.6</f>
        <v>9915.130000000001</v>
      </c>
      <c r="Q82" s="79">
        <f t="shared" si="3"/>
        <v>0</v>
      </c>
      <c r="R82" s="141"/>
    </row>
    <row r="83" spans="1:18" s="15" customFormat="1" x14ac:dyDescent="0.25">
      <c r="A83" s="229"/>
      <c r="B83" s="62" t="s">
        <v>57</v>
      </c>
      <c r="C83" s="181" t="s">
        <v>17</v>
      </c>
      <c r="D83" s="182"/>
      <c r="E83" s="183" t="s">
        <v>20</v>
      </c>
      <c r="F83" s="73" t="s">
        <v>360</v>
      </c>
      <c r="G83" s="74" t="s">
        <v>112</v>
      </c>
      <c r="H83" s="75">
        <v>7</v>
      </c>
      <c r="I83" s="76">
        <v>6</v>
      </c>
      <c r="J83" s="96">
        <f>2+1+1+2</f>
        <v>6</v>
      </c>
      <c r="K83" s="77">
        <f>806.82+1728.9+422.62+2958.34</f>
        <v>5916.68</v>
      </c>
      <c r="L83" s="77">
        <f>806.82+1728.9+422.62+2958.34</f>
        <v>5916.68</v>
      </c>
      <c r="M83" s="78">
        <f t="shared" si="1"/>
        <v>0</v>
      </c>
      <c r="N83" s="100">
        <f>2+1</f>
        <v>3</v>
      </c>
      <c r="O83" s="81">
        <f>2745.3</f>
        <v>2745.3</v>
      </c>
      <c r="P83" s="81">
        <f>2745.3</f>
        <v>2745.3</v>
      </c>
      <c r="Q83" s="232">
        <f t="shared" si="3"/>
        <v>0</v>
      </c>
      <c r="R83" s="141"/>
    </row>
    <row r="84" spans="1:18" s="15" customFormat="1" x14ac:dyDescent="0.25">
      <c r="A84" s="229"/>
      <c r="B84" s="62" t="s">
        <v>57</v>
      </c>
      <c r="C84" s="181" t="s">
        <v>17</v>
      </c>
      <c r="D84" s="182"/>
      <c r="E84" s="183" t="s">
        <v>20</v>
      </c>
      <c r="F84" s="73" t="s">
        <v>458</v>
      </c>
      <c r="G84" s="230" t="s">
        <v>114</v>
      </c>
      <c r="H84" s="181">
        <v>32</v>
      </c>
      <c r="I84" s="231">
        <v>7</v>
      </c>
      <c r="J84" s="190">
        <v>7</v>
      </c>
      <c r="K84" s="77">
        <v>19508.099999999999</v>
      </c>
      <c r="L84" s="77">
        <v>15092.7</v>
      </c>
      <c r="M84" s="187">
        <f t="shared" si="1"/>
        <v>4415.3999999999978</v>
      </c>
      <c r="N84" s="100">
        <v>19</v>
      </c>
      <c r="O84" s="224">
        <v>42687.199999999997</v>
      </c>
      <c r="P84" s="224">
        <v>42687.199999999997</v>
      </c>
      <c r="Q84" s="232">
        <f t="shared" si="3"/>
        <v>0</v>
      </c>
    </row>
    <row r="85" spans="1:18" s="13" customFormat="1" x14ac:dyDescent="0.25">
      <c r="A85" s="229"/>
      <c r="B85" s="62" t="s">
        <v>58</v>
      </c>
      <c r="C85" s="181" t="s">
        <v>17</v>
      </c>
      <c r="D85" s="182"/>
      <c r="E85" s="183" t="s">
        <v>20</v>
      </c>
      <c r="F85" s="73" t="s">
        <v>361</v>
      </c>
      <c r="G85" s="74" t="s">
        <v>112</v>
      </c>
      <c r="H85" s="75">
        <v>9</v>
      </c>
      <c r="I85" s="76">
        <v>6</v>
      </c>
      <c r="J85" s="96">
        <f>1+2+1+1+1</f>
        <v>6</v>
      </c>
      <c r="K85" s="77">
        <f>1892.47+3118.94+422.62+1324.62+883.08</f>
        <v>7641.73</v>
      </c>
      <c r="L85" s="77">
        <f>1892.47+3118.94+422.62+1324.62</f>
        <v>6758.65</v>
      </c>
      <c r="M85" s="78">
        <f>K85-L85</f>
        <v>883.07999999999993</v>
      </c>
      <c r="N85" s="100">
        <f>1+1+3</f>
        <v>5</v>
      </c>
      <c r="O85" s="81">
        <f>9196.24+2480.78+2954.11+15214.32</f>
        <v>29845.45</v>
      </c>
      <c r="P85" s="81">
        <f>9196.24+2480.78+2954.11+15214.32</f>
        <v>29845.45</v>
      </c>
      <c r="Q85" s="232">
        <f t="shared" si="3"/>
        <v>0</v>
      </c>
      <c r="R85" s="141"/>
    </row>
    <row r="86" spans="1:18" s="13" customFormat="1" x14ac:dyDescent="0.25">
      <c r="A86" s="229"/>
      <c r="B86" s="62" t="s">
        <v>58</v>
      </c>
      <c r="C86" s="181" t="s">
        <v>17</v>
      </c>
      <c r="D86" s="182"/>
      <c r="E86" s="183" t="s">
        <v>20</v>
      </c>
      <c r="F86" s="73" t="s">
        <v>478</v>
      </c>
      <c r="G86" s="230" t="s">
        <v>114</v>
      </c>
      <c r="H86" s="181">
        <v>15</v>
      </c>
      <c r="I86" s="231">
        <v>3</v>
      </c>
      <c r="J86" s="190">
        <v>3</v>
      </c>
      <c r="K86" s="77">
        <v>3765.16</v>
      </c>
      <c r="L86" s="77">
        <v>3765.16</v>
      </c>
      <c r="M86" s="187">
        <f t="shared" si="1"/>
        <v>0</v>
      </c>
      <c r="N86" s="100">
        <v>21</v>
      </c>
      <c r="O86" s="224">
        <v>54215.77</v>
      </c>
      <c r="P86" s="224">
        <v>54215.77</v>
      </c>
      <c r="Q86" s="232">
        <f t="shared" si="3"/>
        <v>0</v>
      </c>
    </row>
    <row r="87" spans="1:18" s="13" customFormat="1" x14ac:dyDescent="0.25">
      <c r="A87" s="229"/>
      <c r="B87" s="62" t="s">
        <v>59</v>
      </c>
      <c r="C87" s="181" t="s">
        <v>17</v>
      </c>
      <c r="D87" s="182"/>
      <c r="E87" s="183" t="s">
        <v>20</v>
      </c>
      <c r="F87" s="73" t="s">
        <v>362</v>
      </c>
      <c r="G87" s="74" t="s">
        <v>112</v>
      </c>
      <c r="H87" s="75">
        <v>11</v>
      </c>
      <c r="I87" s="76">
        <v>8</v>
      </c>
      <c r="J87" s="96">
        <f>1+1+1+3+1+1</f>
        <v>8</v>
      </c>
      <c r="K87" s="77">
        <f>403.41+1431.16+845.24+998.92+3059.87</f>
        <v>6738.6</v>
      </c>
      <c r="L87" s="77">
        <f>403.41+1431.16+845.24+998.92+3059.87</f>
        <v>6738.6</v>
      </c>
      <c r="M87" s="78">
        <f>K87-L87</f>
        <v>0</v>
      </c>
      <c r="N87" s="100">
        <f>1+2+2+1+1+1+1</f>
        <v>9</v>
      </c>
      <c r="O87" s="81">
        <f>6646.05+1267.86+979.71</f>
        <v>8893.619999999999</v>
      </c>
      <c r="P87" s="81">
        <f>2353.23+5561.68+978.71</f>
        <v>8893.619999999999</v>
      </c>
      <c r="Q87" s="232">
        <f t="shared" si="3"/>
        <v>0</v>
      </c>
      <c r="R87" s="141"/>
    </row>
    <row r="88" spans="1:18" s="13" customFormat="1" x14ac:dyDescent="0.25">
      <c r="A88" s="229"/>
      <c r="B88" s="62" t="s">
        <v>59</v>
      </c>
      <c r="C88" s="181" t="s">
        <v>17</v>
      </c>
      <c r="D88" s="182"/>
      <c r="E88" s="183" t="s">
        <v>20</v>
      </c>
      <c r="F88" s="73" t="s">
        <v>128</v>
      </c>
      <c r="G88" s="230" t="s">
        <v>114</v>
      </c>
      <c r="H88" s="181"/>
      <c r="I88" s="231"/>
      <c r="J88" s="190"/>
      <c r="K88" s="77"/>
      <c r="L88" s="77"/>
      <c r="M88" s="187">
        <f t="shared" si="1"/>
        <v>0</v>
      </c>
      <c r="N88" s="100"/>
      <c r="O88" s="224"/>
      <c r="P88" s="224"/>
      <c r="Q88" s="232">
        <f t="shared" si="3"/>
        <v>0</v>
      </c>
    </row>
    <row r="89" spans="1:18" s="13" customFormat="1" x14ac:dyDescent="0.25">
      <c r="A89" s="229"/>
      <c r="B89" s="27" t="s">
        <v>60</v>
      </c>
      <c r="C89" s="181" t="s">
        <v>17</v>
      </c>
      <c r="D89" s="182"/>
      <c r="E89" s="183" t="s">
        <v>20</v>
      </c>
      <c r="F89" s="73" t="s">
        <v>364</v>
      </c>
      <c r="G89" s="74" t="s">
        <v>112</v>
      </c>
      <c r="H89" s="75">
        <v>16</v>
      </c>
      <c r="I89" s="76">
        <v>11</v>
      </c>
      <c r="J89" s="96">
        <f>1+1+1+4+4+2</f>
        <v>13</v>
      </c>
      <c r="K89" s="77">
        <f>634.93+893.27+2930.22+8503.46</f>
        <v>12961.88</v>
      </c>
      <c r="L89" s="77">
        <f>634.93+893.27+2930.22+8503.46</f>
        <v>12961.88</v>
      </c>
      <c r="M89" s="78">
        <f>K89-L89</f>
        <v>0</v>
      </c>
      <c r="N89" s="100">
        <f>4+1+3+1+1</f>
        <v>10</v>
      </c>
      <c r="O89" s="81">
        <f>15124.53+2065.75+8492.52+5828.3</f>
        <v>31511.1</v>
      </c>
      <c r="P89" s="81">
        <f>15124.53+2065.75+8492.52</f>
        <v>25682.799999999999</v>
      </c>
      <c r="Q89" s="232">
        <f t="shared" si="3"/>
        <v>5828.2999999999993</v>
      </c>
      <c r="R89" s="141"/>
    </row>
    <row r="90" spans="1:18" s="13" customFormat="1" x14ac:dyDescent="0.25">
      <c r="A90" s="229"/>
      <c r="B90" s="27" t="s">
        <v>60</v>
      </c>
      <c r="C90" s="181" t="s">
        <v>17</v>
      </c>
      <c r="D90" s="182"/>
      <c r="E90" s="183" t="s">
        <v>20</v>
      </c>
      <c r="F90" s="73" t="s">
        <v>479</v>
      </c>
      <c r="G90" s="230" t="s">
        <v>114</v>
      </c>
      <c r="H90" s="181">
        <v>12</v>
      </c>
      <c r="I90" s="231">
        <v>2</v>
      </c>
      <c r="J90" s="190">
        <v>2</v>
      </c>
      <c r="K90" s="77">
        <v>5186.7</v>
      </c>
      <c r="L90" s="77">
        <v>5186.7</v>
      </c>
      <c r="M90" s="187">
        <f t="shared" si="1"/>
        <v>0</v>
      </c>
      <c r="N90" s="100">
        <v>12</v>
      </c>
      <c r="O90" s="224">
        <v>41221.599999999999</v>
      </c>
      <c r="P90" s="224">
        <v>41221.599999999999</v>
      </c>
      <c r="Q90" s="232">
        <f t="shared" si="3"/>
        <v>0</v>
      </c>
    </row>
    <row r="91" spans="1:18" s="13" customFormat="1" x14ac:dyDescent="0.25">
      <c r="A91" s="229"/>
      <c r="B91" s="27" t="s">
        <v>493</v>
      </c>
      <c r="C91" s="181" t="s">
        <v>17</v>
      </c>
      <c r="D91" s="182"/>
      <c r="E91" s="183" t="s">
        <v>20</v>
      </c>
      <c r="F91" s="73" t="s">
        <v>496</v>
      </c>
      <c r="G91" s="230" t="s">
        <v>112</v>
      </c>
      <c r="H91" s="181">
        <v>12</v>
      </c>
      <c r="I91" s="231">
        <v>8</v>
      </c>
      <c r="J91" s="190">
        <f>3+2+1+3+1+2+1</f>
        <v>13</v>
      </c>
      <c r="K91" s="77">
        <f>3387.04+3467.41+1267.86+2218.74+8089.94+1924.71</f>
        <v>20355.699999999997</v>
      </c>
      <c r="L91" s="77">
        <f>3387.04+3467.41+1267.86+2218.74+8089.94</f>
        <v>18430.989999999998</v>
      </c>
      <c r="M91" s="78">
        <f t="shared" ref="M91:M155" si="4">K91-L91</f>
        <v>1924.7099999999991</v>
      </c>
      <c r="N91" s="100"/>
      <c r="O91" s="224"/>
      <c r="P91" s="224"/>
      <c r="Q91" s="232">
        <f t="shared" si="3"/>
        <v>0</v>
      </c>
    </row>
    <row r="92" spans="1:18" s="15" customFormat="1" x14ac:dyDescent="0.25">
      <c r="A92" s="229"/>
      <c r="B92" s="27" t="s">
        <v>61</v>
      </c>
      <c r="C92" s="181" t="s">
        <v>17</v>
      </c>
      <c r="D92" s="182"/>
      <c r="E92" s="183" t="s">
        <v>20</v>
      </c>
      <c r="F92" s="73" t="s">
        <v>363</v>
      </c>
      <c r="G92" s="74" t="s">
        <v>112</v>
      </c>
      <c r="H92" s="75"/>
      <c r="I92" s="76"/>
      <c r="J92" s="96"/>
      <c r="K92" s="77"/>
      <c r="L92" s="77"/>
      <c r="M92" s="78">
        <f t="shared" si="4"/>
        <v>0</v>
      </c>
      <c r="N92" s="100"/>
      <c r="O92" s="81"/>
      <c r="P92" s="81"/>
      <c r="Q92" s="232">
        <f t="shared" si="3"/>
        <v>0</v>
      </c>
      <c r="R92" s="141"/>
    </row>
    <row r="93" spans="1:18" s="15" customFormat="1" x14ac:dyDescent="0.25">
      <c r="A93" s="229"/>
      <c r="B93" s="236" t="s">
        <v>306</v>
      </c>
      <c r="C93" s="181" t="s">
        <v>17</v>
      </c>
      <c r="D93" s="182"/>
      <c r="E93" s="183" t="s">
        <v>35</v>
      </c>
      <c r="F93" s="73" t="s">
        <v>365</v>
      </c>
      <c r="G93" s="230" t="s">
        <v>112</v>
      </c>
      <c r="H93" s="181">
        <v>33</v>
      </c>
      <c r="I93" s="231">
        <v>19</v>
      </c>
      <c r="J93" s="190">
        <f>1+2+1+3+3+2+3+1+2+1</f>
        <v>19</v>
      </c>
      <c r="K93" s="77">
        <f>1045.98+2658.7+35696.14+4892.46+1024.04+2384.53+10793.24+5320.79+2075.24+1324.62+1192.16</f>
        <v>68407.899999999994</v>
      </c>
      <c r="L93" s="77">
        <f>1045.98+2658.7+35696.14+4892.46+1024.04+2384.53+10793.24+5320.79+2075.24+1324.62</f>
        <v>67215.739999999991</v>
      </c>
      <c r="M93" s="78">
        <f>K93-L93</f>
        <v>1192.1600000000035</v>
      </c>
      <c r="N93" s="114">
        <f>7+2+2+2+1+1+1</f>
        <v>16</v>
      </c>
      <c r="O93" s="224">
        <f>2313.84+6162.57+2330.32+1690.48+3706.14+3107.65+4960.7</f>
        <v>24271.7</v>
      </c>
      <c r="P93" s="224">
        <f>2313.84+6162.57+2330.32+1690.48+3706.14+3107.65</f>
        <v>19311</v>
      </c>
      <c r="Q93" s="232">
        <f t="shared" si="3"/>
        <v>4960.7000000000007</v>
      </c>
      <c r="R93" s="141"/>
    </row>
    <row r="94" spans="1:18" s="13" customFormat="1" x14ac:dyDescent="0.25">
      <c r="A94" s="229"/>
      <c r="B94" s="62" t="s">
        <v>306</v>
      </c>
      <c r="C94" s="181" t="s">
        <v>17</v>
      </c>
      <c r="D94" s="182"/>
      <c r="E94" s="183" t="s">
        <v>27</v>
      </c>
      <c r="F94" s="73" t="s">
        <v>421</v>
      </c>
      <c r="G94" s="230" t="s">
        <v>117</v>
      </c>
      <c r="H94" s="181">
        <v>4</v>
      </c>
      <c r="I94" s="231"/>
      <c r="J94" s="96"/>
      <c r="K94" s="77"/>
      <c r="L94" s="77"/>
      <c r="M94" s="78">
        <f>K94-L94</f>
        <v>0</v>
      </c>
      <c r="N94" s="100"/>
      <c r="O94" s="77"/>
      <c r="P94" s="77"/>
      <c r="Q94" s="79">
        <f>O94-P94</f>
        <v>0</v>
      </c>
    </row>
    <row r="95" spans="1:18" s="13" customFormat="1" x14ac:dyDescent="0.25">
      <c r="A95" s="229"/>
      <c r="B95" s="27" t="s">
        <v>62</v>
      </c>
      <c r="C95" s="181" t="s">
        <v>17</v>
      </c>
      <c r="D95" s="182"/>
      <c r="E95" s="183" t="s">
        <v>35</v>
      </c>
      <c r="F95" s="73" t="s">
        <v>366</v>
      </c>
      <c r="G95" s="74" t="s">
        <v>112</v>
      </c>
      <c r="H95" s="75">
        <v>27</v>
      </c>
      <c r="I95" s="76">
        <v>16</v>
      </c>
      <c r="J95" s="96">
        <f>1+3+1+1+2+4+4</f>
        <v>16</v>
      </c>
      <c r="K95" s="77">
        <f>3613.4+1872.01+1394.65+3518.32+15902.72+5370.89</f>
        <v>31671.989999999998</v>
      </c>
      <c r="L95" s="77">
        <f>3613.4+1872.01+1394.65+3518.32+15902.72</f>
        <v>26301.1</v>
      </c>
      <c r="M95" s="78">
        <f>K95-L95</f>
        <v>5370.8899999999994</v>
      </c>
      <c r="N95" s="100">
        <f>6+2+1+2+1+3</f>
        <v>15</v>
      </c>
      <c r="O95" s="81">
        <f>19511.33+1270.93+3979.74+2500.85+8530.18+845.24+12787.47</f>
        <v>49425.74</v>
      </c>
      <c r="P95" s="81">
        <f>19511.33+1270.93+3979.74+2500.85+8530.18+845.24+12787.47</f>
        <v>49425.74</v>
      </c>
      <c r="Q95" s="79">
        <f t="shared" si="3"/>
        <v>0</v>
      </c>
      <c r="R95" s="141"/>
    </row>
    <row r="96" spans="1:18" s="13" customFormat="1" x14ac:dyDescent="0.25">
      <c r="A96" s="229"/>
      <c r="B96" s="27" t="s">
        <v>62</v>
      </c>
      <c r="C96" s="181" t="s">
        <v>17</v>
      </c>
      <c r="D96" s="182"/>
      <c r="E96" s="183" t="s">
        <v>35</v>
      </c>
      <c r="F96" s="73" t="s">
        <v>428</v>
      </c>
      <c r="G96" s="230" t="s">
        <v>117</v>
      </c>
      <c r="H96" s="181">
        <v>2</v>
      </c>
      <c r="I96" s="231"/>
      <c r="J96" s="96"/>
      <c r="K96" s="77"/>
      <c r="L96" s="77"/>
      <c r="M96" s="78">
        <f t="shared" si="4"/>
        <v>0</v>
      </c>
      <c r="N96" s="100">
        <v>9</v>
      </c>
      <c r="O96" s="224">
        <v>22788.1</v>
      </c>
      <c r="P96" s="224">
        <v>22788.1</v>
      </c>
      <c r="Q96" s="232">
        <f t="shared" si="3"/>
        <v>0</v>
      </c>
    </row>
    <row r="97" spans="1:19" s="13" customFormat="1" x14ac:dyDescent="0.25">
      <c r="A97" s="229"/>
      <c r="B97" s="27" t="s">
        <v>155</v>
      </c>
      <c r="C97" s="181" t="s">
        <v>17</v>
      </c>
      <c r="D97" s="182"/>
      <c r="E97" s="183" t="s">
        <v>20</v>
      </c>
      <c r="F97" s="73" t="s">
        <v>367</v>
      </c>
      <c r="G97" s="74" t="s">
        <v>112</v>
      </c>
      <c r="H97" s="75">
        <v>12</v>
      </c>
      <c r="I97" s="82">
        <v>9</v>
      </c>
      <c r="J97" s="96">
        <f>1+2+3+1+2+2</f>
        <v>11</v>
      </c>
      <c r="K97" s="77">
        <f>3117.56+2266.78+5307.72+3606.94+1494.21</f>
        <v>15793.210000000003</v>
      </c>
      <c r="L97" s="77">
        <f>3117.56+2266.78+5307.72+3606.94</f>
        <v>14299.000000000002</v>
      </c>
      <c r="M97" s="78">
        <f>K97-L97</f>
        <v>1494.2100000000009</v>
      </c>
      <c r="N97" s="100">
        <f>1+1+1</f>
        <v>3</v>
      </c>
      <c r="O97" s="81">
        <f>1798.06+2123.67</f>
        <v>3921.73</v>
      </c>
      <c r="P97" s="81">
        <f>1798.06+2123.67</f>
        <v>3921.73</v>
      </c>
      <c r="Q97" s="232">
        <f t="shared" si="3"/>
        <v>0</v>
      </c>
      <c r="R97" s="141"/>
    </row>
    <row r="98" spans="1:19" s="13" customFormat="1" x14ac:dyDescent="0.25">
      <c r="A98" s="229"/>
      <c r="B98" s="27" t="s">
        <v>155</v>
      </c>
      <c r="C98" s="181" t="s">
        <v>17</v>
      </c>
      <c r="D98" s="182"/>
      <c r="E98" s="183" t="s">
        <v>20</v>
      </c>
      <c r="F98" s="73" t="s">
        <v>459</v>
      </c>
      <c r="G98" s="230" t="s">
        <v>114</v>
      </c>
      <c r="H98" s="181">
        <v>12</v>
      </c>
      <c r="I98" s="231">
        <v>4</v>
      </c>
      <c r="J98" s="190">
        <v>4</v>
      </c>
      <c r="K98" s="77">
        <v>8154.2</v>
      </c>
      <c r="L98" s="77">
        <v>6313.5</v>
      </c>
      <c r="M98" s="187">
        <f t="shared" ref="M98" si="5">K98-L98</f>
        <v>1840.6999999999998</v>
      </c>
      <c r="N98" s="100">
        <v>15</v>
      </c>
      <c r="O98" s="224">
        <v>33202.26</v>
      </c>
      <c r="P98" s="224">
        <v>33202.26</v>
      </c>
      <c r="Q98" s="232">
        <f t="shared" si="3"/>
        <v>0</v>
      </c>
    </row>
    <row r="99" spans="1:19" s="13" customFormat="1" x14ac:dyDescent="0.25">
      <c r="A99" s="229"/>
      <c r="B99" s="30" t="s">
        <v>66</v>
      </c>
      <c r="C99" s="181" t="s">
        <v>17</v>
      </c>
      <c r="D99" s="182"/>
      <c r="E99" s="183" t="s">
        <v>21</v>
      </c>
      <c r="F99" s="73" t="s">
        <v>368</v>
      </c>
      <c r="G99" s="74" t="s">
        <v>112</v>
      </c>
      <c r="H99" s="75">
        <v>31</v>
      </c>
      <c r="I99" s="76">
        <v>22</v>
      </c>
      <c r="J99" s="96">
        <f>1+3+2+3+2+1+2+1+3+7+4+3</f>
        <v>32</v>
      </c>
      <c r="K99" s="77">
        <f>1045.98+4309.04+3820.12+1872.01+4253.49+3044.79+1191.19+4942.84+9299.2+9796.16+4139.27</f>
        <v>47714.090000000011</v>
      </c>
      <c r="L99" s="77">
        <f>1045.98+4309.04+3820.12+1872.01+4253.49+3044.79+1191.19+4942.84+9299.2+9796.16+4139.27</f>
        <v>47714.090000000011</v>
      </c>
      <c r="M99" s="78">
        <f>K99-L99</f>
        <v>0</v>
      </c>
      <c r="N99" s="100">
        <f>6+3+8+7+1+1+1+2+1+1+1+1+1+1</f>
        <v>35</v>
      </c>
      <c r="O99" s="81">
        <f>11911.17+23136+18060.17+1977.84+2091.97+19535.65+19124.11+3199.71+4430.07+5418.9+2717.24</f>
        <v>111602.83</v>
      </c>
      <c r="P99" s="81">
        <f>11911.17+23136+18060.17+1977.84+2091.97+19535.65+19124.11+3199.71+4430.07+5418.9</f>
        <v>108885.59</v>
      </c>
      <c r="Q99" s="232">
        <f t="shared" si="3"/>
        <v>2717.2400000000052</v>
      </c>
      <c r="R99" s="141"/>
    </row>
    <row r="100" spans="1:19" s="13" customFormat="1" x14ac:dyDescent="0.25">
      <c r="A100" s="229"/>
      <c r="B100" s="30" t="s">
        <v>66</v>
      </c>
      <c r="C100" s="181" t="s">
        <v>17</v>
      </c>
      <c r="D100" s="182"/>
      <c r="E100" s="183" t="s">
        <v>21</v>
      </c>
      <c r="F100" s="73" t="s">
        <v>439</v>
      </c>
      <c r="G100" s="230" t="s">
        <v>118</v>
      </c>
      <c r="H100" s="181">
        <v>6</v>
      </c>
      <c r="I100" s="231">
        <v>3</v>
      </c>
      <c r="J100" s="96">
        <v>3</v>
      </c>
      <c r="K100" s="77">
        <v>5367.3</v>
      </c>
      <c r="L100" s="77">
        <v>5367.3</v>
      </c>
      <c r="M100" s="187">
        <f t="shared" si="4"/>
        <v>0</v>
      </c>
      <c r="N100" s="100">
        <v>18</v>
      </c>
      <c r="O100" s="224">
        <v>66871.69</v>
      </c>
      <c r="P100" s="224">
        <v>66871.69</v>
      </c>
      <c r="Q100" s="79">
        <f t="shared" si="3"/>
        <v>0</v>
      </c>
    </row>
    <row r="101" spans="1:19" s="13" customFormat="1" x14ac:dyDescent="0.25">
      <c r="A101" s="229"/>
      <c r="B101" s="62" t="s">
        <v>137</v>
      </c>
      <c r="C101" s="181" t="s">
        <v>17</v>
      </c>
      <c r="D101" s="182"/>
      <c r="E101" s="194" t="s">
        <v>35</v>
      </c>
      <c r="F101" s="73" t="s">
        <v>369</v>
      </c>
      <c r="G101" s="74" t="s">
        <v>112</v>
      </c>
      <c r="H101" s="75">
        <v>31</v>
      </c>
      <c r="I101" s="76">
        <v>17</v>
      </c>
      <c r="J101" s="96">
        <f>3+3+1+4+1+3+2</f>
        <v>17</v>
      </c>
      <c r="K101" s="77">
        <f>504.26+845.24+3380.96+422.62+2535.72+6256.62+883.08</f>
        <v>14828.499999999998</v>
      </c>
      <c r="L101" s="77">
        <f>504.26+845.24+3380.96+422.62+2535.72+6256.62</f>
        <v>13945.419999999998</v>
      </c>
      <c r="M101" s="78">
        <f>K101-L101</f>
        <v>883.07999999999993</v>
      </c>
      <c r="N101" s="100">
        <f>5+1+1+2+1</f>
        <v>10</v>
      </c>
      <c r="O101" s="81">
        <f>2617.36+422.62+3852.18+3380.96+422.62</f>
        <v>10695.74</v>
      </c>
      <c r="P101" s="81">
        <f>2617.36+422.62+3852.18+3380.96+422.62</f>
        <v>10695.74</v>
      </c>
      <c r="Q101" s="232">
        <f t="shared" si="3"/>
        <v>0</v>
      </c>
      <c r="R101" s="141"/>
    </row>
    <row r="102" spans="1:19" s="13" customFormat="1" x14ac:dyDescent="0.25">
      <c r="A102" s="229"/>
      <c r="B102" s="62" t="s">
        <v>137</v>
      </c>
      <c r="C102" s="181" t="s">
        <v>17</v>
      </c>
      <c r="D102" s="182"/>
      <c r="E102" s="194" t="s">
        <v>35</v>
      </c>
      <c r="F102" s="73" t="s">
        <v>429</v>
      </c>
      <c r="G102" s="230" t="s">
        <v>117</v>
      </c>
      <c r="H102" s="181">
        <v>9</v>
      </c>
      <c r="I102" s="231">
        <v>1</v>
      </c>
      <c r="J102" s="190">
        <v>1</v>
      </c>
      <c r="K102" s="193">
        <v>1921</v>
      </c>
      <c r="L102" s="193">
        <v>1921</v>
      </c>
      <c r="M102" s="78">
        <f t="shared" si="4"/>
        <v>0</v>
      </c>
      <c r="N102" s="114">
        <v>2</v>
      </c>
      <c r="O102" s="224">
        <v>10565.5</v>
      </c>
      <c r="P102" s="224">
        <v>10565.5</v>
      </c>
      <c r="Q102" s="79">
        <f t="shared" si="3"/>
        <v>0</v>
      </c>
    </row>
    <row r="103" spans="1:19" s="13" customFormat="1" x14ac:dyDescent="0.25">
      <c r="A103" s="229"/>
      <c r="B103" s="30" t="s">
        <v>67</v>
      </c>
      <c r="C103" s="181" t="s">
        <v>17</v>
      </c>
      <c r="D103" s="182"/>
      <c r="E103" s="194" t="s">
        <v>21</v>
      </c>
      <c r="F103" s="73" t="s">
        <v>370</v>
      </c>
      <c r="G103" s="74" t="s">
        <v>112</v>
      </c>
      <c r="H103" s="75">
        <v>29</v>
      </c>
      <c r="I103" s="76">
        <v>20</v>
      </c>
      <c r="J103" s="96">
        <f>2+1+1+2+1+1+2+2+1+2+5+5+2</f>
        <v>27</v>
      </c>
      <c r="K103" s="77">
        <f>3319.85+1198.9+864.45+7235.32+1947.89+5377.75+8701.73+3581.7+8737.54+7647.65</f>
        <v>48612.780000000006</v>
      </c>
      <c r="L103" s="77">
        <f>3319.85+1198.9+864.45+7235.32+1947.89+5377.75+8701.73+3581.7+8737.54+7647.65</f>
        <v>48612.780000000006</v>
      </c>
      <c r="M103" s="78">
        <f>K103-L103</f>
        <v>0</v>
      </c>
      <c r="N103" s="100">
        <f>4+9+4+4+1+3+1+3+1+1+1+1+1+1</f>
        <v>35</v>
      </c>
      <c r="O103" s="81">
        <f>29696.65+38129.03+13567.9+20687.05+2022.79+8145.77+17250.05+1233.28+5568.04+11106.62</f>
        <v>147407.18</v>
      </c>
      <c r="P103" s="81">
        <f>29696.65+38129.03+13567.9+20687.05+2022.79+8145.77+17250.05+1233.28+5568.04+11106.62</f>
        <v>147407.18</v>
      </c>
      <c r="Q103" s="232">
        <f t="shared" si="3"/>
        <v>0</v>
      </c>
      <c r="R103" s="141"/>
    </row>
    <row r="104" spans="1:19" s="13" customFormat="1" x14ac:dyDescent="0.25">
      <c r="A104" s="229"/>
      <c r="B104" s="30" t="s">
        <v>67</v>
      </c>
      <c r="C104" s="181" t="s">
        <v>17</v>
      </c>
      <c r="D104" s="182"/>
      <c r="E104" s="194" t="s">
        <v>21</v>
      </c>
      <c r="F104" s="73" t="s">
        <v>440</v>
      </c>
      <c r="G104" s="230" t="s">
        <v>118</v>
      </c>
      <c r="H104" s="181">
        <v>15</v>
      </c>
      <c r="I104" s="231">
        <v>2</v>
      </c>
      <c r="J104" s="96">
        <v>2</v>
      </c>
      <c r="K104" s="77">
        <v>5282.54</v>
      </c>
      <c r="L104" s="77">
        <v>5282.54</v>
      </c>
      <c r="M104" s="78">
        <f t="shared" si="4"/>
        <v>0</v>
      </c>
      <c r="N104" s="100">
        <v>20</v>
      </c>
      <c r="O104" s="224">
        <v>66027.179999999993</v>
      </c>
      <c r="P104" s="224">
        <v>66027.179999999993</v>
      </c>
      <c r="Q104" s="79">
        <f t="shared" si="3"/>
        <v>0</v>
      </c>
    </row>
    <row r="105" spans="1:19" s="13" customFormat="1" x14ac:dyDescent="0.25">
      <c r="A105" s="229"/>
      <c r="B105" s="30" t="s">
        <v>68</v>
      </c>
      <c r="C105" s="181" t="s">
        <v>17</v>
      </c>
      <c r="D105" s="182"/>
      <c r="E105" s="194" t="s">
        <v>32</v>
      </c>
      <c r="F105" s="73" t="s">
        <v>371</v>
      </c>
      <c r="G105" s="74" t="s">
        <v>112</v>
      </c>
      <c r="H105" s="75">
        <v>19</v>
      </c>
      <c r="I105" s="76">
        <v>16</v>
      </c>
      <c r="J105" s="96">
        <f>2+1+2+5+5+3+1+2</f>
        <v>21</v>
      </c>
      <c r="K105" s="77">
        <f>1128.59+422.62+1152.6+4557.81+10981.59+5362.88+4996.85+4352.15+3073.96+3697.9</f>
        <v>39726.950000000004</v>
      </c>
      <c r="L105" s="77">
        <f>1128.59+422.62+1152.6+4557.81+10981.59+5362.88+4996.85+4352.15+3073.96</f>
        <v>36029.050000000003</v>
      </c>
      <c r="M105" s="78">
        <f>K105-L105</f>
        <v>3697.9000000000015</v>
      </c>
      <c r="N105" s="100">
        <f>6+5+1+4+2+2+1</f>
        <v>21</v>
      </c>
      <c r="O105" s="81">
        <f>7813.73+8523.5+1452.28+12582.19+18077.76+4987.46+2373.79</f>
        <v>55810.709999999992</v>
      </c>
      <c r="P105" s="81">
        <f>7813.73+8523.5+1452.28+12582.19+18077.76+4987.46+2373.79</f>
        <v>55810.709999999992</v>
      </c>
      <c r="Q105" s="232">
        <f t="shared" si="3"/>
        <v>0</v>
      </c>
      <c r="R105" s="141"/>
    </row>
    <row r="106" spans="1:19" s="13" customFormat="1" x14ac:dyDescent="0.25">
      <c r="A106" s="229"/>
      <c r="B106" s="30" t="s">
        <v>68</v>
      </c>
      <c r="C106" s="181" t="s">
        <v>17</v>
      </c>
      <c r="D106" s="182"/>
      <c r="E106" s="194" t="s">
        <v>32</v>
      </c>
      <c r="F106" s="73" t="s">
        <v>430</v>
      </c>
      <c r="G106" s="235" t="s">
        <v>117</v>
      </c>
      <c r="H106" s="181">
        <v>3</v>
      </c>
      <c r="I106" s="231"/>
      <c r="J106" s="96"/>
      <c r="K106" s="77"/>
      <c r="L106" s="77"/>
      <c r="M106" s="78">
        <f t="shared" si="4"/>
        <v>0</v>
      </c>
      <c r="N106" s="100"/>
      <c r="O106" s="77"/>
      <c r="P106" s="77"/>
      <c r="Q106" s="79">
        <f t="shared" si="3"/>
        <v>0</v>
      </c>
    </row>
    <row r="107" spans="1:19" s="15" customFormat="1" x14ac:dyDescent="0.25">
      <c r="A107" s="229"/>
      <c r="B107" s="27" t="s">
        <v>69</v>
      </c>
      <c r="C107" s="181" t="s">
        <v>17</v>
      </c>
      <c r="D107" s="182"/>
      <c r="E107" s="183" t="s">
        <v>20</v>
      </c>
      <c r="F107" s="73" t="s">
        <v>372</v>
      </c>
      <c r="G107" s="74" t="s">
        <v>112</v>
      </c>
      <c r="H107" s="75">
        <v>7</v>
      </c>
      <c r="I107" s="76">
        <v>3</v>
      </c>
      <c r="J107" s="96">
        <f>1+1+1+1+3</f>
        <v>7</v>
      </c>
      <c r="K107" s="77">
        <f>422.62+17390.69+3114.71+475.45+2326.92</f>
        <v>23730.39</v>
      </c>
      <c r="L107" s="77">
        <f>422.62+17390.69+3114.71+475.45+2326.92</f>
        <v>23730.39</v>
      </c>
      <c r="M107" s="78">
        <f t="shared" si="4"/>
        <v>0</v>
      </c>
      <c r="N107" s="100">
        <f>3+2+1+1+1+1</f>
        <v>9</v>
      </c>
      <c r="O107" s="77">
        <f>7210.31+3647.96+1306.28+1267.86+2697.06</f>
        <v>16129.470000000001</v>
      </c>
      <c r="P107" s="77">
        <f>7210.31+3647.96+1306.28+1267.86+2697.06</f>
        <v>16129.470000000001</v>
      </c>
      <c r="Q107" s="232">
        <f t="shared" si="3"/>
        <v>0</v>
      </c>
      <c r="R107" s="141"/>
    </row>
    <row r="108" spans="1:19" s="15" customFormat="1" x14ac:dyDescent="0.25">
      <c r="A108" s="229"/>
      <c r="B108" s="236" t="s">
        <v>502</v>
      </c>
      <c r="C108" s="181"/>
      <c r="D108" s="182"/>
      <c r="E108" s="183"/>
      <c r="F108" s="73" t="s">
        <v>508</v>
      </c>
      <c r="G108" s="74" t="s">
        <v>112</v>
      </c>
      <c r="H108" s="75">
        <v>12</v>
      </c>
      <c r="I108" s="76">
        <v>5</v>
      </c>
      <c r="J108" s="96">
        <f>4+1</f>
        <v>5</v>
      </c>
      <c r="K108" s="77">
        <f>6145.3+993.47</f>
        <v>7138.77</v>
      </c>
      <c r="L108" s="77">
        <f>6145.3+993.47</f>
        <v>7138.77</v>
      </c>
      <c r="M108" s="78">
        <f t="shared" si="4"/>
        <v>0</v>
      </c>
      <c r="N108" s="100"/>
      <c r="O108" s="77"/>
      <c r="P108" s="77"/>
      <c r="Q108" s="232">
        <f t="shared" si="3"/>
        <v>0</v>
      </c>
      <c r="R108" s="141"/>
    </row>
    <row r="109" spans="1:19" s="15" customFormat="1" x14ac:dyDescent="0.25">
      <c r="A109" s="229"/>
      <c r="B109" s="236" t="s">
        <v>502</v>
      </c>
      <c r="C109" s="181"/>
      <c r="D109" s="182"/>
      <c r="E109" s="183"/>
      <c r="F109" s="73" t="s">
        <v>511</v>
      </c>
      <c r="G109" s="235" t="s">
        <v>117</v>
      </c>
      <c r="H109" s="75">
        <v>4</v>
      </c>
      <c r="I109" s="76"/>
      <c r="J109" s="96"/>
      <c r="K109" s="77"/>
      <c r="L109" s="77"/>
      <c r="M109" s="78">
        <f t="shared" si="4"/>
        <v>0</v>
      </c>
      <c r="N109" s="100"/>
      <c r="O109" s="77"/>
      <c r="P109" s="77"/>
      <c r="Q109" s="232">
        <f t="shared" si="3"/>
        <v>0</v>
      </c>
      <c r="R109" s="141"/>
    </row>
    <row r="110" spans="1:19" s="13" customFormat="1" x14ac:dyDescent="0.25">
      <c r="A110" s="229"/>
      <c r="B110" s="62" t="s">
        <v>70</v>
      </c>
      <c r="C110" s="181" t="s">
        <v>17</v>
      </c>
      <c r="D110" s="182"/>
      <c r="E110" s="183" t="s">
        <v>20</v>
      </c>
      <c r="F110" s="73" t="s">
        <v>373</v>
      </c>
      <c r="G110" s="74" t="s">
        <v>112</v>
      </c>
      <c r="H110" s="75">
        <v>15</v>
      </c>
      <c r="I110" s="76">
        <v>9</v>
      </c>
      <c r="J110" s="96">
        <f>2+2+2+3+1+2</f>
        <v>12</v>
      </c>
      <c r="K110" s="77">
        <f>19498+3011.17+8156.45</f>
        <v>30665.62</v>
      </c>
      <c r="L110" s="77">
        <f>19498+3011.17+8156.45</f>
        <v>30665.62</v>
      </c>
      <c r="M110" s="78">
        <f>K110-L110</f>
        <v>0</v>
      </c>
      <c r="N110" s="100">
        <f>2+3+4+2+1</f>
        <v>12</v>
      </c>
      <c r="O110" s="81">
        <f>7606.2+16795.84+3492.18</f>
        <v>27894.22</v>
      </c>
      <c r="P110" s="81">
        <f>7606.2+16795.84</f>
        <v>24402.04</v>
      </c>
      <c r="Q110" s="79">
        <f t="shared" si="3"/>
        <v>3492.1800000000003</v>
      </c>
      <c r="R110" s="141"/>
    </row>
    <row r="111" spans="1:19" s="13" customFormat="1" x14ac:dyDescent="0.25">
      <c r="A111" s="229"/>
      <c r="B111" s="62" t="s">
        <v>70</v>
      </c>
      <c r="C111" s="181" t="s">
        <v>17</v>
      </c>
      <c r="D111" s="182"/>
      <c r="E111" s="183" t="s">
        <v>20</v>
      </c>
      <c r="F111" s="73" t="s">
        <v>460</v>
      </c>
      <c r="G111" s="230" t="s">
        <v>114</v>
      </c>
      <c r="H111" s="181">
        <v>32</v>
      </c>
      <c r="I111" s="231">
        <v>11</v>
      </c>
      <c r="J111" s="190">
        <v>11</v>
      </c>
      <c r="K111" s="77">
        <v>30417.34</v>
      </c>
      <c r="L111" s="77">
        <v>15164.14</v>
      </c>
      <c r="M111" s="187">
        <f t="shared" ref="M111" si="6">K111-L111</f>
        <v>15253.2</v>
      </c>
      <c r="N111" s="100">
        <v>31</v>
      </c>
      <c r="O111" s="224">
        <v>75536.87</v>
      </c>
      <c r="P111" s="224">
        <v>72927.77</v>
      </c>
      <c r="Q111" s="232">
        <f t="shared" si="3"/>
        <v>2609.0999999999913</v>
      </c>
    </row>
    <row r="112" spans="1:19" s="15" customFormat="1" x14ac:dyDescent="0.25">
      <c r="A112" s="229"/>
      <c r="B112" s="62" t="s">
        <v>71</v>
      </c>
      <c r="C112" s="181" t="s">
        <v>17</v>
      </c>
      <c r="D112" s="182"/>
      <c r="E112" s="183" t="s">
        <v>32</v>
      </c>
      <c r="F112" s="73" t="s">
        <v>374</v>
      </c>
      <c r="G112" s="74" t="s">
        <v>112</v>
      </c>
      <c r="H112" s="75">
        <v>19</v>
      </c>
      <c r="I112" s="76">
        <v>13</v>
      </c>
      <c r="J112" s="96">
        <f>3+1+2+1+1+3+3</f>
        <v>14</v>
      </c>
      <c r="K112" s="77">
        <f>1536.8+461.04+1748.88+633.93+3169.65+2435.83+3203.17</f>
        <v>13189.300000000001</v>
      </c>
      <c r="L112" s="77">
        <f>1536.8+461.04+1748.88+633.93+3169.65+2435.83</f>
        <v>9986.130000000001</v>
      </c>
      <c r="M112" s="78">
        <f>K112-L112</f>
        <v>3203.17</v>
      </c>
      <c r="N112" s="100">
        <f>3+2+1+1+2+1</f>
        <v>10</v>
      </c>
      <c r="O112" s="81">
        <f>9567.93+3616.67+403.41+14275.52+10922.18+12907.41</f>
        <v>51693.119999999995</v>
      </c>
      <c r="P112" s="81">
        <f>9567.93+3616.67+403.41+14275.52+10922.18+12907.41</f>
        <v>51693.119999999995</v>
      </c>
      <c r="Q112" s="79">
        <f t="shared" si="3"/>
        <v>0</v>
      </c>
      <c r="R112" s="141"/>
      <c r="S112" s="36"/>
    </row>
    <row r="113" spans="1:18" s="15" customFormat="1" x14ac:dyDescent="0.25">
      <c r="A113" s="229"/>
      <c r="B113" s="62" t="s">
        <v>71</v>
      </c>
      <c r="C113" s="181" t="s">
        <v>17</v>
      </c>
      <c r="D113" s="182"/>
      <c r="E113" s="183" t="s">
        <v>32</v>
      </c>
      <c r="F113" s="73" t="s">
        <v>431</v>
      </c>
      <c r="G113" s="230" t="s">
        <v>115</v>
      </c>
      <c r="H113" s="181">
        <v>7</v>
      </c>
      <c r="I113" s="231">
        <v>4</v>
      </c>
      <c r="J113" s="96">
        <v>4</v>
      </c>
      <c r="K113" s="237">
        <v>6627.45</v>
      </c>
      <c r="L113" s="237">
        <v>6627.45</v>
      </c>
      <c r="M113" s="187">
        <f t="shared" si="4"/>
        <v>0</v>
      </c>
      <c r="N113" s="114">
        <f>5</f>
        <v>5</v>
      </c>
      <c r="O113" s="77">
        <v>6595.5</v>
      </c>
      <c r="P113" s="77">
        <v>6595.5</v>
      </c>
      <c r="Q113" s="232">
        <f t="shared" si="3"/>
        <v>0</v>
      </c>
    </row>
    <row r="114" spans="1:18" s="13" customFormat="1" x14ac:dyDescent="0.25">
      <c r="A114" s="229"/>
      <c r="B114" s="62" t="s">
        <v>319</v>
      </c>
      <c r="C114" s="181" t="s">
        <v>17</v>
      </c>
      <c r="D114" s="182"/>
      <c r="E114" s="183" t="s">
        <v>20</v>
      </c>
      <c r="F114" s="73" t="s">
        <v>375</v>
      </c>
      <c r="G114" s="74" t="s">
        <v>112</v>
      </c>
      <c r="H114" s="75">
        <v>30</v>
      </c>
      <c r="I114" s="76">
        <v>24</v>
      </c>
      <c r="J114" s="96">
        <f>2+1+4+3+6+2+7+1+2</f>
        <v>28</v>
      </c>
      <c r="K114" s="77">
        <f>710.77+1523.35+6753.23+7215.52+1437.48+28056.52+6091.99+2561.63+3510.24</f>
        <v>57860.729999999989</v>
      </c>
      <c r="L114" s="77">
        <f>710.77+1523.35+6753.23+7215.52+1437.48+28056.52+6091.99+2561.63</f>
        <v>54350.489999999991</v>
      </c>
      <c r="M114" s="78">
        <f t="shared" si="4"/>
        <v>3510.239999999998</v>
      </c>
      <c r="N114" s="100">
        <f>3+1+2+1+2</f>
        <v>9</v>
      </c>
      <c r="O114" s="77">
        <f>13419.94+726.71+2846.77+3770.56+4653.31</f>
        <v>25417.290000000005</v>
      </c>
      <c r="P114" s="77">
        <f>13419.94+726.71+2846.77+3770.56+4653.31</f>
        <v>25417.290000000005</v>
      </c>
      <c r="Q114" s="79">
        <f>O114-P114</f>
        <v>0</v>
      </c>
      <c r="R114" s="141"/>
    </row>
    <row r="115" spans="1:18" s="15" customFormat="1" x14ac:dyDescent="0.25">
      <c r="A115" s="229"/>
      <c r="B115" s="62" t="s">
        <v>150</v>
      </c>
      <c r="C115" s="181" t="s">
        <v>17</v>
      </c>
      <c r="D115" s="182"/>
      <c r="E115" s="183" t="s">
        <v>35</v>
      </c>
      <c r="F115" s="73" t="s">
        <v>376</v>
      </c>
      <c r="G115" s="74" t="s">
        <v>112</v>
      </c>
      <c r="H115" s="75">
        <v>29</v>
      </c>
      <c r="I115" s="76">
        <v>11</v>
      </c>
      <c r="J115" s="96">
        <f>1+1+2+2+1+3+1</f>
        <v>11</v>
      </c>
      <c r="K115" s="77">
        <f>1343.65+384.2+1690.4+4889.84+2417.43+2791.74</f>
        <v>13517.26</v>
      </c>
      <c r="L115" s="77">
        <f>1343.65+384.2+1690.4+4889.84</f>
        <v>8308.09</v>
      </c>
      <c r="M115" s="78">
        <f t="shared" si="4"/>
        <v>5209.17</v>
      </c>
      <c r="N115" s="114">
        <f>8+1+1+2+3+1+1+1</f>
        <v>18</v>
      </c>
      <c r="O115" s="77">
        <f>5997.32+3719.39+3054.34+13138.17+6578.46+6198.68</f>
        <v>38686.36</v>
      </c>
      <c r="P115" s="77">
        <f>5997.32+3719.39+3054.34+13138.17+6578.46+6198.68</f>
        <v>38686.36</v>
      </c>
      <c r="Q115" s="79">
        <f t="shared" si="3"/>
        <v>0</v>
      </c>
      <c r="R115" s="141"/>
    </row>
    <row r="116" spans="1:18" s="15" customFormat="1" x14ac:dyDescent="0.25">
      <c r="A116" s="229"/>
      <c r="B116" s="233" t="s">
        <v>150</v>
      </c>
      <c r="C116" s="181" t="s">
        <v>17</v>
      </c>
      <c r="D116" s="182"/>
      <c r="E116" s="183" t="s">
        <v>32</v>
      </c>
      <c r="F116" s="73" t="s">
        <v>487</v>
      </c>
      <c r="G116" s="230" t="s">
        <v>117</v>
      </c>
      <c r="H116" s="181">
        <v>4</v>
      </c>
      <c r="I116" s="231">
        <v>4</v>
      </c>
      <c r="J116" s="96">
        <v>4</v>
      </c>
      <c r="K116" s="77">
        <v>12443.4</v>
      </c>
      <c r="L116" s="77">
        <v>12443.4</v>
      </c>
      <c r="M116" s="187">
        <f t="shared" si="4"/>
        <v>0</v>
      </c>
      <c r="N116" s="100">
        <v>3</v>
      </c>
      <c r="O116" s="77">
        <v>9645.1</v>
      </c>
      <c r="P116" s="77">
        <v>9645.1</v>
      </c>
      <c r="Q116" s="232">
        <f t="shared" si="3"/>
        <v>0</v>
      </c>
    </row>
    <row r="117" spans="1:18" s="13" customFormat="1" x14ac:dyDescent="0.25">
      <c r="A117" s="229"/>
      <c r="B117" s="30" t="s">
        <v>72</v>
      </c>
      <c r="C117" s="181" t="s">
        <v>17</v>
      </c>
      <c r="D117" s="182"/>
      <c r="E117" s="183" t="s">
        <v>21</v>
      </c>
      <c r="F117" s="73" t="s">
        <v>377</v>
      </c>
      <c r="G117" s="74" t="s">
        <v>112</v>
      </c>
      <c r="H117" s="75">
        <v>22</v>
      </c>
      <c r="I117" s="76">
        <v>10</v>
      </c>
      <c r="J117" s="96">
        <f>1+1+1+1+6+2+1+2</f>
        <v>15</v>
      </c>
      <c r="K117" s="77">
        <f>633.93+1415.78+1610.18+1394.65+18140.86+2440.63+4140.81</f>
        <v>29776.840000000004</v>
      </c>
      <c r="L117" s="77">
        <f>633.93+1415.78+1610.18+1394.65+18140.86+2440.63+4140.81</f>
        <v>29776.840000000004</v>
      </c>
      <c r="M117" s="78">
        <f>K117-L117</f>
        <v>0</v>
      </c>
      <c r="N117" s="100">
        <f>1+3+1+1+1+3+1+3+1+1</f>
        <v>16</v>
      </c>
      <c r="O117" s="81">
        <f>1950.74+10237.13+6595.95+3861.21+1348.53+10328.94+50451.86-19567+15859.78</f>
        <v>81067.14</v>
      </c>
      <c r="P117" s="81">
        <f>1950.74+10237.13+6595.95+3861.21+1348.53+10328.94+50451.86-19567+15859.78</f>
        <v>81067.14</v>
      </c>
      <c r="Q117" s="79">
        <f t="shared" si="3"/>
        <v>0</v>
      </c>
      <c r="R117" s="141"/>
    </row>
    <row r="118" spans="1:18" s="13" customFormat="1" x14ac:dyDescent="0.25">
      <c r="A118" s="229"/>
      <c r="B118" s="30" t="s">
        <v>72</v>
      </c>
      <c r="C118" s="181" t="s">
        <v>17</v>
      </c>
      <c r="D118" s="182"/>
      <c r="E118" s="183" t="s">
        <v>21</v>
      </c>
      <c r="F118" s="73" t="s">
        <v>441</v>
      </c>
      <c r="G118" s="230" t="s">
        <v>118</v>
      </c>
      <c r="H118" s="181">
        <v>7</v>
      </c>
      <c r="I118" s="231">
        <v>1</v>
      </c>
      <c r="J118" s="96">
        <v>1</v>
      </c>
      <c r="K118" s="77">
        <v>1728.9</v>
      </c>
      <c r="L118" s="77">
        <v>1728.9</v>
      </c>
      <c r="M118" s="187">
        <f t="shared" si="4"/>
        <v>0</v>
      </c>
      <c r="N118" s="100">
        <v>15</v>
      </c>
      <c r="O118" s="224">
        <v>46633.58</v>
      </c>
      <c r="P118" s="224">
        <v>46633.58</v>
      </c>
      <c r="Q118" s="232">
        <f t="shared" si="3"/>
        <v>0</v>
      </c>
    </row>
    <row r="119" spans="1:18" s="15" customFormat="1" x14ac:dyDescent="0.25">
      <c r="A119" s="229"/>
      <c r="B119" s="30" t="s">
        <v>73</v>
      </c>
      <c r="C119" s="181" t="s">
        <v>17</v>
      </c>
      <c r="D119" s="182"/>
      <c r="E119" s="183" t="s">
        <v>74</v>
      </c>
      <c r="F119" s="73" t="s">
        <v>378</v>
      </c>
      <c r="G119" s="74" t="s">
        <v>112</v>
      </c>
      <c r="H119" s="75">
        <v>31</v>
      </c>
      <c r="I119" s="76">
        <v>27</v>
      </c>
      <c r="J119" s="96">
        <f>9+8+2+2+10+1+6</f>
        <v>38</v>
      </c>
      <c r="K119" s="77">
        <f>6305.33+12574.83+14899.84+13657.06+15923.24</f>
        <v>63360.299999999996</v>
      </c>
      <c r="L119" s="77">
        <f>6305.33+12574.83+14899.84+13657.06+15923.24</f>
        <v>63360.299999999996</v>
      </c>
      <c r="M119" s="78">
        <f>K119-L119</f>
        <v>0</v>
      </c>
      <c r="N119" s="100">
        <f>5+3+3+1+1+2</f>
        <v>15</v>
      </c>
      <c r="O119" s="81">
        <f>5416.39+9506.99+12269.39+7610.68+1928.68</f>
        <v>36732.129999999997</v>
      </c>
      <c r="P119" s="81">
        <f>5416.39+9506.99+12269.39+7610.68+1928.68</f>
        <v>36732.129999999997</v>
      </c>
      <c r="Q119" s="79">
        <f t="shared" si="3"/>
        <v>0</v>
      </c>
      <c r="R119" s="141"/>
    </row>
    <row r="120" spans="1:18" s="15" customFormat="1" x14ac:dyDescent="0.25">
      <c r="A120" s="229"/>
      <c r="B120" s="30" t="s">
        <v>73</v>
      </c>
      <c r="C120" s="181" t="s">
        <v>17</v>
      </c>
      <c r="D120" s="182"/>
      <c r="E120" s="183" t="s">
        <v>74</v>
      </c>
      <c r="F120" s="73" t="s">
        <v>282</v>
      </c>
      <c r="G120" s="230" t="s">
        <v>114</v>
      </c>
      <c r="H120" s="181"/>
      <c r="I120" s="231"/>
      <c r="J120" s="190"/>
      <c r="K120" s="77"/>
      <c r="L120" s="77"/>
      <c r="M120" s="187">
        <f t="shared" ref="M120" si="7">K120-L120</f>
        <v>0</v>
      </c>
      <c r="N120" s="100">
        <v>1</v>
      </c>
      <c r="O120" s="224">
        <v>1728.9</v>
      </c>
      <c r="P120" s="224">
        <v>1728.9</v>
      </c>
      <c r="Q120" s="232">
        <f t="shared" si="3"/>
        <v>0</v>
      </c>
    </row>
    <row r="121" spans="1:18" s="13" customFormat="1" x14ac:dyDescent="0.25">
      <c r="A121" s="229"/>
      <c r="B121" s="30" t="s">
        <v>135</v>
      </c>
      <c r="C121" s="181" t="s">
        <v>17</v>
      </c>
      <c r="D121" s="182"/>
      <c r="E121" s="194" t="s">
        <v>35</v>
      </c>
      <c r="F121" s="73" t="s">
        <v>379</v>
      </c>
      <c r="G121" s="74" t="s">
        <v>112</v>
      </c>
      <c r="H121" s="75">
        <v>31</v>
      </c>
      <c r="I121" s="76">
        <v>22</v>
      </c>
      <c r="J121" s="96">
        <f>1+6+5+3+3+5</f>
        <v>23</v>
      </c>
      <c r="K121" s="77">
        <f>697.32+4374.12+5747.44+4426.94+15712.05</f>
        <v>30957.87</v>
      </c>
      <c r="L121" s="77">
        <f>697.32+4374.12+5747.44+4426.94+15712.05</f>
        <v>30957.87</v>
      </c>
      <c r="M121" s="78">
        <f>K121-L121</f>
        <v>0</v>
      </c>
      <c r="N121" s="100">
        <f>2+5+1+2+2+2</f>
        <v>14</v>
      </c>
      <c r="O121" s="81">
        <f>6432.89+2283.68+4932.13</f>
        <v>13648.7</v>
      </c>
      <c r="P121" s="81">
        <f>6432.89+2283.68+4932.13</f>
        <v>13648.7</v>
      </c>
      <c r="Q121" s="232">
        <f t="shared" si="3"/>
        <v>0</v>
      </c>
      <c r="R121" s="141"/>
    </row>
    <row r="122" spans="1:18" s="13" customFormat="1" x14ac:dyDescent="0.25">
      <c r="A122" s="229"/>
      <c r="B122" s="30" t="s">
        <v>135</v>
      </c>
      <c r="C122" s="181" t="s">
        <v>17</v>
      </c>
      <c r="D122" s="182"/>
      <c r="E122" s="194" t="s">
        <v>35</v>
      </c>
      <c r="F122" s="73" t="s">
        <v>432</v>
      </c>
      <c r="G122" s="230" t="s">
        <v>115</v>
      </c>
      <c r="H122" s="181">
        <v>2</v>
      </c>
      <c r="I122" s="231"/>
      <c r="J122" s="96"/>
      <c r="K122" s="77"/>
      <c r="L122" s="77"/>
      <c r="M122" s="78">
        <f t="shared" si="4"/>
        <v>0</v>
      </c>
      <c r="N122" s="100">
        <v>1</v>
      </c>
      <c r="O122" s="224">
        <v>2689.4</v>
      </c>
      <c r="P122" s="224">
        <v>2689.4</v>
      </c>
      <c r="Q122" s="79">
        <f t="shared" si="3"/>
        <v>0</v>
      </c>
    </row>
    <row r="123" spans="1:18" s="13" customFormat="1" x14ac:dyDescent="0.25">
      <c r="A123" s="229"/>
      <c r="B123" s="30" t="s">
        <v>145</v>
      </c>
      <c r="C123" s="181" t="s">
        <v>17</v>
      </c>
      <c r="D123" s="182"/>
      <c r="E123" s="194" t="s">
        <v>20</v>
      </c>
      <c r="F123" s="73" t="s">
        <v>380</v>
      </c>
      <c r="G123" s="74" t="s">
        <v>112</v>
      </c>
      <c r="H123" s="75">
        <v>14</v>
      </c>
      <c r="I123" s="82">
        <v>12</v>
      </c>
      <c r="J123" s="96">
        <f>2+1+1+2+2+5+3+2</f>
        <v>18</v>
      </c>
      <c r="K123" s="77">
        <f>5169.72+1100+538.84+4293.82+3949.22+3361.76+5643.1+4037.33</f>
        <v>28093.79</v>
      </c>
      <c r="L123" s="77">
        <f>5169.72+1100+538.84+4293.82+3949.22+3361.76+5643.1</f>
        <v>24056.46</v>
      </c>
      <c r="M123" s="78">
        <f>K123-L123</f>
        <v>4037.3300000000017</v>
      </c>
      <c r="N123" s="100">
        <f>1+1+2+1+2</f>
        <v>7</v>
      </c>
      <c r="O123" s="81">
        <f>5120.23+3915.15+1114.12+14002.49</f>
        <v>24151.989999999998</v>
      </c>
      <c r="P123" s="81">
        <f>5120.23+3915.15+1114.12+14002.49</f>
        <v>24151.989999999998</v>
      </c>
      <c r="Q123" s="232">
        <f t="shared" si="3"/>
        <v>0</v>
      </c>
      <c r="R123" s="141"/>
    </row>
    <row r="124" spans="1:18" s="13" customFormat="1" x14ac:dyDescent="0.25">
      <c r="A124" s="229"/>
      <c r="B124" s="30" t="s">
        <v>145</v>
      </c>
      <c r="C124" s="181" t="s">
        <v>17</v>
      </c>
      <c r="D124" s="182"/>
      <c r="E124" s="194" t="s">
        <v>20</v>
      </c>
      <c r="F124" s="73" t="s">
        <v>461</v>
      </c>
      <c r="G124" s="230" t="s">
        <v>114</v>
      </c>
      <c r="H124" s="181">
        <v>5</v>
      </c>
      <c r="I124" s="231">
        <v>1</v>
      </c>
      <c r="J124" s="190">
        <v>1</v>
      </c>
      <c r="K124" s="77">
        <v>1921</v>
      </c>
      <c r="L124" s="77">
        <v>1921</v>
      </c>
      <c r="M124" s="187">
        <f t="shared" ref="M124" si="8">K124-L124</f>
        <v>0</v>
      </c>
      <c r="N124" s="100">
        <v>10</v>
      </c>
      <c r="O124" s="224">
        <v>22933.25</v>
      </c>
      <c r="P124" s="224">
        <v>22933.25</v>
      </c>
      <c r="Q124" s="232">
        <f t="shared" si="3"/>
        <v>0</v>
      </c>
    </row>
    <row r="125" spans="1:18" s="13" customFormat="1" x14ac:dyDescent="0.25">
      <c r="A125" s="229"/>
      <c r="B125" s="62" t="s">
        <v>76</v>
      </c>
      <c r="C125" s="181" t="s">
        <v>17</v>
      </c>
      <c r="D125" s="182"/>
      <c r="E125" s="183" t="s">
        <v>20</v>
      </c>
      <c r="F125" s="73" t="s">
        <v>381</v>
      </c>
      <c r="G125" s="74" t="s">
        <v>112</v>
      </c>
      <c r="H125" s="75">
        <v>22</v>
      </c>
      <c r="I125" s="76">
        <v>17</v>
      </c>
      <c r="J125" s="96">
        <f>1+6+3+1+3+1+2+2+2+1</f>
        <v>22</v>
      </c>
      <c r="K125" s="77">
        <f>6556.06+2806.39+2697.06+1267.86+11775.51+1557.35+2113.1+4117.36</f>
        <v>32890.689999999995</v>
      </c>
      <c r="L125" s="77">
        <f>6556.06+2806.39+2697.06+1267.86+11775.51+1557.35+2113.1+4117.36</f>
        <v>32890.689999999995</v>
      </c>
      <c r="M125" s="78">
        <f>K125-L125</f>
        <v>0</v>
      </c>
      <c r="N125" s="100">
        <f>5+6+2+1+1+1+1</f>
        <v>17</v>
      </c>
      <c r="O125" s="81">
        <f>11527.9+19846.52+1011.91+9641+2451.87+10072.83+11307.66+2243.83+6181.56</f>
        <v>74285.08</v>
      </c>
      <c r="P125" s="81">
        <f>11527.9+19846.52+1011.91+9641+2451.87+10072.83+11307.66+2243.83+6181.56</f>
        <v>74285.08</v>
      </c>
      <c r="Q125" s="232">
        <f t="shared" si="3"/>
        <v>0</v>
      </c>
      <c r="R125" s="141"/>
    </row>
    <row r="126" spans="1:18" s="13" customFormat="1" x14ac:dyDescent="0.25">
      <c r="A126" s="229"/>
      <c r="B126" s="62" t="s">
        <v>76</v>
      </c>
      <c r="C126" s="181" t="s">
        <v>17</v>
      </c>
      <c r="D126" s="182"/>
      <c r="E126" s="183" t="s">
        <v>20</v>
      </c>
      <c r="F126" s="73" t="s">
        <v>462</v>
      </c>
      <c r="G126" s="230" t="s">
        <v>114</v>
      </c>
      <c r="H126" s="181">
        <v>13</v>
      </c>
      <c r="I126" s="231">
        <v>1</v>
      </c>
      <c r="J126" s="190">
        <v>1</v>
      </c>
      <c r="K126" s="77">
        <v>2113.1</v>
      </c>
      <c r="L126" s="77">
        <v>2113.1</v>
      </c>
      <c r="M126" s="187">
        <f t="shared" ref="M126" si="9">K126-L126</f>
        <v>0</v>
      </c>
      <c r="N126" s="100">
        <v>8</v>
      </c>
      <c r="O126" s="224">
        <v>27398.29</v>
      </c>
      <c r="P126" s="224">
        <v>27398.29</v>
      </c>
      <c r="Q126" s="232">
        <f t="shared" si="3"/>
        <v>0</v>
      </c>
    </row>
    <row r="127" spans="1:18" s="13" customFormat="1" x14ac:dyDescent="0.25">
      <c r="A127" s="229"/>
      <c r="B127" s="30" t="s">
        <v>77</v>
      </c>
      <c r="C127" s="181" t="s">
        <v>17</v>
      </c>
      <c r="D127" s="182"/>
      <c r="E127" s="183" t="s">
        <v>32</v>
      </c>
      <c r="F127" s="73" t="s">
        <v>388</v>
      </c>
      <c r="G127" s="74" t="s">
        <v>112</v>
      </c>
      <c r="H127" s="75">
        <v>18</v>
      </c>
      <c r="I127" s="76">
        <v>12</v>
      </c>
      <c r="J127" s="96">
        <f>2+2+2+6+1+1+1</f>
        <v>15</v>
      </c>
      <c r="K127" s="77">
        <f>2440.63+1507.02+2101.48+13625.7+1324.62+2083.47</f>
        <v>23082.920000000002</v>
      </c>
      <c r="L127" s="77">
        <f>2440.63+1507.02+2101.48+13625.7+1324.62</f>
        <v>20999.45</v>
      </c>
      <c r="M127" s="78">
        <f>K127-L127</f>
        <v>2083.4700000000012</v>
      </c>
      <c r="N127" s="100">
        <f>5+2+3+3+1+1</f>
        <v>15</v>
      </c>
      <c r="O127" s="81">
        <f>11716.73+6848.82+4046.18+11166.34+8845.95</f>
        <v>42624.020000000004</v>
      </c>
      <c r="P127" s="81">
        <f>11716.73+6848.82+4046.18+11166.34+8845.95</f>
        <v>42624.020000000004</v>
      </c>
      <c r="Q127" s="232">
        <f t="shared" si="3"/>
        <v>0</v>
      </c>
      <c r="R127" s="141"/>
    </row>
    <row r="128" spans="1:18" s="13" customFormat="1" x14ac:dyDescent="0.25">
      <c r="A128" s="229"/>
      <c r="B128" s="30" t="s">
        <v>77</v>
      </c>
      <c r="C128" s="181" t="s">
        <v>17</v>
      </c>
      <c r="D128" s="182"/>
      <c r="E128" s="183" t="s">
        <v>32</v>
      </c>
      <c r="F128" s="73" t="s">
        <v>433</v>
      </c>
      <c r="G128" s="230" t="s">
        <v>117</v>
      </c>
      <c r="H128" s="181">
        <v>2</v>
      </c>
      <c r="I128" s="231">
        <v>1</v>
      </c>
      <c r="J128" s="96">
        <v>1</v>
      </c>
      <c r="K128" s="77">
        <v>1921</v>
      </c>
      <c r="L128" s="77">
        <v>1921</v>
      </c>
      <c r="M128" s="78">
        <f t="shared" si="4"/>
        <v>0</v>
      </c>
      <c r="N128" s="100">
        <v>6</v>
      </c>
      <c r="O128" s="224">
        <v>18164.11</v>
      </c>
      <c r="P128" s="224">
        <v>18164.11</v>
      </c>
      <c r="Q128" s="79">
        <f t="shared" si="3"/>
        <v>0</v>
      </c>
    </row>
    <row r="129" spans="1:18" s="13" customFormat="1" x14ac:dyDescent="0.25">
      <c r="A129" s="229"/>
      <c r="B129" s="30" t="s">
        <v>321</v>
      </c>
      <c r="C129" s="181" t="s">
        <v>17</v>
      </c>
      <c r="D129" s="182"/>
      <c r="E129" s="183" t="s">
        <v>21</v>
      </c>
      <c r="F129" s="73" t="s">
        <v>489</v>
      </c>
      <c r="G129" s="230" t="s">
        <v>112</v>
      </c>
      <c r="H129" s="181">
        <v>6</v>
      </c>
      <c r="I129" s="231">
        <v>1</v>
      </c>
      <c r="J129" s="96">
        <f>1</f>
        <v>1</v>
      </c>
      <c r="K129" s="77">
        <f>2547.89</f>
        <v>2547.89</v>
      </c>
      <c r="L129" s="77">
        <f>2547.89</f>
        <v>2547.89</v>
      </c>
      <c r="M129" s="78">
        <f t="shared" si="4"/>
        <v>0</v>
      </c>
      <c r="N129" s="100"/>
      <c r="O129" s="224"/>
      <c r="P129" s="224"/>
      <c r="Q129" s="79">
        <f t="shared" si="3"/>
        <v>0</v>
      </c>
      <c r="R129" s="141"/>
    </row>
    <row r="130" spans="1:18" s="13" customFormat="1" ht="30" x14ac:dyDescent="0.25">
      <c r="A130" s="229"/>
      <c r="B130" s="62" t="s">
        <v>79</v>
      </c>
      <c r="C130" s="181" t="s">
        <v>304</v>
      </c>
      <c r="D130" s="182" t="s">
        <v>385</v>
      </c>
      <c r="E130" s="183" t="s">
        <v>18</v>
      </c>
      <c r="F130" s="73" t="s">
        <v>389</v>
      </c>
      <c r="G130" s="74" t="s">
        <v>112</v>
      </c>
      <c r="H130" s="75">
        <v>18</v>
      </c>
      <c r="I130" s="76">
        <v>12</v>
      </c>
      <c r="J130" s="96">
        <f>2+5+2+3+2+2</f>
        <v>16</v>
      </c>
      <c r="K130" s="77">
        <f>2091.97+3190.2+5703.08+6368.88+4029.68+4560.06</f>
        <v>25943.870000000003</v>
      </c>
      <c r="L130" s="77">
        <f>2091.97+3190.2+5703.08+6368.88+4029.68</f>
        <v>21383.81</v>
      </c>
      <c r="M130" s="78">
        <f t="shared" si="4"/>
        <v>4560.0600000000013</v>
      </c>
      <c r="N130" s="100">
        <f>2+2+1+2+1+1+3</f>
        <v>12</v>
      </c>
      <c r="O130" s="81">
        <f>1547.4+4166.12+7835.61+1675.01+4717.63+6039.62+18829.39+23135.63</f>
        <v>67946.41</v>
      </c>
      <c r="P130" s="81">
        <f>1547.4+4166.12+7835.61+1675.01+4717.63+6039.62+18829.39</f>
        <v>44810.78</v>
      </c>
      <c r="Q130" s="232">
        <f t="shared" si="3"/>
        <v>23135.630000000005</v>
      </c>
      <c r="R130" s="141"/>
    </row>
    <row r="131" spans="1:18" s="13" customFormat="1" ht="30" x14ac:dyDescent="0.25">
      <c r="A131" s="229"/>
      <c r="B131" s="62" t="s">
        <v>79</v>
      </c>
      <c r="C131" s="181" t="s">
        <v>304</v>
      </c>
      <c r="D131" s="182" t="s">
        <v>475</v>
      </c>
      <c r="E131" s="183" t="s">
        <v>18</v>
      </c>
      <c r="F131" s="73" t="s">
        <v>329</v>
      </c>
      <c r="G131" s="230" t="s">
        <v>113</v>
      </c>
      <c r="H131" s="181">
        <v>41</v>
      </c>
      <c r="I131" s="234">
        <v>27</v>
      </c>
      <c r="J131" s="98">
        <v>31</v>
      </c>
      <c r="K131" s="224">
        <v>41069</v>
      </c>
      <c r="L131" s="224">
        <v>27151</v>
      </c>
      <c r="M131" s="78">
        <f t="shared" si="4"/>
        <v>13918</v>
      </c>
      <c r="N131" s="100">
        <v>15</v>
      </c>
      <c r="O131" s="224">
        <v>54906</v>
      </c>
      <c r="P131" s="224">
        <v>54906</v>
      </c>
      <c r="Q131" s="79">
        <f t="shared" si="3"/>
        <v>0</v>
      </c>
    </row>
    <row r="132" spans="1:18" s="13" customFormat="1" x14ac:dyDescent="0.25">
      <c r="A132" s="229"/>
      <c r="B132" s="62" t="s">
        <v>151</v>
      </c>
      <c r="C132" s="181" t="s">
        <v>17</v>
      </c>
      <c r="D132" s="182"/>
      <c r="E132" s="183" t="s">
        <v>32</v>
      </c>
      <c r="F132" s="73" t="s">
        <v>390</v>
      </c>
      <c r="G132" s="74" t="s">
        <v>112</v>
      </c>
      <c r="H132" s="75">
        <v>55</v>
      </c>
      <c r="I132" s="82">
        <v>43</v>
      </c>
      <c r="J132" s="96">
        <f>1+3+3+5+3+9+4+6+3+2+6+5+3+2</f>
        <v>55</v>
      </c>
      <c r="K132" s="81">
        <f>2317+4640.19+5864.19+10765+12519.53+4514.35+14486.46+3421.94+27163.56+5180.87</f>
        <v>90873.09</v>
      </c>
      <c r="L132" s="81">
        <f>2317+4640.19+5864.19+10765+12519.53+4514.35+14486.46+3421.94+27163.56</f>
        <v>85692.22</v>
      </c>
      <c r="M132" s="78">
        <f>K132-L132</f>
        <v>5180.8699999999953</v>
      </c>
      <c r="N132" s="100">
        <f>9+3+5+1+4+4+1</f>
        <v>27</v>
      </c>
      <c r="O132" s="81">
        <f>10726.94+18822.65+5703.53+12846.53+1320.36+4050.1+22728.38</f>
        <v>76198.490000000005</v>
      </c>
      <c r="P132" s="81">
        <f>10726.94+18822.65+5703.53+12846.53+1320.36+4050.1+22728.38</f>
        <v>76198.490000000005</v>
      </c>
      <c r="Q132" s="232">
        <f t="shared" si="3"/>
        <v>0</v>
      </c>
      <c r="R132" s="141"/>
    </row>
    <row r="133" spans="1:18" s="13" customFormat="1" x14ac:dyDescent="0.25">
      <c r="A133" s="229"/>
      <c r="B133" s="62" t="s">
        <v>151</v>
      </c>
      <c r="C133" s="181" t="s">
        <v>17</v>
      </c>
      <c r="D133" s="182"/>
      <c r="E133" s="183" t="s">
        <v>32</v>
      </c>
      <c r="F133" s="73" t="s">
        <v>434</v>
      </c>
      <c r="G133" s="230" t="s">
        <v>117</v>
      </c>
      <c r="H133" s="181">
        <v>11</v>
      </c>
      <c r="I133" s="231">
        <v>3</v>
      </c>
      <c r="J133" s="96">
        <v>3</v>
      </c>
      <c r="K133" s="77">
        <v>3411.9</v>
      </c>
      <c r="L133" s="77">
        <v>3411.9</v>
      </c>
      <c r="M133" s="78">
        <f t="shared" si="4"/>
        <v>0</v>
      </c>
      <c r="N133" s="100">
        <v>13</v>
      </c>
      <c r="O133" s="224">
        <v>24537.7</v>
      </c>
      <c r="P133" s="224">
        <v>24537.7</v>
      </c>
      <c r="Q133" s="79">
        <f t="shared" si="3"/>
        <v>0</v>
      </c>
    </row>
    <row r="134" spans="1:18" s="13" customFormat="1" x14ac:dyDescent="0.25">
      <c r="A134" s="229"/>
      <c r="B134" s="62" t="s">
        <v>80</v>
      </c>
      <c r="C134" s="181" t="s">
        <v>17</v>
      </c>
      <c r="D134" s="182"/>
      <c r="E134" s="183" t="s">
        <v>81</v>
      </c>
      <c r="F134" s="73" t="s">
        <v>417</v>
      </c>
      <c r="G134" s="74" t="s">
        <v>112</v>
      </c>
      <c r="H134" s="75"/>
      <c r="I134" s="76"/>
      <c r="J134" s="96"/>
      <c r="K134" s="77">
        <f>749.19+8649.27</f>
        <v>9398.4600000000009</v>
      </c>
      <c r="L134" s="77">
        <f>749.19+8649.27</f>
        <v>9398.4600000000009</v>
      </c>
      <c r="M134" s="78">
        <f>K134-L134</f>
        <v>0</v>
      </c>
      <c r="N134" s="100">
        <f>2+2</f>
        <v>4</v>
      </c>
      <c r="O134" s="81">
        <f>3040.94+9398.46</f>
        <v>12439.4</v>
      </c>
      <c r="P134" s="81">
        <f>3040.94+9398.46</f>
        <v>12439.4</v>
      </c>
      <c r="Q134" s="232">
        <f t="shared" si="3"/>
        <v>0</v>
      </c>
      <c r="R134" s="141"/>
    </row>
    <row r="135" spans="1:18" s="13" customFormat="1" x14ac:dyDescent="0.25">
      <c r="A135" s="229"/>
      <c r="B135" s="62" t="s">
        <v>80</v>
      </c>
      <c r="C135" s="181" t="s">
        <v>17</v>
      </c>
      <c r="D135" s="182"/>
      <c r="E135" s="183" t="s">
        <v>81</v>
      </c>
      <c r="F135" s="73" t="s">
        <v>285</v>
      </c>
      <c r="G135" s="230" t="s">
        <v>114</v>
      </c>
      <c r="H135" s="181"/>
      <c r="I135" s="231"/>
      <c r="J135" s="190"/>
      <c r="K135" s="77"/>
      <c r="L135" s="77"/>
      <c r="M135" s="187">
        <f t="shared" ref="M135" si="10">K135-L135</f>
        <v>0</v>
      </c>
      <c r="N135" s="100">
        <v>23</v>
      </c>
      <c r="O135" s="224">
        <v>58735.99</v>
      </c>
      <c r="P135" s="224">
        <v>58735.99</v>
      </c>
      <c r="Q135" s="232">
        <f t="shared" si="3"/>
        <v>0</v>
      </c>
    </row>
    <row r="136" spans="1:18" s="13" customFormat="1" x14ac:dyDescent="0.25">
      <c r="A136" s="229"/>
      <c r="B136" s="30" t="s">
        <v>82</v>
      </c>
      <c r="C136" s="181" t="s">
        <v>17</v>
      </c>
      <c r="D136" s="182"/>
      <c r="E136" s="183" t="s">
        <v>20</v>
      </c>
      <c r="F136" s="73" t="s">
        <v>394</v>
      </c>
      <c r="G136" s="74" t="s">
        <v>112</v>
      </c>
      <c r="H136" s="75">
        <v>13</v>
      </c>
      <c r="I136" s="76">
        <v>11</v>
      </c>
      <c r="J136" s="96">
        <f>4+3+2+2+1+1</f>
        <v>13</v>
      </c>
      <c r="K136" s="77">
        <f>7750.47+2207.69+1376.8</f>
        <v>11334.96</v>
      </c>
      <c r="L136" s="77">
        <f>7750.47+2207.69+1376.8</f>
        <v>11334.96</v>
      </c>
      <c r="M136" s="78">
        <f>K136-L136</f>
        <v>0</v>
      </c>
      <c r="N136" s="100">
        <f>3+5+1+1+1</f>
        <v>11</v>
      </c>
      <c r="O136" s="81">
        <f>5975.84+23579.15+1426.34</f>
        <v>30981.33</v>
      </c>
      <c r="P136" s="81">
        <f>5975.84+23579.15+1426.34</f>
        <v>30981.33</v>
      </c>
      <c r="Q136" s="232">
        <f t="shared" si="3"/>
        <v>0</v>
      </c>
      <c r="R136" s="141"/>
    </row>
    <row r="137" spans="1:18" s="13" customFormat="1" x14ac:dyDescent="0.25">
      <c r="A137" s="229"/>
      <c r="B137" s="30" t="s">
        <v>82</v>
      </c>
      <c r="C137" s="181" t="s">
        <v>17</v>
      </c>
      <c r="D137" s="182"/>
      <c r="E137" s="183" t="s">
        <v>20</v>
      </c>
      <c r="F137" s="73" t="s">
        <v>463</v>
      </c>
      <c r="G137" s="230" t="s">
        <v>114</v>
      </c>
      <c r="H137" s="181">
        <v>19</v>
      </c>
      <c r="I137" s="231">
        <v>5</v>
      </c>
      <c r="J137" s="190">
        <v>5</v>
      </c>
      <c r="K137" s="77">
        <v>11385.5</v>
      </c>
      <c r="L137" s="77">
        <v>10181.299999999999</v>
      </c>
      <c r="M137" s="187">
        <f t="shared" ref="M137" si="11">K137-L137</f>
        <v>1204.2000000000007</v>
      </c>
      <c r="N137" s="100">
        <v>14</v>
      </c>
      <c r="O137" s="224">
        <v>48620.71</v>
      </c>
      <c r="P137" s="224">
        <v>48620.71</v>
      </c>
      <c r="Q137" s="232">
        <f t="shared" si="3"/>
        <v>0</v>
      </c>
    </row>
    <row r="138" spans="1:18" s="13" customFormat="1" x14ac:dyDescent="0.25">
      <c r="A138" s="229"/>
      <c r="B138" s="30" t="s">
        <v>309</v>
      </c>
      <c r="C138" s="181"/>
      <c r="D138" s="182"/>
      <c r="E138" s="183" t="s">
        <v>20</v>
      </c>
      <c r="F138" s="73" t="s">
        <v>391</v>
      </c>
      <c r="G138" s="230" t="s">
        <v>112</v>
      </c>
      <c r="H138" s="181">
        <v>14</v>
      </c>
      <c r="I138" s="231">
        <v>9</v>
      </c>
      <c r="J138" s="190">
        <f>1+5+2+1+1</f>
        <v>10</v>
      </c>
      <c r="K138" s="77">
        <f>3606.1+3402.77+2649.24+993.47</f>
        <v>10651.58</v>
      </c>
      <c r="L138" s="77">
        <f>3606.1+3402.77+2649.24</f>
        <v>9658.11</v>
      </c>
      <c r="M138" s="78">
        <f t="shared" si="4"/>
        <v>993.46999999999935</v>
      </c>
      <c r="N138" s="100">
        <f>1+5+1+3</f>
        <v>10</v>
      </c>
      <c r="O138" s="224">
        <f>3088.97+13147.65+1267.86+5955.71</f>
        <v>23460.19</v>
      </c>
      <c r="P138" s="224">
        <f>3088.97+13147.65+1267.86+5955.71</f>
        <v>23460.19</v>
      </c>
      <c r="Q138" s="232">
        <f t="shared" si="3"/>
        <v>0</v>
      </c>
      <c r="R138" s="141"/>
    </row>
    <row r="139" spans="1:18" s="13" customFormat="1" x14ac:dyDescent="0.25">
      <c r="A139" s="229"/>
      <c r="B139" s="30" t="s">
        <v>152</v>
      </c>
      <c r="C139" s="181" t="s">
        <v>17</v>
      </c>
      <c r="D139" s="182"/>
      <c r="E139" s="183" t="s">
        <v>35</v>
      </c>
      <c r="F139" s="73" t="s">
        <v>392</v>
      </c>
      <c r="G139" s="74" t="s">
        <v>112</v>
      </c>
      <c r="H139" s="75">
        <v>7</v>
      </c>
      <c r="I139" s="76">
        <v>6</v>
      </c>
      <c r="J139" s="96">
        <f>1+1+2+1+1+1+2</f>
        <v>9</v>
      </c>
      <c r="K139" s="77">
        <f>403.41+845.24+2113.1</f>
        <v>3361.75</v>
      </c>
      <c r="L139" s="77">
        <f>403.41+845.24+2113.1</f>
        <v>3361.75</v>
      </c>
      <c r="M139" s="78">
        <f t="shared" si="4"/>
        <v>0</v>
      </c>
      <c r="N139" s="100">
        <f>2+2+2+1+1+1+2</f>
        <v>11</v>
      </c>
      <c r="O139" s="81">
        <f>1690.48+3050.26+3661.61+4648.82+1267.86+1690.48+9282.42+4052.53</f>
        <v>29344.46</v>
      </c>
      <c r="P139" s="81">
        <f>1690.48+3050.26+3661.61+4648.82+1267.86+1690.48+9282.42+4052.53</f>
        <v>29344.46</v>
      </c>
      <c r="Q139" s="232">
        <f t="shared" si="3"/>
        <v>0</v>
      </c>
      <c r="R139" s="141"/>
    </row>
    <row r="140" spans="1:18" s="13" customFormat="1" x14ac:dyDescent="0.25">
      <c r="A140" s="229"/>
      <c r="B140" s="30" t="s">
        <v>83</v>
      </c>
      <c r="C140" s="181" t="s">
        <v>17</v>
      </c>
      <c r="D140" s="182"/>
      <c r="E140" s="183" t="s">
        <v>20</v>
      </c>
      <c r="F140" s="73" t="s">
        <v>393</v>
      </c>
      <c r="G140" s="74" t="s">
        <v>112</v>
      </c>
      <c r="H140" s="75">
        <v>12</v>
      </c>
      <c r="I140" s="76">
        <v>8</v>
      </c>
      <c r="J140" s="96">
        <f>1+1+2+1+1+1+1+1</f>
        <v>9</v>
      </c>
      <c r="K140" s="77">
        <f>768.4+2535.72+845.24+14407.5+883.08</f>
        <v>19439.940000000002</v>
      </c>
      <c r="L140" s="77">
        <f>768.4+2535.72+845.24+14407.5+883.08</f>
        <v>19439.940000000002</v>
      </c>
      <c r="M140" s="78">
        <f>K140-L140</f>
        <v>0</v>
      </c>
      <c r="N140" s="100">
        <f>1+2+1+1+1+2</f>
        <v>8</v>
      </c>
      <c r="O140" s="81">
        <f>5837.09+1922.92+4288.54+1686.25</f>
        <v>13734.8</v>
      </c>
      <c r="P140" s="81">
        <f>5837.09+1922.92+4288.54+1686.25</f>
        <v>13734.8</v>
      </c>
      <c r="Q140" s="232">
        <f t="shared" si="3"/>
        <v>0</v>
      </c>
      <c r="R140" s="141"/>
    </row>
    <row r="141" spans="1:18" s="13" customFormat="1" x14ac:dyDescent="0.25">
      <c r="A141" s="229"/>
      <c r="B141" s="30" t="s">
        <v>83</v>
      </c>
      <c r="C141" s="181" t="s">
        <v>17</v>
      </c>
      <c r="D141" s="182"/>
      <c r="E141" s="183" t="s">
        <v>20</v>
      </c>
      <c r="F141" s="73" t="s">
        <v>464</v>
      </c>
      <c r="G141" s="230" t="s">
        <v>114</v>
      </c>
      <c r="H141" s="181">
        <v>30</v>
      </c>
      <c r="I141" s="231">
        <v>9</v>
      </c>
      <c r="J141" s="190">
        <v>9</v>
      </c>
      <c r="K141" s="77">
        <v>24797.49</v>
      </c>
      <c r="L141" s="77">
        <v>19177.89</v>
      </c>
      <c r="M141" s="187">
        <f t="shared" ref="M141" si="12">K141-L141</f>
        <v>5619.6000000000022</v>
      </c>
      <c r="N141" s="100">
        <v>28</v>
      </c>
      <c r="O141" s="224">
        <v>106750.62</v>
      </c>
      <c r="P141" s="224">
        <v>85315.86</v>
      </c>
      <c r="Q141" s="232">
        <f t="shared" si="3"/>
        <v>21434.759999999995</v>
      </c>
    </row>
    <row r="142" spans="1:18" s="13" customFormat="1" ht="45" x14ac:dyDescent="0.25">
      <c r="A142" s="229"/>
      <c r="B142" s="30" t="s">
        <v>85</v>
      </c>
      <c r="C142" s="181" t="s">
        <v>304</v>
      </c>
      <c r="D142" s="182" t="s">
        <v>415</v>
      </c>
      <c r="E142" s="183" t="s">
        <v>20</v>
      </c>
      <c r="F142" s="73" t="s">
        <v>395</v>
      </c>
      <c r="G142" s="74" t="s">
        <v>112</v>
      </c>
      <c r="H142" s="75">
        <v>18</v>
      </c>
      <c r="I142" s="76">
        <v>7</v>
      </c>
      <c r="J142" s="96">
        <f>2+1</f>
        <v>3</v>
      </c>
      <c r="K142" s="77">
        <f>4800.58+2591.84</f>
        <v>7392.42</v>
      </c>
      <c r="L142" s="77">
        <f>4800.58+2591.84</f>
        <v>7392.42</v>
      </c>
      <c r="M142" s="78">
        <f t="shared" si="4"/>
        <v>0</v>
      </c>
      <c r="N142" s="100">
        <f>2+1+2</f>
        <v>5</v>
      </c>
      <c r="O142" s="81">
        <f>3917.73+8936.21+5669.37+31185.72+18292.46</f>
        <v>68001.489999999991</v>
      </c>
      <c r="P142" s="81">
        <f>3917.73+8936.21+5669.37+31185.72+18292.46</f>
        <v>68001.489999999991</v>
      </c>
      <c r="Q142" s="79">
        <f t="shared" si="3"/>
        <v>0</v>
      </c>
      <c r="R142" s="141"/>
    </row>
    <row r="143" spans="1:18" s="13" customFormat="1" x14ac:dyDescent="0.25">
      <c r="A143" s="229"/>
      <c r="B143" s="27" t="s">
        <v>86</v>
      </c>
      <c r="C143" s="181" t="s">
        <v>17</v>
      </c>
      <c r="D143" s="182"/>
      <c r="E143" s="194" t="s">
        <v>20</v>
      </c>
      <c r="F143" s="73" t="s">
        <v>396</v>
      </c>
      <c r="G143" s="74" t="s">
        <v>112</v>
      </c>
      <c r="H143" s="75">
        <v>17</v>
      </c>
      <c r="I143" s="76">
        <v>10</v>
      </c>
      <c r="J143" s="96">
        <f>1+3+1+7+2+2</f>
        <v>16</v>
      </c>
      <c r="K143" s="77">
        <f>950.9+5134.06+2091.97+528.03+8954.46+5719.74</f>
        <v>23379.159999999996</v>
      </c>
      <c r="L143" s="77">
        <f>950.9+5134.06+2091.97+528.03+8954.46+5719.74</f>
        <v>23379.159999999996</v>
      </c>
      <c r="M143" s="78">
        <f t="shared" si="4"/>
        <v>0</v>
      </c>
      <c r="N143" s="100">
        <f>15+4+2+1+2+2</f>
        <v>26</v>
      </c>
      <c r="O143" s="81">
        <f>30236.61+18366.75+8887.09+1077.68+8961.95</f>
        <v>67530.080000000002</v>
      </c>
      <c r="P143" s="81">
        <f>30236.61+18366.75+8887.09+1077.68+8961.95</f>
        <v>67530.080000000002</v>
      </c>
      <c r="Q143" s="232">
        <f t="shared" si="3"/>
        <v>0</v>
      </c>
      <c r="R143" s="141"/>
    </row>
    <row r="144" spans="1:18" s="13" customFormat="1" x14ac:dyDescent="0.25">
      <c r="A144" s="229"/>
      <c r="B144" s="27" t="s">
        <v>86</v>
      </c>
      <c r="C144" s="181" t="s">
        <v>17</v>
      </c>
      <c r="D144" s="182"/>
      <c r="E144" s="194" t="s">
        <v>20</v>
      </c>
      <c r="F144" s="73" t="s">
        <v>465</v>
      </c>
      <c r="G144" s="230" t="s">
        <v>114</v>
      </c>
      <c r="H144" s="181">
        <v>8</v>
      </c>
      <c r="I144" s="231">
        <v>2</v>
      </c>
      <c r="J144" s="190">
        <v>1</v>
      </c>
      <c r="K144" s="77">
        <v>3933.72</v>
      </c>
      <c r="L144" s="77">
        <v>3933.72</v>
      </c>
      <c r="M144" s="187">
        <f t="shared" si="4"/>
        <v>0</v>
      </c>
      <c r="N144" s="100">
        <v>9</v>
      </c>
      <c r="O144" s="224">
        <v>20829.13</v>
      </c>
      <c r="P144" s="224">
        <v>15209.53</v>
      </c>
      <c r="Q144" s="232">
        <f t="shared" si="3"/>
        <v>5619.6</v>
      </c>
    </row>
    <row r="145" spans="1:18" s="13" customFormat="1" x14ac:dyDescent="0.25">
      <c r="A145" s="229"/>
      <c r="B145" s="62" t="s">
        <v>312</v>
      </c>
      <c r="C145" s="181" t="s">
        <v>17</v>
      </c>
      <c r="D145" s="182"/>
      <c r="E145" s="194" t="s">
        <v>20</v>
      </c>
      <c r="F145" s="73" t="s">
        <v>320</v>
      </c>
      <c r="G145" s="74" t="s">
        <v>112</v>
      </c>
      <c r="H145" s="75">
        <v>16</v>
      </c>
      <c r="I145" s="76">
        <v>13</v>
      </c>
      <c r="J145" s="96">
        <f>1+1+1+2+3+4</f>
        <v>12</v>
      </c>
      <c r="K145" s="77">
        <f>3319.49+845.24+4965.79+4415.4</f>
        <v>13545.92</v>
      </c>
      <c r="L145" s="77">
        <f>3319.49+845.24+4965.79</f>
        <v>9130.52</v>
      </c>
      <c r="M145" s="78">
        <f t="shared" si="4"/>
        <v>4415.3999999999996</v>
      </c>
      <c r="N145" s="100">
        <f>5+6+1+1</f>
        <v>13</v>
      </c>
      <c r="O145" s="81">
        <f>4226.2+6627.45+4360.59+6336.1</f>
        <v>21550.34</v>
      </c>
      <c r="P145" s="81">
        <f>4226.2+6627.45+4360.59</f>
        <v>15214.24</v>
      </c>
      <c r="Q145" s="232">
        <f t="shared" si="3"/>
        <v>6336.1</v>
      </c>
      <c r="R145" s="141"/>
    </row>
    <row r="146" spans="1:18" s="13" customFormat="1" x14ac:dyDescent="0.25">
      <c r="A146" s="229"/>
      <c r="B146" s="62" t="s">
        <v>494</v>
      </c>
      <c r="C146" s="181" t="s">
        <v>17</v>
      </c>
      <c r="D146" s="182"/>
      <c r="E146" s="194" t="s">
        <v>20</v>
      </c>
      <c r="F146" s="73" t="s">
        <v>497</v>
      </c>
      <c r="G146" s="74" t="s">
        <v>112</v>
      </c>
      <c r="H146" s="75">
        <v>13</v>
      </c>
      <c r="I146" s="76">
        <v>9</v>
      </c>
      <c r="J146" s="96">
        <f>1+1+1+1+2+1+2</f>
        <v>9</v>
      </c>
      <c r="K146" s="77">
        <f>3379+5494.06+576.3+2417.43+3057.66+2384.32</f>
        <v>17308.77</v>
      </c>
      <c r="L146" s="77">
        <f>3379+5494.06+576.3+2417.43+3057.66+2384.32</f>
        <v>17308.77</v>
      </c>
      <c r="M146" s="78">
        <f t="shared" si="4"/>
        <v>0</v>
      </c>
      <c r="N146" s="100"/>
      <c r="O146" s="81"/>
      <c r="P146" s="81"/>
      <c r="Q146" s="232">
        <f t="shared" ref="Q146:Q190" si="13">O146-P146</f>
        <v>0</v>
      </c>
      <c r="R146" s="141"/>
    </row>
    <row r="147" spans="1:18" s="13" customFormat="1" x14ac:dyDescent="0.25">
      <c r="A147" s="229"/>
      <c r="B147" s="62" t="s">
        <v>494</v>
      </c>
      <c r="C147" s="181" t="s">
        <v>17</v>
      </c>
      <c r="D147" s="182"/>
      <c r="E147" s="194" t="s">
        <v>20</v>
      </c>
      <c r="F147" s="73" t="s">
        <v>507</v>
      </c>
      <c r="G147" s="74" t="s">
        <v>114</v>
      </c>
      <c r="H147" s="75">
        <v>33</v>
      </c>
      <c r="I147" s="76">
        <v>6</v>
      </c>
      <c r="J147" s="96">
        <v>6</v>
      </c>
      <c r="K147" s="77">
        <v>14361.56</v>
      </c>
      <c r="L147" s="77">
        <v>8300.42</v>
      </c>
      <c r="M147" s="187">
        <f t="shared" si="4"/>
        <v>6061.1399999999994</v>
      </c>
      <c r="N147" s="100"/>
      <c r="O147" s="81"/>
      <c r="P147" s="81"/>
      <c r="Q147" s="232">
        <f t="shared" si="13"/>
        <v>0</v>
      </c>
      <c r="R147" s="141"/>
    </row>
    <row r="148" spans="1:18" s="13" customFormat="1" x14ac:dyDescent="0.25">
      <c r="A148" s="229"/>
      <c r="B148" s="30" t="s">
        <v>88</v>
      </c>
      <c r="C148" s="181" t="s">
        <v>17</v>
      </c>
      <c r="D148" s="182"/>
      <c r="E148" s="183" t="s">
        <v>89</v>
      </c>
      <c r="F148" s="73" t="s">
        <v>397</v>
      </c>
      <c r="G148" s="74" t="s">
        <v>112</v>
      </c>
      <c r="H148" s="75">
        <v>19</v>
      </c>
      <c r="I148" s="76">
        <v>12</v>
      </c>
      <c r="J148" s="96">
        <f>1+3+1+2+4+1</f>
        <v>12</v>
      </c>
      <c r="K148" s="77">
        <f>4226.2+2394.91+6485.1+556.71+4126.31+9704.16+1282.67+1282.67</f>
        <v>30058.729999999996</v>
      </c>
      <c r="L148" s="77">
        <f>4226.2+2394.91+6485.1+556.71+4126.31</f>
        <v>17789.23</v>
      </c>
      <c r="M148" s="78">
        <f>K148-L148</f>
        <v>12269.499999999996</v>
      </c>
      <c r="N148" s="100">
        <f>4+1+3+1+2+2+1+1+2</f>
        <v>17</v>
      </c>
      <c r="O148" s="81">
        <f>11967.83+2831.55+10544.37+9418.99+3799.13+1798.04+2548.4-12193.52+4083.77</f>
        <v>34798.559999999998</v>
      </c>
      <c r="P148" s="81">
        <f>11967.83+2831.55+10544.37+9418.99+3799.13+1798.04+2548.4-12193.52+4083.77</f>
        <v>34798.559999999998</v>
      </c>
      <c r="Q148" s="79">
        <f t="shared" si="13"/>
        <v>0</v>
      </c>
      <c r="R148" s="141"/>
    </row>
    <row r="149" spans="1:18" s="13" customFormat="1" x14ac:dyDescent="0.25">
      <c r="A149" s="229"/>
      <c r="B149" s="30" t="s">
        <v>88</v>
      </c>
      <c r="C149" s="181" t="s">
        <v>17</v>
      </c>
      <c r="D149" s="182"/>
      <c r="E149" s="183" t="s">
        <v>89</v>
      </c>
      <c r="F149" s="73" t="s">
        <v>442</v>
      </c>
      <c r="G149" s="230" t="s">
        <v>118</v>
      </c>
      <c r="H149" s="181">
        <v>7</v>
      </c>
      <c r="I149" s="231">
        <v>1</v>
      </c>
      <c r="J149" s="96">
        <v>1</v>
      </c>
      <c r="K149" s="77"/>
      <c r="L149" s="77"/>
      <c r="M149" s="187">
        <f t="shared" si="4"/>
        <v>0</v>
      </c>
      <c r="N149" s="100">
        <v>3</v>
      </c>
      <c r="O149" s="224">
        <v>11020.82</v>
      </c>
      <c r="P149" s="224">
        <v>11020.82</v>
      </c>
      <c r="Q149" s="232">
        <f t="shared" si="13"/>
        <v>0</v>
      </c>
    </row>
    <row r="150" spans="1:18" s="13" customFormat="1" x14ac:dyDescent="0.25">
      <c r="A150" s="229"/>
      <c r="B150" s="30" t="s">
        <v>88</v>
      </c>
      <c r="C150" s="181" t="s">
        <v>17</v>
      </c>
      <c r="D150" s="182"/>
      <c r="E150" s="194" t="s">
        <v>505</v>
      </c>
      <c r="F150" s="73" t="s">
        <v>506</v>
      </c>
      <c r="G150" s="230" t="s">
        <v>114</v>
      </c>
      <c r="H150" s="181">
        <v>6</v>
      </c>
      <c r="I150" s="231">
        <v>1</v>
      </c>
      <c r="J150" s="96">
        <v>1</v>
      </c>
      <c r="K150" s="77">
        <v>3763.9</v>
      </c>
      <c r="L150" s="77">
        <v>3763.9</v>
      </c>
      <c r="M150" s="187">
        <f t="shared" si="4"/>
        <v>0</v>
      </c>
      <c r="N150" s="100"/>
      <c r="O150" s="224"/>
      <c r="P150" s="224"/>
      <c r="Q150" s="232">
        <f t="shared" si="13"/>
        <v>0</v>
      </c>
    </row>
    <row r="151" spans="1:18" s="13" customFormat="1" x14ac:dyDescent="0.25">
      <c r="A151" s="229"/>
      <c r="B151" s="30" t="s">
        <v>90</v>
      </c>
      <c r="C151" s="181" t="s">
        <v>17</v>
      </c>
      <c r="D151" s="182"/>
      <c r="E151" s="194" t="s">
        <v>20</v>
      </c>
      <c r="F151" s="73" t="s">
        <v>398</v>
      </c>
      <c r="G151" s="74" t="s">
        <v>112</v>
      </c>
      <c r="H151" s="75">
        <v>11</v>
      </c>
      <c r="I151" s="76">
        <v>7</v>
      </c>
      <c r="J151" s="96">
        <f>1+1+1+4</f>
        <v>7</v>
      </c>
      <c r="K151" s="77">
        <f>422.62+4662.44+7580.13+2408.4</f>
        <v>15073.589999999998</v>
      </c>
      <c r="L151" s="77">
        <f>422.62+4662.44+7580.13</f>
        <v>12665.189999999999</v>
      </c>
      <c r="M151" s="78">
        <f>K151-L151</f>
        <v>2408.3999999999996</v>
      </c>
      <c r="N151" s="100">
        <f>1+1+1+1+2</f>
        <v>6</v>
      </c>
      <c r="O151" s="81">
        <f>2122.67+787.61+15453.48+6194.26+37549.5</f>
        <v>62107.519999999997</v>
      </c>
      <c r="P151" s="81">
        <f>2122.67+787.61+15453.48+6194.26</f>
        <v>24558.019999999997</v>
      </c>
      <c r="Q151" s="79">
        <f t="shared" si="13"/>
        <v>37549.5</v>
      </c>
      <c r="R151" s="141"/>
    </row>
    <row r="152" spans="1:18" s="13" customFormat="1" x14ac:dyDescent="0.25">
      <c r="A152" s="229"/>
      <c r="B152" s="30" t="s">
        <v>90</v>
      </c>
      <c r="C152" s="181" t="s">
        <v>17</v>
      </c>
      <c r="D152" s="182"/>
      <c r="E152" s="194" t="s">
        <v>20</v>
      </c>
      <c r="F152" s="73" t="s">
        <v>466</v>
      </c>
      <c r="G152" s="230" t="s">
        <v>114</v>
      </c>
      <c r="H152" s="181">
        <v>18</v>
      </c>
      <c r="I152" s="231">
        <v>4</v>
      </c>
      <c r="J152" s="190">
        <v>4</v>
      </c>
      <c r="K152" s="77">
        <v>10468.56</v>
      </c>
      <c r="L152" s="77">
        <v>10468.56</v>
      </c>
      <c r="M152" s="187">
        <f t="shared" ref="M152" si="14">K152-L152</f>
        <v>0</v>
      </c>
      <c r="N152" s="100">
        <v>25</v>
      </c>
      <c r="O152" s="224">
        <v>81936.800000000003</v>
      </c>
      <c r="P152" s="224">
        <v>81936.800000000003</v>
      </c>
      <c r="Q152" s="232">
        <f t="shared" si="13"/>
        <v>0</v>
      </c>
    </row>
    <row r="153" spans="1:18" s="13" customFormat="1" x14ac:dyDescent="0.25">
      <c r="A153" s="229"/>
      <c r="B153" s="30" t="s">
        <v>91</v>
      </c>
      <c r="C153" s="181" t="s">
        <v>17</v>
      </c>
      <c r="D153" s="182"/>
      <c r="E153" s="194" t="s">
        <v>20</v>
      </c>
      <c r="F153" s="73" t="s">
        <v>399</v>
      </c>
      <c r="G153" s="74" t="s">
        <v>112</v>
      </c>
      <c r="H153" s="75"/>
      <c r="I153" s="76"/>
      <c r="J153" s="96"/>
      <c r="K153" s="77"/>
      <c r="L153" s="77"/>
      <c r="M153" s="78">
        <f>K153-L153</f>
        <v>0</v>
      </c>
      <c r="N153" s="100"/>
      <c r="O153" s="81"/>
      <c r="P153" s="81"/>
      <c r="Q153" s="79">
        <f t="shared" si="13"/>
        <v>0</v>
      </c>
      <c r="R153" s="141"/>
    </row>
    <row r="154" spans="1:18" s="13" customFormat="1" x14ac:dyDescent="0.25">
      <c r="A154" s="229"/>
      <c r="B154" s="62" t="s">
        <v>138</v>
      </c>
      <c r="C154" s="181" t="s">
        <v>17</v>
      </c>
      <c r="D154" s="182"/>
      <c r="E154" s="194" t="s">
        <v>20</v>
      </c>
      <c r="F154" s="73" t="s">
        <v>467</v>
      </c>
      <c r="G154" s="230" t="s">
        <v>114</v>
      </c>
      <c r="H154" s="181">
        <v>9</v>
      </c>
      <c r="I154" s="231">
        <v>3</v>
      </c>
      <c r="J154" s="190">
        <v>3</v>
      </c>
      <c r="K154" s="193">
        <v>5542.2</v>
      </c>
      <c r="L154" s="193">
        <v>5542.2</v>
      </c>
      <c r="M154" s="187">
        <f t="shared" ref="M154" si="15">K154-L154</f>
        <v>0</v>
      </c>
      <c r="N154" s="114">
        <v>7</v>
      </c>
      <c r="O154" s="224">
        <v>16429.099999999999</v>
      </c>
      <c r="P154" s="224">
        <v>16429.099999999999</v>
      </c>
      <c r="Q154" s="232">
        <f t="shared" si="13"/>
        <v>0</v>
      </c>
    </row>
    <row r="155" spans="1:18" s="13" customFormat="1" x14ac:dyDescent="0.25">
      <c r="A155" s="229"/>
      <c r="B155" s="62" t="s">
        <v>138</v>
      </c>
      <c r="C155" s="181" t="s">
        <v>17</v>
      </c>
      <c r="D155" s="182"/>
      <c r="E155" s="194" t="s">
        <v>20</v>
      </c>
      <c r="F155" s="73" t="s">
        <v>400</v>
      </c>
      <c r="G155" s="74" t="s">
        <v>112</v>
      </c>
      <c r="H155" s="75">
        <v>12</v>
      </c>
      <c r="I155" s="82">
        <v>8</v>
      </c>
      <c r="J155" s="96">
        <f>3+1+1+2+2</f>
        <v>9</v>
      </c>
      <c r="K155" s="77">
        <f>2224.52+9639.33+3232.07+1625.67+1324.62</f>
        <v>18046.21</v>
      </c>
      <c r="L155" s="77">
        <f>2224.52+9639.33+3232.07+1625.67</f>
        <v>16721.59</v>
      </c>
      <c r="M155" s="78">
        <f t="shared" si="4"/>
        <v>1324.619999999999</v>
      </c>
      <c r="N155" s="100">
        <f>5+4+2</f>
        <v>11</v>
      </c>
      <c r="O155" s="81">
        <f>8995.87+8641.99+5740.02</f>
        <v>23377.88</v>
      </c>
      <c r="P155" s="81">
        <f>8995.87+8641.99+5740.02</f>
        <v>23377.88</v>
      </c>
      <c r="Q155" s="79">
        <f t="shared" si="13"/>
        <v>0</v>
      </c>
      <c r="R155" s="141"/>
    </row>
    <row r="156" spans="1:18" s="13" customFormat="1" x14ac:dyDescent="0.25">
      <c r="A156" s="229"/>
      <c r="B156" s="62" t="s">
        <v>157</v>
      </c>
      <c r="C156" s="181" t="s">
        <v>17</v>
      </c>
      <c r="D156" s="182"/>
      <c r="E156" s="194" t="s">
        <v>20</v>
      </c>
      <c r="F156" s="73" t="s">
        <v>401</v>
      </c>
      <c r="G156" s="74" t="s">
        <v>112</v>
      </c>
      <c r="H156" s="75">
        <v>14</v>
      </c>
      <c r="I156" s="82"/>
      <c r="J156" s="96"/>
      <c r="K156" s="77"/>
      <c r="L156" s="77"/>
      <c r="M156" s="78">
        <f t="shared" ref="M156:M188" si="16">K156-L156</f>
        <v>0</v>
      </c>
      <c r="N156" s="100"/>
      <c r="O156" s="81"/>
      <c r="P156" s="81"/>
      <c r="Q156" s="232">
        <f t="shared" si="13"/>
        <v>0</v>
      </c>
      <c r="R156" s="141"/>
    </row>
    <row r="157" spans="1:18" s="13" customFormat="1" x14ac:dyDescent="0.25">
      <c r="A157" s="229"/>
      <c r="B157" s="62" t="s">
        <v>513</v>
      </c>
      <c r="C157" s="181"/>
      <c r="D157" s="182"/>
      <c r="E157" s="194" t="s">
        <v>20</v>
      </c>
      <c r="F157" s="73"/>
      <c r="G157" s="74" t="s">
        <v>112</v>
      </c>
      <c r="H157" s="75">
        <v>2</v>
      </c>
      <c r="I157" s="82"/>
      <c r="J157" s="96"/>
      <c r="K157" s="77"/>
      <c r="L157" s="77"/>
      <c r="M157" s="78"/>
      <c r="N157" s="100"/>
      <c r="O157" s="81"/>
      <c r="P157" s="81"/>
      <c r="Q157" s="232"/>
      <c r="R157" s="141"/>
    </row>
    <row r="158" spans="1:18" s="15" customFormat="1" x14ac:dyDescent="0.25">
      <c r="A158" s="229"/>
      <c r="B158" s="62" t="s">
        <v>92</v>
      </c>
      <c r="C158" s="181" t="s">
        <v>17</v>
      </c>
      <c r="D158" s="182"/>
      <c r="E158" s="194" t="s">
        <v>20</v>
      </c>
      <c r="F158" s="73" t="s">
        <v>402</v>
      </c>
      <c r="G158" s="74" t="s">
        <v>112</v>
      </c>
      <c r="H158" s="75">
        <v>12</v>
      </c>
      <c r="I158" s="76">
        <v>10</v>
      </c>
      <c r="J158" s="96">
        <f>1+2+5+2</f>
        <v>10</v>
      </c>
      <c r="K158" s="77">
        <f>1951.74+1335.1+2996.76+883.08</f>
        <v>7166.68</v>
      </c>
      <c r="L158" s="77">
        <f>1951.74+1335.1+2996.76</f>
        <v>6283.6</v>
      </c>
      <c r="M158" s="78">
        <f>K158-L158</f>
        <v>883.07999999999993</v>
      </c>
      <c r="N158" s="100">
        <f>4+1+1</f>
        <v>6</v>
      </c>
      <c r="O158" s="81">
        <f>12624.74+2697.06+1225.93</f>
        <v>16547.73</v>
      </c>
      <c r="P158" s="81">
        <f>12624.74+2697.06+1225.93</f>
        <v>16547.73</v>
      </c>
      <c r="Q158" s="232">
        <f t="shared" si="13"/>
        <v>0</v>
      </c>
      <c r="R158" s="141"/>
    </row>
    <row r="159" spans="1:18" s="15" customFormat="1" x14ac:dyDescent="0.25">
      <c r="A159" s="229"/>
      <c r="B159" s="62" t="s">
        <v>92</v>
      </c>
      <c r="C159" s="181" t="s">
        <v>17</v>
      </c>
      <c r="D159" s="182"/>
      <c r="E159" s="194" t="s">
        <v>20</v>
      </c>
      <c r="F159" s="73" t="s">
        <v>129</v>
      </c>
      <c r="G159" s="230" t="s">
        <v>114</v>
      </c>
      <c r="H159" s="181"/>
      <c r="I159" s="231"/>
      <c r="J159" s="190"/>
      <c r="K159" s="77"/>
      <c r="L159" s="77"/>
      <c r="M159" s="187">
        <f t="shared" ref="M159" si="17">K159-L159</f>
        <v>0</v>
      </c>
      <c r="N159" s="114"/>
      <c r="O159" s="224"/>
      <c r="P159" s="224"/>
      <c r="Q159" s="232">
        <f t="shared" si="13"/>
        <v>0</v>
      </c>
    </row>
    <row r="160" spans="1:18" s="13" customFormat="1" x14ac:dyDescent="0.25">
      <c r="A160" s="229"/>
      <c r="B160" s="30" t="s">
        <v>93</v>
      </c>
      <c r="C160" s="181" t="s">
        <v>17</v>
      </c>
      <c r="D160" s="182"/>
      <c r="E160" s="183" t="s">
        <v>94</v>
      </c>
      <c r="F160" s="73" t="s">
        <v>403</v>
      </c>
      <c r="G160" s="74" t="s">
        <v>112</v>
      </c>
      <c r="H160" s="75">
        <v>7</v>
      </c>
      <c r="I160" s="76">
        <v>2</v>
      </c>
      <c r="J160" s="96">
        <f>2</f>
        <v>2</v>
      </c>
      <c r="K160" s="77">
        <f>2336.84</f>
        <v>2336.84</v>
      </c>
      <c r="L160" s="77">
        <f>2336.84</f>
        <v>2336.84</v>
      </c>
      <c r="M160" s="78">
        <f>K160-L160</f>
        <v>0</v>
      </c>
      <c r="N160" s="100">
        <f>3+8</f>
        <v>11</v>
      </c>
      <c r="O160" s="81">
        <f>20117.75</f>
        <v>20117.75</v>
      </c>
      <c r="P160" s="81">
        <f>20117.75</f>
        <v>20117.75</v>
      </c>
      <c r="Q160" s="232">
        <f t="shared" si="13"/>
        <v>0</v>
      </c>
      <c r="R160" s="141"/>
    </row>
    <row r="161" spans="1:18" s="13" customFormat="1" x14ac:dyDescent="0.25">
      <c r="A161" s="229"/>
      <c r="B161" s="30" t="s">
        <v>93</v>
      </c>
      <c r="C161" s="181" t="s">
        <v>17</v>
      </c>
      <c r="D161" s="182"/>
      <c r="E161" s="183" t="s">
        <v>94</v>
      </c>
      <c r="F161" s="73" t="s">
        <v>130</v>
      </c>
      <c r="G161" s="230" t="s">
        <v>114</v>
      </c>
      <c r="H161" s="181"/>
      <c r="I161" s="231"/>
      <c r="J161" s="190"/>
      <c r="K161" s="77"/>
      <c r="L161" s="77"/>
      <c r="M161" s="187">
        <f t="shared" ref="M161" si="18">K161-L161</f>
        <v>0</v>
      </c>
      <c r="N161" s="100"/>
      <c r="O161" s="224"/>
      <c r="P161" s="224"/>
      <c r="Q161" s="232">
        <f t="shared" si="13"/>
        <v>0</v>
      </c>
    </row>
    <row r="162" spans="1:18" s="13" customFormat="1" x14ac:dyDescent="0.25">
      <c r="A162" s="229"/>
      <c r="B162" s="30" t="s">
        <v>93</v>
      </c>
      <c r="C162" s="181" t="s">
        <v>17</v>
      </c>
      <c r="D162" s="182"/>
      <c r="E162" s="183" t="s">
        <v>94</v>
      </c>
      <c r="F162" s="73" t="s">
        <v>240</v>
      </c>
      <c r="G162" s="230" t="s">
        <v>118</v>
      </c>
      <c r="H162" s="181"/>
      <c r="I162" s="231"/>
      <c r="J162" s="96"/>
      <c r="K162" s="77"/>
      <c r="L162" s="77"/>
      <c r="M162" s="78">
        <f t="shared" si="16"/>
        <v>0</v>
      </c>
      <c r="N162" s="100"/>
      <c r="O162" s="224"/>
      <c r="P162" s="224"/>
      <c r="Q162" s="232">
        <f t="shared" si="13"/>
        <v>0</v>
      </c>
    </row>
    <row r="163" spans="1:18" s="13" customFormat="1" x14ac:dyDescent="0.25">
      <c r="A163" s="229"/>
      <c r="B163" s="30" t="s">
        <v>95</v>
      </c>
      <c r="C163" s="181" t="s">
        <v>17</v>
      </c>
      <c r="D163" s="182"/>
      <c r="E163" s="194" t="s">
        <v>20</v>
      </c>
      <c r="F163" s="73" t="s">
        <v>404</v>
      </c>
      <c r="G163" s="74" t="s">
        <v>112</v>
      </c>
      <c r="H163" s="75">
        <v>17</v>
      </c>
      <c r="I163" s="76">
        <v>11</v>
      </c>
      <c r="J163" s="96">
        <f>1+4+4+5+2</f>
        <v>16</v>
      </c>
      <c r="K163" s="77">
        <f>1061.35+5770.05+5238.9+6606.04</f>
        <v>18676.34</v>
      </c>
      <c r="L163" s="77">
        <f>1061.35+5770.05+5238.9</f>
        <v>12070.3</v>
      </c>
      <c r="M163" s="78">
        <f>K163-L163</f>
        <v>6606.0400000000009</v>
      </c>
      <c r="N163" s="100">
        <f>1+6+1+4+1+1</f>
        <v>14</v>
      </c>
      <c r="O163" s="81">
        <f>11603.82+7559.28+6777.29+24757.02</f>
        <v>50697.41</v>
      </c>
      <c r="P163" s="81">
        <f>11603.82+7559.28+6777.29+24757.02</f>
        <v>50697.41</v>
      </c>
      <c r="Q163" s="79">
        <f t="shared" si="13"/>
        <v>0</v>
      </c>
      <c r="R163" s="141"/>
    </row>
    <row r="164" spans="1:18" s="13" customFormat="1" x14ac:dyDescent="0.25">
      <c r="A164" s="229"/>
      <c r="B164" s="30" t="s">
        <v>95</v>
      </c>
      <c r="C164" s="181" t="s">
        <v>17</v>
      </c>
      <c r="D164" s="182"/>
      <c r="E164" s="194" t="s">
        <v>20</v>
      </c>
      <c r="F164" s="73" t="s">
        <v>291</v>
      </c>
      <c r="G164" s="230" t="s">
        <v>114</v>
      </c>
      <c r="H164" s="181">
        <v>8</v>
      </c>
      <c r="I164" s="231">
        <v>2</v>
      </c>
      <c r="J164" s="190">
        <v>2</v>
      </c>
      <c r="K164" s="77">
        <v>2356.8000000000002</v>
      </c>
      <c r="L164" s="77">
        <v>2356.8000000000002</v>
      </c>
      <c r="M164" s="187">
        <f t="shared" ref="M164" si="19">K164-L164</f>
        <v>0</v>
      </c>
      <c r="N164" s="100">
        <v>12</v>
      </c>
      <c r="O164" s="224">
        <v>29189.15</v>
      </c>
      <c r="P164" s="224">
        <v>29189.15</v>
      </c>
      <c r="Q164" s="232">
        <f t="shared" si="13"/>
        <v>0</v>
      </c>
    </row>
    <row r="165" spans="1:18" s="13" customFormat="1" x14ac:dyDescent="0.25">
      <c r="A165" s="229"/>
      <c r="B165" s="30" t="s">
        <v>96</v>
      </c>
      <c r="C165" s="181" t="s">
        <v>17</v>
      </c>
      <c r="D165" s="182"/>
      <c r="E165" s="194" t="s">
        <v>97</v>
      </c>
      <c r="F165" s="73" t="s">
        <v>405</v>
      </c>
      <c r="G165" s="74" t="s">
        <v>112</v>
      </c>
      <c r="H165" s="75">
        <v>1</v>
      </c>
      <c r="I165" s="76">
        <v>1</v>
      </c>
      <c r="J165" s="96">
        <f>2</f>
        <v>2</v>
      </c>
      <c r="K165" s="77"/>
      <c r="L165" s="77"/>
      <c r="M165" s="78">
        <f>K165-L165</f>
        <v>0</v>
      </c>
      <c r="N165" s="103">
        <f>1+2+1</f>
        <v>4</v>
      </c>
      <c r="O165" s="77">
        <f>1742.31+9358.48</f>
        <v>11100.789999999999</v>
      </c>
      <c r="P165" s="77">
        <f>1742.31+9358.48</f>
        <v>11100.789999999999</v>
      </c>
      <c r="Q165" s="79">
        <f t="shared" si="13"/>
        <v>0</v>
      </c>
      <c r="R165" s="141"/>
    </row>
    <row r="166" spans="1:18" s="13" customFormat="1" x14ac:dyDescent="0.25">
      <c r="A166" s="229"/>
      <c r="B166" s="30" t="s">
        <v>96</v>
      </c>
      <c r="C166" s="181" t="s">
        <v>17</v>
      </c>
      <c r="D166" s="182"/>
      <c r="E166" s="194" t="s">
        <v>97</v>
      </c>
      <c r="F166" s="73" t="s">
        <v>468</v>
      </c>
      <c r="G166" s="230" t="s">
        <v>114</v>
      </c>
      <c r="H166" s="181">
        <v>1</v>
      </c>
      <c r="I166" s="231"/>
      <c r="J166" s="190"/>
      <c r="K166" s="77"/>
      <c r="L166" s="77"/>
      <c r="M166" s="187">
        <f t="shared" ref="M166" si="20">K166-L166</f>
        <v>0</v>
      </c>
      <c r="N166" s="100">
        <v>4</v>
      </c>
      <c r="O166" s="224">
        <v>8676.6</v>
      </c>
      <c r="P166" s="224">
        <v>8676.6</v>
      </c>
      <c r="Q166" s="232">
        <f t="shared" si="13"/>
        <v>0</v>
      </c>
    </row>
    <row r="167" spans="1:18" s="13" customFormat="1" x14ac:dyDescent="0.25">
      <c r="A167" s="229"/>
      <c r="B167" s="30" t="s">
        <v>98</v>
      </c>
      <c r="C167" s="181" t="s">
        <v>17</v>
      </c>
      <c r="D167" s="182"/>
      <c r="E167" s="194" t="s">
        <v>35</v>
      </c>
      <c r="F167" s="73" t="s">
        <v>406</v>
      </c>
      <c r="G167" s="74" t="s">
        <v>112</v>
      </c>
      <c r="H167" s="75">
        <v>35</v>
      </c>
      <c r="I167" s="76">
        <v>22</v>
      </c>
      <c r="J167" s="96">
        <f>1+2+1+1+4+4+1+2</f>
        <v>16</v>
      </c>
      <c r="K167" s="77">
        <f>845.24+1764.25+8353.03+1298.98+7610.68+13826.64+2752.31+9720.26+116979.76-2616.91+4851.2</f>
        <v>165385.44</v>
      </c>
      <c r="L167" s="77">
        <f>845.24+1764.25+8353.03+1298.98+7610.68+13826.64+2752.31+9720.26+116979.76-2616.91+4851.2</f>
        <v>165385.44</v>
      </c>
      <c r="M167" s="78">
        <f>K167-L167</f>
        <v>0</v>
      </c>
      <c r="N167" s="100">
        <f>9+1+1+4+2+1+2+4+2+1+1</f>
        <v>28</v>
      </c>
      <c r="O167" s="81">
        <f>76864.27+883.08</f>
        <v>77747.350000000006</v>
      </c>
      <c r="P167" s="81">
        <v>76864.27</v>
      </c>
      <c r="Q167" s="79">
        <f t="shared" si="13"/>
        <v>883.08000000000175</v>
      </c>
      <c r="R167" s="141"/>
    </row>
    <row r="168" spans="1:18" s="13" customFormat="1" x14ac:dyDescent="0.25">
      <c r="A168" s="229"/>
      <c r="B168" s="30" t="s">
        <v>98</v>
      </c>
      <c r="C168" s="181" t="s">
        <v>17</v>
      </c>
      <c r="D168" s="182"/>
      <c r="E168" s="194" t="s">
        <v>35</v>
      </c>
      <c r="F168" s="73" t="s">
        <v>435</v>
      </c>
      <c r="G168" s="235" t="s">
        <v>117</v>
      </c>
      <c r="H168" s="181">
        <v>6</v>
      </c>
      <c r="I168" s="231">
        <v>2</v>
      </c>
      <c r="J168" s="96">
        <v>2</v>
      </c>
      <c r="K168" s="77">
        <v>2486.83</v>
      </c>
      <c r="L168" s="77">
        <v>2486.83</v>
      </c>
      <c r="M168" s="78">
        <f t="shared" si="16"/>
        <v>0</v>
      </c>
      <c r="N168" s="100">
        <v>5</v>
      </c>
      <c r="O168" s="77">
        <v>18950.45</v>
      </c>
      <c r="P168" s="77">
        <v>18950.45</v>
      </c>
      <c r="Q168" s="232">
        <f t="shared" si="13"/>
        <v>0</v>
      </c>
    </row>
    <row r="169" spans="1:18" s="13" customFormat="1" x14ac:dyDescent="0.25">
      <c r="A169" s="229"/>
      <c r="B169" s="30" t="s">
        <v>488</v>
      </c>
      <c r="C169" s="181" t="s">
        <v>17</v>
      </c>
      <c r="D169" s="182"/>
      <c r="E169" s="194" t="s">
        <v>97</v>
      </c>
      <c r="F169" s="73" t="s">
        <v>498</v>
      </c>
      <c r="G169" s="235" t="s">
        <v>112</v>
      </c>
      <c r="H169" s="181">
        <v>14</v>
      </c>
      <c r="I169" s="231">
        <v>6</v>
      </c>
      <c r="J169" s="96">
        <f>4+1+1</f>
        <v>6</v>
      </c>
      <c r="K169" s="77">
        <f>1535.8+576.3+802.8</f>
        <v>2914.8999999999996</v>
      </c>
      <c r="L169" s="77">
        <f>1535.8+576.3+802.8</f>
        <v>2914.8999999999996</v>
      </c>
      <c r="M169" s="78">
        <f t="shared" si="16"/>
        <v>0</v>
      </c>
      <c r="N169" s="100"/>
      <c r="O169" s="77"/>
      <c r="P169" s="77"/>
      <c r="Q169" s="232"/>
    </row>
    <row r="170" spans="1:18" s="15" customFormat="1" x14ac:dyDescent="0.25">
      <c r="A170" s="229"/>
      <c r="B170" s="30" t="s">
        <v>99</v>
      </c>
      <c r="C170" s="181" t="s">
        <v>17</v>
      </c>
      <c r="D170" s="182"/>
      <c r="E170" s="183" t="s">
        <v>32</v>
      </c>
      <c r="F170" s="73" t="s">
        <v>418</v>
      </c>
      <c r="G170" s="74" t="s">
        <v>112</v>
      </c>
      <c r="H170" s="75"/>
      <c r="I170" s="76"/>
      <c r="J170" s="96"/>
      <c r="K170" s="77"/>
      <c r="L170" s="77"/>
      <c r="M170" s="78">
        <f t="shared" si="16"/>
        <v>0</v>
      </c>
      <c r="N170" s="100"/>
      <c r="O170" s="81"/>
      <c r="P170" s="81"/>
      <c r="Q170" s="79">
        <f t="shared" si="13"/>
        <v>0</v>
      </c>
      <c r="R170" s="141"/>
    </row>
    <row r="171" spans="1:18" s="15" customFormat="1" x14ac:dyDescent="0.25">
      <c r="A171" s="229"/>
      <c r="B171" s="30" t="s">
        <v>99</v>
      </c>
      <c r="C171" s="181" t="s">
        <v>17</v>
      </c>
      <c r="D171" s="182"/>
      <c r="E171" s="183" t="s">
        <v>32</v>
      </c>
      <c r="F171" s="73" t="s">
        <v>423</v>
      </c>
      <c r="G171" s="235" t="s">
        <v>117</v>
      </c>
      <c r="H171" s="181"/>
      <c r="I171" s="231"/>
      <c r="J171" s="190"/>
      <c r="K171" s="77"/>
      <c r="L171" s="77"/>
      <c r="M171" s="78">
        <f t="shared" si="16"/>
        <v>0</v>
      </c>
      <c r="N171" s="114"/>
      <c r="O171" s="77"/>
      <c r="P171" s="77"/>
      <c r="Q171" s="232">
        <f t="shared" si="13"/>
        <v>0</v>
      </c>
    </row>
    <row r="172" spans="1:18" s="15" customFormat="1" ht="30" x14ac:dyDescent="0.25">
      <c r="A172" s="229"/>
      <c r="B172" s="30" t="s">
        <v>144</v>
      </c>
      <c r="C172" s="181" t="s">
        <v>304</v>
      </c>
      <c r="D172" s="182" t="s">
        <v>313</v>
      </c>
      <c r="E172" s="194" t="s">
        <v>97</v>
      </c>
      <c r="F172" s="73" t="s">
        <v>407</v>
      </c>
      <c r="G172" s="66" t="s">
        <v>112</v>
      </c>
      <c r="H172" s="75">
        <v>19</v>
      </c>
      <c r="I172" s="76">
        <v>18</v>
      </c>
      <c r="J172" s="98">
        <f>2+2+1+3+1+1+5+2+1+4</f>
        <v>22</v>
      </c>
      <c r="K172" s="77">
        <f>950.9+1449.39+2272.32+2785.92+5112.01+6655.23+3700.19</f>
        <v>22925.96</v>
      </c>
      <c r="L172" s="77">
        <f>950.9+1449.39+2272.32+2785.92+5112.01+6655.23</f>
        <v>19225.77</v>
      </c>
      <c r="M172" s="78">
        <f>K172-L172</f>
        <v>3700.1899999999987</v>
      </c>
      <c r="N172" s="100">
        <f>3+2+1+1+1+1</f>
        <v>9</v>
      </c>
      <c r="O172" s="77">
        <f>5020.57+5566.06+2694.94+845.24</f>
        <v>14126.810000000001</v>
      </c>
      <c r="P172" s="77">
        <f>5020.57+5566.06+2694.94+845.24</f>
        <v>14126.810000000001</v>
      </c>
      <c r="Q172" s="79">
        <f t="shared" si="13"/>
        <v>0</v>
      </c>
      <c r="R172" s="141"/>
    </row>
    <row r="173" spans="1:18" s="15" customFormat="1" x14ac:dyDescent="0.25">
      <c r="A173" s="229"/>
      <c r="B173" s="30" t="s">
        <v>488</v>
      </c>
      <c r="C173" s="181"/>
      <c r="D173" s="182"/>
      <c r="E173" s="194"/>
      <c r="F173" s="73" t="s">
        <v>509</v>
      </c>
      <c r="G173" s="66" t="s">
        <v>114</v>
      </c>
      <c r="H173" s="75">
        <v>23</v>
      </c>
      <c r="I173" s="76">
        <v>8</v>
      </c>
      <c r="J173" s="98">
        <v>8</v>
      </c>
      <c r="K173" s="77">
        <v>13216.48</v>
      </c>
      <c r="L173" s="77">
        <v>13216.48</v>
      </c>
      <c r="M173" s="187">
        <f t="shared" ref="M173:M176" si="21">K173-L173</f>
        <v>0</v>
      </c>
      <c r="N173" s="100"/>
      <c r="O173" s="77"/>
      <c r="P173" s="77"/>
      <c r="Q173" s="232">
        <f t="shared" si="13"/>
        <v>0</v>
      </c>
    </row>
    <row r="174" spans="1:18" s="15" customFormat="1" x14ac:dyDescent="0.25">
      <c r="A174" s="229"/>
      <c r="B174" s="30" t="s">
        <v>514</v>
      </c>
      <c r="C174" s="181"/>
      <c r="D174" s="182"/>
      <c r="E174" s="194" t="s">
        <v>18</v>
      </c>
      <c r="F174" s="73"/>
      <c r="G174" s="66" t="s">
        <v>113</v>
      </c>
      <c r="H174" s="75">
        <v>1</v>
      </c>
      <c r="I174" s="76"/>
      <c r="J174" s="98"/>
      <c r="K174" s="77"/>
      <c r="L174" s="77"/>
      <c r="M174" s="187"/>
      <c r="N174" s="100"/>
      <c r="O174" s="77"/>
      <c r="P174" s="77"/>
      <c r="Q174" s="232"/>
    </row>
    <row r="175" spans="1:18" s="15" customFormat="1" x14ac:dyDescent="0.25">
      <c r="A175" s="229"/>
      <c r="B175" s="30" t="s">
        <v>488</v>
      </c>
      <c r="C175" s="181"/>
      <c r="D175" s="182"/>
      <c r="E175" s="194"/>
      <c r="F175" s="73" t="s">
        <v>512</v>
      </c>
      <c r="G175" s="66" t="s">
        <v>113</v>
      </c>
      <c r="H175" s="75">
        <v>11</v>
      </c>
      <c r="I175" s="76">
        <v>7</v>
      </c>
      <c r="J175" s="98">
        <v>7</v>
      </c>
      <c r="K175" s="77">
        <v>12080</v>
      </c>
      <c r="L175" s="77">
        <v>7271</v>
      </c>
      <c r="M175" s="78">
        <f t="shared" si="21"/>
        <v>4809</v>
      </c>
      <c r="N175" s="100"/>
      <c r="O175" s="77"/>
      <c r="P175" s="77"/>
      <c r="Q175" s="79"/>
    </row>
    <row r="176" spans="1:18" s="15" customFormat="1" ht="30" x14ac:dyDescent="0.25">
      <c r="A176" s="229"/>
      <c r="B176" s="238" t="s">
        <v>144</v>
      </c>
      <c r="C176" s="181" t="s">
        <v>446</v>
      </c>
      <c r="D176" s="182" t="s">
        <v>313</v>
      </c>
      <c r="E176" s="183" t="s">
        <v>20</v>
      </c>
      <c r="F176" s="73" t="s">
        <v>485</v>
      </c>
      <c r="G176" s="235" t="s">
        <v>114</v>
      </c>
      <c r="H176" s="181">
        <v>31</v>
      </c>
      <c r="I176" s="234">
        <v>11</v>
      </c>
      <c r="J176" s="202">
        <v>11</v>
      </c>
      <c r="K176" s="77">
        <v>35181.31</v>
      </c>
      <c r="L176" s="77">
        <v>26994.22</v>
      </c>
      <c r="M176" s="187">
        <f t="shared" si="21"/>
        <v>8187.0899999999965</v>
      </c>
      <c r="N176" s="100">
        <v>21</v>
      </c>
      <c r="O176" s="224">
        <v>53276.800000000003</v>
      </c>
      <c r="P176" s="224">
        <v>53276.800000000003</v>
      </c>
      <c r="Q176" s="232">
        <f t="shared" ref="Q176" si="22">O176-P176</f>
        <v>0</v>
      </c>
    </row>
    <row r="177" spans="1:18" s="21" customFormat="1" ht="45" x14ac:dyDescent="0.25">
      <c r="A177" s="181"/>
      <c r="B177" s="30" t="s">
        <v>100</v>
      </c>
      <c r="C177" s="181" t="s">
        <v>304</v>
      </c>
      <c r="D177" s="182" t="s">
        <v>416</v>
      </c>
      <c r="E177" s="194" t="s">
        <v>20</v>
      </c>
      <c r="F177" s="73" t="s">
        <v>408</v>
      </c>
      <c r="G177" s="27" t="s">
        <v>112</v>
      </c>
      <c r="H177" s="75">
        <v>23</v>
      </c>
      <c r="I177" s="76">
        <v>14</v>
      </c>
      <c r="J177" s="98">
        <f>5+1+4+6</f>
        <v>16</v>
      </c>
      <c r="K177" s="86">
        <f>6524.55+600.31+19349.45+15377.18</f>
        <v>41851.490000000005</v>
      </c>
      <c r="L177" s="86">
        <f>6524.55+600.31+19349.45+15377.18</f>
        <v>41851.490000000005</v>
      </c>
      <c r="M177" s="78">
        <f>K177-L177</f>
        <v>0</v>
      </c>
      <c r="N177" s="100">
        <f>1+3+2+3</f>
        <v>9</v>
      </c>
      <c r="O177" s="87">
        <f>10770.58+2113.01+3508.24+19305.88</f>
        <v>35697.710000000006</v>
      </c>
      <c r="P177" s="87">
        <f>10770.58+2113.01+3508.24+19305.88</f>
        <v>35697.710000000006</v>
      </c>
      <c r="Q177" s="79">
        <f t="shared" si="13"/>
        <v>0</v>
      </c>
      <c r="R177" s="141"/>
    </row>
    <row r="178" spans="1:18" s="21" customFormat="1" ht="60" x14ac:dyDescent="0.25">
      <c r="A178" s="181"/>
      <c r="B178" s="30" t="s">
        <v>100</v>
      </c>
      <c r="C178" s="203" t="s">
        <v>125</v>
      </c>
      <c r="D178" s="182" t="s">
        <v>126</v>
      </c>
      <c r="E178" s="194" t="s">
        <v>20</v>
      </c>
      <c r="F178" s="73" t="s">
        <v>486</v>
      </c>
      <c r="G178" s="236" t="s">
        <v>114</v>
      </c>
      <c r="H178" s="181">
        <v>10</v>
      </c>
      <c r="I178" s="234"/>
      <c r="J178" s="202"/>
      <c r="K178" s="86"/>
      <c r="L178" s="86"/>
      <c r="M178" s="187">
        <f t="shared" ref="M178" si="23">K178-L178</f>
        <v>0</v>
      </c>
      <c r="N178" s="100"/>
      <c r="O178" s="239">
        <v>71568.429999999993</v>
      </c>
      <c r="P178" s="239">
        <v>36488.1</v>
      </c>
      <c r="Q178" s="232">
        <f t="shared" si="13"/>
        <v>35080.329999999994</v>
      </c>
    </row>
    <row r="179" spans="1:18" s="13" customFormat="1" x14ac:dyDescent="0.25">
      <c r="A179" s="229"/>
      <c r="B179" s="62" t="s">
        <v>101</v>
      </c>
      <c r="C179" s="181" t="s">
        <v>17</v>
      </c>
      <c r="D179" s="182"/>
      <c r="E179" s="194" t="s">
        <v>20</v>
      </c>
      <c r="F179" s="73" t="s">
        <v>409</v>
      </c>
      <c r="G179" s="74" t="s">
        <v>112</v>
      </c>
      <c r="H179" s="75">
        <v>12</v>
      </c>
      <c r="I179" s="76">
        <v>8</v>
      </c>
      <c r="J179" s="96">
        <f>1+5+1+1+2+2</f>
        <v>12</v>
      </c>
      <c r="K179" s="77">
        <f>1045.98+3354.45+1225.93+742.59</f>
        <v>6368.9500000000007</v>
      </c>
      <c r="L179" s="77">
        <f>1045.98+3354.45+1225.93+742.59</f>
        <v>6368.9500000000007</v>
      </c>
      <c r="M179" s="78">
        <f t="shared" si="16"/>
        <v>0</v>
      </c>
      <c r="N179" s="100">
        <f>5+2+1+1</f>
        <v>9</v>
      </c>
      <c r="O179" s="81">
        <f>6288.07+3061.62+3426.18+12951.18</f>
        <v>25727.05</v>
      </c>
      <c r="P179" s="81">
        <f>6288.07+3061.62+3426.18+12951.18</f>
        <v>25727.05</v>
      </c>
      <c r="Q179" s="79">
        <f t="shared" si="13"/>
        <v>0</v>
      </c>
      <c r="R179" s="141"/>
    </row>
    <row r="180" spans="1:18" s="13" customFormat="1" x14ac:dyDescent="0.25">
      <c r="A180" s="229"/>
      <c r="B180" s="62" t="s">
        <v>146</v>
      </c>
      <c r="C180" s="181" t="s">
        <v>17</v>
      </c>
      <c r="D180" s="182"/>
      <c r="E180" s="194" t="s">
        <v>20</v>
      </c>
      <c r="F180" s="73" t="s">
        <v>410</v>
      </c>
      <c r="G180" s="74" t="s">
        <v>112</v>
      </c>
      <c r="H180" s="75">
        <v>13</v>
      </c>
      <c r="I180" s="76">
        <v>10</v>
      </c>
      <c r="J180" s="96">
        <f>4+1+1+2+1+2+1</f>
        <v>12</v>
      </c>
      <c r="K180" s="77">
        <f>4610.77+1568.98+1854.88+422.62+1334.13+2599.07+5262.18</f>
        <v>17652.63</v>
      </c>
      <c r="L180" s="77">
        <f>4610.77+1568.98+1854.88+422.62+1334.13+2599.07</f>
        <v>12390.45</v>
      </c>
      <c r="M180" s="78">
        <f t="shared" si="16"/>
        <v>5262.18</v>
      </c>
      <c r="N180" s="100">
        <f>5+1+1+2+1+1</f>
        <v>11</v>
      </c>
      <c r="O180" s="81">
        <f>13579.06+1287.07+2636.18+26196.83</f>
        <v>43699.14</v>
      </c>
      <c r="P180" s="81">
        <f>13579.06+1287.07+2636.18+26196.83</f>
        <v>43699.14</v>
      </c>
      <c r="Q180" s="232">
        <f t="shared" si="13"/>
        <v>0</v>
      </c>
      <c r="R180" s="141"/>
    </row>
    <row r="181" spans="1:18" s="13" customFormat="1" x14ac:dyDescent="0.25">
      <c r="A181" s="229"/>
      <c r="B181" s="62" t="s">
        <v>146</v>
      </c>
      <c r="C181" s="181" t="s">
        <v>17</v>
      </c>
      <c r="D181" s="182"/>
      <c r="E181" s="183" t="s">
        <v>21</v>
      </c>
      <c r="F181" s="73" t="s">
        <v>443</v>
      </c>
      <c r="G181" s="230" t="s">
        <v>118</v>
      </c>
      <c r="H181" s="181">
        <v>10</v>
      </c>
      <c r="I181" s="234">
        <v>2</v>
      </c>
      <c r="J181" s="190">
        <v>2</v>
      </c>
      <c r="K181" s="193">
        <v>1754.7</v>
      </c>
      <c r="L181" s="193">
        <v>1754.7</v>
      </c>
      <c r="M181" s="187">
        <f t="shared" si="16"/>
        <v>0</v>
      </c>
      <c r="N181" s="114">
        <v>5</v>
      </c>
      <c r="O181" s="224">
        <v>5349.99</v>
      </c>
      <c r="P181" s="224">
        <v>5349.99</v>
      </c>
      <c r="Q181" s="79">
        <f t="shared" si="13"/>
        <v>0</v>
      </c>
    </row>
    <row r="182" spans="1:18" s="13" customFormat="1" x14ac:dyDescent="0.25">
      <c r="A182" s="229"/>
      <c r="B182" s="27" t="s">
        <v>102</v>
      </c>
      <c r="C182" s="181" t="s">
        <v>17</v>
      </c>
      <c r="D182" s="182"/>
      <c r="E182" s="194" t="s">
        <v>20</v>
      </c>
      <c r="F182" s="73" t="s">
        <v>411</v>
      </c>
      <c r="G182" s="74" t="s">
        <v>112</v>
      </c>
      <c r="H182" s="75">
        <v>12</v>
      </c>
      <c r="I182" s="76">
        <v>8</v>
      </c>
      <c r="J182" s="96">
        <f>1+1+2+1+2+1</f>
        <v>8</v>
      </c>
      <c r="K182" s="77">
        <f>845.24+845.24+1690.48+1394.65+2689.38+1324.62</f>
        <v>8789.61</v>
      </c>
      <c r="L182" s="77">
        <f>845.24+845.24+1690.48+1394.65+2689.38</f>
        <v>7464.9900000000007</v>
      </c>
      <c r="M182" s="78">
        <f>K182-L182</f>
        <v>1324.62</v>
      </c>
      <c r="N182" s="100">
        <f>3+1+1+1</f>
        <v>6</v>
      </c>
      <c r="O182" s="81">
        <f>7808.21+30833.77-12193.52+9963.17+5385.9</f>
        <v>41797.530000000006</v>
      </c>
      <c r="P182" s="81">
        <f>7808.21+30833.77-12193.52+9963.17</f>
        <v>36411.630000000005</v>
      </c>
      <c r="Q182" s="232">
        <f t="shared" si="13"/>
        <v>5385.9000000000015</v>
      </c>
      <c r="R182" s="141"/>
    </row>
    <row r="183" spans="1:18" s="13" customFormat="1" x14ac:dyDescent="0.25">
      <c r="A183" s="229"/>
      <c r="B183" s="27" t="s">
        <v>102</v>
      </c>
      <c r="C183" s="181" t="s">
        <v>17</v>
      </c>
      <c r="D183" s="182"/>
      <c r="E183" s="194" t="s">
        <v>20</v>
      </c>
      <c r="F183" s="73" t="s">
        <v>469</v>
      </c>
      <c r="G183" s="230" t="s">
        <v>114</v>
      </c>
      <c r="H183" s="181">
        <v>10</v>
      </c>
      <c r="I183" s="231">
        <v>3</v>
      </c>
      <c r="J183" s="190">
        <v>3</v>
      </c>
      <c r="K183" s="77">
        <v>1267.8599999999999</v>
      </c>
      <c r="L183" s="77">
        <v>1267.8599999999999</v>
      </c>
      <c r="M183" s="187">
        <f t="shared" ref="M183" si="24">K183-L183</f>
        <v>0</v>
      </c>
      <c r="N183" s="100">
        <v>8</v>
      </c>
      <c r="O183" s="224">
        <v>31795.42</v>
      </c>
      <c r="P183" s="224">
        <v>24770.92</v>
      </c>
      <c r="Q183" s="232">
        <f t="shared" si="13"/>
        <v>7024.5</v>
      </c>
    </row>
    <row r="184" spans="1:18" s="13" customFormat="1" x14ac:dyDescent="0.25">
      <c r="A184" s="229"/>
      <c r="B184" s="27" t="s">
        <v>103</v>
      </c>
      <c r="C184" s="181" t="s">
        <v>17</v>
      </c>
      <c r="D184" s="182"/>
      <c r="E184" s="183" t="s">
        <v>20</v>
      </c>
      <c r="F184" s="73" t="s">
        <v>412</v>
      </c>
      <c r="G184" s="74" t="s">
        <v>112</v>
      </c>
      <c r="H184" s="75">
        <v>14</v>
      </c>
      <c r="I184" s="76">
        <v>9</v>
      </c>
      <c r="J184" s="96">
        <f>4+1+2+3+1</f>
        <v>11</v>
      </c>
      <c r="K184" s="77">
        <f>16248.67+1092.81+2003.49</f>
        <v>19344.97</v>
      </c>
      <c r="L184" s="77">
        <f>16248.67+1092.81+2003.49</f>
        <v>19344.97</v>
      </c>
      <c r="M184" s="78">
        <f>K184-L184</f>
        <v>0</v>
      </c>
      <c r="N184" s="100">
        <f>7+2+1+1+2+1</f>
        <v>14</v>
      </c>
      <c r="O184" s="77">
        <f>20193.14+7541.5</f>
        <v>27734.639999999999</v>
      </c>
      <c r="P184" s="77">
        <f>20193.14+7541.5</f>
        <v>27734.639999999999</v>
      </c>
      <c r="Q184" s="232">
        <f t="shared" si="13"/>
        <v>0</v>
      </c>
      <c r="R184" s="141"/>
    </row>
    <row r="185" spans="1:18" s="13" customFormat="1" x14ac:dyDescent="0.25">
      <c r="A185" s="229"/>
      <c r="B185" s="27" t="s">
        <v>103</v>
      </c>
      <c r="C185" s="181" t="s">
        <v>17</v>
      </c>
      <c r="D185" s="182"/>
      <c r="E185" s="183" t="s">
        <v>20</v>
      </c>
      <c r="F185" s="73" t="s">
        <v>470</v>
      </c>
      <c r="G185" s="230" t="s">
        <v>114</v>
      </c>
      <c r="H185" s="181">
        <v>13</v>
      </c>
      <c r="I185" s="231">
        <v>3</v>
      </c>
      <c r="J185" s="190">
        <v>3</v>
      </c>
      <c r="K185" s="77">
        <v>4940.1000000000004</v>
      </c>
      <c r="L185" s="77">
        <v>4940.1000000000004</v>
      </c>
      <c r="M185" s="187">
        <f t="shared" ref="M185:M187" si="25">K185-L185</f>
        <v>0</v>
      </c>
      <c r="N185" s="100">
        <v>4</v>
      </c>
      <c r="O185" s="224">
        <v>10431.89</v>
      </c>
      <c r="P185" s="224">
        <v>10431.89</v>
      </c>
      <c r="Q185" s="232">
        <f t="shared" si="13"/>
        <v>0</v>
      </c>
    </row>
    <row r="186" spans="1:18" s="15" customFormat="1" x14ac:dyDescent="0.25">
      <c r="A186" s="229"/>
      <c r="B186" s="27" t="s">
        <v>104</v>
      </c>
      <c r="C186" s="181" t="s">
        <v>17</v>
      </c>
      <c r="D186" s="182"/>
      <c r="E186" s="183" t="s">
        <v>20</v>
      </c>
      <c r="F186" s="73" t="s">
        <v>413</v>
      </c>
      <c r="G186" s="74" t="s">
        <v>112</v>
      </c>
      <c r="H186" s="75">
        <v>14</v>
      </c>
      <c r="I186" s="76">
        <v>12</v>
      </c>
      <c r="J186" s="96">
        <f>3+1+2+4+1+1</f>
        <v>12</v>
      </c>
      <c r="K186" s="77">
        <f>5112.82+422.64+8302.14+1605.5+1092.81</f>
        <v>16535.91</v>
      </c>
      <c r="L186" s="77">
        <f>5112.82+422.64+8302.14+1605.5</f>
        <v>15443.099999999999</v>
      </c>
      <c r="M186" s="78">
        <f>K186-L186</f>
        <v>1092.8100000000013</v>
      </c>
      <c r="N186" s="100">
        <f>4+1+1+2</f>
        <v>8</v>
      </c>
      <c r="O186" s="81">
        <f>7087.22+3426.18+3496.22</f>
        <v>14009.619999999999</v>
      </c>
      <c r="P186" s="81">
        <f>7087.22+3426.18+3496.22</f>
        <v>14009.619999999999</v>
      </c>
      <c r="Q186" s="232">
        <f t="shared" si="13"/>
        <v>0</v>
      </c>
      <c r="R186" s="141"/>
    </row>
    <row r="187" spans="1:18" s="15" customFormat="1" x14ac:dyDescent="0.25">
      <c r="A187" s="229"/>
      <c r="B187" s="27" t="s">
        <v>104</v>
      </c>
      <c r="C187" s="181" t="s">
        <v>17</v>
      </c>
      <c r="D187" s="182"/>
      <c r="E187" s="183" t="s">
        <v>20</v>
      </c>
      <c r="F187" s="73" t="s">
        <v>471</v>
      </c>
      <c r="G187" s="230" t="s">
        <v>114</v>
      </c>
      <c r="H187" s="181">
        <v>36</v>
      </c>
      <c r="I187" s="231">
        <v>6</v>
      </c>
      <c r="J187" s="190">
        <v>6</v>
      </c>
      <c r="K187" s="77">
        <v>20374.36</v>
      </c>
      <c r="L187" s="77">
        <v>15557.56</v>
      </c>
      <c r="M187" s="187">
        <f t="shared" si="25"/>
        <v>4816.8000000000011</v>
      </c>
      <c r="N187" s="114">
        <v>18</v>
      </c>
      <c r="O187" s="224">
        <v>40887.050000000003</v>
      </c>
      <c r="P187" s="224">
        <v>40887.050000000003</v>
      </c>
      <c r="Q187" s="232">
        <f t="shared" si="13"/>
        <v>0</v>
      </c>
    </row>
    <row r="188" spans="1:18" s="13" customFormat="1" x14ac:dyDescent="0.25">
      <c r="A188" s="229"/>
      <c r="B188" s="30" t="s">
        <v>26</v>
      </c>
      <c r="C188" s="181" t="s">
        <v>17</v>
      </c>
      <c r="D188" s="182"/>
      <c r="E188" s="183" t="s">
        <v>32</v>
      </c>
      <c r="F188" s="73" t="s">
        <v>246</v>
      </c>
      <c r="G188" s="74" t="s">
        <v>117</v>
      </c>
      <c r="H188" s="75"/>
      <c r="I188" s="76"/>
      <c r="J188" s="96"/>
      <c r="K188" s="77"/>
      <c r="L188" s="77"/>
      <c r="M188" s="78">
        <f t="shared" si="16"/>
        <v>0</v>
      </c>
      <c r="N188" s="100">
        <v>5</v>
      </c>
      <c r="O188" s="81">
        <v>7808.15</v>
      </c>
      <c r="P188" s="81">
        <v>7808.15</v>
      </c>
      <c r="Q188" s="232">
        <f t="shared" si="13"/>
        <v>0</v>
      </c>
    </row>
    <row r="189" spans="1:18" s="13" customFormat="1" x14ac:dyDescent="0.25">
      <c r="A189" s="229"/>
      <c r="B189" s="62" t="s">
        <v>106</v>
      </c>
      <c r="C189" s="181" t="s">
        <v>17</v>
      </c>
      <c r="D189" s="205"/>
      <c r="E189" s="194" t="s">
        <v>20</v>
      </c>
      <c r="F189" s="73" t="s">
        <v>414</v>
      </c>
      <c r="G189" s="74" t="s">
        <v>112</v>
      </c>
      <c r="H189" s="75">
        <v>12</v>
      </c>
      <c r="I189" s="76">
        <v>6</v>
      </c>
      <c r="J189" s="96">
        <f>1+4+2</f>
        <v>7</v>
      </c>
      <c r="K189" s="77">
        <f>3125.9+1766.16</f>
        <v>4892.0600000000004</v>
      </c>
      <c r="L189" s="77">
        <f>3125.9</f>
        <v>3125.9</v>
      </c>
      <c r="M189" s="78">
        <f>K189-L189</f>
        <v>1766.1600000000003</v>
      </c>
      <c r="N189" s="100">
        <f>3+1</f>
        <v>4</v>
      </c>
      <c r="O189" s="81">
        <f>15956.85+4551.62+19965.34</f>
        <v>40473.81</v>
      </c>
      <c r="P189" s="81">
        <f>15956.85+4551.62+19965.34</f>
        <v>40473.81</v>
      </c>
      <c r="Q189" s="232">
        <f t="shared" si="13"/>
        <v>0</v>
      </c>
      <c r="R189" s="141"/>
    </row>
    <row r="190" spans="1:18" x14ac:dyDescent="0.25">
      <c r="A190" s="266"/>
      <c r="B190" s="66"/>
      <c r="C190" s="267"/>
      <c r="D190" s="235"/>
      <c r="E190" s="235"/>
      <c r="F190" s="73"/>
      <c r="G190" s="235" t="s">
        <v>131</v>
      </c>
      <c r="H190" s="240">
        <f>SUM(H10:H189)</f>
        <v>2467</v>
      </c>
      <c r="I190" s="265">
        <f>SUM(I10:I189)</f>
        <v>1325</v>
      </c>
      <c r="J190" s="208">
        <f>SUM(J10:J189)</f>
        <v>1611</v>
      </c>
      <c r="K190" s="209">
        <f>SUM(K10:K189)</f>
        <v>2908314.3850000002</v>
      </c>
      <c r="L190" s="209">
        <f>SUM(L10:L189)</f>
        <v>2602210.0450000009</v>
      </c>
      <c r="M190" s="210">
        <f>K190-L190</f>
        <v>306104.33999999939</v>
      </c>
      <c r="N190" s="208">
        <f>SUM(N10:N189)</f>
        <v>1738</v>
      </c>
      <c r="O190" s="241">
        <f>SUM(O10:O189)</f>
        <v>5489242.0500000007</v>
      </c>
      <c r="P190" s="241">
        <f>SUM(P10:P189)</f>
        <v>5289948.3899999987</v>
      </c>
      <c r="Q190" s="79">
        <f t="shared" si="13"/>
        <v>199293.66000000201</v>
      </c>
      <c r="R190" s="129"/>
    </row>
    <row r="191" spans="1:18" x14ac:dyDescent="0.25">
      <c r="K191" s="91" t="s">
        <v>305</v>
      </c>
    </row>
    <row r="192" spans="1:18" ht="45" x14ac:dyDescent="0.25">
      <c r="B192" s="89" t="s">
        <v>316</v>
      </c>
      <c r="F192" s="104" t="s">
        <v>317</v>
      </c>
      <c r="M192" s="142"/>
      <c r="Q192" s="133"/>
    </row>
    <row r="193" spans="13:13" s="6" customFormat="1" x14ac:dyDescent="0.25">
      <c r="M193" s="216"/>
    </row>
  </sheetData>
  <mergeCells count="7">
    <mergeCell ref="O1:Q1"/>
    <mergeCell ref="A3:Q3"/>
    <mergeCell ref="A4:Q4"/>
    <mergeCell ref="A5:Q5"/>
    <mergeCell ref="B7:G7"/>
    <mergeCell ref="H7:M7"/>
    <mergeCell ref="N7:Q7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S193"/>
  <sheetViews>
    <sheetView topLeftCell="A43" workbookViewId="0">
      <selection activeCell="P131" sqref="P131"/>
    </sheetView>
  </sheetViews>
  <sheetFormatPr defaultRowHeight="15" x14ac:dyDescent="0.25"/>
  <cols>
    <col min="1" max="1" width="1.85546875" style="6" customWidth="1"/>
    <col min="2" max="2" width="38.28515625" style="88" customWidth="1"/>
    <col min="3" max="3" width="6.5703125" style="19" customWidth="1"/>
    <col min="4" max="4" width="17.42578125" style="19" customWidth="1"/>
    <col min="5" max="5" width="19" style="19" hidden="1" customWidth="1"/>
    <col min="6" max="6" width="19" style="89" hidden="1" customWidth="1"/>
    <col min="7" max="7" width="20.140625" style="89" hidden="1" customWidth="1"/>
    <col min="8" max="9" width="15.7109375" style="90" hidden="1" customWidth="1"/>
    <col min="10" max="10" width="15.7109375" style="99" hidden="1" customWidth="1"/>
    <col min="11" max="13" width="15.7109375" style="91" customWidth="1"/>
    <col min="14" max="14" width="15.7109375" style="99" customWidth="1"/>
    <col min="15" max="17" width="15.7109375" style="92" customWidth="1"/>
    <col min="18" max="18" width="11.7109375" style="6" customWidth="1"/>
    <col min="19" max="19" width="9.42578125" style="6" customWidth="1"/>
    <col min="20" max="21" width="9.140625" style="6" customWidth="1"/>
    <col min="22" max="16384" width="9.140625" style="6"/>
  </cols>
  <sheetData>
    <row r="1" spans="1:18" s="105" customFormat="1" x14ac:dyDescent="0.25">
      <c r="A1" s="60"/>
      <c r="B1" s="60"/>
      <c r="C1" s="225"/>
      <c r="D1" s="225"/>
      <c r="E1" s="225"/>
      <c r="F1" s="63"/>
      <c r="G1" s="63"/>
      <c r="H1" s="64"/>
      <c r="I1" s="64"/>
      <c r="J1" s="93"/>
      <c r="K1" s="65"/>
      <c r="L1" s="65"/>
      <c r="M1" s="65"/>
      <c r="N1" s="93"/>
      <c r="O1" s="362" t="s">
        <v>15</v>
      </c>
      <c r="P1" s="362"/>
      <c r="Q1" s="362"/>
    </row>
    <row r="2" spans="1:18" s="105" customFormat="1" x14ac:dyDescent="0.25">
      <c r="A2" s="269"/>
      <c r="B2" s="269"/>
      <c r="C2" s="270"/>
      <c r="D2" s="270"/>
      <c r="E2" s="270"/>
      <c r="F2" s="66"/>
      <c r="G2" s="66"/>
      <c r="H2" s="268"/>
      <c r="I2" s="268"/>
      <c r="J2" s="94"/>
      <c r="K2" s="67"/>
      <c r="L2" s="67"/>
      <c r="M2" s="67"/>
      <c r="N2" s="94"/>
      <c r="O2" s="68"/>
      <c r="P2" s="68"/>
      <c r="Q2" s="68"/>
    </row>
    <row r="3" spans="1:18" s="105" customFormat="1" x14ac:dyDescent="0.25">
      <c r="A3" s="380" t="s">
        <v>318</v>
      </c>
      <c r="B3" s="367"/>
      <c r="C3" s="380"/>
      <c r="D3" s="380"/>
      <c r="E3" s="380"/>
      <c r="F3" s="367"/>
      <c r="G3" s="367"/>
      <c r="H3" s="366"/>
      <c r="I3" s="366"/>
      <c r="J3" s="367"/>
      <c r="K3" s="367"/>
      <c r="L3" s="367"/>
      <c r="M3" s="367"/>
      <c r="N3" s="367"/>
      <c r="O3" s="367"/>
      <c r="P3" s="367"/>
      <c r="Q3" s="367"/>
    </row>
    <row r="4" spans="1:18" s="105" customFormat="1" x14ac:dyDescent="0.25">
      <c r="A4" s="381">
        <v>43731</v>
      </c>
      <c r="B4" s="373"/>
      <c r="C4" s="382"/>
      <c r="D4" s="382"/>
      <c r="E4" s="382"/>
      <c r="F4" s="373"/>
      <c r="G4" s="373"/>
      <c r="H4" s="372"/>
      <c r="I4" s="372"/>
      <c r="J4" s="373"/>
      <c r="K4" s="373"/>
      <c r="L4" s="373"/>
      <c r="M4" s="373"/>
      <c r="N4" s="373"/>
      <c r="O4" s="373"/>
      <c r="P4" s="373"/>
      <c r="Q4" s="373"/>
    </row>
    <row r="5" spans="1:18" s="105" customFormat="1" x14ac:dyDescent="0.25">
      <c r="A5" s="367" t="s">
        <v>14</v>
      </c>
      <c r="B5" s="367"/>
      <c r="C5" s="367"/>
      <c r="D5" s="367"/>
      <c r="E5" s="367"/>
      <c r="F5" s="367"/>
      <c r="G5" s="367"/>
      <c r="H5" s="366"/>
      <c r="I5" s="366"/>
      <c r="J5" s="367"/>
      <c r="K5" s="367"/>
      <c r="L5" s="367"/>
      <c r="M5" s="367"/>
      <c r="N5" s="367"/>
      <c r="O5" s="367"/>
      <c r="P5" s="367"/>
      <c r="Q5" s="367"/>
    </row>
    <row r="6" spans="1:18" s="105" customFormat="1" x14ac:dyDescent="0.25">
      <c r="A6" s="269"/>
      <c r="B6" s="269"/>
      <c r="C6" s="270"/>
      <c r="D6" s="270"/>
      <c r="E6" s="270"/>
      <c r="F6" s="66"/>
      <c r="G6" s="66"/>
      <c r="H6" s="268"/>
      <c r="I6" s="268"/>
      <c r="J6" s="94"/>
      <c r="K6" s="67"/>
      <c r="L6" s="67"/>
      <c r="M6" s="67"/>
      <c r="N6" s="94"/>
      <c r="O6" s="68"/>
      <c r="P6" s="68"/>
      <c r="Q6" s="68"/>
    </row>
    <row r="7" spans="1:18" x14ac:dyDescent="0.25">
      <c r="A7" s="227" t="s">
        <v>0</v>
      </c>
      <c r="B7" s="367" t="s">
        <v>10</v>
      </c>
      <c r="C7" s="380"/>
      <c r="D7" s="380"/>
      <c r="E7" s="380"/>
      <c r="F7" s="367"/>
      <c r="G7" s="367"/>
      <c r="H7" s="366" t="s">
        <v>472</v>
      </c>
      <c r="I7" s="366"/>
      <c r="J7" s="367"/>
      <c r="K7" s="367"/>
      <c r="L7" s="367"/>
      <c r="M7" s="367"/>
      <c r="N7" s="367" t="s">
        <v>132</v>
      </c>
      <c r="O7" s="367"/>
      <c r="P7" s="367"/>
      <c r="Q7" s="367"/>
    </row>
    <row r="8" spans="1:18" ht="195" x14ac:dyDescent="0.25">
      <c r="A8" s="227"/>
      <c r="B8" s="269" t="s">
        <v>4</v>
      </c>
      <c r="C8" s="270" t="s">
        <v>1</v>
      </c>
      <c r="D8" s="270" t="s">
        <v>3</v>
      </c>
      <c r="E8" s="270" t="s">
        <v>2</v>
      </c>
      <c r="F8" s="269" t="s">
        <v>6</v>
      </c>
      <c r="G8" s="66" t="s">
        <v>5</v>
      </c>
      <c r="H8" s="269" t="s">
        <v>7</v>
      </c>
      <c r="I8" s="269" t="s">
        <v>8</v>
      </c>
      <c r="J8" s="94" t="s">
        <v>9</v>
      </c>
      <c r="K8" s="67" t="s">
        <v>11</v>
      </c>
      <c r="L8" s="67" t="s">
        <v>12</v>
      </c>
      <c r="M8" s="67" t="s">
        <v>13</v>
      </c>
      <c r="N8" s="94" t="s">
        <v>9</v>
      </c>
      <c r="O8" s="68" t="s">
        <v>11</v>
      </c>
      <c r="P8" s="68" t="s">
        <v>12</v>
      </c>
      <c r="Q8" s="68" t="s">
        <v>13</v>
      </c>
    </row>
    <row r="9" spans="1:18" x14ac:dyDescent="0.25">
      <c r="A9" s="228">
        <v>1</v>
      </c>
      <c r="B9" s="61">
        <f>A9+1</f>
        <v>2</v>
      </c>
      <c r="C9" s="228">
        <f t="shared" ref="C9:Q9" si="0">B9+1</f>
        <v>3</v>
      </c>
      <c r="D9" s="228">
        <f t="shared" si="0"/>
        <v>4</v>
      </c>
      <c r="E9" s="228">
        <f t="shared" si="0"/>
        <v>5</v>
      </c>
      <c r="F9" s="69">
        <f t="shared" si="0"/>
        <v>6</v>
      </c>
      <c r="G9" s="69">
        <f t="shared" si="0"/>
        <v>7</v>
      </c>
      <c r="H9" s="70">
        <f t="shared" si="0"/>
        <v>8</v>
      </c>
      <c r="I9" s="70">
        <f t="shared" si="0"/>
        <v>9</v>
      </c>
      <c r="J9" s="95">
        <f t="shared" si="0"/>
        <v>10</v>
      </c>
      <c r="K9" s="71">
        <f t="shared" si="0"/>
        <v>11</v>
      </c>
      <c r="L9" s="71">
        <f t="shared" si="0"/>
        <v>12</v>
      </c>
      <c r="M9" s="71">
        <f t="shared" si="0"/>
        <v>13</v>
      </c>
      <c r="N9" s="95">
        <f t="shared" si="0"/>
        <v>14</v>
      </c>
      <c r="O9" s="72">
        <f t="shared" si="0"/>
        <v>15</v>
      </c>
      <c r="P9" s="72">
        <f t="shared" si="0"/>
        <v>16</v>
      </c>
      <c r="Q9" s="72">
        <f t="shared" si="0"/>
        <v>17</v>
      </c>
    </row>
    <row r="10" spans="1:18" s="13" customFormat="1" ht="30" hidden="1" x14ac:dyDescent="0.25">
      <c r="A10" s="229"/>
      <c r="B10" s="62" t="s">
        <v>16</v>
      </c>
      <c r="C10" s="181" t="s">
        <v>304</v>
      </c>
      <c r="D10" s="182" t="s">
        <v>315</v>
      </c>
      <c r="E10" s="183" t="s">
        <v>18</v>
      </c>
      <c r="F10" s="73" t="s">
        <v>322</v>
      </c>
      <c r="G10" s="74" t="s">
        <v>112</v>
      </c>
      <c r="H10" s="75">
        <v>12</v>
      </c>
      <c r="I10" s="76">
        <v>11</v>
      </c>
      <c r="J10" s="98">
        <f>2+1+3+3+1+3</f>
        <v>13</v>
      </c>
      <c r="K10" s="77">
        <f>4792.51+1138.19+504.26+11366.06+4859.68+3954.5+12023.46</f>
        <v>38638.660000000003</v>
      </c>
      <c r="L10" s="77">
        <f>4792.51+1138.19+504.26+11366.06+4859.68+3954.5</f>
        <v>26615.200000000001</v>
      </c>
      <c r="M10" s="78">
        <f>K10-L10</f>
        <v>12023.460000000003</v>
      </c>
      <c r="N10" s="100">
        <f>2+5+1+2+1</f>
        <v>11</v>
      </c>
      <c r="O10" s="77">
        <f>9108.77+6924.32+22366.06+8197.52</f>
        <v>46596.67</v>
      </c>
      <c r="P10" s="77">
        <f>9108.77+6924.32+22366.06+8197.52</f>
        <v>46596.67</v>
      </c>
      <c r="Q10" s="79">
        <f>O10-P10</f>
        <v>0</v>
      </c>
      <c r="R10" s="141"/>
    </row>
    <row r="11" spans="1:18" s="13" customFormat="1" ht="30" x14ac:dyDescent="0.25">
      <c r="A11" s="229"/>
      <c r="B11" s="62" t="s">
        <v>16</v>
      </c>
      <c r="C11" s="181" t="s">
        <v>304</v>
      </c>
      <c r="D11" s="182" t="s">
        <v>315</v>
      </c>
      <c r="E11" s="183" t="s">
        <v>18</v>
      </c>
      <c r="F11" s="73" t="s">
        <v>322</v>
      </c>
      <c r="G11" s="230" t="s">
        <v>116</v>
      </c>
      <c r="H11" s="181">
        <v>11</v>
      </c>
      <c r="I11" s="231">
        <v>5</v>
      </c>
      <c r="J11" s="96">
        <v>5</v>
      </c>
      <c r="K11" s="224">
        <v>11526</v>
      </c>
      <c r="L11" s="224">
        <v>11526</v>
      </c>
      <c r="M11" s="187">
        <f t="shared" ref="M11:M90" si="1">K11-L11</f>
        <v>0</v>
      </c>
      <c r="N11" s="100"/>
      <c r="O11" s="224">
        <v>2945</v>
      </c>
      <c r="P11" s="224">
        <v>2945</v>
      </c>
      <c r="Q11" s="232">
        <f t="shared" ref="Q11:Q80" si="2">O11-P11</f>
        <v>0</v>
      </c>
    </row>
    <row r="12" spans="1:18" s="13" customFormat="1" hidden="1" x14ac:dyDescent="0.25">
      <c r="A12" s="229"/>
      <c r="B12" s="62" t="s">
        <v>490</v>
      </c>
      <c r="C12" s="181" t="s">
        <v>304</v>
      </c>
      <c r="D12" s="182"/>
      <c r="E12" s="183"/>
      <c r="F12" s="189" t="s">
        <v>501</v>
      </c>
      <c r="G12" s="230" t="s">
        <v>112</v>
      </c>
      <c r="H12" s="181">
        <v>17</v>
      </c>
      <c r="I12" s="231">
        <v>13</v>
      </c>
      <c r="J12" s="96">
        <f>5+1+3+1+1+2+2</f>
        <v>15</v>
      </c>
      <c r="K12" s="224">
        <f>8352.39+384.2+1463.8+3720.67+546.41+5470.48+13100.4</f>
        <v>33038.35</v>
      </c>
      <c r="L12" s="224">
        <f>8352.39+384.2+1463.8+3720.67+546.41+5470.48</f>
        <v>19937.949999999997</v>
      </c>
      <c r="M12" s="78">
        <f t="shared" si="1"/>
        <v>13100.400000000001</v>
      </c>
      <c r="N12" s="100"/>
      <c r="O12" s="224"/>
      <c r="P12" s="224"/>
      <c r="Q12" s="79">
        <f t="shared" si="2"/>
        <v>0</v>
      </c>
    </row>
    <row r="13" spans="1:18" s="15" customFormat="1" hidden="1" x14ac:dyDescent="0.25">
      <c r="A13" s="229"/>
      <c r="B13" s="62" t="s">
        <v>19</v>
      </c>
      <c r="C13" s="181" t="s">
        <v>17</v>
      </c>
      <c r="D13" s="182"/>
      <c r="E13" s="183" t="s">
        <v>20</v>
      </c>
      <c r="F13" s="73" t="s">
        <v>323</v>
      </c>
      <c r="G13" s="74" t="s">
        <v>112</v>
      </c>
      <c r="H13" s="75">
        <v>14</v>
      </c>
      <c r="I13" s="76">
        <v>10</v>
      </c>
      <c r="J13" s="96">
        <f>1+2+5+2+1+5+1</f>
        <v>17</v>
      </c>
      <c r="K13" s="77">
        <f>422.62+4792.51+1796.14+1373.52+5511.59+1707.76</f>
        <v>15604.140000000001</v>
      </c>
      <c r="L13" s="77">
        <f>422.62+4792.51+1796.14+1373.52+5511.59</f>
        <v>13896.380000000001</v>
      </c>
      <c r="M13" s="78">
        <f t="shared" si="1"/>
        <v>1707.7600000000002</v>
      </c>
      <c r="N13" s="100">
        <f>8+3+1+2</f>
        <v>14</v>
      </c>
      <c r="O13" s="81">
        <f>6459.36+7124.45</f>
        <v>13583.81</v>
      </c>
      <c r="P13" s="81">
        <f>6459.36+7124.45</f>
        <v>13583.81</v>
      </c>
      <c r="Q13" s="79">
        <f t="shared" si="2"/>
        <v>0</v>
      </c>
      <c r="R13" s="141"/>
    </row>
    <row r="14" spans="1:18" s="15" customFormat="1" hidden="1" x14ac:dyDescent="0.25">
      <c r="A14" s="229"/>
      <c r="B14" s="62" t="s">
        <v>19</v>
      </c>
      <c r="C14" s="181" t="s">
        <v>17</v>
      </c>
      <c r="D14" s="182"/>
      <c r="E14" s="183" t="s">
        <v>20</v>
      </c>
      <c r="F14" s="73" t="s">
        <v>451</v>
      </c>
      <c r="G14" s="230" t="s">
        <v>114</v>
      </c>
      <c r="H14" s="181">
        <v>8</v>
      </c>
      <c r="I14" s="231">
        <v>2</v>
      </c>
      <c r="J14" s="190">
        <v>2</v>
      </c>
      <c r="K14" s="77">
        <v>3916.92</v>
      </c>
      <c r="L14" s="77">
        <v>2592.3000000000002</v>
      </c>
      <c r="M14" s="187">
        <f t="shared" si="1"/>
        <v>1324.62</v>
      </c>
      <c r="N14" s="100">
        <v>9</v>
      </c>
      <c r="O14" s="224">
        <v>16688.7</v>
      </c>
      <c r="P14" s="224">
        <v>16688.7</v>
      </c>
      <c r="Q14" s="232">
        <f t="shared" si="2"/>
        <v>0</v>
      </c>
    </row>
    <row r="15" spans="1:18" s="15" customFormat="1" hidden="1" x14ac:dyDescent="0.25">
      <c r="A15" s="229"/>
      <c r="B15" s="62" t="s">
        <v>153</v>
      </c>
      <c r="C15" s="181" t="s">
        <v>17</v>
      </c>
      <c r="D15" s="182"/>
      <c r="E15" s="183" t="s">
        <v>20</v>
      </c>
      <c r="F15" s="73" t="s">
        <v>324</v>
      </c>
      <c r="G15" s="74" t="s">
        <v>112</v>
      </c>
      <c r="H15" s="75">
        <v>16</v>
      </c>
      <c r="I15" s="82">
        <v>10</v>
      </c>
      <c r="J15" s="96">
        <f>1+1+2+1+1+2+1+1+1+1</f>
        <v>12</v>
      </c>
      <c r="K15" s="77">
        <f>950.9+2451.87+3074.57+845.24+1977.86+1284.48+883.08+401.4+1357.13</f>
        <v>13226.529999999999</v>
      </c>
      <c r="L15" s="77">
        <f>950.9+2451.87+3074.57+845.24+1977.86+1284.48+883.08</f>
        <v>11468</v>
      </c>
      <c r="M15" s="78">
        <f>K15-L15</f>
        <v>1758.5299999999988</v>
      </c>
      <c r="N15" s="114">
        <f>1+2+1+2+1+1</f>
        <v>8</v>
      </c>
      <c r="O15" s="81">
        <f>422.62+945.61+2484.69+7964.81+1536.8+2498.17</f>
        <v>15852.699999999999</v>
      </c>
      <c r="P15" s="81">
        <f>422.62+945.61+2484.69+7964.81+1536.8+2498.17</f>
        <v>15852.699999999999</v>
      </c>
      <c r="Q15" s="79">
        <f t="shared" si="2"/>
        <v>0</v>
      </c>
      <c r="R15" s="141"/>
    </row>
    <row r="16" spans="1:18" s="15" customFormat="1" hidden="1" x14ac:dyDescent="0.25">
      <c r="A16" s="229"/>
      <c r="B16" s="233" t="s">
        <v>153</v>
      </c>
      <c r="C16" s="181" t="s">
        <v>17</v>
      </c>
      <c r="D16" s="182"/>
      <c r="E16" s="183" t="s">
        <v>20</v>
      </c>
      <c r="F16" s="73" t="s">
        <v>452</v>
      </c>
      <c r="G16" s="230" t="s">
        <v>114</v>
      </c>
      <c r="H16" s="181">
        <v>15</v>
      </c>
      <c r="I16" s="231">
        <v>3</v>
      </c>
      <c r="J16" s="190">
        <v>3</v>
      </c>
      <c r="K16" s="77">
        <v>13390.16</v>
      </c>
      <c r="L16" s="77">
        <v>12185.96</v>
      </c>
      <c r="M16" s="187">
        <f t="shared" si="1"/>
        <v>1204.2000000000007</v>
      </c>
      <c r="N16" s="100">
        <v>9</v>
      </c>
      <c r="O16" s="224">
        <v>23692.400000000001</v>
      </c>
      <c r="P16" s="224">
        <v>23692.400000000001</v>
      </c>
      <c r="Q16" s="232">
        <f t="shared" si="2"/>
        <v>0</v>
      </c>
    </row>
    <row r="17" spans="1:18" s="13" customFormat="1" hidden="1" x14ac:dyDescent="0.25">
      <c r="A17" s="229"/>
      <c r="B17" s="30" t="s">
        <v>22</v>
      </c>
      <c r="C17" s="181" t="s">
        <v>17</v>
      </c>
      <c r="D17" s="182"/>
      <c r="E17" s="183" t="s">
        <v>23</v>
      </c>
      <c r="F17" s="73" t="s">
        <v>325</v>
      </c>
      <c r="G17" s="74" t="s">
        <v>112</v>
      </c>
      <c r="H17" s="75">
        <v>40</v>
      </c>
      <c r="I17" s="76">
        <v>10</v>
      </c>
      <c r="J17" s="96">
        <f>1+2+1+9</f>
        <v>13</v>
      </c>
      <c r="K17" s="77">
        <f>2698.64+1402.33+11601.84</f>
        <v>15702.81</v>
      </c>
      <c r="L17" s="77">
        <f>2698.64+1402.33+11601.84</f>
        <v>15702.81</v>
      </c>
      <c r="M17" s="78">
        <f>K17-L17</f>
        <v>0</v>
      </c>
      <c r="N17" s="100">
        <f>14+3+7+1+1</f>
        <v>26</v>
      </c>
      <c r="O17" s="81">
        <f>22716.4+4171.06+18768.39+8172.47</f>
        <v>53828.320000000007</v>
      </c>
      <c r="P17" s="81">
        <f>22716.4+4171.06+18768.39+8172.47</f>
        <v>53828.320000000007</v>
      </c>
      <c r="Q17" s="79">
        <f t="shared" si="2"/>
        <v>0</v>
      </c>
      <c r="R17" s="141"/>
    </row>
    <row r="18" spans="1:18" s="13" customFormat="1" hidden="1" x14ac:dyDescent="0.25">
      <c r="A18" s="229"/>
      <c r="B18" s="30" t="s">
        <v>154</v>
      </c>
      <c r="C18" s="181" t="s">
        <v>17</v>
      </c>
      <c r="D18" s="182"/>
      <c r="E18" s="183" t="s">
        <v>20</v>
      </c>
      <c r="F18" s="73" t="s">
        <v>453</v>
      </c>
      <c r="G18" s="230" t="s">
        <v>114</v>
      </c>
      <c r="H18" s="181">
        <v>33</v>
      </c>
      <c r="I18" s="234">
        <v>2</v>
      </c>
      <c r="J18" s="190">
        <v>2</v>
      </c>
      <c r="K18" s="193">
        <v>2938.2</v>
      </c>
      <c r="L18" s="193">
        <v>2938.2</v>
      </c>
      <c r="M18" s="187">
        <f t="shared" si="1"/>
        <v>0</v>
      </c>
      <c r="N18" s="114">
        <v>16</v>
      </c>
      <c r="O18" s="224">
        <v>41112.769999999997</v>
      </c>
      <c r="P18" s="224">
        <v>41112.769999999997</v>
      </c>
      <c r="Q18" s="232">
        <f t="shared" si="2"/>
        <v>0</v>
      </c>
    </row>
    <row r="19" spans="1:18" s="13" customFormat="1" hidden="1" x14ac:dyDescent="0.25">
      <c r="A19" s="229"/>
      <c r="B19" s="30" t="s">
        <v>154</v>
      </c>
      <c r="C19" s="181" t="s">
        <v>17</v>
      </c>
      <c r="D19" s="182"/>
      <c r="E19" s="183" t="s">
        <v>20</v>
      </c>
      <c r="F19" s="73" t="s">
        <v>326</v>
      </c>
      <c r="G19" s="74" t="s">
        <v>112</v>
      </c>
      <c r="H19" s="75">
        <v>25</v>
      </c>
      <c r="I19" s="76">
        <v>19</v>
      </c>
      <c r="J19" s="96">
        <f>1+1+2+2+2+6+1+4+1+2+2</f>
        <v>24</v>
      </c>
      <c r="K19" s="77">
        <f>950.9+864.46+845.24+405.02+739.59+6850.57+12952.58+883.08</f>
        <v>24491.440000000002</v>
      </c>
      <c r="L19" s="77">
        <f>950.9+864.46+845.24+405.02+739.59+6850.57+12952.58+883.08</f>
        <v>24491.440000000002</v>
      </c>
      <c r="M19" s="78">
        <f t="shared" si="1"/>
        <v>0</v>
      </c>
      <c r="N19" s="100">
        <f>6+3+1+1+1+2+1+1</f>
        <v>16</v>
      </c>
      <c r="O19" s="81">
        <f>6681.33+7017+1523.5+9094.74+3532.32</f>
        <v>27848.89</v>
      </c>
      <c r="P19" s="81">
        <f>6681.33+7017+1523.5+9094.74+3532.32</f>
        <v>27848.89</v>
      </c>
      <c r="Q19" s="79">
        <f t="shared" si="2"/>
        <v>0</v>
      </c>
      <c r="R19" s="141"/>
    </row>
    <row r="20" spans="1:18" s="13" customFormat="1" hidden="1" x14ac:dyDescent="0.25">
      <c r="A20" s="229"/>
      <c r="B20" s="62" t="s">
        <v>24</v>
      </c>
      <c r="C20" s="181" t="s">
        <v>17</v>
      </c>
      <c r="D20" s="182"/>
      <c r="E20" s="183" t="s">
        <v>20</v>
      </c>
      <c r="F20" s="73" t="s">
        <v>327</v>
      </c>
      <c r="G20" s="74" t="s">
        <v>112</v>
      </c>
      <c r="H20" s="75">
        <v>7</v>
      </c>
      <c r="I20" s="76">
        <v>4</v>
      </c>
      <c r="J20" s="96">
        <f>3+1+1</f>
        <v>5</v>
      </c>
      <c r="K20" s="77">
        <f>1191.02</f>
        <v>1191.02</v>
      </c>
      <c r="L20" s="77">
        <f>1191.02</f>
        <v>1191.02</v>
      </c>
      <c r="M20" s="78">
        <f t="shared" si="1"/>
        <v>0</v>
      </c>
      <c r="N20" s="100">
        <f>1+1</f>
        <v>2</v>
      </c>
      <c r="O20" s="81">
        <f>576.3+1810.93</f>
        <v>2387.23</v>
      </c>
      <c r="P20" s="81">
        <f>576.3+1810.93</f>
        <v>2387.23</v>
      </c>
      <c r="Q20" s="232">
        <f t="shared" si="2"/>
        <v>0</v>
      </c>
      <c r="R20" s="141"/>
    </row>
    <row r="21" spans="1:18" s="13" customFormat="1" hidden="1" x14ac:dyDescent="0.25">
      <c r="A21" s="229"/>
      <c r="B21" s="62" t="s">
        <v>24</v>
      </c>
      <c r="C21" s="181" t="s">
        <v>17</v>
      </c>
      <c r="D21" s="182"/>
      <c r="E21" s="183" t="s">
        <v>20</v>
      </c>
      <c r="F21" s="73" t="s">
        <v>454</v>
      </c>
      <c r="G21" s="230" t="s">
        <v>114</v>
      </c>
      <c r="H21" s="181">
        <v>14</v>
      </c>
      <c r="I21" s="231"/>
      <c r="J21" s="190"/>
      <c r="K21" s="77"/>
      <c r="L21" s="77"/>
      <c r="M21" s="187">
        <f t="shared" si="1"/>
        <v>0</v>
      </c>
      <c r="N21" s="100">
        <v>16</v>
      </c>
      <c r="O21" s="224">
        <v>35336.5</v>
      </c>
      <c r="P21" s="224">
        <v>35336.5</v>
      </c>
      <c r="Q21" s="232">
        <f t="shared" si="2"/>
        <v>0</v>
      </c>
    </row>
    <row r="22" spans="1:18" s="13" customFormat="1" hidden="1" x14ac:dyDescent="0.25">
      <c r="A22" s="229"/>
      <c r="B22" s="62" t="s">
        <v>25</v>
      </c>
      <c r="C22" s="181" t="s">
        <v>17</v>
      </c>
      <c r="D22" s="182"/>
      <c r="E22" s="183" t="s">
        <v>20</v>
      </c>
      <c r="F22" s="73" t="s">
        <v>328</v>
      </c>
      <c r="G22" s="74" t="s">
        <v>112</v>
      </c>
      <c r="H22" s="75">
        <v>14</v>
      </c>
      <c r="I22" s="76">
        <v>10</v>
      </c>
      <c r="J22" s="96">
        <f>1+1+1+1+1+1+1+2+1</f>
        <v>10</v>
      </c>
      <c r="K22" s="173">
        <f>403.41+1605.6+3697.9+1204.2+1092.81+3022.24</f>
        <v>11026.16</v>
      </c>
      <c r="L22" s="173">
        <f>403.41+1605.6+3697.9</f>
        <v>5706.91</v>
      </c>
      <c r="M22" s="78">
        <f>K22-L22</f>
        <v>5319.25</v>
      </c>
      <c r="N22" s="100">
        <f>6+1+2+2+1</f>
        <v>12</v>
      </c>
      <c r="O22" s="81">
        <f>14526.7+5595.3+2440.62+2839.24</f>
        <v>25401.86</v>
      </c>
      <c r="P22" s="81">
        <f>14526.7+5595.3+2440.62+2839.24</f>
        <v>25401.86</v>
      </c>
      <c r="Q22" s="232">
        <f t="shared" si="2"/>
        <v>0</v>
      </c>
      <c r="R22" s="141"/>
    </row>
    <row r="23" spans="1:18" s="13" customFormat="1" hidden="1" x14ac:dyDescent="0.25">
      <c r="A23" s="229"/>
      <c r="B23" s="62" t="s">
        <v>25</v>
      </c>
      <c r="C23" s="181" t="s">
        <v>17</v>
      </c>
      <c r="D23" s="182"/>
      <c r="E23" s="183" t="s">
        <v>20</v>
      </c>
      <c r="F23" s="73" t="s">
        <v>455</v>
      </c>
      <c r="G23" s="230" t="s">
        <v>114</v>
      </c>
      <c r="H23" s="181">
        <v>6</v>
      </c>
      <c r="I23" s="231"/>
      <c r="J23" s="190">
        <f>1</f>
        <v>1</v>
      </c>
      <c r="K23" s="77"/>
      <c r="L23" s="77"/>
      <c r="M23" s="187">
        <f t="shared" si="1"/>
        <v>0</v>
      </c>
      <c r="N23" s="100">
        <v>3</v>
      </c>
      <c r="O23" s="224">
        <v>7219.8</v>
      </c>
      <c r="P23" s="224">
        <v>7219.8</v>
      </c>
      <c r="Q23" s="232">
        <f t="shared" si="2"/>
        <v>0</v>
      </c>
    </row>
    <row r="24" spans="1:18" s="13" customFormat="1" hidden="1" x14ac:dyDescent="0.25">
      <c r="A24" s="229"/>
      <c r="B24" s="62" t="s">
        <v>26</v>
      </c>
      <c r="C24" s="181" t="s">
        <v>17</v>
      </c>
      <c r="D24" s="182"/>
      <c r="E24" s="183" t="s">
        <v>27</v>
      </c>
      <c r="F24" s="73" t="s">
        <v>329</v>
      </c>
      <c r="G24" s="74" t="s">
        <v>112</v>
      </c>
      <c r="H24" s="75">
        <v>17</v>
      </c>
      <c r="I24" s="76">
        <v>15</v>
      </c>
      <c r="J24" s="96">
        <f>2+2+4+1+4+1+1+3</f>
        <v>18</v>
      </c>
      <c r="K24" s="77">
        <f>845.24+1056.55+5121.1+26225.35+422.62+16490.35+1457.08+1479.16</f>
        <v>53097.450000000004</v>
      </c>
      <c r="L24" s="77">
        <f>845.24+1056.55+5121.1+26225.35+422.62+16490.35+1457.08</f>
        <v>51618.29</v>
      </c>
      <c r="M24" s="78">
        <f t="shared" si="1"/>
        <v>1479.1600000000035</v>
      </c>
      <c r="N24" s="100">
        <f>6+1+1+2+1</f>
        <v>11</v>
      </c>
      <c r="O24" s="81">
        <f>17838.53+2535.75+7238.9</f>
        <v>27613.18</v>
      </c>
      <c r="P24" s="81">
        <f>17838.53+2535.75+7238.9</f>
        <v>27613.18</v>
      </c>
      <c r="Q24" s="232">
        <f t="shared" si="2"/>
        <v>0</v>
      </c>
      <c r="R24" s="141"/>
    </row>
    <row r="25" spans="1:18" s="15" customFormat="1" hidden="1" x14ac:dyDescent="0.25">
      <c r="A25" s="229"/>
      <c r="B25" s="62" t="s">
        <v>28</v>
      </c>
      <c r="C25" s="181" t="s">
        <v>17</v>
      </c>
      <c r="D25" s="182"/>
      <c r="E25" s="194" t="s">
        <v>29</v>
      </c>
      <c r="F25" s="73" t="s">
        <v>330</v>
      </c>
      <c r="G25" s="74" t="s">
        <v>112</v>
      </c>
      <c r="H25" s="75">
        <v>10</v>
      </c>
      <c r="I25" s="76">
        <v>10</v>
      </c>
      <c r="J25" s="96">
        <f>2+1+2+1+1+1+2</f>
        <v>10</v>
      </c>
      <c r="K25" s="77">
        <f>6135.14+2440.63+9722.07+968.96+2258.48</f>
        <v>21525.279999999999</v>
      </c>
      <c r="L25" s="77">
        <f>6135.14+2440.63+9722.07+968.96</f>
        <v>19266.8</v>
      </c>
      <c r="M25" s="78">
        <f t="shared" si="1"/>
        <v>2258.4799999999996</v>
      </c>
      <c r="N25" s="100">
        <f>3+2+4+3+1+1</f>
        <v>14</v>
      </c>
      <c r="O25" s="81">
        <f>5310.83+4630.52+14679.01+36087.29+8956.5+10112.26</f>
        <v>79776.409999999989</v>
      </c>
      <c r="P25" s="81">
        <f>5310.83+4630.52+14679.01+36087.29+8956.5</f>
        <v>69664.149999999994</v>
      </c>
      <c r="Q25" s="232">
        <f t="shared" si="2"/>
        <v>10112.259999999995</v>
      </c>
      <c r="R25" s="141"/>
    </row>
    <row r="26" spans="1:18" s="15" customFormat="1" hidden="1" x14ac:dyDescent="0.25">
      <c r="A26" s="229"/>
      <c r="B26" s="62" t="s">
        <v>28</v>
      </c>
      <c r="C26" s="181" t="s">
        <v>17</v>
      </c>
      <c r="D26" s="182"/>
      <c r="E26" s="194" t="s">
        <v>29</v>
      </c>
      <c r="F26" s="73" t="s">
        <v>420</v>
      </c>
      <c r="G26" s="235" t="s">
        <v>117</v>
      </c>
      <c r="H26" s="181">
        <v>2</v>
      </c>
      <c r="I26" s="231"/>
      <c r="J26" s="96"/>
      <c r="K26" s="77"/>
      <c r="L26" s="77"/>
      <c r="M26" s="78">
        <f t="shared" si="1"/>
        <v>0</v>
      </c>
      <c r="N26" s="100">
        <v>2</v>
      </c>
      <c r="O26" s="224">
        <v>2766.24</v>
      </c>
      <c r="P26" s="224">
        <v>2766.24</v>
      </c>
      <c r="Q26" s="79">
        <f t="shared" si="2"/>
        <v>0</v>
      </c>
    </row>
    <row r="27" spans="1:18" s="15" customFormat="1" hidden="1" x14ac:dyDescent="0.25">
      <c r="A27" s="229"/>
      <c r="B27" s="233" t="s">
        <v>500</v>
      </c>
      <c r="C27" s="181" t="s">
        <v>17</v>
      </c>
      <c r="D27" s="182"/>
      <c r="E27" s="194"/>
      <c r="F27" s="73" t="s">
        <v>503</v>
      </c>
      <c r="G27" s="235" t="s">
        <v>112</v>
      </c>
      <c r="H27" s="181">
        <v>24</v>
      </c>
      <c r="I27" s="231">
        <v>15</v>
      </c>
      <c r="J27" s="96">
        <f>2+2+2+1+3+5+2+1</f>
        <v>18</v>
      </c>
      <c r="K27" s="77">
        <f>1202.51+3555.1+602.1+708.47+7232.25+1003.5</f>
        <v>14303.93</v>
      </c>
      <c r="L27" s="77">
        <f>1202.51+3555.1+602.1+708.47</f>
        <v>6068.18</v>
      </c>
      <c r="M27" s="78">
        <f t="shared" si="1"/>
        <v>8235.75</v>
      </c>
      <c r="N27" s="100">
        <f>1</f>
        <v>1</v>
      </c>
      <c r="O27" s="224"/>
      <c r="P27" s="224"/>
      <c r="Q27" s="79">
        <f t="shared" si="2"/>
        <v>0</v>
      </c>
    </row>
    <row r="28" spans="1:18" s="13" customFormat="1" hidden="1" x14ac:dyDescent="0.25">
      <c r="A28" s="229"/>
      <c r="B28" s="27" t="s">
        <v>30</v>
      </c>
      <c r="C28" s="181" t="s">
        <v>17</v>
      </c>
      <c r="D28" s="182"/>
      <c r="E28" s="194" t="s">
        <v>21</v>
      </c>
      <c r="F28" s="73" t="s">
        <v>333</v>
      </c>
      <c r="G28" s="74" t="s">
        <v>112</v>
      </c>
      <c r="H28" s="75">
        <v>19</v>
      </c>
      <c r="I28" s="76">
        <v>14</v>
      </c>
      <c r="J28" s="96">
        <f>3+1+3+1+4+1+1+2+1+3</f>
        <v>20</v>
      </c>
      <c r="K28" s="77">
        <f>16637.24+1045.98+2789.73+1629.68</f>
        <v>22102.63</v>
      </c>
      <c r="L28" s="77">
        <f>16637.24+1045.98+2789.73</f>
        <v>20472.95</v>
      </c>
      <c r="M28" s="78">
        <f t="shared" si="1"/>
        <v>1629.6800000000003</v>
      </c>
      <c r="N28" s="100">
        <f>9+1+3+1+1+1+2+1+1+2+1+1</f>
        <v>24</v>
      </c>
      <c r="O28" s="81">
        <f>77047.8+15703.07+7288.94+1341.33</f>
        <v>101381.14</v>
      </c>
      <c r="P28" s="81">
        <f>77047.8+15703.07+7288.94</f>
        <v>100039.81</v>
      </c>
      <c r="Q28" s="79">
        <f>O28-P28</f>
        <v>1341.3300000000017</v>
      </c>
      <c r="R28" s="141"/>
    </row>
    <row r="29" spans="1:18" s="13" customFormat="1" hidden="1" x14ac:dyDescent="0.25">
      <c r="A29" s="229"/>
      <c r="B29" s="27" t="s">
        <v>491</v>
      </c>
      <c r="C29" s="181" t="s">
        <v>17</v>
      </c>
      <c r="D29" s="182"/>
      <c r="E29" s="183" t="s">
        <v>20</v>
      </c>
      <c r="F29" s="73" t="s">
        <v>495</v>
      </c>
      <c r="G29" s="74" t="s">
        <v>112</v>
      </c>
      <c r="H29" s="75">
        <v>12</v>
      </c>
      <c r="I29" s="76">
        <v>7</v>
      </c>
      <c r="J29" s="96">
        <f>2+2+1+1+1</f>
        <v>7</v>
      </c>
      <c r="K29" s="77">
        <f>1727.9+2093.89+728.54+3535.53</f>
        <v>8085.8600000000006</v>
      </c>
      <c r="L29" s="77">
        <f>1727.9+2093.89+728.54</f>
        <v>4550.33</v>
      </c>
      <c r="M29" s="78">
        <f t="shared" si="1"/>
        <v>3535.5300000000007</v>
      </c>
      <c r="N29" s="100"/>
      <c r="O29" s="81"/>
      <c r="P29" s="81"/>
      <c r="Q29" s="79">
        <f t="shared" si="2"/>
        <v>0</v>
      </c>
      <c r="R29" s="141"/>
    </row>
    <row r="30" spans="1:18" s="13" customFormat="1" hidden="1" x14ac:dyDescent="0.25">
      <c r="A30" s="229"/>
      <c r="B30" s="27" t="s">
        <v>491</v>
      </c>
      <c r="C30" s="181" t="s">
        <v>17</v>
      </c>
      <c r="D30" s="182"/>
      <c r="E30" s="183" t="s">
        <v>20</v>
      </c>
      <c r="F30" s="73" t="s">
        <v>504</v>
      </c>
      <c r="G30" s="74" t="s">
        <v>114</v>
      </c>
      <c r="H30" s="75">
        <v>7</v>
      </c>
      <c r="I30" s="76">
        <v>1</v>
      </c>
      <c r="J30" s="96">
        <v>1</v>
      </c>
      <c r="K30" s="77">
        <v>1267.8599999999999</v>
      </c>
      <c r="L30" s="77">
        <v>1267.8599999999999</v>
      </c>
      <c r="M30" s="187">
        <f t="shared" si="1"/>
        <v>0</v>
      </c>
      <c r="N30" s="100"/>
      <c r="O30" s="81"/>
      <c r="P30" s="81"/>
      <c r="Q30" s="232">
        <f t="shared" si="2"/>
        <v>0</v>
      </c>
      <c r="R30" s="141"/>
    </row>
    <row r="31" spans="1:18" s="13" customFormat="1" hidden="1" x14ac:dyDescent="0.25">
      <c r="A31" s="229"/>
      <c r="B31" s="27" t="s">
        <v>491</v>
      </c>
      <c r="C31" s="181" t="s">
        <v>17</v>
      </c>
      <c r="D31" s="182"/>
      <c r="E31" s="183"/>
      <c r="F31" s="73" t="s">
        <v>510</v>
      </c>
      <c r="G31" s="235" t="s">
        <v>117</v>
      </c>
      <c r="H31" s="75">
        <v>1</v>
      </c>
      <c r="I31" s="76"/>
      <c r="J31" s="96"/>
      <c r="K31" s="77"/>
      <c r="L31" s="77"/>
      <c r="M31" s="187">
        <f t="shared" si="1"/>
        <v>0</v>
      </c>
      <c r="N31" s="100"/>
      <c r="O31" s="81"/>
      <c r="P31" s="81"/>
      <c r="Q31" s="232">
        <f t="shared" si="2"/>
        <v>0</v>
      </c>
      <c r="R31" s="141"/>
    </row>
    <row r="32" spans="1:18" s="13" customFormat="1" hidden="1" x14ac:dyDescent="0.25">
      <c r="A32" s="229"/>
      <c r="B32" s="30" t="s">
        <v>31</v>
      </c>
      <c r="C32" s="181" t="s">
        <v>17</v>
      </c>
      <c r="D32" s="182"/>
      <c r="E32" s="183" t="s">
        <v>32</v>
      </c>
      <c r="F32" s="73" t="s">
        <v>331</v>
      </c>
      <c r="G32" s="74" t="s">
        <v>112</v>
      </c>
      <c r="H32" s="75">
        <v>16</v>
      </c>
      <c r="I32" s="76">
        <v>13</v>
      </c>
      <c r="J32" s="96">
        <f>1+2+3+1+4+3+3</f>
        <v>17</v>
      </c>
      <c r="K32" s="77">
        <f>633.93+1045.98+5377.62+950.9+6004.09+4598.82+8410.14</f>
        <v>27021.48</v>
      </c>
      <c r="L32" s="77">
        <f>633.93+1045.98+5377.62+950.9+6004.09+4598.82+8410.14</f>
        <v>27021.48</v>
      </c>
      <c r="M32" s="187">
        <f t="shared" si="1"/>
        <v>0</v>
      </c>
      <c r="N32" s="100">
        <f>1+3+3+1+1+2+1</f>
        <v>12</v>
      </c>
      <c r="O32" s="81">
        <f>2299.8+15239.58+6152.75+2720.49+1483.38+7043.49+11175.04</f>
        <v>46114.530000000006</v>
      </c>
      <c r="P32" s="81">
        <f>2299.8+15239.58+6152.75+2720.49+1483.38+7043.49+11175.04</f>
        <v>46114.530000000006</v>
      </c>
      <c r="Q32" s="232">
        <f t="shared" si="2"/>
        <v>0</v>
      </c>
      <c r="R32" s="141"/>
    </row>
    <row r="33" spans="1:18" s="13" customFormat="1" hidden="1" x14ac:dyDescent="0.25">
      <c r="A33" s="229"/>
      <c r="B33" s="30" t="s">
        <v>31</v>
      </c>
      <c r="C33" s="181" t="s">
        <v>17</v>
      </c>
      <c r="D33" s="182"/>
      <c r="E33" s="183" t="s">
        <v>32</v>
      </c>
      <c r="F33" s="73" t="s">
        <v>422</v>
      </c>
      <c r="G33" s="235" t="s">
        <v>117</v>
      </c>
      <c r="H33" s="181">
        <v>15</v>
      </c>
      <c r="I33" s="231">
        <v>3</v>
      </c>
      <c r="J33" s="96">
        <v>3</v>
      </c>
      <c r="K33" s="77">
        <v>7586.5</v>
      </c>
      <c r="L33" s="77">
        <v>7586.5</v>
      </c>
      <c r="M33" s="187">
        <f t="shared" si="1"/>
        <v>0</v>
      </c>
      <c r="N33" s="100">
        <v>10</v>
      </c>
      <c r="O33" s="77">
        <v>21507.42</v>
      </c>
      <c r="P33" s="77">
        <v>21507.42</v>
      </c>
      <c r="Q33" s="232">
        <f t="shared" si="2"/>
        <v>0</v>
      </c>
    </row>
    <row r="34" spans="1:18" s="15" customFormat="1" hidden="1" x14ac:dyDescent="0.25">
      <c r="A34" s="229"/>
      <c r="B34" s="62" t="s">
        <v>33</v>
      </c>
      <c r="C34" s="181" t="s">
        <v>17</v>
      </c>
      <c r="D34" s="182"/>
      <c r="E34" s="183" t="s">
        <v>20</v>
      </c>
      <c r="F34" s="73" t="s">
        <v>332</v>
      </c>
      <c r="G34" s="74" t="s">
        <v>112</v>
      </c>
      <c r="H34" s="75">
        <v>11</v>
      </c>
      <c r="I34" s="76">
        <v>7</v>
      </c>
      <c r="J34" s="96">
        <f>1+1+1+1+1+2+1</f>
        <v>8</v>
      </c>
      <c r="K34" s="77">
        <f>845.245+5363.43+5912.72+845.24+12887.16+2852.15+6514.08</f>
        <v>35220.025000000001</v>
      </c>
      <c r="L34" s="77">
        <f>845.245+5363.43+5912.72+845.24+12887.16+2852.15+6514.08</f>
        <v>35220.025000000001</v>
      </c>
      <c r="M34" s="78">
        <f>K34-L34</f>
        <v>0</v>
      </c>
      <c r="N34" s="100">
        <f>2+1+1+1+1+2+1+1</f>
        <v>10</v>
      </c>
      <c r="O34" s="81">
        <f>845.24+1613.64+3380.96+3639.33+1152.6</f>
        <v>10631.77</v>
      </c>
      <c r="P34" s="81">
        <f>845.24+1613.64+3380.96+3639.33+1152.6</f>
        <v>10631.77</v>
      </c>
      <c r="Q34" s="79">
        <f t="shared" si="2"/>
        <v>0</v>
      </c>
      <c r="R34" s="141"/>
    </row>
    <row r="35" spans="1:18" s="15" customFormat="1" hidden="1" x14ac:dyDescent="0.25">
      <c r="A35" s="229"/>
      <c r="B35" s="62" t="s">
        <v>33</v>
      </c>
      <c r="C35" s="181" t="s">
        <v>17</v>
      </c>
      <c r="D35" s="182"/>
      <c r="E35" s="183" t="s">
        <v>20</v>
      </c>
      <c r="F35" s="73" t="s">
        <v>481</v>
      </c>
      <c r="G35" s="230" t="s">
        <v>114</v>
      </c>
      <c r="H35" s="181">
        <v>7</v>
      </c>
      <c r="I35" s="231"/>
      <c r="J35" s="190"/>
      <c r="K35" s="77">
        <v>602.1</v>
      </c>
      <c r="L35" s="77"/>
      <c r="M35" s="187">
        <f t="shared" si="1"/>
        <v>602.1</v>
      </c>
      <c r="N35" s="100">
        <v>15</v>
      </c>
      <c r="O35" s="224">
        <v>43782.74</v>
      </c>
      <c r="P35" s="224">
        <v>43782.74</v>
      </c>
      <c r="Q35" s="232">
        <f t="shared" si="2"/>
        <v>0</v>
      </c>
    </row>
    <row r="36" spans="1:18" s="15" customFormat="1" hidden="1" x14ac:dyDescent="0.25">
      <c r="A36" s="229"/>
      <c r="B36" s="62" t="s">
        <v>147</v>
      </c>
      <c r="C36" s="181" t="s">
        <v>17</v>
      </c>
      <c r="D36" s="182"/>
      <c r="E36" s="183" t="s">
        <v>29</v>
      </c>
      <c r="F36" s="73" t="s">
        <v>334</v>
      </c>
      <c r="G36" s="74" t="s">
        <v>112</v>
      </c>
      <c r="H36" s="75">
        <v>9</v>
      </c>
      <c r="I36" s="234">
        <v>4</v>
      </c>
      <c r="J36" s="96">
        <f>1+1+2+1</f>
        <v>5</v>
      </c>
      <c r="K36" s="77">
        <f>1854.88+2824.48+3058.67</f>
        <v>7738.0300000000007</v>
      </c>
      <c r="L36" s="77">
        <f>1854.88+2824.48+3058.67</f>
        <v>7738.0300000000007</v>
      </c>
      <c r="M36" s="78">
        <f>K36-L36</f>
        <v>0</v>
      </c>
      <c r="N36" s="114">
        <f>1+1+1</f>
        <v>3</v>
      </c>
      <c r="O36" s="81">
        <f>1394.65+2473.17+1961.49</f>
        <v>5829.31</v>
      </c>
      <c r="P36" s="81">
        <f>1394.65+2473.17+1961.49</f>
        <v>5829.31</v>
      </c>
      <c r="Q36" s="79">
        <f t="shared" si="2"/>
        <v>0</v>
      </c>
      <c r="R36" s="141"/>
    </row>
    <row r="37" spans="1:18" s="15" customFormat="1" hidden="1" x14ac:dyDescent="0.25">
      <c r="A37" s="229"/>
      <c r="B37" s="233" t="s">
        <v>147</v>
      </c>
      <c r="C37" s="181" t="s">
        <v>17</v>
      </c>
      <c r="D37" s="182"/>
      <c r="E37" s="183" t="s">
        <v>29</v>
      </c>
      <c r="F37" s="73" t="s">
        <v>423</v>
      </c>
      <c r="G37" s="230" t="s">
        <v>117</v>
      </c>
      <c r="H37" s="181">
        <v>8</v>
      </c>
      <c r="I37" s="231">
        <v>4</v>
      </c>
      <c r="J37" s="96">
        <v>4</v>
      </c>
      <c r="K37" s="77">
        <v>6847.1</v>
      </c>
      <c r="L37" s="77">
        <v>6847.1</v>
      </c>
      <c r="M37" s="187">
        <f t="shared" si="1"/>
        <v>0</v>
      </c>
      <c r="N37" s="100">
        <v>4</v>
      </c>
      <c r="O37" s="224">
        <v>4706.45</v>
      </c>
      <c r="P37" s="224">
        <v>4706.45</v>
      </c>
      <c r="Q37" s="232">
        <f t="shared" si="2"/>
        <v>0</v>
      </c>
    </row>
    <row r="38" spans="1:18" s="13" customFormat="1" hidden="1" x14ac:dyDescent="0.25">
      <c r="A38" s="229"/>
      <c r="B38" s="62" t="s">
        <v>34</v>
      </c>
      <c r="C38" s="181" t="s">
        <v>17</v>
      </c>
      <c r="D38" s="182"/>
      <c r="E38" s="194" t="s">
        <v>35</v>
      </c>
      <c r="F38" s="73" t="s">
        <v>335</v>
      </c>
      <c r="G38" s="74" t="s">
        <v>112</v>
      </c>
      <c r="H38" s="75">
        <v>32</v>
      </c>
      <c r="I38" s="76">
        <v>18</v>
      </c>
      <c r="J38" s="96">
        <f>4+2+2+7+4+1+1</f>
        <v>21</v>
      </c>
      <c r="K38" s="77">
        <f>8288.4+1267.86+845.24+13964.6+11418.26+11175.62+1092.81</f>
        <v>48052.79</v>
      </c>
      <c r="L38" s="77">
        <f>8288.4+1267.86+845.24+13964.6+11418.26</f>
        <v>35784.36</v>
      </c>
      <c r="M38" s="78">
        <f>K38-L38</f>
        <v>12268.43</v>
      </c>
      <c r="N38" s="100">
        <f>4+4+6+1+3+1+3+1+2+1</f>
        <v>26</v>
      </c>
      <c r="O38" s="81">
        <f>23915.04+21171.88+6399.1+11460.81+1501.24+2795.71</f>
        <v>67243.78</v>
      </c>
      <c r="P38" s="81">
        <f>23915.04+21171.88+6399.1+11460.81+1501.24</f>
        <v>64448.069999999992</v>
      </c>
      <c r="Q38" s="79">
        <f t="shared" si="2"/>
        <v>2795.7100000000064</v>
      </c>
      <c r="R38" s="141"/>
    </row>
    <row r="39" spans="1:18" s="13" customFormat="1" hidden="1" x14ac:dyDescent="0.25">
      <c r="A39" s="229"/>
      <c r="B39" s="62" t="s">
        <v>34</v>
      </c>
      <c r="C39" s="181" t="s">
        <v>17</v>
      </c>
      <c r="D39" s="182"/>
      <c r="E39" s="194" t="s">
        <v>35</v>
      </c>
      <c r="F39" s="73" t="s">
        <v>424</v>
      </c>
      <c r="G39" s="235" t="s">
        <v>117</v>
      </c>
      <c r="H39" s="181">
        <v>2</v>
      </c>
      <c r="I39" s="231">
        <v>1</v>
      </c>
      <c r="J39" s="96">
        <v>2</v>
      </c>
      <c r="K39" s="77">
        <v>3842</v>
      </c>
      <c r="L39" s="77">
        <v>3842</v>
      </c>
      <c r="M39" s="187">
        <f t="shared" si="1"/>
        <v>0</v>
      </c>
      <c r="N39" s="100">
        <v>3</v>
      </c>
      <c r="O39" s="224">
        <v>9220.7999999999993</v>
      </c>
      <c r="P39" s="224">
        <v>9220.7999999999993</v>
      </c>
      <c r="Q39" s="232">
        <f t="shared" si="2"/>
        <v>0</v>
      </c>
    </row>
    <row r="40" spans="1:18" s="13" customFormat="1" hidden="1" x14ac:dyDescent="0.25">
      <c r="A40" s="229"/>
      <c r="B40" s="27" t="s">
        <v>36</v>
      </c>
      <c r="C40" s="181" t="s">
        <v>17</v>
      </c>
      <c r="D40" s="182"/>
      <c r="E40" s="194" t="s">
        <v>32</v>
      </c>
      <c r="F40" s="73" t="s">
        <v>336</v>
      </c>
      <c r="G40" s="74" t="s">
        <v>112</v>
      </c>
      <c r="H40" s="75">
        <v>25</v>
      </c>
      <c r="I40" s="76">
        <v>19</v>
      </c>
      <c r="J40" s="96">
        <f>1+3+4+2+2+7+6</f>
        <v>25</v>
      </c>
      <c r="K40" s="77">
        <f>2091.97+4201.22+3643.94+998.92+6188.59</f>
        <v>17124.64</v>
      </c>
      <c r="L40" s="77">
        <f>2091.97+4201.22+3643.94+998.92+6188.59</f>
        <v>17124.64</v>
      </c>
      <c r="M40" s="78">
        <f t="shared" si="1"/>
        <v>0</v>
      </c>
      <c r="N40" s="100">
        <f>4+2+5+1+1+4+1+1</f>
        <v>19</v>
      </c>
      <c r="O40" s="81">
        <f>26828.22+3116.2+14162+4691+13237.22+22342.31+1888.86</f>
        <v>86265.81</v>
      </c>
      <c r="P40" s="81">
        <f>26828.22+3116.2+14162+4691+13237.22+22342.31</f>
        <v>84376.95</v>
      </c>
      <c r="Q40" s="79">
        <f t="shared" si="2"/>
        <v>1888.8600000000006</v>
      </c>
      <c r="R40" s="141"/>
    </row>
    <row r="41" spans="1:18" s="13" customFormat="1" hidden="1" x14ac:dyDescent="0.25">
      <c r="A41" s="229"/>
      <c r="B41" s="27" t="s">
        <v>38</v>
      </c>
      <c r="C41" s="181" t="s">
        <v>17</v>
      </c>
      <c r="D41" s="182"/>
      <c r="E41" s="183" t="s">
        <v>20</v>
      </c>
      <c r="F41" s="73" t="s">
        <v>338</v>
      </c>
      <c r="G41" s="74" t="s">
        <v>112</v>
      </c>
      <c r="H41" s="75">
        <v>41</v>
      </c>
      <c r="I41" s="76">
        <v>33</v>
      </c>
      <c r="J41" s="96">
        <f>5+9+3+4+4+2+3+3+11+3</f>
        <v>47</v>
      </c>
      <c r="K41" s="77">
        <f>4427.07+14262.52+23391.74+11108.38+9141.17+3923.07+23674.29</f>
        <v>89928.239999999991</v>
      </c>
      <c r="L41" s="77">
        <f>4427.07+14262.52+23391.74+11108.38+9141.17+3923.07+23674.29</f>
        <v>89928.239999999991</v>
      </c>
      <c r="M41" s="78">
        <f t="shared" si="1"/>
        <v>0</v>
      </c>
      <c r="N41" s="100">
        <f>1+14+2+2+2+3+1+1</f>
        <v>26</v>
      </c>
      <c r="O41" s="81">
        <f>34449.99+27363.78+23604.86+16739.26+15240.34+16003.48</f>
        <v>133401.71</v>
      </c>
      <c r="P41" s="81">
        <f>34449.99+27363.78+23604.86+16739.26+15240.34+16003.48</f>
        <v>133401.71</v>
      </c>
      <c r="Q41" s="79">
        <f t="shared" si="2"/>
        <v>0</v>
      </c>
      <c r="R41" s="141"/>
    </row>
    <row r="42" spans="1:18" s="13" customFormat="1" hidden="1" x14ac:dyDescent="0.25">
      <c r="A42" s="229"/>
      <c r="B42" s="27" t="s">
        <v>38</v>
      </c>
      <c r="C42" s="181" t="s">
        <v>17</v>
      </c>
      <c r="D42" s="182"/>
      <c r="E42" s="183" t="s">
        <v>20</v>
      </c>
      <c r="F42" s="73" t="s">
        <v>268</v>
      </c>
      <c r="G42" s="230" t="s">
        <v>114</v>
      </c>
      <c r="H42" s="181"/>
      <c r="I42" s="231"/>
      <c r="J42" s="190"/>
      <c r="K42" s="77"/>
      <c r="L42" s="77"/>
      <c r="M42" s="187">
        <f t="shared" si="1"/>
        <v>0</v>
      </c>
      <c r="N42" s="100"/>
      <c r="O42" s="224"/>
      <c r="P42" s="224"/>
      <c r="Q42" s="232">
        <f t="shared" si="2"/>
        <v>0</v>
      </c>
    </row>
    <row r="43" spans="1:18" s="13" customFormat="1" x14ac:dyDescent="0.25">
      <c r="A43" s="229"/>
      <c r="B43" s="27" t="s">
        <v>38</v>
      </c>
      <c r="C43" s="181" t="s">
        <v>17</v>
      </c>
      <c r="D43" s="182"/>
      <c r="E43" s="183" t="s">
        <v>18</v>
      </c>
      <c r="F43" s="73" t="s">
        <v>324</v>
      </c>
      <c r="G43" s="230" t="s">
        <v>116</v>
      </c>
      <c r="H43" s="181">
        <v>3</v>
      </c>
      <c r="I43" s="231">
        <v>3</v>
      </c>
      <c r="J43" s="190">
        <v>3</v>
      </c>
      <c r="K43" s="77">
        <v>4098</v>
      </c>
      <c r="L43" s="77">
        <v>4098</v>
      </c>
      <c r="M43" s="187">
        <f t="shared" si="1"/>
        <v>0</v>
      </c>
      <c r="N43" s="100"/>
      <c r="O43" s="224"/>
      <c r="P43" s="224"/>
      <c r="Q43" s="232">
        <f t="shared" si="2"/>
        <v>0</v>
      </c>
    </row>
    <row r="44" spans="1:18" s="13" customFormat="1" hidden="1" x14ac:dyDescent="0.25">
      <c r="A44" s="229"/>
      <c r="B44" s="62" t="s">
        <v>39</v>
      </c>
      <c r="C44" s="181" t="s">
        <v>17</v>
      </c>
      <c r="D44" s="182"/>
      <c r="E44" s="183" t="s">
        <v>20</v>
      </c>
      <c r="F44" s="73" t="s">
        <v>269</v>
      </c>
      <c r="G44" s="230" t="s">
        <v>114</v>
      </c>
      <c r="H44" s="181"/>
      <c r="I44" s="231"/>
      <c r="J44" s="190"/>
      <c r="K44" s="77"/>
      <c r="L44" s="77"/>
      <c r="M44" s="187">
        <f t="shared" si="1"/>
        <v>0</v>
      </c>
      <c r="N44" s="100"/>
      <c r="O44" s="224"/>
      <c r="P44" s="224"/>
      <c r="Q44" s="232">
        <f t="shared" si="2"/>
        <v>0</v>
      </c>
    </row>
    <row r="45" spans="1:18" s="13" customFormat="1" hidden="1" x14ac:dyDescent="0.25">
      <c r="A45" s="229"/>
      <c r="B45" s="27" t="s">
        <v>40</v>
      </c>
      <c r="C45" s="181" t="s">
        <v>17</v>
      </c>
      <c r="D45" s="182"/>
      <c r="E45" s="194" t="s">
        <v>41</v>
      </c>
      <c r="F45" s="73" t="s">
        <v>339</v>
      </c>
      <c r="G45" s="74" t="s">
        <v>112</v>
      </c>
      <c r="H45" s="75">
        <v>25</v>
      </c>
      <c r="I45" s="76">
        <v>21</v>
      </c>
      <c r="J45" s="96">
        <f>1+1+3+9+4+4+3+2+1+1+2+3</f>
        <v>34</v>
      </c>
      <c r="K45" s="77">
        <f>1045.98+3271.86+15658.52+8166.35+6035.99+8024.36+2759.63+3460.61+3962.12+3444.02</f>
        <v>55829.439999999995</v>
      </c>
      <c r="L45" s="77">
        <f>1045.98+3271.86+15658.52+8166.35+6035.99+8024.36+2759.63+3460.61</f>
        <v>48423.299999999996</v>
      </c>
      <c r="M45" s="78">
        <f>K45-L45</f>
        <v>7406.1399999999994</v>
      </c>
      <c r="N45" s="100">
        <f>3+13+6+5+4+2+1+1</f>
        <v>35</v>
      </c>
      <c r="O45" s="81">
        <f>17269.31+39990.78+16582.12+23492.44+7068.31+4243.84</f>
        <v>108646.79999999999</v>
      </c>
      <c r="P45" s="81">
        <f>17269.31+39990.78+16582.12+23492.44+7068.31+4243.84</f>
        <v>108646.79999999999</v>
      </c>
      <c r="Q45" s="79">
        <f t="shared" si="2"/>
        <v>0</v>
      </c>
      <c r="R45" s="141"/>
    </row>
    <row r="46" spans="1:18" s="13" customFormat="1" hidden="1" x14ac:dyDescent="0.25">
      <c r="A46" s="229"/>
      <c r="B46" s="27" t="s">
        <v>40</v>
      </c>
      <c r="C46" s="181" t="s">
        <v>17</v>
      </c>
      <c r="D46" s="182"/>
      <c r="E46" s="194" t="s">
        <v>41</v>
      </c>
      <c r="F46" s="73" t="s">
        <v>482</v>
      </c>
      <c r="G46" s="230" t="s">
        <v>114</v>
      </c>
      <c r="H46" s="181"/>
      <c r="I46" s="231"/>
      <c r="J46" s="190"/>
      <c r="K46" s="77"/>
      <c r="L46" s="77"/>
      <c r="M46" s="187">
        <f t="shared" si="1"/>
        <v>0</v>
      </c>
      <c r="N46" s="100">
        <v>1</v>
      </c>
      <c r="O46" s="224">
        <v>3073.6</v>
      </c>
      <c r="P46" s="224">
        <f>3073.6</f>
        <v>3073.6</v>
      </c>
      <c r="Q46" s="232">
        <f t="shared" si="2"/>
        <v>0</v>
      </c>
    </row>
    <row r="47" spans="1:18" s="13" customFormat="1" hidden="1" x14ac:dyDescent="0.25">
      <c r="A47" s="229"/>
      <c r="B47" s="27" t="s">
        <v>148</v>
      </c>
      <c r="C47" s="181" t="s">
        <v>17</v>
      </c>
      <c r="D47" s="182"/>
      <c r="E47" s="183" t="s">
        <v>20</v>
      </c>
      <c r="F47" s="73" t="s">
        <v>340</v>
      </c>
      <c r="G47" s="74" t="s">
        <v>112</v>
      </c>
      <c r="H47" s="75">
        <v>19</v>
      </c>
      <c r="I47" s="82">
        <v>12</v>
      </c>
      <c r="J47" s="96">
        <f>1+2+1+4+4+2</f>
        <v>14</v>
      </c>
      <c r="K47" s="77">
        <f>537.88+2110.03+6723.98+8914.21+1204.2</f>
        <v>19490.3</v>
      </c>
      <c r="L47" s="77">
        <f>537.88+2110.03+6723.98+8914.21+1204.2</f>
        <v>19490.3</v>
      </c>
      <c r="M47" s="78">
        <f>K47-L47</f>
        <v>0</v>
      </c>
      <c r="N47" s="100">
        <f>6+5+3+1+1+1+1</f>
        <v>18</v>
      </c>
      <c r="O47" s="81">
        <f>9370.6+9456.38+8868.69+5367.27+11572.62</f>
        <v>44635.560000000005</v>
      </c>
      <c r="P47" s="81">
        <f>9370.6+9456.38+8868.69+5367.27+11572.62</f>
        <v>44635.560000000005</v>
      </c>
      <c r="Q47" s="79">
        <f t="shared" si="2"/>
        <v>0</v>
      </c>
      <c r="R47" s="141"/>
    </row>
    <row r="48" spans="1:18" s="13" customFormat="1" hidden="1" x14ac:dyDescent="0.25">
      <c r="A48" s="229"/>
      <c r="B48" s="27" t="s">
        <v>148</v>
      </c>
      <c r="C48" s="181" t="s">
        <v>17</v>
      </c>
      <c r="D48" s="182"/>
      <c r="E48" s="194" t="s">
        <v>32</v>
      </c>
      <c r="F48" s="73" t="s">
        <v>425</v>
      </c>
      <c r="G48" s="230" t="s">
        <v>117</v>
      </c>
      <c r="H48" s="181">
        <v>11</v>
      </c>
      <c r="I48" s="231">
        <v>2</v>
      </c>
      <c r="J48" s="96">
        <v>2</v>
      </c>
      <c r="K48" s="77">
        <v>5760.1</v>
      </c>
      <c r="L48" s="77">
        <v>5760.1</v>
      </c>
      <c r="M48" s="187">
        <f t="shared" si="1"/>
        <v>0</v>
      </c>
      <c r="N48" s="100">
        <v>4</v>
      </c>
      <c r="O48" s="224">
        <v>12851.49</v>
      </c>
      <c r="P48" s="224">
        <v>12851.49</v>
      </c>
      <c r="Q48" s="232">
        <f t="shared" si="2"/>
        <v>0</v>
      </c>
    </row>
    <row r="49" spans="1:18" s="13" customFormat="1" hidden="1" x14ac:dyDescent="0.25">
      <c r="A49" s="229"/>
      <c r="B49" s="30" t="s">
        <v>42</v>
      </c>
      <c r="C49" s="181" t="s">
        <v>17</v>
      </c>
      <c r="D49" s="182"/>
      <c r="E49" s="183" t="s">
        <v>23</v>
      </c>
      <c r="F49" s="73" t="s">
        <v>341</v>
      </c>
      <c r="G49" s="74" t="s">
        <v>112</v>
      </c>
      <c r="H49" s="75">
        <v>36</v>
      </c>
      <c r="I49" s="76">
        <v>30</v>
      </c>
      <c r="J49" s="96">
        <f>5+3+5+3+8+3+8+5</f>
        <v>40</v>
      </c>
      <c r="K49" s="77">
        <f>7156.22+3849.11+8154.25+4149.36+15912.38+18649.91</f>
        <v>57871.229999999996</v>
      </c>
      <c r="L49" s="77">
        <f>7156.22+3849.11+8154.25+4149.36+15912.38+18649.91</f>
        <v>57871.229999999996</v>
      </c>
      <c r="M49" s="78">
        <f>K49-L49</f>
        <v>0</v>
      </c>
      <c r="N49" s="100">
        <f>4+6+9+2+4+2+2+3+3+2</f>
        <v>37</v>
      </c>
      <c r="O49" s="81">
        <f>5364.2+26170.88+2849.25+18965.6+9565.56+9423.5+18214.56</f>
        <v>90553.549999999988</v>
      </c>
      <c r="P49" s="81">
        <f>5364.2+26170.88+2849.25+18965.6+9565.56+9423.5+18214.56</f>
        <v>90553.549999999988</v>
      </c>
      <c r="Q49" s="79">
        <f t="shared" si="2"/>
        <v>0</v>
      </c>
      <c r="R49" s="141"/>
    </row>
    <row r="50" spans="1:18" s="13" customFormat="1" hidden="1" x14ac:dyDescent="0.25">
      <c r="A50" s="229"/>
      <c r="B50" s="30" t="s">
        <v>42</v>
      </c>
      <c r="C50" s="181" t="s">
        <v>17</v>
      </c>
      <c r="D50" s="182"/>
      <c r="E50" s="183" t="s">
        <v>23</v>
      </c>
      <c r="F50" s="73" t="s">
        <v>437</v>
      </c>
      <c r="G50" s="230" t="s">
        <v>118</v>
      </c>
      <c r="H50" s="181">
        <v>2</v>
      </c>
      <c r="I50" s="231"/>
      <c r="J50" s="96"/>
      <c r="K50" s="77"/>
      <c r="L50" s="77"/>
      <c r="M50" s="187">
        <f t="shared" si="1"/>
        <v>0</v>
      </c>
      <c r="N50" s="100">
        <v>1</v>
      </c>
      <c r="O50" s="224">
        <v>7766.4</v>
      </c>
      <c r="P50" s="224">
        <v>7766.4</v>
      </c>
      <c r="Q50" s="232">
        <f t="shared" si="2"/>
        <v>0</v>
      </c>
    </row>
    <row r="51" spans="1:18" s="13" customFormat="1" hidden="1" x14ac:dyDescent="0.25">
      <c r="A51" s="229"/>
      <c r="B51" s="30" t="s">
        <v>173</v>
      </c>
      <c r="C51" s="181" t="s">
        <v>17</v>
      </c>
      <c r="D51" s="182"/>
      <c r="E51" s="230" t="s">
        <v>118</v>
      </c>
      <c r="F51" s="73" t="s">
        <v>342</v>
      </c>
      <c r="G51" s="74" t="s">
        <v>112</v>
      </c>
      <c r="H51" s="75">
        <v>4</v>
      </c>
      <c r="I51" s="76">
        <v>4</v>
      </c>
      <c r="J51" s="96">
        <f>1+2+1</f>
        <v>4</v>
      </c>
      <c r="K51" s="77">
        <f>6833.76+696.36</f>
        <v>7530.12</v>
      </c>
      <c r="L51" s="77">
        <f>6833.76+696.36</f>
        <v>7530.12</v>
      </c>
      <c r="M51" s="78">
        <f>K51-L51</f>
        <v>0</v>
      </c>
      <c r="N51" s="100">
        <f>4+2</f>
        <v>6</v>
      </c>
      <c r="O51" s="81">
        <f>5931.9+4183.92+3158.95</f>
        <v>13274.77</v>
      </c>
      <c r="P51" s="81">
        <f>5931.9+4183.92+3158.95</f>
        <v>13274.77</v>
      </c>
      <c r="Q51" s="79">
        <f t="shared" si="2"/>
        <v>0</v>
      </c>
      <c r="R51" s="141"/>
    </row>
    <row r="52" spans="1:18" s="13" customFormat="1" hidden="1" x14ac:dyDescent="0.25">
      <c r="A52" s="229"/>
      <c r="B52" s="62" t="s">
        <v>143</v>
      </c>
      <c r="C52" s="181" t="s">
        <v>64</v>
      </c>
      <c r="D52" s="182" t="s">
        <v>444</v>
      </c>
      <c r="E52" s="183" t="s">
        <v>20</v>
      </c>
      <c r="F52" s="73" t="s">
        <v>445</v>
      </c>
      <c r="G52" s="230" t="s">
        <v>114</v>
      </c>
      <c r="H52" s="181">
        <v>21</v>
      </c>
      <c r="I52" s="234">
        <v>3</v>
      </c>
      <c r="J52" s="190">
        <v>3</v>
      </c>
      <c r="K52" s="193">
        <v>10823.5</v>
      </c>
      <c r="L52" s="193">
        <v>9418.6</v>
      </c>
      <c r="M52" s="187">
        <f t="shared" si="1"/>
        <v>1404.8999999999996</v>
      </c>
      <c r="N52" s="114">
        <v>18</v>
      </c>
      <c r="O52" s="224">
        <v>27390.400000000001</v>
      </c>
      <c r="P52" s="224">
        <v>27390.400000000001</v>
      </c>
      <c r="Q52" s="232">
        <f t="shared" si="2"/>
        <v>0</v>
      </c>
    </row>
    <row r="53" spans="1:18" s="13" customFormat="1" hidden="1" x14ac:dyDescent="0.25">
      <c r="A53" s="229"/>
      <c r="B53" s="30" t="s">
        <v>158</v>
      </c>
      <c r="C53" s="181" t="s">
        <v>17</v>
      </c>
      <c r="D53" s="182"/>
      <c r="E53" s="194" t="s">
        <v>32</v>
      </c>
      <c r="F53" s="73" t="s">
        <v>426</v>
      </c>
      <c r="G53" s="230" t="s">
        <v>117</v>
      </c>
      <c r="H53" s="181">
        <v>12</v>
      </c>
      <c r="I53" s="234">
        <v>5</v>
      </c>
      <c r="J53" s="190">
        <v>6</v>
      </c>
      <c r="K53" s="193">
        <v>10870.84</v>
      </c>
      <c r="L53" s="193">
        <v>10870.84</v>
      </c>
      <c r="M53" s="187">
        <f t="shared" si="1"/>
        <v>0</v>
      </c>
      <c r="N53" s="114">
        <v>5</v>
      </c>
      <c r="O53" s="224">
        <v>16813.7</v>
      </c>
      <c r="P53" s="224">
        <v>16813.7</v>
      </c>
      <c r="Q53" s="232">
        <f t="shared" si="2"/>
        <v>0</v>
      </c>
    </row>
    <row r="54" spans="1:18" s="15" customFormat="1" hidden="1" x14ac:dyDescent="0.25">
      <c r="A54" s="229"/>
      <c r="B54" s="62" t="s">
        <v>43</v>
      </c>
      <c r="C54" s="181" t="s">
        <v>17</v>
      </c>
      <c r="D54" s="182"/>
      <c r="E54" s="183" t="s">
        <v>18</v>
      </c>
      <c r="F54" s="73" t="s">
        <v>344</v>
      </c>
      <c r="G54" s="74" t="s">
        <v>112</v>
      </c>
      <c r="H54" s="75">
        <v>29</v>
      </c>
      <c r="I54" s="76">
        <v>22</v>
      </c>
      <c r="J54" s="96">
        <f>1+2+2+5+2+3+2+3+3+3</f>
        <v>26</v>
      </c>
      <c r="K54" s="77">
        <f>1776.93+926.88+3328.29+3172.19+9832.29+3539.2</f>
        <v>22575.780000000002</v>
      </c>
      <c r="L54" s="77">
        <f>1776.93+926.88+3328.29+3172.19</f>
        <v>9204.2900000000009</v>
      </c>
      <c r="M54" s="187">
        <f t="shared" si="1"/>
        <v>13371.490000000002</v>
      </c>
      <c r="N54" s="100">
        <f>1+5+4+1+1+1+1</f>
        <v>14</v>
      </c>
      <c r="O54" s="81">
        <f>1223.8+3810.29+4959.02+10043.87+2769.48+2146.91+11926.24-1465.64</f>
        <v>35413.97</v>
      </c>
      <c r="P54" s="81">
        <f>1223.8+3810.29+4959.02+10043.87+2769.48+2146.91+11926.24-1465.64</f>
        <v>35413.97</v>
      </c>
      <c r="Q54" s="79">
        <f t="shared" si="2"/>
        <v>0</v>
      </c>
      <c r="R54" s="141"/>
    </row>
    <row r="55" spans="1:18" s="15" customFormat="1" ht="30" x14ac:dyDescent="0.25">
      <c r="A55" s="229"/>
      <c r="B55" s="62" t="s">
        <v>43</v>
      </c>
      <c r="C55" s="181" t="s">
        <v>304</v>
      </c>
      <c r="D55" s="182" t="s">
        <v>473</v>
      </c>
      <c r="E55" s="183" t="s">
        <v>18</v>
      </c>
      <c r="F55" s="73" t="s">
        <v>323</v>
      </c>
      <c r="G55" s="271" t="s">
        <v>116</v>
      </c>
      <c r="H55" s="181">
        <v>23</v>
      </c>
      <c r="I55" s="234">
        <v>19</v>
      </c>
      <c r="J55" s="98">
        <v>20</v>
      </c>
      <c r="K55" s="77">
        <v>26931</v>
      </c>
      <c r="L55" s="77">
        <v>26931</v>
      </c>
      <c r="M55" s="187">
        <f t="shared" si="1"/>
        <v>0</v>
      </c>
      <c r="N55" s="114">
        <v>18</v>
      </c>
      <c r="O55" s="224">
        <v>60535</v>
      </c>
      <c r="P55" s="224">
        <v>60535</v>
      </c>
      <c r="Q55" s="232">
        <f t="shared" si="2"/>
        <v>0</v>
      </c>
    </row>
    <row r="56" spans="1:18" s="13" customFormat="1" hidden="1" x14ac:dyDescent="0.25">
      <c r="A56" s="229"/>
      <c r="B56" s="30" t="s">
        <v>44</v>
      </c>
      <c r="C56" s="181" t="s">
        <v>17</v>
      </c>
      <c r="D56" s="182"/>
      <c r="E56" s="183" t="s">
        <v>20</v>
      </c>
      <c r="F56" s="73" t="s">
        <v>345</v>
      </c>
      <c r="G56" s="74" t="s">
        <v>112</v>
      </c>
      <c r="H56" s="75">
        <v>14</v>
      </c>
      <c r="I56" s="76">
        <v>9</v>
      </c>
      <c r="J56" s="96">
        <f>1+1+1+4+2+1</f>
        <v>10</v>
      </c>
      <c r="K56" s="77">
        <f>2422.38+1267.86+15410.58+1534.35+708.47</f>
        <v>21343.64</v>
      </c>
      <c r="L56" s="77">
        <f>2422.38+1267.86+15410.58+1534.35+708.47</f>
        <v>21343.64</v>
      </c>
      <c r="M56" s="187">
        <f t="shared" si="1"/>
        <v>0</v>
      </c>
      <c r="N56" s="100">
        <f>1+11</f>
        <v>12</v>
      </c>
      <c r="O56" s="81">
        <f>421.62+4603.39+10559.77+72902.04</f>
        <v>88486.819999999992</v>
      </c>
      <c r="P56" s="81">
        <f>421.62+4603.39+10559.77+72902.04</f>
        <v>88486.819999999992</v>
      </c>
      <c r="Q56" s="79">
        <f t="shared" si="2"/>
        <v>0</v>
      </c>
      <c r="R56" s="141"/>
    </row>
    <row r="57" spans="1:18" s="13" customFormat="1" hidden="1" x14ac:dyDescent="0.25">
      <c r="A57" s="229"/>
      <c r="B57" s="30" t="s">
        <v>44</v>
      </c>
      <c r="C57" s="181" t="s">
        <v>17</v>
      </c>
      <c r="D57" s="182"/>
      <c r="E57" s="183" t="s">
        <v>20</v>
      </c>
      <c r="F57" s="73" t="s">
        <v>483</v>
      </c>
      <c r="G57" s="230" t="s">
        <v>114</v>
      </c>
      <c r="H57" s="181"/>
      <c r="I57" s="231"/>
      <c r="J57" s="190"/>
      <c r="K57" s="77"/>
      <c r="L57" s="77"/>
      <c r="M57" s="187">
        <f t="shared" si="1"/>
        <v>0</v>
      </c>
      <c r="N57" s="100">
        <v>2</v>
      </c>
      <c r="O57" s="224">
        <v>9934.7000000000007</v>
      </c>
      <c r="P57" s="224">
        <v>6723.5</v>
      </c>
      <c r="Q57" s="232">
        <f t="shared" si="2"/>
        <v>3211.2000000000007</v>
      </c>
    </row>
    <row r="58" spans="1:18" s="13" customFormat="1" hidden="1" x14ac:dyDescent="0.25">
      <c r="A58" s="229"/>
      <c r="B58" s="30" t="s">
        <v>492</v>
      </c>
      <c r="C58" s="181" t="s">
        <v>17</v>
      </c>
      <c r="D58" s="182"/>
      <c r="E58" s="183" t="s">
        <v>20</v>
      </c>
      <c r="F58" s="73" t="s">
        <v>499</v>
      </c>
      <c r="G58" s="230" t="s">
        <v>112</v>
      </c>
      <c r="H58" s="181">
        <v>10</v>
      </c>
      <c r="I58" s="231">
        <v>8</v>
      </c>
      <c r="J58" s="190">
        <f>1+8</f>
        <v>9</v>
      </c>
      <c r="K58" s="77">
        <f>1044.98+2096.62</f>
        <v>3141.6</v>
      </c>
      <c r="L58" s="77">
        <f>1044.98</f>
        <v>1044.98</v>
      </c>
      <c r="M58" s="187">
        <f t="shared" si="1"/>
        <v>2096.62</v>
      </c>
      <c r="N58" s="100"/>
      <c r="O58" s="224"/>
      <c r="P58" s="224"/>
      <c r="Q58" s="79">
        <f t="shared" si="2"/>
        <v>0</v>
      </c>
    </row>
    <row r="59" spans="1:18" s="13" customFormat="1" hidden="1" x14ac:dyDescent="0.25">
      <c r="A59" s="229"/>
      <c r="B59" s="27" t="s">
        <v>45</v>
      </c>
      <c r="C59" s="181" t="s">
        <v>17</v>
      </c>
      <c r="D59" s="182"/>
      <c r="E59" s="183" t="s">
        <v>20</v>
      </c>
      <c r="F59" s="73" t="s">
        <v>346</v>
      </c>
      <c r="G59" s="74" t="s">
        <v>112</v>
      </c>
      <c r="H59" s="75"/>
      <c r="I59" s="76"/>
      <c r="J59" s="96"/>
      <c r="K59" s="77"/>
      <c r="L59" s="77"/>
      <c r="M59" s="187">
        <f t="shared" si="1"/>
        <v>0</v>
      </c>
      <c r="N59" s="100">
        <f>1</f>
        <v>1</v>
      </c>
      <c r="O59" s="81">
        <f>17995.91+2729.8</f>
        <v>20725.71</v>
      </c>
      <c r="P59" s="81">
        <f>17995.91+2729.8</f>
        <v>20725.71</v>
      </c>
      <c r="Q59" s="79">
        <f t="shared" si="2"/>
        <v>0</v>
      </c>
      <c r="R59" s="141"/>
    </row>
    <row r="60" spans="1:18" s="13" customFormat="1" hidden="1" x14ac:dyDescent="0.25">
      <c r="A60" s="229"/>
      <c r="B60" s="27" t="s">
        <v>45</v>
      </c>
      <c r="C60" s="181" t="s">
        <v>17</v>
      </c>
      <c r="D60" s="182"/>
      <c r="E60" s="183" t="s">
        <v>20</v>
      </c>
      <c r="F60" s="73" t="s">
        <v>484</v>
      </c>
      <c r="G60" s="230" t="s">
        <v>114</v>
      </c>
      <c r="H60" s="181"/>
      <c r="I60" s="231"/>
      <c r="J60" s="190"/>
      <c r="K60" s="77"/>
      <c r="L60" s="77"/>
      <c r="M60" s="187">
        <f t="shared" si="1"/>
        <v>0</v>
      </c>
      <c r="N60" s="100"/>
      <c r="O60" s="224"/>
      <c r="P60" s="224"/>
      <c r="Q60" s="232">
        <f t="shared" si="2"/>
        <v>0</v>
      </c>
    </row>
    <row r="61" spans="1:18" s="15" customFormat="1" hidden="1" x14ac:dyDescent="0.25">
      <c r="A61" s="229"/>
      <c r="B61" s="27" t="s">
        <v>46</v>
      </c>
      <c r="C61" s="181" t="s">
        <v>17</v>
      </c>
      <c r="D61" s="182"/>
      <c r="E61" s="183" t="s">
        <v>20</v>
      </c>
      <c r="F61" s="73" t="s">
        <v>347</v>
      </c>
      <c r="G61" s="74" t="s">
        <v>112</v>
      </c>
      <c r="H61" s="75">
        <v>19</v>
      </c>
      <c r="I61" s="76">
        <v>15</v>
      </c>
      <c r="J61" s="96">
        <f>1+2+3+2+4+1+4+2+1+5+1</f>
        <v>26</v>
      </c>
      <c r="K61" s="77">
        <f>1045.98+1068.08+8157.32+1778.85+9152.67+11156.63+11271.63+1490.2+9025.41+10714.36</f>
        <v>64861.12999999999</v>
      </c>
      <c r="L61" s="77">
        <f>1045.98+1068.08+8157.32+1778.85+9152.67+11156.63+11271.63+1490.2</f>
        <v>45121.359999999993</v>
      </c>
      <c r="M61" s="187">
        <f t="shared" si="1"/>
        <v>19739.769999999997</v>
      </c>
      <c r="N61" s="100">
        <f>4+4+1+1+1+2</f>
        <v>13</v>
      </c>
      <c r="O61" s="81">
        <f>10759.2+10685.34+7362.04</f>
        <v>28806.58</v>
      </c>
      <c r="P61" s="81">
        <f>10759.2+10685.34+7362.04</f>
        <v>28806.58</v>
      </c>
      <c r="Q61" s="79">
        <f t="shared" si="2"/>
        <v>0</v>
      </c>
      <c r="R61" s="141"/>
    </row>
    <row r="62" spans="1:18" s="15" customFormat="1" hidden="1" x14ac:dyDescent="0.25">
      <c r="A62" s="229"/>
      <c r="B62" s="27" t="s">
        <v>46</v>
      </c>
      <c r="C62" s="181" t="s">
        <v>17</v>
      </c>
      <c r="D62" s="182"/>
      <c r="E62" s="183" t="s">
        <v>20</v>
      </c>
      <c r="F62" s="73" t="s">
        <v>273</v>
      </c>
      <c r="G62" s="230" t="s">
        <v>114</v>
      </c>
      <c r="H62" s="181">
        <v>4</v>
      </c>
      <c r="I62" s="231">
        <v>1</v>
      </c>
      <c r="J62" s="190">
        <v>1</v>
      </c>
      <c r="K62" s="77">
        <v>576.29999999999995</v>
      </c>
      <c r="L62" s="77">
        <v>576.29999999999995</v>
      </c>
      <c r="M62" s="187">
        <f t="shared" si="1"/>
        <v>0</v>
      </c>
      <c r="N62" s="100">
        <v>3</v>
      </c>
      <c r="O62" s="224">
        <v>9356.9</v>
      </c>
      <c r="P62" s="224">
        <v>9356.9</v>
      </c>
      <c r="Q62" s="232">
        <f t="shared" si="2"/>
        <v>0</v>
      </c>
    </row>
    <row r="63" spans="1:18" s="13" customFormat="1" ht="45" hidden="1" x14ac:dyDescent="0.25">
      <c r="A63" s="229"/>
      <c r="B63" s="30" t="s">
        <v>47</v>
      </c>
      <c r="C63" s="181" t="s">
        <v>304</v>
      </c>
      <c r="D63" s="182" t="s">
        <v>474</v>
      </c>
      <c r="E63" s="183" t="s">
        <v>18</v>
      </c>
      <c r="F63" s="73" t="s">
        <v>348</v>
      </c>
      <c r="G63" s="74" t="s">
        <v>112</v>
      </c>
      <c r="H63" s="75">
        <v>49</v>
      </c>
      <c r="I63" s="76">
        <v>37</v>
      </c>
      <c r="J63" s="98">
        <f>1+1+3+21+7+2+5+2+7+15+14</f>
        <v>78</v>
      </c>
      <c r="K63" s="77">
        <f>30728.27+19236.99+22614.7+52735.68</f>
        <v>125315.64000000001</v>
      </c>
      <c r="L63" s="77">
        <f>30728.27+19236.99+22614.7</f>
        <v>72579.960000000006</v>
      </c>
      <c r="M63" s="187">
        <f t="shared" si="1"/>
        <v>52735.680000000008</v>
      </c>
      <c r="N63" s="100">
        <f>7+3+4+10+6+1+2+1+3+2</f>
        <v>39</v>
      </c>
      <c r="O63" s="81">
        <f>8477.51+15159.83+14079.46+15414.2+17995.91+2065.56+1859.53+9543.86+1728.53+14526.84</f>
        <v>100851.23</v>
      </c>
      <c r="P63" s="81">
        <f>8477.51+15159.83+14079.46+15414.2+17995.91+2065.56+1859.53+9543.86+1728.53+14526.84</f>
        <v>100851.23</v>
      </c>
      <c r="Q63" s="79">
        <f t="shared" si="2"/>
        <v>0</v>
      </c>
      <c r="R63" s="141"/>
    </row>
    <row r="64" spans="1:18" s="13" customFormat="1" ht="45" x14ac:dyDescent="0.25">
      <c r="A64" s="229"/>
      <c r="B64" s="62" t="s">
        <v>120</v>
      </c>
      <c r="C64" s="181" t="s">
        <v>304</v>
      </c>
      <c r="D64" s="182" t="s">
        <v>474</v>
      </c>
      <c r="E64" s="183" t="s">
        <v>18</v>
      </c>
      <c r="F64" s="73" t="s">
        <v>334</v>
      </c>
      <c r="G64" s="230" t="s">
        <v>116</v>
      </c>
      <c r="H64" s="181">
        <v>29</v>
      </c>
      <c r="I64" s="234">
        <v>17</v>
      </c>
      <c r="J64" s="98">
        <v>18</v>
      </c>
      <c r="K64" s="77">
        <v>37956</v>
      </c>
      <c r="L64" s="77">
        <v>37956</v>
      </c>
      <c r="M64" s="187">
        <f t="shared" si="1"/>
        <v>0</v>
      </c>
      <c r="N64" s="100">
        <v>15</v>
      </c>
      <c r="O64" s="224">
        <v>60831</v>
      </c>
      <c r="P64" s="224">
        <v>60831</v>
      </c>
      <c r="Q64" s="232">
        <f t="shared" si="2"/>
        <v>0</v>
      </c>
    </row>
    <row r="65" spans="1:18" s="13" customFormat="1" hidden="1" x14ac:dyDescent="0.25">
      <c r="A65" s="229"/>
      <c r="B65" s="30" t="s">
        <v>134</v>
      </c>
      <c r="C65" s="181" t="s">
        <v>17</v>
      </c>
      <c r="D65" s="182"/>
      <c r="E65" s="183" t="s">
        <v>20</v>
      </c>
      <c r="F65" s="73" t="s">
        <v>349</v>
      </c>
      <c r="G65" s="74" t="s">
        <v>112</v>
      </c>
      <c r="H65" s="75">
        <v>20</v>
      </c>
      <c r="I65" s="76">
        <v>19</v>
      </c>
      <c r="J65" s="96">
        <f>1+4+1+1+2+1+1+7+1</f>
        <v>19</v>
      </c>
      <c r="K65" s="77">
        <f>7301.48+1473.89+1911.09+1690.48+845.24+6268.51+441.51+1983.45+3361.83+883.11+2668.51+2972.45</f>
        <v>31801.55</v>
      </c>
      <c r="L65" s="77">
        <f>7301.48+1473.89+1911.09+1690.48+845.24+6268.51+441.51+1983.45</f>
        <v>21915.649999999998</v>
      </c>
      <c r="M65" s="187">
        <f t="shared" si="1"/>
        <v>9885.9000000000015</v>
      </c>
      <c r="N65" s="100">
        <f>4+1+1+1+1+1</f>
        <v>9</v>
      </c>
      <c r="O65" s="81">
        <f>5020.05+3215.31+12312.39+4648.82+32425.98+7889.42+3294.46</f>
        <v>68806.430000000008</v>
      </c>
      <c r="P65" s="81">
        <f>5020.05+3215.31+12312.39+4648.82+32425.98+7889.42</f>
        <v>65511.97</v>
      </c>
      <c r="Q65" s="79">
        <f t="shared" si="2"/>
        <v>3294.4600000000064</v>
      </c>
      <c r="R65" s="141"/>
    </row>
    <row r="66" spans="1:18" s="13" customFormat="1" hidden="1" x14ac:dyDescent="0.25">
      <c r="A66" s="229"/>
      <c r="B66" s="30" t="s">
        <v>134</v>
      </c>
      <c r="C66" s="181" t="s">
        <v>17</v>
      </c>
      <c r="D66" s="182"/>
      <c r="E66" s="183" t="s">
        <v>20</v>
      </c>
      <c r="F66" s="73" t="s">
        <v>456</v>
      </c>
      <c r="G66" s="230" t="s">
        <v>114</v>
      </c>
      <c r="H66" s="181">
        <v>21</v>
      </c>
      <c r="I66" s="231">
        <v>5</v>
      </c>
      <c r="J66" s="190">
        <v>5</v>
      </c>
      <c r="K66" s="77">
        <v>13769.22</v>
      </c>
      <c r="L66" s="77">
        <v>10236.9</v>
      </c>
      <c r="M66" s="187">
        <f t="shared" si="1"/>
        <v>3532.3199999999997</v>
      </c>
      <c r="N66" s="100">
        <v>27</v>
      </c>
      <c r="O66" s="224">
        <v>61494.8</v>
      </c>
      <c r="P66" s="224">
        <v>61494.8</v>
      </c>
      <c r="Q66" s="232">
        <f t="shared" si="2"/>
        <v>0</v>
      </c>
    </row>
    <row r="67" spans="1:18" s="13" customFormat="1" hidden="1" x14ac:dyDescent="0.25">
      <c r="A67" s="229"/>
      <c r="B67" s="62" t="s">
        <v>48</v>
      </c>
      <c r="C67" s="181" t="s">
        <v>17</v>
      </c>
      <c r="D67" s="182"/>
      <c r="E67" s="183" t="s">
        <v>20</v>
      </c>
      <c r="F67" s="73" t="s">
        <v>350</v>
      </c>
      <c r="G67" s="74" t="s">
        <v>112</v>
      </c>
      <c r="H67" s="75">
        <v>18</v>
      </c>
      <c r="I67" s="76">
        <v>11</v>
      </c>
      <c r="J67" s="96">
        <f>1+1+2+1+3+2</f>
        <v>10</v>
      </c>
      <c r="K67" s="77">
        <f>4805.96+2585.78+3065.92+2588.55+14407.5+9289.05+3030.73+11469.98</f>
        <v>51243.47</v>
      </c>
      <c r="L67" s="77">
        <f>4805.96+2585.78+3065.92+2588.55+14407.5+9289.05</f>
        <v>36742.759999999995</v>
      </c>
      <c r="M67" s="187">
        <f t="shared" si="1"/>
        <v>14500.710000000006</v>
      </c>
      <c r="N67" s="100">
        <f>2+1+2+1+3</f>
        <v>9</v>
      </c>
      <c r="O67" s="81">
        <f>23174.33+2535.72+11633.02+6993.42+20756.4</f>
        <v>65092.890000000007</v>
      </c>
      <c r="P67" s="81">
        <f>23174.33+2535.72+11633.02+6993.42+20756.4</f>
        <v>65092.890000000007</v>
      </c>
      <c r="Q67" s="79">
        <f t="shared" si="2"/>
        <v>0</v>
      </c>
      <c r="R67" s="141"/>
    </row>
    <row r="68" spans="1:18" s="13" customFormat="1" hidden="1" x14ac:dyDescent="0.25">
      <c r="A68" s="229"/>
      <c r="B68" s="62" t="s">
        <v>49</v>
      </c>
      <c r="C68" s="181" t="s">
        <v>17</v>
      </c>
      <c r="D68" s="182"/>
      <c r="E68" s="183" t="s">
        <v>50</v>
      </c>
      <c r="F68" s="73" t="s">
        <v>351</v>
      </c>
      <c r="G68" s="74" t="s">
        <v>112</v>
      </c>
      <c r="H68" s="75">
        <v>29</v>
      </c>
      <c r="I68" s="76">
        <v>19</v>
      </c>
      <c r="J68" s="96">
        <f>1+4+8+6+5+1</f>
        <v>25</v>
      </c>
      <c r="K68" s="77">
        <f>525.65+1267.86+6544.72+13939.57+1896.54+9712.48+14471.86</f>
        <v>48358.68</v>
      </c>
      <c r="L68" s="77">
        <f>525.65+1267.86+6544.72+13939.57+1896.54+9712.48</f>
        <v>33886.82</v>
      </c>
      <c r="M68" s="187">
        <f t="shared" si="1"/>
        <v>14471.86</v>
      </c>
      <c r="N68" s="100">
        <f>5+1+3+1+1</f>
        <v>11</v>
      </c>
      <c r="O68" s="81">
        <f>7374+1806.93+7275.53+4666.9+2684.03+6682.03+10412.84</f>
        <v>40902.259999999995</v>
      </c>
      <c r="P68" s="81">
        <f>7374+1806.93+7275.53+4666.9+2684.03+6682.03</f>
        <v>30489.42</v>
      </c>
      <c r="Q68" s="232">
        <f t="shared" si="2"/>
        <v>10412.839999999997</v>
      </c>
      <c r="R68" s="141"/>
    </row>
    <row r="69" spans="1:18" s="13" customFormat="1" hidden="1" x14ac:dyDescent="0.25">
      <c r="A69" s="229"/>
      <c r="B69" s="62" t="s">
        <v>49</v>
      </c>
      <c r="C69" s="181" t="s">
        <v>17</v>
      </c>
      <c r="D69" s="182"/>
      <c r="E69" s="183" t="s">
        <v>50</v>
      </c>
      <c r="F69" s="73" t="s">
        <v>427</v>
      </c>
      <c r="G69" s="230" t="s">
        <v>115</v>
      </c>
      <c r="H69" s="181">
        <v>15</v>
      </c>
      <c r="I69" s="231">
        <v>6</v>
      </c>
      <c r="J69" s="96">
        <v>6</v>
      </c>
      <c r="K69" s="77">
        <v>13535.63</v>
      </c>
      <c r="L69" s="77">
        <v>13535.63</v>
      </c>
      <c r="M69" s="187">
        <f t="shared" si="1"/>
        <v>0</v>
      </c>
      <c r="N69" s="100">
        <v>10</v>
      </c>
      <c r="O69" s="224">
        <v>17660.3</v>
      </c>
      <c r="P69" s="224">
        <v>17660.3</v>
      </c>
      <c r="Q69" s="79">
        <f t="shared" si="2"/>
        <v>0</v>
      </c>
    </row>
    <row r="70" spans="1:18" s="13" customFormat="1" hidden="1" x14ac:dyDescent="0.25">
      <c r="A70" s="229"/>
      <c r="B70" s="27" t="s">
        <v>51</v>
      </c>
      <c r="C70" s="181" t="s">
        <v>17</v>
      </c>
      <c r="D70" s="182"/>
      <c r="E70" s="183" t="s">
        <v>20</v>
      </c>
      <c r="F70" s="73" t="s">
        <v>186</v>
      </c>
      <c r="G70" s="74" t="s">
        <v>112</v>
      </c>
      <c r="H70" s="75"/>
      <c r="I70" s="76"/>
      <c r="J70" s="96"/>
      <c r="K70" s="77"/>
      <c r="L70" s="77"/>
      <c r="M70" s="78">
        <f>K70-L70</f>
        <v>0</v>
      </c>
      <c r="N70" s="100">
        <f>1</f>
        <v>1</v>
      </c>
      <c r="O70" s="81">
        <v>2451.87</v>
      </c>
      <c r="P70" s="81">
        <v>2451.87</v>
      </c>
      <c r="Q70" s="232">
        <f t="shared" si="2"/>
        <v>0</v>
      </c>
      <c r="R70" s="141"/>
    </row>
    <row r="71" spans="1:18" s="13" customFormat="1" hidden="1" x14ac:dyDescent="0.25">
      <c r="A71" s="229"/>
      <c r="B71" s="27" t="s">
        <v>51</v>
      </c>
      <c r="C71" s="181" t="s">
        <v>17</v>
      </c>
      <c r="D71" s="182"/>
      <c r="E71" s="183" t="s">
        <v>20</v>
      </c>
      <c r="F71" s="73" t="s">
        <v>276</v>
      </c>
      <c r="G71" s="230" t="s">
        <v>114</v>
      </c>
      <c r="H71" s="181"/>
      <c r="I71" s="231"/>
      <c r="J71" s="190"/>
      <c r="K71" s="77"/>
      <c r="L71" s="77"/>
      <c r="M71" s="187">
        <f t="shared" si="1"/>
        <v>0</v>
      </c>
      <c r="N71" s="100">
        <v>3</v>
      </c>
      <c r="O71" s="224">
        <v>6763.6</v>
      </c>
      <c r="P71" s="224">
        <v>6763.6</v>
      </c>
      <c r="Q71" s="232">
        <f t="shared" si="2"/>
        <v>0</v>
      </c>
    </row>
    <row r="72" spans="1:18" s="13" customFormat="1" hidden="1" x14ac:dyDescent="0.25">
      <c r="A72" s="229"/>
      <c r="B72" s="62" t="s">
        <v>52</v>
      </c>
      <c r="C72" s="181" t="s">
        <v>17</v>
      </c>
      <c r="D72" s="182"/>
      <c r="E72" s="183" t="s">
        <v>20</v>
      </c>
      <c r="F72" s="73" t="s">
        <v>352</v>
      </c>
      <c r="G72" s="74" t="s">
        <v>112</v>
      </c>
      <c r="H72" s="75">
        <v>15</v>
      </c>
      <c r="I72" s="76">
        <v>9</v>
      </c>
      <c r="J72" s="96">
        <f>1+1+1+1+2+3+1+1+1</f>
        <v>12</v>
      </c>
      <c r="K72" s="77">
        <f>10714.2+2747.14+2138.07+6709.4+7033.21+883.08+708.47</f>
        <v>30933.57</v>
      </c>
      <c r="L72" s="77">
        <f>10714.2+2747.14+2138.07+6709.4+7033.21</f>
        <v>29342.019999999997</v>
      </c>
      <c r="M72" s="78">
        <f>K72-L72</f>
        <v>1591.5500000000029</v>
      </c>
      <c r="N72" s="100">
        <f>4+3+1+1+2+3+1+1+2</f>
        <v>18</v>
      </c>
      <c r="O72" s="81">
        <f>5977.15+48296.91+7596.86+1061.83+8902.9+6856.31+2935.36</f>
        <v>81627.320000000007</v>
      </c>
      <c r="P72" s="81">
        <f>5977.15+48296.91+7596.86+1061.83+8902.9+6856.31+2935.36</f>
        <v>81627.320000000007</v>
      </c>
      <c r="Q72" s="232">
        <f t="shared" si="2"/>
        <v>0</v>
      </c>
      <c r="R72" s="141"/>
    </row>
    <row r="73" spans="1:18" s="13" customFormat="1" hidden="1" x14ac:dyDescent="0.25">
      <c r="A73" s="229"/>
      <c r="B73" s="62" t="s">
        <v>52</v>
      </c>
      <c r="C73" s="181" t="s">
        <v>17</v>
      </c>
      <c r="D73" s="182"/>
      <c r="E73" s="183" t="s">
        <v>20</v>
      </c>
      <c r="F73" s="73" t="s">
        <v>457</v>
      </c>
      <c r="G73" s="230" t="s">
        <v>114</v>
      </c>
      <c r="H73" s="181">
        <v>14</v>
      </c>
      <c r="I73" s="231">
        <v>4</v>
      </c>
      <c r="J73" s="190">
        <v>4</v>
      </c>
      <c r="K73" s="77">
        <v>11041.4</v>
      </c>
      <c r="L73" s="77">
        <v>11041.4</v>
      </c>
      <c r="M73" s="187">
        <f t="shared" si="1"/>
        <v>0</v>
      </c>
      <c r="N73" s="100">
        <v>20</v>
      </c>
      <c r="O73" s="264">
        <v>53970.82</v>
      </c>
      <c r="P73" s="224">
        <v>52565.919999999998</v>
      </c>
      <c r="Q73" s="232">
        <f t="shared" si="2"/>
        <v>1404.9000000000015</v>
      </c>
    </row>
    <row r="74" spans="1:18" s="13" customFormat="1" hidden="1" x14ac:dyDescent="0.25">
      <c r="A74" s="229"/>
      <c r="B74" s="27" t="s">
        <v>53</v>
      </c>
      <c r="C74" s="181" t="s">
        <v>17</v>
      </c>
      <c r="D74" s="182"/>
      <c r="E74" s="183" t="s">
        <v>20</v>
      </c>
      <c r="F74" s="73" t="s">
        <v>353</v>
      </c>
      <c r="G74" s="74" t="s">
        <v>112</v>
      </c>
      <c r="H74" s="75">
        <v>11</v>
      </c>
      <c r="I74" s="76">
        <v>9</v>
      </c>
      <c r="J74" s="96">
        <f>2+2+2+1+2+1</f>
        <v>10</v>
      </c>
      <c r="K74" s="77">
        <f>3655.66+6862.24+2535.72+3550.85+401.4</f>
        <v>17005.87</v>
      </c>
      <c r="L74" s="77">
        <f>3655.66+6862.24+2535.72</f>
        <v>13053.619999999999</v>
      </c>
      <c r="M74" s="78">
        <f t="shared" si="1"/>
        <v>3952.25</v>
      </c>
      <c r="N74" s="100">
        <f>1+2+2+1+1+1</f>
        <v>8</v>
      </c>
      <c r="O74" s="81">
        <f>1743.3+3921.71+422.62+5626.45+37901.04</f>
        <v>49615.12</v>
      </c>
      <c r="P74" s="81">
        <f>1743.3+3921.71+422.62+5626.45+37901.04</f>
        <v>49615.12</v>
      </c>
      <c r="Q74" s="232">
        <f t="shared" si="2"/>
        <v>0</v>
      </c>
      <c r="R74" s="141"/>
    </row>
    <row r="75" spans="1:18" s="13" customFormat="1" hidden="1" x14ac:dyDescent="0.25">
      <c r="A75" s="229"/>
      <c r="B75" s="27" t="s">
        <v>149</v>
      </c>
      <c r="C75" s="181" t="s">
        <v>17</v>
      </c>
      <c r="D75" s="182"/>
      <c r="E75" s="183" t="s">
        <v>383</v>
      </c>
      <c r="F75" s="73" t="s">
        <v>354</v>
      </c>
      <c r="G75" s="74" t="s">
        <v>112</v>
      </c>
      <c r="H75" s="75">
        <v>39</v>
      </c>
      <c r="I75" s="76">
        <v>12</v>
      </c>
      <c r="J75" s="96">
        <f>7+3+3</f>
        <v>13</v>
      </c>
      <c r="K75" s="77">
        <f>7743.07+4386.1</f>
        <v>12129.17</v>
      </c>
      <c r="L75" s="77">
        <f>7743.07+4386.1</f>
        <v>12129.17</v>
      </c>
      <c r="M75" s="78">
        <f t="shared" si="1"/>
        <v>0</v>
      </c>
      <c r="N75" s="100">
        <f>2+2+2+1</f>
        <v>7</v>
      </c>
      <c r="O75" s="81">
        <f>3676.8+3431.65+6320.35</f>
        <v>13428.800000000001</v>
      </c>
      <c r="P75" s="81">
        <f>3676.8+3431.65+6320.35</f>
        <v>13428.800000000001</v>
      </c>
      <c r="Q75" s="79">
        <f t="shared" si="2"/>
        <v>0</v>
      </c>
      <c r="R75" s="141"/>
    </row>
    <row r="76" spans="1:18" s="13" customFormat="1" hidden="1" x14ac:dyDescent="0.25">
      <c r="A76" s="229"/>
      <c r="B76" s="27" t="s">
        <v>149</v>
      </c>
      <c r="C76" s="181" t="s">
        <v>17</v>
      </c>
      <c r="D76" s="182"/>
      <c r="E76" s="183" t="s">
        <v>383</v>
      </c>
      <c r="F76" s="73" t="s">
        <v>438</v>
      </c>
      <c r="G76" s="230" t="s">
        <v>118</v>
      </c>
      <c r="H76" s="181">
        <v>15</v>
      </c>
      <c r="I76" s="234">
        <v>1</v>
      </c>
      <c r="J76" s="190">
        <v>1</v>
      </c>
      <c r="K76" s="193">
        <v>576.29999999999995</v>
      </c>
      <c r="L76" s="193">
        <v>576.29999999999995</v>
      </c>
      <c r="M76" s="78">
        <f t="shared" si="1"/>
        <v>0</v>
      </c>
      <c r="N76" s="114">
        <v>7</v>
      </c>
      <c r="O76" s="224">
        <v>9835.52</v>
      </c>
      <c r="P76" s="224">
        <v>9835.52</v>
      </c>
      <c r="Q76" s="232">
        <f t="shared" si="2"/>
        <v>0</v>
      </c>
    </row>
    <row r="77" spans="1:18" s="13" customFormat="1" hidden="1" x14ac:dyDescent="0.25">
      <c r="A77" s="229"/>
      <c r="B77" s="62" t="s">
        <v>107</v>
      </c>
      <c r="C77" s="181" t="s">
        <v>17</v>
      </c>
      <c r="D77" s="182"/>
      <c r="E77" s="194" t="s">
        <v>20</v>
      </c>
      <c r="F77" s="73" t="s">
        <v>355</v>
      </c>
      <c r="G77" s="74" t="s">
        <v>112</v>
      </c>
      <c r="H77" s="75">
        <v>13</v>
      </c>
      <c r="I77" s="76">
        <v>8</v>
      </c>
      <c r="J77" s="96">
        <f>1+3+3+2+1</f>
        <v>10</v>
      </c>
      <c r="K77" s="77">
        <f>666.63+7071.2+5333.38+13316.37+23091.24+4686.95+2216.53</f>
        <v>56382.3</v>
      </c>
      <c r="L77" s="77">
        <f>666.63+7071.2+5333.38+13316.37+23091.24+4686.95+2216.53</f>
        <v>56382.3</v>
      </c>
      <c r="M77" s="78">
        <f t="shared" si="1"/>
        <v>0</v>
      </c>
      <c r="N77" s="100">
        <f>2+6+1+1+2</f>
        <v>12</v>
      </c>
      <c r="O77" s="81">
        <f>7612.92+18804.48+9163.33+3260.98+6297.63</f>
        <v>45139.340000000004</v>
      </c>
      <c r="P77" s="81">
        <f>7612.92+18804.48+9163.33+3260.98+6297.63</f>
        <v>45139.340000000004</v>
      </c>
      <c r="Q77" s="79">
        <f t="shared" si="2"/>
        <v>0</v>
      </c>
      <c r="R77" s="141"/>
    </row>
    <row r="78" spans="1:18" s="13" customFormat="1" hidden="1" x14ac:dyDescent="0.25">
      <c r="A78" s="229"/>
      <c r="B78" s="30" t="s">
        <v>54</v>
      </c>
      <c r="C78" s="181" t="s">
        <v>17</v>
      </c>
      <c r="D78" s="182"/>
      <c r="E78" s="194" t="s">
        <v>20</v>
      </c>
      <c r="F78" s="73" t="s">
        <v>356</v>
      </c>
      <c r="G78" s="74" t="s">
        <v>112</v>
      </c>
      <c r="H78" s="75"/>
      <c r="I78" s="76"/>
      <c r="J78" s="96"/>
      <c r="K78" s="77">
        <f>9075.37</f>
        <v>9075.3700000000008</v>
      </c>
      <c r="L78" s="77">
        <f>9075.37</f>
        <v>9075.3700000000008</v>
      </c>
      <c r="M78" s="78">
        <f t="shared" si="1"/>
        <v>0</v>
      </c>
      <c r="N78" s="100">
        <f>4+1+1+2+1</f>
        <v>9</v>
      </c>
      <c r="O78" s="81">
        <f>17895.28+17443.73+5473.41+2994.97</f>
        <v>43807.39</v>
      </c>
      <c r="P78" s="81">
        <f>17895.28+17443.73+5473.41</f>
        <v>40812.42</v>
      </c>
      <c r="Q78" s="79">
        <f t="shared" si="2"/>
        <v>2994.9700000000012</v>
      </c>
      <c r="R78" s="141"/>
    </row>
    <row r="79" spans="1:18" s="13" customFormat="1" ht="30" hidden="1" x14ac:dyDescent="0.25">
      <c r="A79" s="229"/>
      <c r="B79" s="27" t="s">
        <v>55</v>
      </c>
      <c r="C79" s="181" t="s">
        <v>304</v>
      </c>
      <c r="D79" s="182" t="s">
        <v>387</v>
      </c>
      <c r="E79" s="183" t="s">
        <v>20</v>
      </c>
      <c r="F79" s="73" t="s">
        <v>357</v>
      </c>
      <c r="G79" s="74" t="s">
        <v>112</v>
      </c>
      <c r="H79" s="75">
        <v>21</v>
      </c>
      <c r="I79" s="76">
        <v>15</v>
      </c>
      <c r="J79" s="96">
        <f>3+1+1+2+1+1+1+3</f>
        <v>13</v>
      </c>
      <c r="K79" s="77">
        <f>1267.86+6667.8+5756.15+1180.38+4780.37+4352.43+2850.42+2493.42+1404.9</f>
        <v>30753.729999999996</v>
      </c>
      <c r="L79" s="77">
        <f>1267.86+6667.8+5756.15+1180.38+4780.37+4352.43+2850.42+2493.42</f>
        <v>29348.829999999994</v>
      </c>
      <c r="M79" s="78">
        <f t="shared" si="1"/>
        <v>1404.9000000000015</v>
      </c>
      <c r="N79" s="100">
        <f>2+1+2+2+2+1+2+1</f>
        <v>13</v>
      </c>
      <c r="O79" s="81">
        <f>34854.19+2113.1+6430.67+5463.42+39145.22+2535.72+5132.44+12985.86</f>
        <v>108660.62000000001</v>
      </c>
      <c r="P79" s="81">
        <f>34854.19+2113.1+6430.67+5463.42+39145.22+2535.72+5132.44+12985.86</f>
        <v>108660.62000000001</v>
      </c>
      <c r="Q79" s="232">
        <f t="shared" si="2"/>
        <v>0</v>
      </c>
      <c r="R79" s="141"/>
    </row>
    <row r="80" spans="1:18" s="13" customFormat="1" ht="30" hidden="1" x14ac:dyDescent="0.25">
      <c r="A80" s="229"/>
      <c r="B80" s="62" t="s">
        <v>56</v>
      </c>
      <c r="C80" s="181" t="s">
        <v>17</v>
      </c>
      <c r="D80" s="182" t="s">
        <v>386</v>
      </c>
      <c r="E80" s="183" t="s">
        <v>18</v>
      </c>
      <c r="F80" s="73" t="s">
        <v>358</v>
      </c>
      <c r="G80" s="74" t="s">
        <v>112</v>
      </c>
      <c r="H80" s="75">
        <v>14</v>
      </c>
      <c r="I80" s="76">
        <v>6</v>
      </c>
      <c r="J80" s="96">
        <f>1+1+2+2</f>
        <v>6</v>
      </c>
      <c r="K80" s="77">
        <f>678.11+678.11+4865.7+5265.72</f>
        <v>11487.64</v>
      </c>
      <c r="L80" s="77">
        <f>678.11+678.11+4865.7</f>
        <v>6221.92</v>
      </c>
      <c r="M80" s="78">
        <f t="shared" si="1"/>
        <v>5265.7199999999993</v>
      </c>
      <c r="N80" s="100">
        <f>1</f>
        <v>1</v>
      </c>
      <c r="O80" s="81">
        <f>4395.5</f>
        <v>4395.5</v>
      </c>
      <c r="P80" s="81">
        <f>4395.5</f>
        <v>4395.5</v>
      </c>
      <c r="Q80" s="79">
        <f t="shared" si="2"/>
        <v>0</v>
      </c>
      <c r="R80" s="141"/>
    </row>
    <row r="81" spans="1:18" s="13" customFormat="1" ht="30" x14ac:dyDescent="0.25">
      <c r="A81" s="229"/>
      <c r="B81" s="62" t="s">
        <v>56</v>
      </c>
      <c r="C81" s="181" t="s">
        <v>304</v>
      </c>
      <c r="D81" s="182" t="s">
        <v>386</v>
      </c>
      <c r="E81" s="183" t="s">
        <v>18</v>
      </c>
      <c r="F81" s="73" t="s">
        <v>476</v>
      </c>
      <c r="G81" s="230" t="s">
        <v>113</v>
      </c>
      <c r="H81" s="181">
        <v>12</v>
      </c>
      <c r="I81" s="231">
        <v>6</v>
      </c>
      <c r="J81" s="96">
        <v>6</v>
      </c>
      <c r="K81" s="77">
        <v>15944</v>
      </c>
      <c r="L81" s="77">
        <v>15944</v>
      </c>
      <c r="M81" s="187">
        <f t="shared" si="1"/>
        <v>0</v>
      </c>
      <c r="N81" s="100"/>
      <c r="O81" s="224">
        <v>7612</v>
      </c>
      <c r="P81" s="224">
        <v>7612</v>
      </c>
      <c r="Q81" s="232">
        <f t="shared" ref="Q81:Q145" si="3">O81-P81</f>
        <v>0</v>
      </c>
    </row>
    <row r="82" spans="1:18" s="13" customFormat="1" hidden="1" x14ac:dyDescent="0.25">
      <c r="A82" s="229"/>
      <c r="B82" s="62" t="s">
        <v>156</v>
      </c>
      <c r="C82" s="181" t="s">
        <v>304</v>
      </c>
      <c r="D82" s="182"/>
      <c r="E82" s="183" t="s">
        <v>20</v>
      </c>
      <c r="F82" s="73" t="s">
        <v>359</v>
      </c>
      <c r="G82" s="74" t="s">
        <v>112</v>
      </c>
      <c r="H82" s="75">
        <v>4</v>
      </c>
      <c r="I82" s="76">
        <v>2</v>
      </c>
      <c r="J82" s="96">
        <f>2</f>
        <v>2</v>
      </c>
      <c r="K82" s="77">
        <f>1690.48+993.47</f>
        <v>2683.95</v>
      </c>
      <c r="L82" s="77">
        <f>1690.48+993.47</f>
        <v>2683.95</v>
      </c>
      <c r="M82" s="78">
        <f t="shared" si="1"/>
        <v>0</v>
      </c>
      <c r="N82" s="100">
        <f>3+1+1</f>
        <v>5</v>
      </c>
      <c r="O82" s="81">
        <f>5488.54+2398.37+422.62+1605.6</f>
        <v>9915.130000000001</v>
      </c>
      <c r="P82" s="81">
        <f>5488.54+2398.37+422.62+1605.6</f>
        <v>9915.130000000001</v>
      </c>
      <c r="Q82" s="79">
        <f t="shared" si="3"/>
        <v>0</v>
      </c>
      <c r="R82" s="141"/>
    </row>
    <row r="83" spans="1:18" s="15" customFormat="1" hidden="1" x14ac:dyDescent="0.25">
      <c r="A83" s="229"/>
      <c r="B83" s="62" t="s">
        <v>57</v>
      </c>
      <c r="C83" s="181" t="s">
        <v>17</v>
      </c>
      <c r="D83" s="182"/>
      <c r="E83" s="183" t="s">
        <v>20</v>
      </c>
      <c r="F83" s="73" t="s">
        <v>360</v>
      </c>
      <c r="G83" s="74" t="s">
        <v>112</v>
      </c>
      <c r="H83" s="75">
        <v>8</v>
      </c>
      <c r="I83" s="76">
        <v>6</v>
      </c>
      <c r="J83" s="96">
        <f>2+1+1+2</f>
        <v>6</v>
      </c>
      <c r="K83" s="77">
        <f>806.82+1728.9+422.62+2958.34</f>
        <v>5916.68</v>
      </c>
      <c r="L83" s="77">
        <f>806.82+1728.9+422.62+2958.34</f>
        <v>5916.68</v>
      </c>
      <c r="M83" s="78">
        <f t="shared" si="1"/>
        <v>0</v>
      </c>
      <c r="N83" s="100">
        <f>2+1</f>
        <v>3</v>
      </c>
      <c r="O83" s="81">
        <f>2745.3</f>
        <v>2745.3</v>
      </c>
      <c r="P83" s="81">
        <f>2745.3</f>
        <v>2745.3</v>
      </c>
      <c r="Q83" s="232">
        <f t="shared" si="3"/>
        <v>0</v>
      </c>
      <c r="R83" s="141"/>
    </row>
    <row r="84" spans="1:18" s="15" customFormat="1" hidden="1" x14ac:dyDescent="0.25">
      <c r="A84" s="229"/>
      <c r="B84" s="62" t="s">
        <v>57</v>
      </c>
      <c r="C84" s="181" t="s">
        <v>17</v>
      </c>
      <c r="D84" s="182"/>
      <c r="E84" s="183" t="s">
        <v>20</v>
      </c>
      <c r="F84" s="73" t="s">
        <v>458</v>
      </c>
      <c r="G84" s="230" t="s">
        <v>114</v>
      </c>
      <c r="H84" s="181">
        <v>32</v>
      </c>
      <c r="I84" s="231">
        <v>7</v>
      </c>
      <c r="J84" s="190">
        <v>7</v>
      </c>
      <c r="K84" s="77">
        <v>19508.099999999999</v>
      </c>
      <c r="L84" s="77">
        <v>15092.7</v>
      </c>
      <c r="M84" s="187">
        <f t="shared" si="1"/>
        <v>4415.3999999999978</v>
      </c>
      <c r="N84" s="100">
        <v>19</v>
      </c>
      <c r="O84" s="224">
        <v>42687.199999999997</v>
      </c>
      <c r="P84" s="224">
        <v>42687.199999999997</v>
      </c>
      <c r="Q84" s="232">
        <f t="shared" si="3"/>
        <v>0</v>
      </c>
    </row>
    <row r="85" spans="1:18" s="13" customFormat="1" hidden="1" x14ac:dyDescent="0.25">
      <c r="A85" s="229"/>
      <c r="B85" s="62" t="s">
        <v>58</v>
      </c>
      <c r="C85" s="181" t="s">
        <v>17</v>
      </c>
      <c r="D85" s="182"/>
      <c r="E85" s="183" t="s">
        <v>20</v>
      </c>
      <c r="F85" s="73" t="s">
        <v>361</v>
      </c>
      <c r="G85" s="74" t="s">
        <v>112</v>
      </c>
      <c r="H85" s="75">
        <v>9</v>
      </c>
      <c r="I85" s="76">
        <v>7</v>
      </c>
      <c r="J85" s="96">
        <f>1+2+1+1+1+1</f>
        <v>7</v>
      </c>
      <c r="K85" s="77"/>
      <c r="L85" s="77">
        <f>1892.47+3118.94+422.62+1324.62</f>
        <v>6758.65</v>
      </c>
      <c r="M85" s="78">
        <f>K85-L85</f>
        <v>-6758.65</v>
      </c>
      <c r="N85" s="100">
        <f>1+1+3+1</f>
        <v>6</v>
      </c>
      <c r="O85" s="81">
        <f>9196.24+2480.78+2954.11+15214.32</f>
        <v>29845.45</v>
      </c>
      <c r="P85" s="81">
        <f>9196.24+2480.78+2954.11+15214.32</f>
        <v>29845.45</v>
      </c>
      <c r="Q85" s="232">
        <f t="shared" si="3"/>
        <v>0</v>
      </c>
      <c r="R85" s="141"/>
    </row>
    <row r="86" spans="1:18" s="13" customFormat="1" hidden="1" x14ac:dyDescent="0.25">
      <c r="A86" s="229"/>
      <c r="B86" s="62" t="s">
        <v>58</v>
      </c>
      <c r="C86" s="181" t="s">
        <v>17</v>
      </c>
      <c r="D86" s="182"/>
      <c r="E86" s="183" t="s">
        <v>20</v>
      </c>
      <c r="F86" s="73" t="s">
        <v>478</v>
      </c>
      <c r="G86" s="230" t="s">
        <v>114</v>
      </c>
      <c r="H86" s="181">
        <v>15</v>
      </c>
      <c r="I86" s="231">
        <v>3</v>
      </c>
      <c r="J86" s="190">
        <v>3</v>
      </c>
      <c r="K86" s="77">
        <v>3765.16</v>
      </c>
      <c r="L86" s="77">
        <v>3765.16</v>
      </c>
      <c r="M86" s="187">
        <f t="shared" si="1"/>
        <v>0</v>
      </c>
      <c r="N86" s="100">
        <v>21</v>
      </c>
      <c r="O86" s="224">
        <v>54215.77</v>
      </c>
      <c r="P86" s="224">
        <v>54215.77</v>
      </c>
      <c r="Q86" s="232">
        <f t="shared" si="3"/>
        <v>0</v>
      </c>
    </row>
    <row r="87" spans="1:18" s="13" customFormat="1" hidden="1" x14ac:dyDescent="0.25">
      <c r="A87" s="229"/>
      <c r="B87" s="62" t="s">
        <v>59</v>
      </c>
      <c r="C87" s="181" t="s">
        <v>17</v>
      </c>
      <c r="D87" s="182"/>
      <c r="E87" s="183" t="s">
        <v>20</v>
      </c>
      <c r="F87" s="73" t="s">
        <v>362</v>
      </c>
      <c r="G87" s="74" t="s">
        <v>112</v>
      </c>
      <c r="H87" s="75">
        <v>12</v>
      </c>
      <c r="I87" s="76">
        <v>8</v>
      </c>
      <c r="J87" s="96">
        <f>1+1+1+3+1+1</f>
        <v>8</v>
      </c>
      <c r="K87" s="77">
        <f>403.41+1431.16+845.24+998.92+3059.87</f>
        <v>6738.6</v>
      </c>
      <c r="L87" s="77">
        <f>403.41+1431.16+845.24+998.92+3059.87</f>
        <v>6738.6</v>
      </c>
      <c r="M87" s="78">
        <f>K87-L87</f>
        <v>0</v>
      </c>
      <c r="N87" s="100">
        <f>1+2+2+1+1+1+1</f>
        <v>9</v>
      </c>
      <c r="O87" s="81">
        <f>6646.05+1267.86+979.71</f>
        <v>8893.619999999999</v>
      </c>
      <c r="P87" s="81">
        <f>2353.23+5561.68+978.71</f>
        <v>8893.619999999999</v>
      </c>
      <c r="Q87" s="232">
        <f t="shared" si="3"/>
        <v>0</v>
      </c>
      <c r="R87" s="141"/>
    </row>
    <row r="88" spans="1:18" s="13" customFormat="1" hidden="1" x14ac:dyDescent="0.25">
      <c r="A88" s="229"/>
      <c r="B88" s="62" t="s">
        <v>59</v>
      </c>
      <c r="C88" s="181" t="s">
        <v>17</v>
      </c>
      <c r="D88" s="182"/>
      <c r="E88" s="183" t="s">
        <v>20</v>
      </c>
      <c r="F88" s="73" t="s">
        <v>128</v>
      </c>
      <c r="G88" s="230" t="s">
        <v>114</v>
      </c>
      <c r="H88" s="181"/>
      <c r="I88" s="231"/>
      <c r="J88" s="190"/>
      <c r="K88" s="77"/>
      <c r="L88" s="77"/>
      <c r="M88" s="187">
        <f t="shared" si="1"/>
        <v>0</v>
      </c>
      <c r="N88" s="100"/>
      <c r="O88" s="224"/>
      <c r="P88" s="224"/>
      <c r="Q88" s="232">
        <f t="shared" si="3"/>
        <v>0</v>
      </c>
    </row>
    <row r="89" spans="1:18" s="13" customFormat="1" hidden="1" x14ac:dyDescent="0.25">
      <c r="A89" s="229"/>
      <c r="B89" s="27" t="s">
        <v>60</v>
      </c>
      <c r="C89" s="181" t="s">
        <v>17</v>
      </c>
      <c r="D89" s="182"/>
      <c r="E89" s="183" t="s">
        <v>20</v>
      </c>
      <c r="F89" s="73" t="s">
        <v>364</v>
      </c>
      <c r="G89" s="74" t="s">
        <v>112</v>
      </c>
      <c r="H89" s="75">
        <v>17</v>
      </c>
      <c r="I89" s="76">
        <v>11</v>
      </c>
      <c r="J89" s="96">
        <f>1+1+1+4+4+2</f>
        <v>13</v>
      </c>
      <c r="K89" s="77">
        <f>634.93+893.27+2930.22+8503.46</f>
        <v>12961.88</v>
      </c>
      <c r="L89" s="77">
        <f>634.93+893.27+2930.22+8503.46</f>
        <v>12961.88</v>
      </c>
      <c r="M89" s="78">
        <f>K89-L89</f>
        <v>0</v>
      </c>
      <c r="N89" s="100">
        <f>4+1+3+1+1</f>
        <v>10</v>
      </c>
      <c r="O89" s="81">
        <f>15124.53+2065.75+8492.52+5828.3</f>
        <v>31511.1</v>
      </c>
      <c r="P89" s="81">
        <f>15124.53+2065.75+8492.52</f>
        <v>25682.799999999999</v>
      </c>
      <c r="Q89" s="232">
        <f t="shared" si="3"/>
        <v>5828.2999999999993</v>
      </c>
      <c r="R89" s="141"/>
    </row>
    <row r="90" spans="1:18" s="13" customFormat="1" hidden="1" x14ac:dyDescent="0.25">
      <c r="A90" s="229"/>
      <c r="B90" s="27" t="s">
        <v>60</v>
      </c>
      <c r="C90" s="181" t="s">
        <v>17</v>
      </c>
      <c r="D90" s="182"/>
      <c r="E90" s="183" t="s">
        <v>20</v>
      </c>
      <c r="F90" s="73" t="s">
        <v>479</v>
      </c>
      <c r="G90" s="230" t="s">
        <v>114</v>
      </c>
      <c r="H90" s="181">
        <v>13</v>
      </c>
      <c r="I90" s="231">
        <v>2</v>
      </c>
      <c r="J90" s="190">
        <v>2</v>
      </c>
      <c r="K90" s="77">
        <v>5186.7</v>
      </c>
      <c r="L90" s="77">
        <v>5186.7</v>
      </c>
      <c r="M90" s="187">
        <f t="shared" si="1"/>
        <v>0</v>
      </c>
      <c r="N90" s="100">
        <v>12</v>
      </c>
      <c r="O90" s="224">
        <v>41221.599999999999</v>
      </c>
      <c r="P90" s="224">
        <v>41221.599999999999</v>
      </c>
      <c r="Q90" s="232">
        <f t="shared" si="3"/>
        <v>0</v>
      </c>
    </row>
    <row r="91" spans="1:18" s="13" customFormat="1" hidden="1" x14ac:dyDescent="0.25">
      <c r="A91" s="229"/>
      <c r="B91" s="27" t="s">
        <v>493</v>
      </c>
      <c r="C91" s="181" t="s">
        <v>17</v>
      </c>
      <c r="D91" s="182"/>
      <c r="E91" s="183" t="s">
        <v>20</v>
      </c>
      <c r="F91" s="73" t="s">
        <v>496</v>
      </c>
      <c r="G91" s="230" t="s">
        <v>112</v>
      </c>
      <c r="H91" s="181">
        <v>13</v>
      </c>
      <c r="I91" s="231">
        <v>11</v>
      </c>
      <c r="J91" s="190">
        <f>3+2+1+3+1+2+1+3</f>
        <v>16</v>
      </c>
      <c r="K91" s="77">
        <f>3387.04+3467.41+1267.86+2218.74+8089.94+1924.71</f>
        <v>20355.699999999997</v>
      </c>
      <c r="L91" s="77">
        <f>3387.04+3467.41+1267.86+2218.74+8089.94</f>
        <v>18430.989999999998</v>
      </c>
      <c r="M91" s="78">
        <f t="shared" ref="M91:M155" si="4">K91-L91</f>
        <v>1924.7099999999991</v>
      </c>
      <c r="N91" s="100"/>
      <c r="O91" s="224"/>
      <c r="P91" s="224"/>
      <c r="Q91" s="232">
        <f t="shared" si="3"/>
        <v>0</v>
      </c>
    </row>
    <row r="92" spans="1:18" s="15" customFormat="1" hidden="1" x14ac:dyDescent="0.25">
      <c r="A92" s="229"/>
      <c r="B92" s="27" t="s">
        <v>61</v>
      </c>
      <c r="C92" s="181" t="s">
        <v>17</v>
      </c>
      <c r="D92" s="182"/>
      <c r="E92" s="183" t="s">
        <v>20</v>
      </c>
      <c r="F92" s="73" t="s">
        <v>363</v>
      </c>
      <c r="G92" s="74" t="s">
        <v>112</v>
      </c>
      <c r="H92" s="75"/>
      <c r="I92" s="76"/>
      <c r="J92" s="96"/>
      <c r="K92" s="77"/>
      <c r="L92" s="77"/>
      <c r="M92" s="78">
        <f t="shared" si="4"/>
        <v>0</v>
      </c>
      <c r="N92" s="100"/>
      <c r="O92" s="81"/>
      <c r="P92" s="81"/>
      <c r="Q92" s="232">
        <f t="shared" si="3"/>
        <v>0</v>
      </c>
      <c r="R92" s="141"/>
    </row>
    <row r="93" spans="1:18" s="15" customFormat="1" hidden="1" x14ac:dyDescent="0.25">
      <c r="A93" s="229"/>
      <c r="B93" s="236" t="s">
        <v>306</v>
      </c>
      <c r="C93" s="181" t="s">
        <v>17</v>
      </c>
      <c r="D93" s="182"/>
      <c r="E93" s="183" t="s">
        <v>35</v>
      </c>
      <c r="F93" s="73" t="s">
        <v>365</v>
      </c>
      <c r="G93" s="230" t="s">
        <v>112</v>
      </c>
      <c r="H93" s="181">
        <v>37</v>
      </c>
      <c r="I93" s="231">
        <v>22</v>
      </c>
      <c r="J93" s="190">
        <f>1+2+1+3+3+2+3+1+2+1+3</f>
        <v>22</v>
      </c>
      <c r="K93" s="77">
        <f>1045.98+2658.7+35696.14+4892.46+1024.04+2384.53+10793.24+5320.79+2075.24+1324.62+1192.16</f>
        <v>68407.899999999994</v>
      </c>
      <c r="L93" s="77">
        <f>1045.98+2658.7+35696.14+4892.46+1024.04+2384.53+10793.24+5320.79+2075.24+1324.62</f>
        <v>67215.739999999991</v>
      </c>
      <c r="M93" s="78">
        <f>K93-L93</f>
        <v>1192.1600000000035</v>
      </c>
      <c r="N93" s="114">
        <f>7+2+2+2+1+1+1</f>
        <v>16</v>
      </c>
      <c r="O93" s="224">
        <f>2313.84+6162.57+2330.32+1690.48+3706.14+3107.65+4960.7</f>
        <v>24271.7</v>
      </c>
      <c r="P93" s="224">
        <f>2313.84+6162.57+2330.32+1690.48+3706.14+3107.65</f>
        <v>19311</v>
      </c>
      <c r="Q93" s="232">
        <f t="shared" si="3"/>
        <v>4960.7000000000007</v>
      </c>
      <c r="R93" s="141"/>
    </row>
    <row r="94" spans="1:18" s="13" customFormat="1" hidden="1" x14ac:dyDescent="0.25">
      <c r="A94" s="229"/>
      <c r="B94" s="62" t="s">
        <v>306</v>
      </c>
      <c r="C94" s="181" t="s">
        <v>17</v>
      </c>
      <c r="D94" s="182"/>
      <c r="E94" s="183" t="s">
        <v>27</v>
      </c>
      <c r="F94" s="73" t="s">
        <v>421</v>
      </c>
      <c r="G94" s="230" t="s">
        <v>117</v>
      </c>
      <c r="H94" s="181">
        <v>4</v>
      </c>
      <c r="I94" s="231"/>
      <c r="J94" s="96"/>
      <c r="K94" s="77"/>
      <c r="L94" s="77"/>
      <c r="M94" s="78">
        <f>K94-L94</f>
        <v>0</v>
      </c>
      <c r="N94" s="100"/>
      <c r="O94" s="77"/>
      <c r="P94" s="77"/>
      <c r="Q94" s="79">
        <f>O94-P94</f>
        <v>0</v>
      </c>
    </row>
    <row r="95" spans="1:18" s="13" customFormat="1" hidden="1" x14ac:dyDescent="0.25">
      <c r="A95" s="229"/>
      <c r="B95" s="27" t="s">
        <v>62</v>
      </c>
      <c r="C95" s="181" t="s">
        <v>17</v>
      </c>
      <c r="D95" s="182"/>
      <c r="E95" s="183" t="s">
        <v>35</v>
      </c>
      <c r="F95" s="73" t="s">
        <v>366</v>
      </c>
      <c r="G95" s="74" t="s">
        <v>112</v>
      </c>
      <c r="H95" s="75">
        <v>29</v>
      </c>
      <c r="I95" s="76">
        <v>19</v>
      </c>
      <c r="J95" s="96">
        <f>1+3+1+1+2+4+4+3</f>
        <v>19</v>
      </c>
      <c r="K95" s="77">
        <f>3613.4+1872.01+1394.65+3518.32+15902.72+5370.89</f>
        <v>31671.989999999998</v>
      </c>
      <c r="L95" s="77">
        <f>3613.4+1872.01+1394.65+3518.32+15902.72</f>
        <v>26301.1</v>
      </c>
      <c r="M95" s="78">
        <f>K95-L95</f>
        <v>5370.8899999999994</v>
      </c>
      <c r="N95" s="100">
        <f>6+2+1+2+1+3</f>
        <v>15</v>
      </c>
      <c r="O95" s="81">
        <f>19511.33+1270.93+3979.74+2500.85+8530.18+845.24+12787.47</f>
        <v>49425.74</v>
      </c>
      <c r="P95" s="81">
        <f>19511.33+1270.93+3979.74+2500.85+8530.18+845.24+12787.47</f>
        <v>49425.74</v>
      </c>
      <c r="Q95" s="79">
        <f t="shared" si="3"/>
        <v>0</v>
      </c>
      <c r="R95" s="141"/>
    </row>
    <row r="96" spans="1:18" s="13" customFormat="1" hidden="1" x14ac:dyDescent="0.25">
      <c r="A96" s="229"/>
      <c r="B96" s="27" t="s">
        <v>62</v>
      </c>
      <c r="C96" s="181" t="s">
        <v>17</v>
      </c>
      <c r="D96" s="182"/>
      <c r="E96" s="183" t="s">
        <v>35</v>
      </c>
      <c r="F96" s="73" t="s">
        <v>428</v>
      </c>
      <c r="G96" s="230" t="s">
        <v>117</v>
      </c>
      <c r="H96" s="181">
        <v>5</v>
      </c>
      <c r="I96" s="231"/>
      <c r="J96" s="96"/>
      <c r="K96" s="77"/>
      <c r="L96" s="77"/>
      <c r="M96" s="78">
        <f t="shared" si="4"/>
        <v>0</v>
      </c>
      <c r="N96" s="100">
        <v>9</v>
      </c>
      <c r="O96" s="224">
        <v>22788.1</v>
      </c>
      <c r="P96" s="224">
        <v>22788.1</v>
      </c>
      <c r="Q96" s="232">
        <f t="shared" si="3"/>
        <v>0</v>
      </c>
    </row>
    <row r="97" spans="1:19" s="13" customFormat="1" hidden="1" x14ac:dyDescent="0.25">
      <c r="A97" s="229"/>
      <c r="B97" s="27" t="s">
        <v>155</v>
      </c>
      <c r="C97" s="181" t="s">
        <v>17</v>
      </c>
      <c r="D97" s="182"/>
      <c r="E97" s="183" t="s">
        <v>20</v>
      </c>
      <c r="F97" s="73" t="s">
        <v>367</v>
      </c>
      <c r="G97" s="74" t="s">
        <v>112</v>
      </c>
      <c r="H97" s="75">
        <v>13</v>
      </c>
      <c r="I97" s="82">
        <v>9</v>
      </c>
      <c r="J97" s="96">
        <f>1+2+3+1+2+2</f>
        <v>11</v>
      </c>
      <c r="K97" s="77">
        <f>3117.56+2266.78+5307.72+3606.94+1494.21</f>
        <v>15793.210000000003</v>
      </c>
      <c r="L97" s="77">
        <f>3117.56+2266.78+5307.72+3606.94</f>
        <v>14299.000000000002</v>
      </c>
      <c r="M97" s="78">
        <f>K97-L97</f>
        <v>1494.2100000000009</v>
      </c>
      <c r="N97" s="100">
        <f>1+1+1</f>
        <v>3</v>
      </c>
      <c r="O97" s="81">
        <f>1798.06+2123.67</f>
        <v>3921.73</v>
      </c>
      <c r="P97" s="81">
        <f>1798.06+2123.67</f>
        <v>3921.73</v>
      </c>
      <c r="Q97" s="232">
        <f t="shared" si="3"/>
        <v>0</v>
      </c>
      <c r="R97" s="141"/>
    </row>
    <row r="98" spans="1:19" s="13" customFormat="1" ht="15.75" hidden="1" x14ac:dyDescent="0.25">
      <c r="A98" s="229"/>
      <c r="B98" s="27" t="s">
        <v>155</v>
      </c>
      <c r="C98" s="181" t="s">
        <v>17</v>
      </c>
      <c r="D98" s="182"/>
      <c r="E98" s="183" t="s">
        <v>20</v>
      </c>
      <c r="F98" s="73" t="s">
        <v>459</v>
      </c>
      <c r="G98" s="230" t="s">
        <v>114</v>
      </c>
      <c r="H98" s="1">
        <v>13</v>
      </c>
      <c r="I98" s="231">
        <v>4</v>
      </c>
      <c r="J98" s="190">
        <v>4</v>
      </c>
      <c r="K98" s="77">
        <v>8154.2</v>
      </c>
      <c r="L98" s="77">
        <v>6313.5</v>
      </c>
      <c r="M98" s="187">
        <f t="shared" ref="M98" si="5">K98-L98</f>
        <v>1840.6999999999998</v>
      </c>
      <c r="N98" s="100">
        <v>15</v>
      </c>
      <c r="O98" s="224">
        <v>33202.26</v>
      </c>
      <c r="P98" s="224">
        <v>33202.26</v>
      </c>
      <c r="Q98" s="232">
        <f t="shared" si="3"/>
        <v>0</v>
      </c>
    </row>
    <row r="99" spans="1:19" s="13" customFormat="1" hidden="1" x14ac:dyDescent="0.25">
      <c r="A99" s="229"/>
      <c r="B99" s="30" t="s">
        <v>66</v>
      </c>
      <c r="C99" s="181" t="s">
        <v>17</v>
      </c>
      <c r="D99" s="182"/>
      <c r="E99" s="183" t="s">
        <v>21</v>
      </c>
      <c r="F99" s="73" t="s">
        <v>368</v>
      </c>
      <c r="G99" s="74" t="s">
        <v>112</v>
      </c>
      <c r="H99" s="75">
        <v>33</v>
      </c>
      <c r="I99" s="76">
        <v>27</v>
      </c>
      <c r="J99" s="96">
        <f>1+3+2+3+2+1+2+1+3+7+4+3+2</f>
        <v>34</v>
      </c>
      <c r="K99" s="77">
        <f>1045.98+4309.04+3820.12+1872.01+4253.49+3044.79+1191.19+4942.84+9299.2+9796.16+4139.27</f>
        <v>47714.090000000011</v>
      </c>
      <c r="L99" s="77">
        <f>1045.98+4309.04+3820.12+1872.01+4253.49+3044.79+1191.19+4942.84+9299.2+9796.16+4139.27</f>
        <v>47714.090000000011</v>
      </c>
      <c r="M99" s="78">
        <f>K99-L99</f>
        <v>0</v>
      </c>
      <c r="N99" s="100">
        <f>6+3+8+7+1+1+1+2+1+1+1+1+1+1</f>
        <v>35</v>
      </c>
      <c r="O99" s="81">
        <f>11911.17+23136+18060.17+1977.84+2091.97+19535.65+19124.11+3199.71+4430.07+5418.9+2717.24</f>
        <v>111602.83</v>
      </c>
      <c r="P99" s="81">
        <f>11911.17+23136+18060.17+1977.84+2091.97+19535.65+19124.11+3199.71+4430.07+5418.9</f>
        <v>108885.59</v>
      </c>
      <c r="Q99" s="232">
        <f t="shared" si="3"/>
        <v>2717.2400000000052</v>
      </c>
      <c r="R99" s="141"/>
    </row>
    <row r="100" spans="1:19" s="13" customFormat="1" hidden="1" x14ac:dyDescent="0.25">
      <c r="A100" s="229"/>
      <c r="B100" s="30" t="s">
        <v>66</v>
      </c>
      <c r="C100" s="181" t="s">
        <v>17</v>
      </c>
      <c r="D100" s="182"/>
      <c r="E100" s="183" t="s">
        <v>21</v>
      </c>
      <c r="F100" s="73" t="s">
        <v>439</v>
      </c>
      <c r="G100" s="230" t="s">
        <v>118</v>
      </c>
      <c r="H100" s="181">
        <v>7</v>
      </c>
      <c r="I100" s="231">
        <v>3</v>
      </c>
      <c r="J100" s="96">
        <v>3</v>
      </c>
      <c r="K100" s="77">
        <v>5367.3</v>
      </c>
      <c r="L100" s="77">
        <v>5367.3</v>
      </c>
      <c r="M100" s="187">
        <f t="shared" si="4"/>
        <v>0</v>
      </c>
      <c r="N100" s="100">
        <v>18</v>
      </c>
      <c r="O100" s="224">
        <v>81462.58</v>
      </c>
      <c r="P100" s="224">
        <v>81462.58</v>
      </c>
      <c r="Q100" s="79">
        <f t="shared" si="3"/>
        <v>0</v>
      </c>
    </row>
    <row r="101" spans="1:19" s="13" customFormat="1" hidden="1" x14ac:dyDescent="0.25">
      <c r="A101" s="229"/>
      <c r="B101" s="62" t="s">
        <v>137</v>
      </c>
      <c r="C101" s="181" t="s">
        <v>17</v>
      </c>
      <c r="D101" s="182"/>
      <c r="E101" s="194" t="s">
        <v>35</v>
      </c>
      <c r="F101" s="73" t="s">
        <v>369</v>
      </c>
      <c r="G101" s="74" t="s">
        <v>112</v>
      </c>
      <c r="H101" s="75">
        <v>33</v>
      </c>
      <c r="I101" s="76">
        <v>19</v>
      </c>
      <c r="J101" s="96">
        <f>3+3+1+4+1+3+2+3</f>
        <v>20</v>
      </c>
      <c r="K101" s="77">
        <f>504.26+845.24+3380.96+422.62+2535.72+6256.62+883.08</f>
        <v>14828.499999999998</v>
      </c>
      <c r="L101" s="77">
        <f>504.26+845.24+3380.96+422.62+2535.72+6256.62</f>
        <v>13945.419999999998</v>
      </c>
      <c r="M101" s="78">
        <f>K101-L101</f>
        <v>883.07999999999993</v>
      </c>
      <c r="N101" s="100">
        <f>5+1+1+2+1</f>
        <v>10</v>
      </c>
      <c r="O101" s="81">
        <f>2617.36+422.62+3852.18+3380.96+422.62</f>
        <v>10695.74</v>
      </c>
      <c r="P101" s="81">
        <f>2617.36+422.62+3852.18+3380.96+422.62</f>
        <v>10695.74</v>
      </c>
      <c r="Q101" s="232">
        <f t="shared" si="3"/>
        <v>0</v>
      </c>
      <c r="R101" s="141"/>
    </row>
    <row r="102" spans="1:19" s="13" customFormat="1" hidden="1" x14ac:dyDescent="0.25">
      <c r="A102" s="229"/>
      <c r="B102" s="62" t="s">
        <v>137</v>
      </c>
      <c r="C102" s="181" t="s">
        <v>17</v>
      </c>
      <c r="D102" s="182"/>
      <c r="E102" s="194" t="s">
        <v>35</v>
      </c>
      <c r="F102" s="73" t="s">
        <v>429</v>
      </c>
      <c r="G102" s="230" t="s">
        <v>117</v>
      </c>
      <c r="H102" s="181">
        <v>10</v>
      </c>
      <c r="I102" s="231">
        <v>1</v>
      </c>
      <c r="J102" s="190">
        <v>1</v>
      </c>
      <c r="K102" s="193">
        <v>4530.1000000000004</v>
      </c>
      <c r="L102" s="193">
        <v>4530.1000000000004</v>
      </c>
      <c r="M102" s="78">
        <f t="shared" si="4"/>
        <v>0</v>
      </c>
      <c r="N102" s="114">
        <v>2</v>
      </c>
      <c r="O102" s="224">
        <v>10565.5</v>
      </c>
      <c r="P102" s="224">
        <v>10565.5</v>
      </c>
      <c r="Q102" s="79">
        <f t="shared" si="3"/>
        <v>0</v>
      </c>
    </row>
    <row r="103" spans="1:19" s="13" customFormat="1" hidden="1" x14ac:dyDescent="0.25">
      <c r="A103" s="229"/>
      <c r="B103" s="30" t="s">
        <v>67</v>
      </c>
      <c r="C103" s="181" t="s">
        <v>17</v>
      </c>
      <c r="D103" s="182"/>
      <c r="E103" s="194" t="s">
        <v>21</v>
      </c>
      <c r="F103" s="73" t="s">
        <v>370</v>
      </c>
      <c r="G103" s="74" t="s">
        <v>112</v>
      </c>
      <c r="H103" s="75">
        <v>34</v>
      </c>
      <c r="I103" s="76">
        <v>22</v>
      </c>
      <c r="J103" s="96">
        <f>2+1+1+2+1+1+2+2+1+2+5+5+2</f>
        <v>27</v>
      </c>
      <c r="K103" s="77">
        <f>3319.85+1198.9+864.45+7235.32+1947.89+5377.75+8701.73+3581.7+8737.54+7647.65</f>
        <v>48612.780000000006</v>
      </c>
      <c r="L103" s="77">
        <f>3319.85+1198.9+864.45+7235.32+1947.89+5377.75+8701.73+3581.7+8737.54+7647.65</f>
        <v>48612.780000000006</v>
      </c>
      <c r="M103" s="78">
        <f>K103-L103</f>
        <v>0</v>
      </c>
      <c r="N103" s="100">
        <f>4+9+4+4+1+3+1+3+1+1+1+1+1+1</f>
        <v>35</v>
      </c>
      <c r="O103" s="81">
        <f>29696.65+38129.03+13567.9+20687.05+2022.79+8145.77+17250.05+1233.28+5568.04+11106.62</f>
        <v>147407.18</v>
      </c>
      <c r="P103" s="81">
        <f>29696.65+38129.03+13567.9+20687.05+2022.79+8145.77+17250.05+1233.28+5568.04+11106.62</f>
        <v>147407.18</v>
      </c>
      <c r="Q103" s="232">
        <f t="shared" si="3"/>
        <v>0</v>
      </c>
      <c r="R103" s="141"/>
    </row>
    <row r="104" spans="1:19" s="13" customFormat="1" hidden="1" x14ac:dyDescent="0.25">
      <c r="A104" s="229"/>
      <c r="B104" s="30" t="s">
        <v>67</v>
      </c>
      <c r="C104" s="181" t="s">
        <v>17</v>
      </c>
      <c r="D104" s="182"/>
      <c r="E104" s="194" t="s">
        <v>21</v>
      </c>
      <c r="F104" s="73" t="s">
        <v>440</v>
      </c>
      <c r="G104" s="230" t="s">
        <v>118</v>
      </c>
      <c r="H104" s="181">
        <v>15</v>
      </c>
      <c r="I104" s="231">
        <v>2</v>
      </c>
      <c r="J104" s="96">
        <v>2</v>
      </c>
      <c r="K104" s="77">
        <v>5282.54</v>
      </c>
      <c r="L104" s="77">
        <v>5282.54</v>
      </c>
      <c r="M104" s="78">
        <f t="shared" si="4"/>
        <v>0</v>
      </c>
      <c r="N104" s="100">
        <v>20</v>
      </c>
      <c r="O104" s="224">
        <v>66027.179999999993</v>
      </c>
      <c r="P104" s="224">
        <v>66027.179999999993</v>
      </c>
      <c r="Q104" s="79">
        <f t="shared" si="3"/>
        <v>0</v>
      </c>
    </row>
    <row r="105" spans="1:19" s="13" customFormat="1" hidden="1" x14ac:dyDescent="0.25">
      <c r="A105" s="229"/>
      <c r="B105" s="30" t="s">
        <v>68</v>
      </c>
      <c r="C105" s="181" t="s">
        <v>17</v>
      </c>
      <c r="D105" s="182"/>
      <c r="E105" s="194" t="s">
        <v>32</v>
      </c>
      <c r="F105" s="73" t="s">
        <v>371</v>
      </c>
      <c r="G105" s="74" t="s">
        <v>112</v>
      </c>
      <c r="H105" s="75">
        <v>19</v>
      </c>
      <c r="I105" s="76">
        <v>18</v>
      </c>
      <c r="J105" s="96">
        <f>2+1+2+5+5+3+1+2+2</f>
        <v>23</v>
      </c>
      <c r="K105" s="77">
        <f>1128.59+422.62+1152.6+4557.81+10981.59+5362.88+4996.85+4352.15+3073.96+3697.9</f>
        <v>39726.950000000004</v>
      </c>
      <c r="L105" s="77">
        <f>1128.59+422.62+1152.6+4557.81+10981.59+5362.88+4996.85+4352.15+3073.96</f>
        <v>36029.050000000003</v>
      </c>
      <c r="M105" s="78">
        <f>K105-L105</f>
        <v>3697.9000000000015</v>
      </c>
      <c r="N105" s="100">
        <f>6+5+1+4+2+2+1</f>
        <v>21</v>
      </c>
      <c r="O105" s="81">
        <f>7813.73+8523.5+1452.28+12582.19+18077.76+4987.46+2373.79</f>
        <v>55810.709999999992</v>
      </c>
      <c r="P105" s="81">
        <f>7813.73+8523.5+1452.28+12582.19+18077.76+4987.46+2373.79</f>
        <v>55810.709999999992</v>
      </c>
      <c r="Q105" s="232">
        <f t="shared" si="3"/>
        <v>0</v>
      </c>
      <c r="R105" s="141"/>
    </row>
    <row r="106" spans="1:19" s="13" customFormat="1" hidden="1" x14ac:dyDescent="0.25">
      <c r="A106" s="229"/>
      <c r="B106" s="30" t="s">
        <v>68</v>
      </c>
      <c r="C106" s="181" t="s">
        <v>17</v>
      </c>
      <c r="D106" s="182"/>
      <c r="E106" s="194" t="s">
        <v>32</v>
      </c>
      <c r="F106" s="73" t="s">
        <v>430</v>
      </c>
      <c r="G106" s="235" t="s">
        <v>117</v>
      </c>
      <c r="H106" s="181">
        <v>3</v>
      </c>
      <c r="I106" s="231"/>
      <c r="J106" s="96"/>
      <c r="K106" s="77"/>
      <c r="L106" s="77"/>
      <c r="M106" s="78">
        <f t="shared" si="4"/>
        <v>0</v>
      </c>
      <c r="N106" s="100"/>
      <c r="O106" s="77"/>
      <c r="P106" s="77"/>
      <c r="Q106" s="79">
        <f t="shared" si="3"/>
        <v>0</v>
      </c>
    </row>
    <row r="107" spans="1:19" s="15" customFormat="1" hidden="1" x14ac:dyDescent="0.25">
      <c r="A107" s="229"/>
      <c r="B107" s="27" t="s">
        <v>69</v>
      </c>
      <c r="C107" s="181" t="s">
        <v>17</v>
      </c>
      <c r="D107" s="182"/>
      <c r="E107" s="183" t="s">
        <v>20</v>
      </c>
      <c r="F107" s="73" t="s">
        <v>372</v>
      </c>
      <c r="G107" s="74" t="s">
        <v>112</v>
      </c>
      <c r="H107" s="75">
        <v>8</v>
      </c>
      <c r="I107" s="76">
        <v>5</v>
      </c>
      <c r="J107" s="96">
        <f>1+1+1+1+3</f>
        <v>7</v>
      </c>
      <c r="K107" s="77">
        <f>422.62+17390.69+3114.71+475.45+2326.92</f>
        <v>23730.39</v>
      </c>
      <c r="L107" s="77">
        <f>422.62+17390.69+3114.71+475.45+2326.92</f>
        <v>23730.39</v>
      </c>
      <c r="M107" s="78">
        <f t="shared" si="4"/>
        <v>0</v>
      </c>
      <c r="N107" s="100">
        <f>3+2+1+1+1+1</f>
        <v>9</v>
      </c>
      <c r="O107" s="77">
        <f>7210.31+3647.96+1306.28+1267.86+2697.06</f>
        <v>16129.470000000001</v>
      </c>
      <c r="P107" s="77">
        <f>7210.31+3647.96+1306.28+1267.86+2697.06</f>
        <v>16129.470000000001</v>
      </c>
      <c r="Q107" s="232">
        <f t="shared" si="3"/>
        <v>0</v>
      </c>
      <c r="R107" s="141"/>
    </row>
    <row r="108" spans="1:19" s="15" customFormat="1" hidden="1" x14ac:dyDescent="0.25">
      <c r="A108" s="229"/>
      <c r="B108" s="236" t="s">
        <v>502</v>
      </c>
      <c r="C108" s="181" t="s">
        <v>17</v>
      </c>
      <c r="D108" s="182"/>
      <c r="E108" s="183" t="s">
        <v>20</v>
      </c>
      <c r="F108" s="73" t="s">
        <v>508</v>
      </c>
      <c r="G108" s="74" t="s">
        <v>112</v>
      </c>
      <c r="H108" s="75">
        <v>13</v>
      </c>
      <c r="I108" s="76">
        <v>9</v>
      </c>
      <c r="J108" s="96">
        <f>4+1+4</f>
        <v>9</v>
      </c>
      <c r="K108" s="77">
        <f>6145.3+993.47</f>
        <v>7138.77</v>
      </c>
      <c r="L108" s="77">
        <f>6145.3+993.47</f>
        <v>7138.77</v>
      </c>
      <c r="M108" s="78">
        <f t="shared" si="4"/>
        <v>0</v>
      </c>
      <c r="N108" s="100"/>
      <c r="O108" s="77"/>
      <c r="P108" s="77"/>
      <c r="Q108" s="232">
        <f t="shared" si="3"/>
        <v>0</v>
      </c>
      <c r="R108" s="141"/>
    </row>
    <row r="109" spans="1:19" s="15" customFormat="1" hidden="1" x14ac:dyDescent="0.25">
      <c r="A109" s="229"/>
      <c r="B109" s="236" t="s">
        <v>502</v>
      </c>
      <c r="C109" s="181" t="s">
        <v>17</v>
      </c>
      <c r="D109" s="182"/>
      <c r="E109" s="183" t="s">
        <v>32</v>
      </c>
      <c r="F109" s="73" t="s">
        <v>511</v>
      </c>
      <c r="G109" s="235" t="s">
        <v>117</v>
      </c>
      <c r="H109" s="75">
        <v>5</v>
      </c>
      <c r="I109" s="76"/>
      <c r="J109" s="96"/>
      <c r="K109" s="77"/>
      <c r="L109" s="77"/>
      <c r="M109" s="78">
        <f t="shared" si="4"/>
        <v>0</v>
      </c>
      <c r="N109" s="100"/>
      <c r="O109" s="77"/>
      <c r="P109" s="77"/>
      <c r="Q109" s="232">
        <f t="shared" si="3"/>
        <v>0</v>
      </c>
      <c r="R109" s="141"/>
    </row>
    <row r="110" spans="1:19" s="13" customFormat="1" hidden="1" x14ac:dyDescent="0.25">
      <c r="A110" s="229"/>
      <c r="B110" s="62" t="s">
        <v>70</v>
      </c>
      <c r="C110" s="181" t="s">
        <v>17</v>
      </c>
      <c r="D110" s="182"/>
      <c r="E110" s="183" t="s">
        <v>20</v>
      </c>
      <c r="F110" s="73" t="s">
        <v>373</v>
      </c>
      <c r="G110" s="74" t="s">
        <v>112</v>
      </c>
      <c r="H110" s="75">
        <v>14</v>
      </c>
      <c r="I110" s="76">
        <v>10</v>
      </c>
      <c r="J110" s="96">
        <f>2+2+2+3+1+2</f>
        <v>12</v>
      </c>
      <c r="K110" s="77">
        <f>19498+3011.17+8156.45</f>
        <v>30665.62</v>
      </c>
      <c r="L110" s="77">
        <f>19498+3011.17+8156.45</f>
        <v>30665.62</v>
      </c>
      <c r="M110" s="78">
        <f>K110-L110</f>
        <v>0</v>
      </c>
      <c r="N110" s="100">
        <f>2+3+4+2+1</f>
        <v>12</v>
      </c>
      <c r="O110" s="81">
        <f>7606.2+16795.84+3492.18</f>
        <v>27894.22</v>
      </c>
      <c r="P110" s="81">
        <f>7606.2+16795.84</f>
        <v>24402.04</v>
      </c>
      <c r="Q110" s="79">
        <f t="shared" si="3"/>
        <v>3492.1800000000003</v>
      </c>
      <c r="R110" s="141"/>
    </row>
    <row r="111" spans="1:19" s="13" customFormat="1" hidden="1" x14ac:dyDescent="0.25">
      <c r="A111" s="229"/>
      <c r="B111" s="62" t="s">
        <v>70</v>
      </c>
      <c r="C111" s="181" t="s">
        <v>17</v>
      </c>
      <c r="D111" s="182"/>
      <c r="E111" s="183" t="s">
        <v>20</v>
      </c>
      <c r="F111" s="73" t="s">
        <v>460</v>
      </c>
      <c r="G111" s="230" t="s">
        <v>114</v>
      </c>
      <c r="H111" s="181">
        <v>32</v>
      </c>
      <c r="I111" s="231">
        <v>11</v>
      </c>
      <c r="J111" s="190">
        <v>11</v>
      </c>
      <c r="K111" s="77">
        <v>30417.34</v>
      </c>
      <c r="L111" s="77">
        <v>15164.14</v>
      </c>
      <c r="M111" s="187">
        <f t="shared" ref="M111" si="6">K111-L111</f>
        <v>15253.2</v>
      </c>
      <c r="N111" s="100">
        <v>31</v>
      </c>
      <c r="O111" s="224">
        <v>75536.87</v>
      </c>
      <c r="P111" s="224">
        <v>72927.77</v>
      </c>
      <c r="Q111" s="232">
        <f t="shared" si="3"/>
        <v>2609.0999999999913</v>
      </c>
    </row>
    <row r="112" spans="1:19" s="15" customFormat="1" hidden="1" x14ac:dyDescent="0.25">
      <c r="A112" s="229"/>
      <c r="B112" s="62" t="s">
        <v>71</v>
      </c>
      <c r="C112" s="181" t="s">
        <v>17</v>
      </c>
      <c r="D112" s="182"/>
      <c r="E112" s="183" t="s">
        <v>32</v>
      </c>
      <c r="F112" s="73" t="s">
        <v>374</v>
      </c>
      <c r="G112" s="74" t="s">
        <v>112</v>
      </c>
      <c r="H112" s="75">
        <v>20</v>
      </c>
      <c r="I112" s="76">
        <v>14</v>
      </c>
      <c r="J112" s="96">
        <f>3+1+2+1+1+3+3+1</f>
        <v>15</v>
      </c>
      <c r="K112" s="77">
        <f>1536.8+461.04+1748.88+633.93+3169.65+2435.83+3203.17</f>
        <v>13189.300000000001</v>
      </c>
      <c r="L112" s="77">
        <f>1536.8+461.04+1748.88+633.93+3169.65+2435.83</f>
        <v>9986.130000000001</v>
      </c>
      <c r="M112" s="78">
        <f>K112-L112</f>
        <v>3203.17</v>
      </c>
      <c r="N112" s="100">
        <f>3+2+1+1+2+1</f>
        <v>10</v>
      </c>
      <c r="O112" s="81">
        <f>9567.93+3616.67+403.41+14275.52+10922.18+12907.41</f>
        <v>51693.119999999995</v>
      </c>
      <c r="P112" s="81">
        <f>9567.93+3616.67+403.41+14275.52+10922.18+12907.41</f>
        <v>51693.119999999995</v>
      </c>
      <c r="Q112" s="79">
        <f t="shared" si="3"/>
        <v>0</v>
      </c>
      <c r="R112" s="141"/>
      <c r="S112" s="36"/>
    </row>
    <row r="113" spans="1:18" s="15" customFormat="1" hidden="1" x14ac:dyDescent="0.25">
      <c r="A113" s="229"/>
      <c r="B113" s="62" t="s">
        <v>71</v>
      </c>
      <c r="C113" s="181" t="s">
        <v>17</v>
      </c>
      <c r="D113" s="182"/>
      <c r="E113" s="183" t="s">
        <v>32</v>
      </c>
      <c r="F113" s="73" t="s">
        <v>431</v>
      </c>
      <c r="G113" s="230" t="s">
        <v>115</v>
      </c>
      <c r="H113" s="181">
        <v>7</v>
      </c>
      <c r="I113" s="231">
        <v>4</v>
      </c>
      <c r="J113" s="96">
        <v>4</v>
      </c>
      <c r="K113" s="237">
        <v>6627.45</v>
      </c>
      <c r="L113" s="237">
        <v>6627.45</v>
      </c>
      <c r="M113" s="187">
        <f t="shared" si="4"/>
        <v>0</v>
      </c>
      <c r="N113" s="114">
        <f>5</f>
        <v>5</v>
      </c>
      <c r="O113" s="77">
        <v>6595.5</v>
      </c>
      <c r="P113" s="77">
        <v>6595.5</v>
      </c>
      <c r="Q113" s="232">
        <f t="shared" si="3"/>
        <v>0</v>
      </c>
    </row>
    <row r="114" spans="1:18" s="13" customFormat="1" hidden="1" x14ac:dyDescent="0.25">
      <c r="A114" s="229"/>
      <c r="B114" s="62" t="s">
        <v>319</v>
      </c>
      <c r="C114" s="181" t="s">
        <v>17</v>
      </c>
      <c r="D114" s="182"/>
      <c r="E114" s="183" t="s">
        <v>20</v>
      </c>
      <c r="F114" s="73" t="s">
        <v>375</v>
      </c>
      <c r="G114" s="74" t="s">
        <v>112</v>
      </c>
      <c r="H114" s="75">
        <v>31</v>
      </c>
      <c r="I114" s="76">
        <v>24</v>
      </c>
      <c r="J114" s="96">
        <f>2+1+4+3+6+2+7+1+2</f>
        <v>28</v>
      </c>
      <c r="K114" s="77">
        <f>710.77+1523.35+6753.23+7215.52+1437.48+28056.52+6091.99+2561.63+3510.24</f>
        <v>57860.729999999989</v>
      </c>
      <c r="L114" s="77">
        <f>710.77+1523.35+6753.23+7215.52+1437.48+28056.52+6091.99+2561.63</f>
        <v>54350.489999999991</v>
      </c>
      <c r="M114" s="78">
        <f t="shared" si="4"/>
        <v>3510.239999999998</v>
      </c>
      <c r="N114" s="100">
        <f>3+1+2+1+2</f>
        <v>9</v>
      </c>
      <c r="O114" s="77">
        <f>13419.94+726.71+2846.77+3770.56+4653.31</f>
        <v>25417.290000000005</v>
      </c>
      <c r="P114" s="77">
        <f>13419.94+726.71+2846.77+3770.56+4653.31</f>
        <v>25417.290000000005</v>
      </c>
      <c r="Q114" s="79">
        <f>O114-P114</f>
        <v>0</v>
      </c>
      <c r="R114" s="141"/>
    </row>
    <row r="115" spans="1:18" s="15" customFormat="1" hidden="1" x14ac:dyDescent="0.25">
      <c r="A115" s="229"/>
      <c r="B115" s="62" t="s">
        <v>150</v>
      </c>
      <c r="C115" s="181" t="s">
        <v>17</v>
      </c>
      <c r="D115" s="182"/>
      <c r="E115" s="183" t="s">
        <v>35</v>
      </c>
      <c r="F115" s="73" t="s">
        <v>376</v>
      </c>
      <c r="G115" s="74" t="s">
        <v>112</v>
      </c>
      <c r="H115" s="75">
        <v>31</v>
      </c>
      <c r="I115" s="76">
        <v>11</v>
      </c>
      <c r="J115" s="96">
        <f>1+1+2+2+1+3+1</f>
        <v>11</v>
      </c>
      <c r="K115" s="77">
        <f>1343.65+384.2+1690.4+4889.84+2417.43+2791.74</f>
        <v>13517.26</v>
      </c>
      <c r="L115" s="77">
        <f>1343.65+384.2+1690.4+4889.84</f>
        <v>8308.09</v>
      </c>
      <c r="M115" s="78">
        <f t="shared" si="4"/>
        <v>5209.17</v>
      </c>
      <c r="N115" s="114">
        <f>8+1+1+2+3+1+1+1</f>
        <v>18</v>
      </c>
      <c r="O115" s="77">
        <f>5997.32+3719.39+3054.34+13138.17+6578.46+6198.68</f>
        <v>38686.36</v>
      </c>
      <c r="P115" s="77">
        <f>5997.32+3719.39+3054.34+13138.17+6578.46+6198.68</f>
        <v>38686.36</v>
      </c>
      <c r="Q115" s="79">
        <f t="shared" si="3"/>
        <v>0</v>
      </c>
      <c r="R115" s="141"/>
    </row>
    <row r="116" spans="1:18" s="15" customFormat="1" hidden="1" x14ac:dyDescent="0.25">
      <c r="A116" s="229"/>
      <c r="B116" s="233" t="s">
        <v>150</v>
      </c>
      <c r="C116" s="181" t="s">
        <v>17</v>
      </c>
      <c r="D116" s="182"/>
      <c r="E116" s="183" t="s">
        <v>32</v>
      </c>
      <c r="F116" s="73" t="s">
        <v>487</v>
      </c>
      <c r="G116" s="230" t="s">
        <v>117</v>
      </c>
      <c r="H116" s="181">
        <v>4</v>
      </c>
      <c r="I116" s="231">
        <v>4</v>
      </c>
      <c r="J116" s="96">
        <v>4</v>
      </c>
      <c r="K116" s="77">
        <v>16858.8</v>
      </c>
      <c r="L116" s="77">
        <v>16858.8</v>
      </c>
      <c r="M116" s="187">
        <f t="shared" si="4"/>
        <v>0</v>
      </c>
      <c r="N116" s="100">
        <v>3</v>
      </c>
      <c r="O116" s="77">
        <v>9645.1</v>
      </c>
      <c r="P116" s="77">
        <v>9645.1</v>
      </c>
      <c r="Q116" s="232">
        <f t="shared" si="3"/>
        <v>0</v>
      </c>
    </row>
    <row r="117" spans="1:18" s="13" customFormat="1" hidden="1" x14ac:dyDescent="0.25">
      <c r="A117" s="229"/>
      <c r="B117" s="30" t="s">
        <v>72</v>
      </c>
      <c r="C117" s="181" t="s">
        <v>17</v>
      </c>
      <c r="D117" s="182"/>
      <c r="E117" s="183" t="s">
        <v>21</v>
      </c>
      <c r="F117" s="73" t="s">
        <v>377</v>
      </c>
      <c r="G117" s="74" t="s">
        <v>112</v>
      </c>
      <c r="H117" s="75">
        <v>23</v>
      </c>
      <c r="I117" s="76">
        <v>12</v>
      </c>
      <c r="J117" s="96">
        <f>1+1+1+1+6+2+1+2</f>
        <v>15</v>
      </c>
      <c r="K117" s="77">
        <f>633.93+1415.78+1610.18+1394.65+18140.86+2440.63+4140.81</f>
        <v>29776.840000000004</v>
      </c>
      <c r="L117" s="77">
        <f>633.93+1415.78+1610.18+1394.65+18140.86+2440.63+4140.81</f>
        <v>29776.840000000004</v>
      </c>
      <c r="M117" s="78">
        <f>K117-L117</f>
        <v>0</v>
      </c>
      <c r="N117" s="100">
        <f>1+3+1+1+1+3+1+3+1+1</f>
        <v>16</v>
      </c>
      <c r="O117" s="81">
        <f>1950.74+10237.13+6595.95+3861.21+1348.53+10328.94+50451.86-19567+15859.78</f>
        <v>81067.14</v>
      </c>
      <c r="P117" s="81">
        <f>1950.74+10237.13+6595.95+3861.21+1348.53+10328.94+50451.86-19567+15859.78</f>
        <v>81067.14</v>
      </c>
      <c r="Q117" s="79">
        <f t="shared" si="3"/>
        <v>0</v>
      </c>
      <c r="R117" s="141"/>
    </row>
    <row r="118" spans="1:18" s="13" customFormat="1" hidden="1" x14ac:dyDescent="0.25">
      <c r="A118" s="229"/>
      <c r="B118" s="30" t="s">
        <v>72</v>
      </c>
      <c r="C118" s="181" t="s">
        <v>17</v>
      </c>
      <c r="D118" s="182"/>
      <c r="E118" s="183" t="s">
        <v>21</v>
      </c>
      <c r="F118" s="73" t="s">
        <v>441</v>
      </c>
      <c r="G118" s="230" t="s">
        <v>118</v>
      </c>
      <c r="H118" s="181">
        <v>7</v>
      </c>
      <c r="I118" s="231">
        <v>1</v>
      </c>
      <c r="J118" s="96">
        <v>1</v>
      </c>
      <c r="K118" s="77">
        <v>1728.9</v>
      </c>
      <c r="L118" s="77">
        <v>1728.9</v>
      </c>
      <c r="M118" s="187">
        <f t="shared" si="4"/>
        <v>0</v>
      </c>
      <c r="N118" s="100">
        <v>15</v>
      </c>
      <c r="O118" s="224">
        <v>56869.279999999999</v>
      </c>
      <c r="P118" s="224">
        <v>56869.279999999999</v>
      </c>
      <c r="Q118" s="232">
        <f t="shared" si="3"/>
        <v>0</v>
      </c>
    </row>
    <row r="119" spans="1:18" s="15" customFormat="1" hidden="1" x14ac:dyDescent="0.25">
      <c r="A119" s="229"/>
      <c r="B119" s="30" t="s">
        <v>73</v>
      </c>
      <c r="C119" s="181" t="s">
        <v>17</v>
      </c>
      <c r="D119" s="182"/>
      <c r="E119" s="183" t="s">
        <v>74</v>
      </c>
      <c r="F119" s="73" t="s">
        <v>378</v>
      </c>
      <c r="G119" s="74" t="s">
        <v>112</v>
      </c>
      <c r="H119" s="75">
        <v>32</v>
      </c>
      <c r="I119" s="76">
        <v>27</v>
      </c>
      <c r="J119" s="96">
        <f>9+8+2+2+10+1+6</f>
        <v>38</v>
      </c>
      <c r="K119" s="77">
        <f>6305.33+12574.83+14899.84+13657.06+15923.24</f>
        <v>63360.299999999996</v>
      </c>
      <c r="L119" s="77">
        <f>6305.33+12574.83+14899.84+13657.06+15923.24</f>
        <v>63360.299999999996</v>
      </c>
      <c r="M119" s="78">
        <f>K119-L119</f>
        <v>0</v>
      </c>
      <c r="N119" s="100">
        <f>5+3+3+1+1+2</f>
        <v>15</v>
      </c>
      <c r="O119" s="81">
        <f>5416.39+9506.99+12269.39+7610.68+1928.68</f>
        <v>36732.129999999997</v>
      </c>
      <c r="P119" s="81">
        <f>5416.39+9506.99+12269.39+7610.68+1928.68</f>
        <v>36732.129999999997</v>
      </c>
      <c r="Q119" s="79">
        <f t="shared" si="3"/>
        <v>0</v>
      </c>
      <c r="R119" s="141"/>
    </row>
    <row r="120" spans="1:18" s="15" customFormat="1" hidden="1" x14ac:dyDescent="0.25">
      <c r="A120" s="229"/>
      <c r="B120" s="30" t="s">
        <v>73</v>
      </c>
      <c r="C120" s="181" t="s">
        <v>17</v>
      </c>
      <c r="D120" s="182"/>
      <c r="E120" s="183" t="s">
        <v>74</v>
      </c>
      <c r="F120" s="73" t="s">
        <v>282</v>
      </c>
      <c r="G120" s="230" t="s">
        <v>114</v>
      </c>
      <c r="H120" s="181"/>
      <c r="I120" s="231"/>
      <c r="J120" s="190"/>
      <c r="K120" s="77"/>
      <c r="L120" s="77"/>
      <c r="M120" s="187">
        <f t="shared" ref="M120" si="7">K120-L120</f>
        <v>0</v>
      </c>
      <c r="N120" s="100">
        <v>1</v>
      </c>
      <c r="O120" s="224">
        <v>1728.9</v>
      </c>
      <c r="P120" s="224">
        <v>1728.9</v>
      </c>
      <c r="Q120" s="232">
        <f t="shared" si="3"/>
        <v>0</v>
      </c>
    </row>
    <row r="121" spans="1:18" s="13" customFormat="1" hidden="1" x14ac:dyDescent="0.25">
      <c r="A121" s="229"/>
      <c r="B121" s="30" t="s">
        <v>135</v>
      </c>
      <c r="C121" s="181" t="s">
        <v>17</v>
      </c>
      <c r="D121" s="182"/>
      <c r="E121" s="194" t="s">
        <v>35</v>
      </c>
      <c r="F121" s="73" t="s">
        <v>379</v>
      </c>
      <c r="G121" s="74" t="s">
        <v>112</v>
      </c>
      <c r="H121" s="75">
        <v>33</v>
      </c>
      <c r="I121" s="76">
        <v>23</v>
      </c>
      <c r="J121" s="96">
        <f>1+6+5+3+3+5+1</f>
        <v>24</v>
      </c>
      <c r="K121" s="77">
        <f>697.32+4374.12+5747.44+4426.94+15712.05+4176.57</f>
        <v>35134.44</v>
      </c>
      <c r="L121" s="77">
        <f>697.32+4374.12+5747.44+4426.94+15712.05</f>
        <v>30957.87</v>
      </c>
      <c r="M121" s="78">
        <f>K121-L121</f>
        <v>4176.5700000000033</v>
      </c>
      <c r="N121" s="100">
        <f>2+5+1+2+2+2</f>
        <v>14</v>
      </c>
      <c r="O121" s="81">
        <f>6432.89+2283.68+4932.13</f>
        <v>13648.7</v>
      </c>
      <c r="P121" s="81">
        <f>6432.89+2283.68+4932.13</f>
        <v>13648.7</v>
      </c>
      <c r="Q121" s="232">
        <f t="shared" si="3"/>
        <v>0</v>
      </c>
      <c r="R121" s="141"/>
    </row>
    <row r="122" spans="1:18" s="13" customFormat="1" hidden="1" x14ac:dyDescent="0.25">
      <c r="A122" s="229"/>
      <c r="B122" s="30" t="s">
        <v>135</v>
      </c>
      <c r="C122" s="181" t="s">
        <v>17</v>
      </c>
      <c r="D122" s="182"/>
      <c r="E122" s="194" t="s">
        <v>35</v>
      </c>
      <c r="F122" s="73" t="s">
        <v>432</v>
      </c>
      <c r="G122" s="230" t="s">
        <v>115</v>
      </c>
      <c r="H122" s="181">
        <v>2</v>
      </c>
      <c r="I122" s="231"/>
      <c r="J122" s="96"/>
      <c r="K122" s="77"/>
      <c r="L122" s="77"/>
      <c r="M122" s="78">
        <f t="shared" si="4"/>
        <v>0</v>
      </c>
      <c r="N122" s="100">
        <v>1</v>
      </c>
      <c r="O122" s="224">
        <v>2689.4</v>
      </c>
      <c r="P122" s="224">
        <v>2689.4</v>
      </c>
      <c r="Q122" s="79">
        <f t="shared" si="3"/>
        <v>0</v>
      </c>
    </row>
    <row r="123" spans="1:18" s="13" customFormat="1" hidden="1" x14ac:dyDescent="0.25">
      <c r="A123" s="229"/>
      <c r="B123" s="30" t="s">
        <v>145</v>
      </c>
      <c r="C123" s="181" t="s">
        <v>17</v>
      </c>
      <c r="D123" s="182"/>
      <c r="E123" s="194" t="s">
        <v>20</v>
      </c>
      <c r="F123" s="73" t="s">
        <v>380</v>
      </c>
      <c r="G123" s="74" t="s">
        <v>112</v>
      </c>
      <c r="H123" s="75">
        <v>15</v>
      </c>
      <c r="I123" s="82">
        <v>13</v>
      </c>
      <c r="J123" s="96">
        <f>2+1+1+2+2+5+3+2+3</f>
        <v>21</v>
      </c>
      <c r="K123" s="77">
        <f>5169.72+1100+538.84+4293.82+3949.22+3361.76+5643.1+4037.33</f>
        <v>28093.79</v>
      </c>
      <c r="L123" s="77">
        <f>5169.72+1100+538.84+4293.82+3949.22+3361.76+5643.1</f>
        <v>24056.46</v>
      </c>
      <c r="M123" s="78">
        <f>K123-L123</f>
        <v>4037.3300000000017</v>
      </c>
      <c r="N123" s="100">
        <f>1+1+2+1+2+1</f>
        <v>8</v>
      </c>
      <c r="O123" s="81">
        <f>5120.23+3915.15+1114.12+14002.49</f>
        <v>24151.989999999998</v>
      </c>
      <c r="P123" s="81">
        <f>5120.23+3915.15+1114.12+14002.49</f>
        <v>24151.989999999998</v>
      </c>
      <c r="Q123" s="232">
        <f t="shared" si="3"/>
        <v>0</v>
      </c>
      <c r="R123" s="141"/>
    </row>
    <row r="124" spans="1:18" s="13" customFormat="1" hidden="1" x14ac:dyDescent="0.25">
      <c r="A124" s="229"/>
      <c r="B124" s="30" t="s">
        <v>145</v>
      </c>
      <c r="C124" s="181" t="s">
        <v>17</v>
      </c>
      <c r="D124" s="182"/>
      <c r="E124" s="194" t="s">
        <v>20</v>
      </c>
      <c r="F124" s="73" t="s">
        <v>461</v>
      </c>
      <c r="G124" s="230" t="s">
        <v>114</v>
      </c>
      <c r="H124" s="181">
        <v>5</v>
      </c>
      <c r="I124" s="231">
        <v>1</v>
      </c>
      <c r="J124" s="190">
        <v>1</v>
      </c>
      <c r="K124" s="77">
        <v>1921</v>
      </c>
      <c r="L124" s="77">
        <v>1921</v>
      </c>
      <c r="M124" s="187">
        <f t="shared" ref="M124" si="8">K124-L124</f>
        <v>0</v>
      </c>
      <c r="N124" s="100">
        <v>10</v>
      </c>
      <c r="O124" s="224">
        <v>22933.25</v>
      </c>
      <c r="P124" s="224">
        <v>22933.25</v>
      </c>
      <c r="Q124" s="232">
        <f t="shared" si="3"/>
        <v>0</v>
      </c>
    </row>
    <row r="125" spans="1:18" s="13" customFormat="1" hidden="1" x14ac:dyDescent="0.25">
      <c r="A125" s="229"/>
      <c r="B125" s="62" t="s">
        <v>76</v>
      </c>
      <c r="C125" s="181" t="s">
        <v>17</v>
      </c>
      <c r="D125" s="182"/>
      <c r="E125" s="183" t="s">
        <v>20</v>
      </c>
      <c r="F125" s="73" t="s">
        <v>381</v>
      </c>
      <c r="G125" s="74" t="s">
        <v>112</v>
      </c>
      <c r="H125" s="75">
        <v>24</v>
      </c>
      <c r="I125" s="76">
        <v>18</v>
      </c>
      <c r="J125" s="96">
        <f>1+6+3+1+3+1+2+2+2+1+1</f>
        <v>23</v>
      </c>
      <c r="K125" s="77">
        <f>6556.06+2806.39+2697.06+1267.86+11775.51+1557.35+2113.1+4117.36+1673.84</f>
        <v>34564.529999999992</v>
      </c>
      <c r="L125" s="77">
        <f>6556.06+2806.39+2697.06+1267.86+11775.51+1557.35+2113.1+4117.36</f>
        <v>32890.689999999995</v>
      </c>
      <c r="M125" s="78">
        <f>K125-L125</f>
        <v>1673.8399999999965</v>
      </c>
      <c r="N125" s="100">
        <f>5+6+2+1+1+1+1+2</f>
        <v>19</v>
      </c>
      <c r="O125" s="81">
        <f>11527.9+19846.52+1011.91+9641+2451.87+10072.83+11307.66+2243.83+6181.56</f>
        <v>74285.08</v>
      </c>
      <c r="P125" s="81">
        <f>11527.9+19846.52+1011.91+9641+2451.87+10072.83+11307.66+2243.83+6181.56</f>
        <v>74285.08</v>
      </c>
      <c r="Q125" s="232">
        <f t="shared" si="3"/>
        <v>0</v>
      </c>
      <c r="R125" s="141"/>
    </row>
    <row r="126" spans="1:18" s="13" customFormat="1" hidden="1" x14ac:dyDescent="0.25">
      <c r="A126" s="229"/>
      <c r="B126" s="62" t="s">
        <v>76</v>
      </c>
      <c r="C126" s="181" t="s">
        <v>17</v>
      </c>
      <c r="D126" s="182"/>
      <c r="E126" s="183" t="s">
        <v>20</v>
      </c>
      <c r="F126" s="73" t="s">
        <v>462</v>
      </c>
      <c r="G126" s="230" t="s">
        <v>114</v>
      </c>
      <c r="H126" s="181">
        <v>14</v>
      </c>
      <c r="I126" s="231">
        <v>1</v>
      </c>
      <c r="J126" s="190">
        <v>1</v>
      </c>
      <c r="K126" s="77">
        <v>2113.1</v>
      </c>
      <c r="L126" s="77">
        <v>2113.1</v>
      </c>
      <c r="M126" s="187">
        <f t="shared" ref="M126" si="9">K126-L126</f>
        <v>0</v>
      </c>
      <c r="N126" s="100">
        <v>8</v>
      </c>
      <c r="O126" s="224">
        <v>27398.29</v>
      </c>
      <c r="P126" s="224">
        <v>27398.29</v>
      </c>
      <c r="Q126" s="232">
        <f t="shared" si="3"/>
        <v>0</v>
      </c>
    </row>
    <row r="127" spans="1:18" s="13" customFormat="1" hidden="1" x14ac:dyDescent="0.25">
      <c r="A127" s="229"/>
      <c r="B127" s="30" t="s">
        <v>77</v>
      </c>
      <c r="C127" s="181" t="s">
        <v>17</v>
      </c>
      <c r="D127" s="182"/>
      <c r="E127" s="183" t="s">
        <v>32</v>
      </c>
      <c r="F127" s="73" t="s">
        <v>388</v>
      </c>
      <c r="G127" s="74" t="s">
        <v>112</v>
      </c>
      <c r="H127" s="75">
        <v>20</v>
      </c>
      <c r="I127" s="76">
        <v>12</v>
      </c>
      <c r="J127" s="96">
        <f>2+2+2+6+1+1+1</f>
        <v>15</v>
      </c>
      <c r="K127" s="77">
        <f>2440.63+1507.02+2101.48+13625.7+1324.62+2083.47</f>
        <v>23082.920000000002</v>
      </c>
      <c r="L127" s="77">
        <f>2440.63+1507.02+2101.48+13625.7+1324.62</f>
        <v>20999.45</v>
      </c>
      <c r="M127" s="78">
        <f>K127-L127</f>
        <v>2083.4700000000012</v>
      </c>
      <c r="N127" s="100">
        <f>5+2+3+3+1+1</f>
        <v>15</v>
      </c>
      <c r="O127" s="81">
        <f>11716.73+6848.82+4046.18+11166.34+8845.95</f>
        <v>42624.020000000004</v>
      </c>
      <c r="P127" s="81">
        <f>11716.73+6848.82+4046.18+11166.34+8845.95</f>
        <v>42624.020000000004</v>
      </c>
      <c r="Q127" s="232">
        <f t="shared" si="3"/>
        <v>0</v>
      </c>
      <c r="R127" s="141"/>
    </row>
    <row r="128" spans="1:18" s="13" customFormat="1" hidden="1" x14ac:dyDescent="0.25">
      <c r="A128" s="229"/>
      <c r="B128" s="30" t="s">
        <v>77</v>
      </c>
      <c r="C128" s="181" t="s">
        <v>17</v>
      </c>
      <c r="D128" s="182"/>
      <c r="E128" s="183" t="s">
        <v>32</v>
      </c>
      <c r="F128" s="73" t="s">
        <v>433</v>
      </c>
      <c r="G128" s="230" t="s">
        <v>117</v>
      </c>
      <c r="H128" s="181">
        <v>3</v>
      </c>
      <c r="I128" s="231">
        <v>1</v>
      </c>
      <c r="J128" s="96">
        <v>1</v>
      </c>
      <c r="K128" s="77">
        <v>1921</v>
      </c>
      <c r="L128" s="77">
        <v>1921</v>
      </c>
      <c r="M128" s="78">
        <f t="shared" si="4"/>
        <v>0</v>
      </c>
      <c r="N128" s="100">
        <v>6</v>
      </c>
      <c r="O128" s="224">
        <v>18164.11</v>
      </c>
      <c r="P128" s="224">
        <v>18164.11</v>
      </c>
      <c r="Q128" s="79">
        <f t="shared" si="3"/>
        <v>0</v>
      </c>
    </row>
    <row r="129" spans="1:18" s="13" customFormat="1" hidden="1" x14ac:dyDescent="0.25">
      <c r="A129" s="229"/>
      <c r="B129" s="30" t="s">
        <v>321</v>
      </c>
      <c r="C129" s="181" t="s">
        <v>17</v>
      </c>
      <c r="D129" s="182"/>
      <c r="E129" s="183" t="s">
        <v>21</v>
      </c>
      <c r="F129" s="73" t="s">
        <v>489</v>
      </c>
      <c r="G129" s="230" t="s">
        <v>112</v>
      </c>
      <c r="H129" s="181">
        <v>6</v>
      </c>
      <c r="I129" s="231">
        <v>2</v>
      </c>
      <c r="J129" s="96">
        <f>1+1</f>
        <v>2</v>
      </c>
      <c r="K129" s="77">
        <f>2547.89</f>
        <v>2547.89</v>
      </c>
      <c r="L129" s="77">
        <f>2547.89</f>
        <v>2547.89</v>
      </c>
      <c r="M129" s="78">
        <f t="shared" si="4"/>
        <v>0</v>
      </c>
      <c r="N129" s="100"/>
      <c r="O129" s="224"/>
      <c r="P129" s="224"/>
      <c r="Q129" s="79">
        <f t="shared" si="3"/>
        <v>0</v>
      </c>
      <c r="R129" s="141"/>
    </row>
    <row r="130" spans="1:18" s="13" customFormat="1" ht="30" hidden="1" x14ac:dyDescent="0.25">
      <c r="A130" s="229"/>
      <c r="B130" s="62" t="s">
        <v>79</v>
      </c>
      <c r="C130" s="181" t="s">
        <v>304</v>
      </c>
      <c r="D130" s="182" t="s">
        <v>385</v>
      </c>
      <c r="E130" s="183" t="s">
        <v>18</v>
      </c>
      <c r="F130" s="73" t="s">
        <v>389</v>
      </c>
      <c r="G130" s="74" t="s">
        <v>112</v>
      </c>
      <c r="H130" s="75">
        <v>18</v>
      </c>
      <c r="I130" s="76">
        <v>12</v>
      </c>
      <c r="J130" s="96">
        <f>2+5+2+3+2+2</f>
        <v>16</v>
      </c>
      <c r="K130" s="77">
        <f>2091.97+3190.2+5703.08+6368.88+4029.68+4560.06</f>
        <v>25943.870000000003</v>
      </c>
      <c r="L130" s="77">
        <f>2091.97+3190.2+5703.08+6368.88+4029.68</f>
        <v>21383.81</v>
      </c>
      <c r="M130" s="78">
        <f t="shared" si="4"/>
        <v>4560.0600000000013</v>
      </c>
      <c r="N130" s="100">
        <f>2+2+1+2+1+1+3</f>
        <v>12</v>
      </c>
      <c r="O130" s="81">
        <f>1547.4+4166.12+7835.61+1675.01+4717.63+6039.62+18829.39+23135.63</f>
        <v>67946.41</v>
      </c>
      <c r="P130" s="81">
        <f>1547.4+4166.12+7835.61+1675.01+4717.63+6039.62+18829.39</f>
        <v>44810.78</v>
      </c>
      <c r="Q130" s="232">
        <f t="shared" si="3"/>
        <v>23135.630000000005</v>
      </c>
      <c r="R130" s="141"/>
    </row>
    <row r="131" spans="1:18" s="13" customFormat="1" ht="30" x14ac:dyDescent="0.25">
      <c r="A131" s="229"/>
      <c r="B131" s="62" t="s">
        <v>79</v>
      </c>
      <c r="C131" s="181" t="s">
        <v>304</v>
      </c>
      <c r="D131" s="182" t="s">
        <v>475</v>
      </c>
      <c r="E131" s="183" t="s">
        <v>18</v>
      </c>
      <c r="F131" s="73" t="s">
        <v>329</v>
      </c>
      <c r="G131" s="271" t="s">
        <v>116</v>
      </c>
      <c r="H131" s="181">
        <v>42</v>
      </c>
      <c r="I131" s="234">
        <v>27</v>
      </c>
      <c r="J131" s="98">
        <v>31</v>
      </c>
      <c r="K131" s="224">
        <v>66112</v>
      </c>
      <c r="L131" s="224">
        <v>66112</v>
      </c>
      <c r="M131" s="187">
        <f t="shared" si="4"/>
        <v>0</v>
      </c>
      <c r="N131" s="100">
        <v>15</v>
      </c>
      <c r="O131" s="224">
        <v>56311</v>
      </c>
      <c r="P131" s="224">
        <v>54906</v>
      </c>
      <c r="Q131" s="79">
        <f t="shared" si="3"/>
        <v>1405</v>
      </c>
    </row>
    <row r="132" spans="1:18" s="13" customFormat="1" hidden="1" x14ac:dyDescent="0.25">
      <c r="A132" s="229"/>
      <c r="B132" s="62" t="s">
        <v>151</v>
      </c>
      <c r="C132" s="181" t="s">
        <v>17</v>
      </c>
      <c r="D132" s="182"/>
      <c r="E132" s="183" t="s">
        <v>32</v>
      </c>
      <c r="F132" s="73" t="s">
        <v>390</v>
      </c>
      <c r="G132" s="74" t="s">
        <v>112</v>
      </c>
      <c r="H132" s="75">
        <v>58</v>
      </c>
      <c r="I132" s="82">
        <v>45</v>
      </c>
      <c r="J132" s="96">
        <f>1+3+3+5+3+9+4+6+3+2+6+5+3+2+2</f>
        <v>57</v>
      </c>
      <c r="K132" s="81">
        <f>2317+4640.19+5864.19+10765+12519.53+4514.35+14486.46+3421.94+27163.56+5180.87</f>
        <v>90873.09</v>
      </c>
      <c r="L132" s="81">
        <f>2317+4640.19+5864.19+10765+12519.53+4514.35+14486.46+3421.94+27163.56</f>
        <v>85692.22</v>
      </c>
      <c r="M132" s="78">
        <f>K132-L132</f>
        <v>5180.8699999999953</v>
      </c>
      <c r="N132" s="100">
        <f>9+3+5+1+4+4+1</f>
        <v>27</v>
      </c>
      <c r="O132" s="81">
        <f>10726.94+18822.65+5703.53+12846.53+1320.36+4050.1+22728.38</f>
        <v>76198.490000000005</v>
      </c>
      <c r="P132" s="81">
        <f>10726.94+18822.65+5703.53+12846.53+1320.36+4050.1+22728.38</f>
        <v>76198.490000000005</v>
      </c>
      <c r="Q132" s="232">
        <f t="shared" si="3"/>
        <v>0</v>
      </c>
      <c r="R132" s="141"/>
    </row>
    <row r="133" spans="1:18" s="13" customFormat="1" hidden="1" x14ac:dyDescent="0.25">
      <c r="A133" s="229"/>
      <c r="B133" s="62" t="s">
        <v>151</v>
      </c>
      <c r="C133" s="181" t="s">
        <v>17</v>
      </c>
      <c r="D133" s="182"/>
      <c r="E133" s="183" t="s">
        <v>32</v>
      </c>
      <c r="F133" s="73" t="s">
        <v>434</v>
      </c>
      <c r="G133" s="230" t="s">
        <v>117</v>
      </c>
      <c r="H133" s="181">
        <v>12</v>
      </c>
      <c r="I133" s="231">
        <v>3</v>
      </c>
      <c r="J133" s="96">
        <v>3</v>
      </c>
      <c r="K133" s="77">
        <v>3411.9</v>
      </c>
      <c r="L133" s="77">
        <v>3411.9</v>
      </c>
      <c r="M133" s="78">
        <f t="shared" si="4"/>
        <v>0</v>
      </c>
      <c r="N133" s="100">
        <v>13</v>
      </c>
      <c r="O133" s="224">
        <v>24537.7</v>
      </c>
      <c r="P133" s="224">
        <v>24537.7</v>
      </c>
      <c r="Q133" s="79">
        <f t="shared" si="3"/>
        <v>0</v>
      </c>
    </row>
    <row r="134" spans="1:18" s="13" customFormat="1" hidden="1" x14ac:dyDescent="0.25">
      <c r="A134" s="229"/>
      <c r="B134" s="62" t="s">
        <v>80</v>
      </c>
      <c r="C134" s="181" t="s">
        <v>17</v>
      </c>
      <c r="D134" s="182"/>
      <c r="E134" s="183" t="s">
        <v>81</v>
      </c>
      <c r="F134" s="73" t="s">
        <v>417</v>
      </c>
      <c r="G134" s="74" t="s">
        <v>112</v>
      </c>
      <c r="H134" s="75"/>
      <c r="I134" s="76"/>
      <c r="J134" s="96"/>
      <c r="K134" s="77">
        <f>749.19+8649.27</f>
        <v>9398.4600000000009</v>
      </c>
      <c r="L134" s="77">
        <f>749.19+8649.27</f>
        <v>9398.4600000000009</v>
      </c>
      <c r="M134" s="78">
        <f>K134-L134</f>
        <v>0</v>
      </c>
      <c r="N134" s="100">
        <f>2+2</f>
        <v>4</v>
      </c>
      <c r="O134" s="81">
        <f>3040.94+9398.46</f>
        <v>12439.4</v>
      </c>
      <c r="P134" s="81">
        <f>3040.94+9398.46</f>
        <v>12439.4</v>
      </c>
      <c r="Q134" s="232">
        <f t="shared" si="3"/>
        <v>0</v>
      </c>
      <c r="R134" s="141"/>
    </row>
    <row r="135" spans="1:18" s="13" customFormat="1" hidden="1" x14ac:dyDescent="0.25">
      <c r="A135" s="229"/>
      <c r="B135" s="62" t="s">
        <v>80</v>
      </c>
      <c r="C135" s="181" t="s">
        <v>17</v>
      </c>
      <c r="D135" s="182"/>
      <c r="E135" s="183" t="s">
        <v>81</v>
      </c>
      <c r="F135" s="73" t="s">
        <v>285</v>
      </c>
      <c r="G135" s="230" t="s">
        <v>114</v>
      </c>
      <c r="H135" s="181"/>
      <c r="I135" s="231"/>
      <c r="J135" s="190"/>
      <c r="K135" s="77"/>
      <c r="L135" s="77"/>
      <c r="M135" s="187">
        <f t="shared" ref="M135" si="10">K135-L135</f>
        <v>0</v>
      </c>
      <c r="N135" s="100">
        <v>23</v>
      </c>
      <c r="O135" s="224">
        <v>58735.99</v>
      </c>
      <c r="P135" s="224">
        <v>58735.99</v>
      </c>
      <c r="Q135" s="232">
        <f t="shared" si="3"/>
        <v>0</v>
      </c>
    </row>
    <row r="136" spans="1:18" s="13" customFormat="1" hidden="1" x14ac:dyDescent="0.25">
      <c r="A136" s="229"/>
      <c r="B136" s="30" t="s">
        <v>82</v>
      </c>
      <c r="C136" s="181" t="s">
        <v>17</v>
      </c>
      <c r="D136" s="182"/>
      <c r="E136" s="183" t="s">
        <v>20</v>
      </c>
      <c r="F136" s="73" t="s">
        <v>394</v>
      </c>
      <c r="G136" s="74" t="s">
        <v>112</v>
      </c>
      <c r="H136" s="75">
        <v>13</v>
      </c>
      <c r="I136" s="76">
        <v>11</v>
      </c>
      <c r="J136" s="96">
        <f>4+3+2+2+1+1</f>
        <v>13</v>
      </c>
      <c r="K136" s="77">
        <f>7750.47+2207.69+1376.8</f>
        <v>11334.96</v>
      </c>
      <c r="L136" s="77">
        <f>7750.47+2207.69+1376.8</f>
        <v>11334.96</v>
      </c>
      <c r="M136" s="78">
        <f>K136-L136</f>
        <v>0</v>
      </c>
      <c r="N136" s="100">
        <f>3+5+1+1+1</f>
        <v>11</v>
      </c>
      <c r="O136" s="81">
        <f>5975.84+23579.15+1426.34</f>
        <v>30981.33</v>
      </c>
      <c r="P136" s="81">
        <f>5975.84+23579.15+1426.34</f>
        <v>30981.33</v>
      </c>
      <c r="Q136" s="232">
        <f t="shared" si="3"/>
        <v>0</v>
      </c>
      <c r="R136" s="141"/>
    </row>
    <row r="137" spans="1:18" s="13" customFormat="1" hidden="1" x14ac:dyDescent="0.25">
      <c r="A137" s="229"/>
      <c r="B137" s="30" t="s">
        <v>82</v>
      </c>
      <c r="C137" s="181" t="s">
        <v>17</v>
      </c>
      <c r="D137" s="182"/>
      <c r="E137" s="183" t="s">
        <v>20</v>
      </c>
      <c r="F137" s="73" t="s">
        <v>463</v>
      </c>
      <c r="G137" s="230" t="s">
        <v>114</v>
      </c>
      <c r="H137" s="181">
        <v>19</v>
      </c>
      <c r="I137" s="231">
        <v>5</v>
      </c>
      <c r="J137" s="190">
        <v>5</v>
      </c>
      <c r="K137" s="77">
        <v>11385.5</v>
      </c>
      <c r="L137" s="77">
        <v>10181.299999999999</v>
      </c>
      <c r="M137" s="187">
        <f t="shared" ref="M137" si="11">K137-L137</f>
        <v>1204.2000000000007</v>
      </c>
      <c r="N137" s="100">
        <v>14</v>
      </c>
      <c r="O137" s="224">
        <v>48620.71</v>
      </c>
      <c r="P137" s="224">
        <v>48620.71</v>
      </c>
      <c r="Q137" s="232">
        <f t="shared" si="3"/>
        <v>0</v>
      </c>
    </row>
    <row r="138" spans="1:18" s="13" customFormat="1" hidden="1" x14ac:dyDescent="0.25">
      <c r="A138" s="229"/>
      <c r="B138" s="30" t="s">
        <v>309</v>
      </c>
      <c r="C138" s="181"/>
      <c r="D138" s="182"/>
      <c r="E138" s="183" t="s">
        <v>20</v>
      </c>
      <c r="F138" s="73" t="s">
        <v>391</v>
      </c>
      <c r="G138" s="230" t="s">
        <v>112</v>
      </c>
      <c r="H138" s="181">
        <v>15</v>
      </c>
      <c r="I138" s="231">
        <v>10</v>
      </c>
      <c r="J138" s="190">
        <f>1+5+2+1+1+1</f>
        <v>11</v>
      </c>
      <c r="K138" s="77">
        <f>3606.1+3402.77+2649.24+993.47</f>
        <v>10651.58</v>
      </c>
      <c r="L138" s="77">
        <f>3606.1+3402.77+2649.24</f>
        <v>9658.11</v>
      </c>
      <c r="M138" s="78">
        <f t="shared" si="4"/>
        <v>993.46999999999935</v>
      </c>
      <c r="N138" s="100">
        <f>1+5+1+3</f>
        <v>10</v>
      </c>
      <c r="O138" s="224">
        <f>3088.97+13147.65+1267.86+5955.71</f>
        <v>23460.19</v>
      </c>
      <c r="P138" s="224">
        <f>3088.97+13147.65+1267.86+5955.71</f>
        <v>23460.19</v>
      </c>
      <c r="Q138" s="232">
        <f t="shared" si="3"/>
        <v>0</v>
      </c>
      <c r="R138" s="141"/>
    </row>
    <row r="139" spans="1:18" s="13" customFormat="1" hidden="1" x14ac:dyDescent="0.25">
      <c r="A139" s="229"/>
      <c r="B139" s="30" t="s">
        <v>152</v>
      </c>
      <c r="C139" s="181" t="s">
        <v>17</v>
      </c>
      <c r="D139" s="182"/>
      <c r="E139" s="183" t="s">
        <v>35</v>
      </c>
      <c r="F139" s="73" t="s">
        <v>392</v>
      </c>
      <c r="G139" s="74" t="s">
        <v>112</v>
      </c>
      <c r="H139" s="75">
        <v>7</v>
      </c>
      <c r="I139" s="76">
        <v>6</v>
      </c>
      <c r="J139" s="96">
        <f>1+1+2+1+1+1+2</f>
        <v>9</v>
      </c>
      <c r="K139" s="77">
        <f>403.41+845.24+2113.1+2649.24</f>
        <v>6010.99</v>
      </c>
      <c r="L139" s="77">
        <f>403.41+845.24+2113.1</f>
        <v>3361.75</v>
      </c>
      <c r="M139" s="78">
        <f t="shared" si="4"/>
        <v>2649.24</v>
      </c>
      <c r="N139" s="100">
        <f>2+2+2+1+1+1+2</f>
        <v>11</v>
      </c>
      <c r="O139" s="81">
        <f>1690.48+3050.26+3661.61+4648.82+1267.86+1690.48+9282.42+4052.53</f>
        <v>29344.46</v>
      </c>
      <c r="P139" s="81">
        <f>1690.48+3050.26+3661.61+4648.82+1267.86+1690.48+9282.42+4052.53</f>
        <v>29344.46</v>
      </c>
      <c r="Q139" s="232">
        <f t="shared" si="3"/>
        <v>0</v>
      </c>
      <c r="R139" s="141"/>
    </row>
    <row r="140" spans="1:18" s="13" customFormat="1" hidden="1" x14ac:dyDescent="0.25">
      <c r="A140" s="229"/>
      <c r="B140" s="30" t="s">
        <v>83</v>
      </c>
      <c r="C140" s="181" t="s">
        <v>17</v>
      </c>
      <c r="D140" s="182"/>
      <c r="E140" s="183" t="s">
        <v>20</v>
      </c>
      <c r="F140" s="73" t="s">
        <v>393</v>
      </c>
      <c r="G140" s="74" t="s">
        <v>112</v>
      </c>
      <c r="H140" s="75">
        <v>12</v>
      </c>
      <c r="I140" s="76">
        <v>8</v>
      </c>
      <c r="J140" s="96">
        <f>1+1+2+1+1+1+1+1</f>
        <v>9</v>
      </c>
      <c r="K140" s="77">
        <f>768.4+2535.72+845.24+14407.5+883.08</f>
        <v>19439.940000000002</v>
      </c>
      <c r="L140" s="77">
        <f>768.4+2535.72+845.24+14407.5+883.08</f>
        <v>19439.940000000002</v>
      </c>
      <c r="M140" s="78">
        <f>K140-L140</f>
        <v>0</v>
      </c>
      <c r="N140" s="100">
        <f>1+2+1+1+1+2</f>
        <v>8</v>
      </c>
      <c r="O140" s="81">
        <f>5837.09+1922.92+4288.54+1686.25</f>
        <v>13734.8</v>
      </c>
      <c r="P140" s="81">
        <f>5837.09+1922.92+4288.54+1686.25</f>
        <v>13734.8</v>
      </c>
      <c r="Q140" s="232">
        <f t="shared" si="3"/>
        <v>0</v>
      </c>
      <c r="R140" s="141"/>
    </row>
    <row r="141" spans="1:18" s="13" customFormat="1" hidden="1" x14ac:dyDescent="0.25">
      <c r="A141" s="229"/>
      <c r="B141" s="30" t="s">
        <v>83</v>
      </c>
      <c r="C141" s="181" t="s">
        <v>17</v>
      </c>
      <c r="D141" s="182"/>
      <c r="E141" s="183" t="s">
        <v>20</v>
      </c>
      <c r="F141" s="73" t="s">
        <v>464</v>
      </c>
      <c r="G141" s="230" t="s">
        <v>114</v>
      </c>
      <c r="H141" s="181">
        <v>30</v>
      </c>
      <c r="I141" s="231">
        <v>9</v>
      </c>
      <c r="J141" s="190">
        <v>9</v>
      </c>
      <c r="K141" s="77">
        <v>24797.49</v>
      </c>
      <c r="L141" s="77">
        <v>19177.89</v>
      </c>
      <c r="M141" s="187">
        <f t="shared" ref="M141" si="12">K141-L141</f>
        <v>5619.6000000000022</v>
      </c>
      <c r="N141" s="100">
        <v>28</v>
      </c>
      <c r="O141" s="224">
        <v>106750.62</v>
      </c>
      <c r="P141" s="224">
        <v>85315.86</v>
      </c>
      <c r="Q141" s="232">
        <f t="shared" si="3"/>
        <v>21434.759999999995</v>
      </c>
    </row>
    <row r="142" spans="1:18" s="13" customFormat="1" ht="45" hidden="1" x14ac:dyDescent="0.25">
      <c r="A142" s="229"/>
      <c r="B142" s="30" t="s">
        <v>85</v>
      </c>
      <c r="C142" s="181" t="s">
        <v>304</v>
      </c>
      <c r="D142" s="182" t="s">
        <v>415</v>
      </c>
      <c r="E142" s="183" t="s">
        <v>20</v>
      </c>
      <c r="F142" s="73" t="s">
        <v>395</v>
      </c>
      <c r="G142" s="74" t="s">
        <v>112</v>
      </c>
      <c r="H142" s="75">
        <v>20</v>
      </c>
      <c r="I142" s="76">
        <v>8</v>
      </c>
      <c r="J142" s="98">
        <f>2+1+1</f>
        <v>4</v>
      </c>
      <c r="K142" s="77">
        <f>4800.58+2591.84</f>
        <v>7392.42</v>
      </c>
      <c r="L142" s="77">
        <f>4800.58+2591.84</f>
        <v>7392.42</v>
      </c>
      <c r="M142" s="78">
        <f t="shared" si="4"/>
        <v>0</v>
      </c>
      <c r="N142" s="100">
        <f>2+1+2</f>
        <v>5</v>
      </c>
      <c r="O142" s="81">
        <f>3917.73+8936.21+5669.37+31185.72+18292.46</f>
        <v>68001.489999999991</v>
      </c>
      <c r="P142" s="81">
        <f>3917.73+8936.21+5669.37+31185.72+18292.46</f>
        <v>68001.489999999991</v>
      </c>
      <c r="Q142" s="79">
        <f t="shared" si="3"/>
        <v>0</v>
      </c>
      <c r="R142" s="141"/>
    </row>
    <row r="143" spans="1:18" s="13" customFormat="1" hidden="1" x14ac:dyDescent="0.25">
      <c r="A143" s="229"/>
      <c r="B143" s="27" t="s">
        <v>86</v>
      </c>
      <c r="C143" s="181" t="s">
        <v>17</v>
      </c>
      <c r="D143" s="182"/>
      <c r="E143" s="194" t="s">
        <v>20</v>
      </c>
      <c r="F143" s="73" t="s">
        <v>396</v>
      </c>
      <c r="G143" s="74" t="s">
        <v>112</v>
      </c>
      <c r="H143" s="75">
        <v>17</v>
      </c>
      <c r="I143" s="76">
        <v>13</v>
      </c>
      <c r="J143" s="96">
        <f>1+3+1+7+2+2+5</f>
        <v>21</v>
      </c>
      <c r="K143" s="77">
        <f>950.9+5134.06+2091.97+528.03+8954.46+5719.74</f>
        <v>23379.159999999996</v>
      </c>
      <c r="L143" s="77">
        <f>950.9+5134.06+2091.97+528.03+8954.46+5719.74</f>
        <v>23379.159999999996</v>
      </c>
      <c r="M143" s="78">
        <f t="shared" si="4"/>
        <v>0</v>
      </c>
      <c r="N143" s="100">
        <f>15+4+2+1+2+2</f>
        <v>26</v>
      </c>
      <c r="O143" s="81">
        <f>30236.61+18366.75+8887.09+1077.68+8961.95</f>
        <v>67530.080000000002</v>
      </c>
      <c r="P143" s="81">
        <f>30236.61+18366.75+8887.09+1077.68+8961.95</f>
        <v>67530.080000000002</v>
      </c>
      <c r="Q143" s="232">
        <f t="shared" si="3"/>
        <v>0</v>
      </c>
      <c r="R143" s="141"/>
    </row>
    <row r="144" spans="1:18" s="13" customFormat="1" hidden="1" x14ac:dyDescent="0.25">
      <c r="A144" s="229"/>
      <c r="B144" s="27" t="s">
        <v>86</v>
      </c>
      <c r="C144" s="181" t="s">
        <v>17</v>
      </c>
      <c r="D144" s="182"/>
      <c r="E144" s="194" t="s">
        <v>20</v>
      </c>
      <c r="F144" s="73" t="s">
        <v>465</v>
      </c>
      <c r="G144" s="230" t="s">
        <v>114</v>
      </c>
      <c r="H144" s="181">
        <v>8</v>
      </c>
      <c r="I144" s="231">
        <v>2</v>
      </c>
      <c r="J144" s="190">
        <v>1</v>
      </c>
      <c r="K144" s="77">
        <v>3933.72</v>
      </c>
      <c r="L144" s="77">
        <v>3933.72</v>
      </c>
      <c r="M144" s="187">
        <f t="shared" si="4"/>
        <v>0</v>
      </c>
      <c r="N144" s="100">
        <v>9</v>
      </c>
      <c r="O144" s="224">
        <v>20829.13</v>
      </c>
      <c r="P144" s="224">
        <v>15209.53</v>
      </c>
      <c r="Q144" s="232">
        <f t="shared" si="3"/>
        <v>5619.6</v>
      </c>
    </row>
    <row r="145" spans="1:18" s="13" customFormat="1" hidden="1" x14ac:dyDescent="0.25">
      <c r="A145" s="229"/>
      <c r="B145" s="62" t="s">
        <v>312</v>
      </c>
      <c r="C145" s="181" t="s">
        <v>17</v>
      </c>
      <c r="D145" s="182"/>
      <c r="E145" s="194" t="s">
        <v>20</v>
      </c>
      <c r="F145" s="73" t="s">
        <v>320</v>
      </c>
      <c r="G145" s="74" t="s">
        <v>112</v>
      </c>
      <c r="H145" s="75">
        <v>21</v>
      </c>
      <c r="I145" s="76">
        <v>13</v>
      </c>
      <c r="J145" s="96">
        <f>1+1+1+2+3+4</f>
        <v>12</v>
      </c>
      <c r="K145" s="77">
        <f>3319.49+845.24+4965.79+4415.4</f>
        <v>13545.92</v>
      </c>
      <c r="L145" s="77">
        <f>3319.49+845.24+4965.79</f>
        <v>9130.52</v>
      </c>
      <c r="M145" s="78">
        <f t="shared" si="4"/>
        <v>4415.3999999999996</v>
      </c>
      <c r="N145" s="100">
        <f>5+6+1+1</f>
        <v>13</v>
      </c>
      <c r="O145" s="81">
        <f>4226.2+6627.45+4360.59+6336.1</f>
        <v>21550.34</v>
      </c>
      <c r="P145" s="81">
        <f>4226.2+6627.45+4360.59</f>
        <v>15214.24</v>
      </c>
      <c r="Q145" s="232">
        <f t="shared" si="3"/>
        <v>6336.1</v>
      </c>
      <c r="R145" s="141"/>
    </row>
    <row r="146" spans="1:18" s="13" customFormat="1" hidden="1" x14ac:dyDescent="0.25">
      <c r="A146" s="229"/>
      <c r="B146" s="62" t="s">
        <v>494</v>
      </c>
      <c r="C146" s="181" t="s">
        <v>17</v>
      </c>
      <c r="D146" s="182"/>
      <c r="E146" s="194" t="s">
        <v>20</v>
      </c>
      <c r="F146" s="73" t="s">
        <v>497</v>
      </c>
      <c r="G146" s="74" t="s">
        <v>112</v>
      </c>
      <c r="H146" s="75">
        <v>13</v>
      </c>
      <c r="I146" s="76">
        <v>9</v>
      </c>
      <c r="J146" s="96">
        <f>1+1+1+1+2+1+2</f>
        <v>9</v>
      </c>
      <c r="K146" s="77">
        <f>3379+5494.06+576.3+2417.43+3057.66+2384.32</f>
        <v>17308.77</v>
      </c>
      <c r="L146" s="77">
        <f>3379+5494.06+576.3+2417.43+3057.66+2384.32</f>
        <v>17308.77</v>
      </c>
      <c r="M146" s="78">
        <f t="shared" si="4"/>
        <v>0</v>
      </c>
      <c r="N146" s="100"/>
      <c r="O146" s="81"/>
      <c r="P146" s="81"/>
      <c r="Q146" s="232">
        <f t="shared" ref="Q146:Q190" si="13">O146-P146</f>
        <v>0</v>
      </c>
      <c r="R146" s="141"/>
    </row>
    <row r="147" spans="1:18" s="13" customFormat="1" hidden="1" x14ac:dyDescent="0.25">
      <c r="A147" s="229"/>
      <c r="B147" s="62" t="s">
        <v>494</v>
      </c>
      <c r="C147" s="181" t="s">
        <v>17</v>
      </c>
      <c r="D147" s="182"/>
      <c r="E147" s="194" t="s">
        <v>20</v>
      </c>
      <c r="F147" s="73" t="s">
        <v>507</v>
      </c>
      <c r="G147" s="74" t="s">
        <v>114</v>
      </c>
      <c r="H147" s="75">
        <v>34</v>
      </c>
      <c r="I147" s="76">
        <v>6</v>
      </c>
      <c r="J147" s="96">
        <v>6</v>
      </c>
      <c r="K147" s="77">
        <v>14361.56</v>
      </c>
      <c r="L147" s="77">
        <v>8300.42</v>
      </c>
      <c r="M147" s="187">
        <f t="shared" si="4"/>
        <v>6061.1399999999994</v>
      </c>
      <c r="N147" s="100"/>
      <c r="O147" s="81"/>
      <c r="P147" s="81"/>
      <c r="Q147" s="232">
        <f t="shared" si="13"/>
        <v>0</v>
      </c>
      <c r="R147" s="141"/>
    </row>
    <row r="148" spans="1:18" s="13" customFormat="1" hidden="1" x14ac:dyDescent="0.25">
      <c r="A148" s="229"/>
      <c r="B148" s="30" t="s">
        <v>88</v>
      </c>
      <c r="C148" s="181" t="s">
        <v>17</v>
      </c>
      <c r="D148" s="182"/>
      <c r="E148" s="183" t="s">
        <v>89</v>
      </c>
      <c r="F148" s="73" t="s">
        <v>397</v>
      </c>
      <c r="G148" s="74" t="s">
        <v>112</v>
      </c>
      <c r="H148" s="75">
        <v>20</v>
      </c>
      <c r="I148" s="76">
        <v>12</v>
      </c>
      <c r="J148" s="96">
        <f>1+3+1+2+4+1</f>
        <v>12</v>
      </c>
      <c r="K148" s="77">
        <f>4226.2+2394.91+6485.1+556.71+4126.31+9704.16+1282.67+1282.67</f>
        <v>30058.729999999996</v>
      </c>
      <c r="L148" s="77">
        <f>4226.2+2394.91+6485.1+556.71+4126.31</f>
        <v>17789.23</v>
      </c>
      <c r="M148" s="78">
        <f>K148-L148</f>
        <v>12269.499999999996</v>
      </c>
      <c r="N148" s="100">
        <f>4+1+3+1+2+2+1+1+2</f>
        <v>17</v>
      </c>
      <c r="O148" s="81">
        <f>11967.83+2831.55+10544.37+9418.99+3799.13+1798.04+2548.4-12193.52+4083.77</f>
        <v>34798.559999999998</v>
      </c>
      <c r="P148" s="81">
        <f>11967.83+2831.55+10544.37+9418.99+3799.13+1798.04+2548.4-12193.52+4083.77</f>
        <v>34798.559999999998</v>
      </c>
      <c r="Q148" s="79">
        <f t="shared" si="13"/>
        <v>0</v>
      </c>
      <c r="R148" s="141"/>
    </row>
    <row r="149" spans="1:18" s="13" customFormat="1" hidden="1" x14ac:dyDescent="0.25">
      <c r="A149" s="229"/>
      <c r="B149" s="30" t="s">
        <v>88</v>
      </c>
      <c r="C149" s="181" t="s">
        <v>17</v>
      </c>
      <c r="D149" s="182"/>
      <c r="E149" s="183" t="s">
        <v>89</v>
      </c>
      <c r="F149" s="73" t="s">
        <v>442</v>
      </c>
      <c r="G149" s="230" t="s">
        <v>118</v>
      </c>
      <c r="H149" s="181">
        <v>7</v>
      </c>
      <c r="I149" s="231">
        <v>1</v>
      </c>
      <c r="J149" s="96">
        <v>1</v>
      </c>
      <c r="K149" s="77">
        <v>2116.96</v>
      </c>
      <c r="L149" s="77">
        <v>2116.96</v>
      </c>
      <c r="M149" s="187">
        <f t="shared" si="4"/>
        <v>0</v>
      </c>
      <c r="N149" s="100">
        <v>3</v>
      </c>
      <c r="O149" s="224">
        <v>11020.82</v>
      </c>
      <c r="P149" s="224">
        <v>11020.82</v>
      </c>
      <c r="Q149" s="232">
        <f t="shared" si="13"/>
        <v>0</v>
      </c>
    </row>
    <row r="150" spans="1:18" s="13" customFormat="1" hidden="1" x14ac:dyDescent="0.25">
      <c r="A150" s="229"/>
      <c r="B150" s="30" t="s">
        <v>88</v>
      </c>
      <c r="C150" s="181" t="s">
        <v>17</v>
      </c>
      <c r="D150" s="182"/>
      <c r="E150" s="194" t="s">
        <v>505</v>
      </c>
      <c r="F150" s="73" t="s">
        <v>506</v>
      </c>
      <c r="G150" s="230" t="s">
        <v>114</v>
      </c>
      <c r="H150" s="181">
        <v>6</v>
      </c>
      <c r="I150" s="231">
        <v>1</v>
      </c>
      <c r="J150" s="96">
        <v>1</v>
      </c>
      <c r="K150" s="77">
        <v>3763.9</v>
      </c>
      <c r="L150" s="77">
        <v>3763.9</v>
      </c>
      <c r="M150" s="187">
        <f t="shared" si="4"/>
        <v>0</v>
      </c>
      <c r="N150" s="100"/>
      <c r="O150" s="224"/>
      <c r="P150" s="224"/>
      <c r="Q150" s="232">
        <f t="shared" si="13"/>
        <v>0</v>
      </c>
    </row>
    <row r="151" spans="1:18" s="13" customFormat="1" hidden="1" x14ac:dyDescent="0.25">
      <c r="A151" s="229"/>
      <c r="B151" s="30" t="s">
        <v>90</v>
      </c>
      <c r="C151" s="181" t="s">
        <v>17</v>
      </c>
      <c r="D151" s="182"/>
      <c r="E151" s="194" t="s">
        <v>20</v>
      </c>
      <c r="F151" s="73" t="s">
        <v>398</v>
      </c>
      <c r="G151" s="74" t="s">
        <v>112</v>
      </c>
      <c r="H151" s="75">
        <v>12</v>
      </c>
      <c r="I151" s="76">
        <v>7</v>
      </c>
      <c r="J151" s="96">
        <f>1+1+1+4</f>
        <v>7</v>
      </c>
      <c r="K151" s="77">
        <f>422.62+4662.44+7580.13+2408.4</f>
        <v>15073.589999999998</v>
      </c>
      <c r="L151" s="77">
        <f>422.62+4662.44+7580.13</f>
        <v>12665.189999999999</v>
      </c>
      <c r="M151" s="78">
        <f>K151-L151</f>
        <v>2408.3999999999996</v>
      </c>
      <c r="N151" s="100">
        <f>1+1+1+1+2</f>
        <v>6</v>
      </c>
      <c r="O151" s="81">
        <f>2122.67+787.61+15453.48+6194.26+37549.5</f>
        <v>62107.519999999997</v>
      </c>
      <c r="P151" s="81">
        <f>2122.67+787.61+15453.48+6194.26</f>
        <v>24558.019999999997</v>
      </c>
      <c r="Q151" s="79">
        <f t="shared" si="13"/>
        <v>37549.5</v>
      </c>
      <c r="R151" s="141"/>
    </row>
    <row r="152" spans="1:18" s="13" customFormat="1" hidden="1" x14ac:dyDescent="0.25">
      <c r="A152" s="229"/>
      <c r="B152" s="30" t="s">
        <v>90</v>
      </c>
      <c r="C152" s="181" t="s">
        <v>17</v>
      </c>
      <c r="D152" s="182"/>
      <c r="E152" s="194" t="s">
        <v>20</v>
      </c>
      <c r="F152" s="73" t="s">
        <v>466</v>
      </c>
      <c r="G152" s="230" t="s">
        <v>114</v>
      </c>
      <c r="H152" s="181">
        <v>18</v>
      </c>
      <c r="I152" s="231">
        <v>4</v>
      </c>
      <c r="J152" s="190">
        <v>4</v>
      </c>
      <c r="K152" s="77">
        <v>10468.56</v>
      </c>
      <c r="L152" s="77">
        <v>10468.56</v>
      </c>
      <c r="M152" s="187">
        <f t="shared" ref="M152" si="14">K152-L152</f>
        <v>0</v>
      </c>
      <c r="N152" s="100">
        <v>25</v>
      </c>
      <c r="O152" s="224">
        <v>81936.800000000003</v>
      </c>
      <c r="P152" s="224">
        <v>81936.800000000003</v>
      </c>
      <c r="Q152" s="232">
        <f t="shared" si="13"/>
        <v>0</v>
      </c>
    </row>
    <row r="153" spans="1:18" s="13" customFormat="1" hidden="1" x14ac:dyDescent="0.25">
      <c r="A153" s="229"/>
      <c r="B153" s="30" t="s">
        <v>91</v>
      </c>
      <c r="C153" s="181" t="s">
        <v>17</v>
      </c>
      <c r="D153" s="182"/>
      <c r="E153" s="194" t="s">
        <v>20</v>
      </c>
      <c r="F153" s="73" t="s">
        <v>399</v>
      </c>
      <c r="G153" s="74" t="s">
        <v>112</v>
      </c>
      <c r="H153" s="75"/>
      <c r="I153" s="76"/>
      <c r="J153" s="96"/>
      <c r="K153" s="77"/>
      <c r="L153" s="77"/>
      <c r="M153" s="78">
        <f>K153-L153</f>
        <v>0</v>
      </c>
      <c r="N153" s="100"/>
      <c r="O153" s="81"/>
      <c r="P153" s="81"/>
      <c r="Q153" s="79">
        <f t="shared" si="13"/>
        <v>0</v>
      </c>
      <c r="R153" s="141"/>
    </row>
    <row r="154" spans="1:18" s="13" customFormat="1" hidden="1" x14ac:dyDescent="0.25">
      <c r="A154" s="229"/>
      <c r="B154" s="62" t="s">
        <v>138</v>
      </c>
      <c r="C154" s="181" t="s">
        <v>17</v>
      </c>
      <c r="D154" s="182"/>
      <c r="E154" s="194" t="s">
        <v>20</v>
      </c>
      <c r="F154" s="73" t="s">
        <v>467</v>
      </c>
      <c r="G154" s="230" t="s">
        <v>114</v>
      </c>
      <c r="H154" s="181">
        <v>14</v>
      </c>
      <c r="I154" s="231">
        <v>3</v>
      </c>
      <c r="J154" s="190">
        <v>3</v>
      </c>
      <c r="K154" s="193">
        <v>5542.2</v>
      </c>
      <c r="L154" s="193">
        <v>5542.2</v>
      </c>
      <c r="M154" s="187">
        <f t="shared" ref="M154" si="15">K154-L154</f>
        <v>0</v>
      </c>
      <c r="N154" s="114">
        <v>7</v>
      </c>
      <c r="O154" s="224">
        <v>16429.099999999999</v>
      </c>
      <c r="P154" s="224">
        <v>16429.099999999999</v>
      </c>
      <c r="Q154" s="232">
        <f t="shared" si="13"/>
        <v>0</v>
      </c>
    </row>
    <row r="155" spans="1:18" s="13" customFormat="1" hidden="1" x14ac:dyDescent="0.25">
      <c r="A155" s="229"/>
      <c r="B155" s="62" t="s">
        <v>138</v>
      </c>
      <c r="C155" s="181" t="s">
        <v>17</v>
      </c>
      <c r="D155" s="182"/>
      <c r="E155" s="194" t="s">
        <v>20</v>
      </c>
      <c r="F155" s="73" t="s">
        <v>400</v>
      </c>
      <c r="G155" s="74" t="s">
        <v>112</v>
      </c>
      <c r="H155" s="75">
        <v>12</v>
      </c>
      <c r="I155" s="82">
        <v>8</v>
      </c>
      <c r="J155" s="96">
        <f>3+1+1+2+2</f>
        <v>9</v>
      </c>
      <c r="K155" s="77">
        <f>2224.52+9639.33+3232.07+1625.67+1324.62</f>
        <v>18046.21</v>
      </c>
      <c r="L155" s="77">
        <f>2224.52+9639.33+3232.07+1625.67</f>
        <v>16721.59</v>
      </c>
      <c r="M155" s="78">
        <f t="shared" si="4"/>
        <v>1324.619999999999</v>
      </c>
      <c r="N155" s="100">
        <f>5+4+2</f>
        <v>11</v>
      </c>
      <c r="O155" s="81">
        <f>8995.87+8641.99+5740.02</f>
        <v>23377.88</v>
      </c>
      <c r="P155" s="81">
        <f>8995.87+8641.99+5740.02</f>
        <v>23377.88</v>
      </c>
      <c r="Q155" s="79">
        <f t="shared" si="13"/>
        <v>0</v>
      </c>
      <c r="R155" s="141"/>
    </row>
    <row r="156" spans="1:18" s="13" customFormat="1" hidden="1" x14ac:dyDescent="0.25">
      <c r="A156" s="229"/>
      <c r="B156" s="62" t="s">
        <v>157</v>
      </c>
      <c r="C156" s="181" t="s">
        <v>17</v>
      </c>
      <c r="D156" s="182"/>
      <c r="E156" s="194" t="s">
        <v>20</v>
      </c>
      <c r="F156" s="73" t="s">
        <v>401</v>
      </c>
      <c r="G156" s="74" t="s">
        <v>112</v>
      </c>
      <c r="H156" s="75">
        <v>15</v>
      </c>
      <c r="I156" s="82"/>
      <c r="J156" s="96"/>
      <c r="K156" s="77"/>
      <c r="L156" s="77"/>
      <c r="M156" s="78">
        <f t="shared" ref="M156:M188" si="16">K156-L156</f>
        <v>0</v>
      </c>
      <c r="N156" s="100"/>
      <c r="O156" s="81"/>
      <c r="P156" s="81"/>
      <c r="Q156" s="232">
        <f t="shared" si="13"/>
        <v>0</v>
      </c>
      <c r="R156" s="141"/>
    </row>
    <row r="157" spans="1:18" s="13" customFormat="1" hidden="1" x14ac:dyDescent="0.25">
      <c r="A157" s="229"/>
      <c r="B157" s="62" t="s">
        <v>513</v>
      </c>
      <c r="C157" s="181"/>
      <c r="D157" s="182"/>
      <c r="E157" s="194" t="s">
        <v>20</v>
      </c>
      <c r="F157" s="73"/>
      <c r="G157" s="74" t="s">
        <v>112</v>
      </c>
      <c r="H157" s="75">
        <v>3</v>
      </c>
      <c r="I157" s="82"/>
      <c r="J157" s="96"/>
      <c r="K157" s="77"/>
      <c r="L157" s="77"/>
      <c r="M157" s="78"/>
      <c r="N157" s="100"/>
      <c r="O157" s="81"/>
      <c r="P157" s="81"/>
      <c r="Q157" s="232"/>
      <c r="R157" s="141"/>
    </row>
    <row r="158" spans="1:18" s="15" customFormat="1" hidden="1" x14ac:dyDescent="0.25">
      <c r="A158" s="229"/>
      <c r="B158" s="62" t="s">
        <v>92</v>
      </c>
      <c r="C158" s="181" t="s">
        <v>17</v>
      </c>
      <c r="D158" s="182"/>
      <c r="E158" s="194" t="s">
        <v>20</v>
      </c>
      <c r="F158" s="73" t="s">
        <v>402</v>
      </c>
      <c r="G158" s="74" t="s">
        <v>112</v>
      </c>
      <c r="H158" s="75">
        <v>13</v>
      </c>
      <c r="I158" s="76">
        <v>10</v>
      </c>
      <c r="J158" s="96">
        <f>1+2+5+2</f>
        <v>10</v>
      </c>
      <c r="K158" s="77">
        <f>1951.74+1335.1+2996.76+883.08</f>
        <v>7166.68</v>
      </c>
      <c r="L158" s="77">
        <f>1951.74+1335.1+2996.76</f>
        <v>6283.6</v>
      </c>
      <c r="M158" s="78">
        <f>K158-L158</f>
        <v>883.07999999999993</v>
      </c>
      <c r="N158" s="100">
        <f>4+1+1</f>
        <v>6</v>
      </c>
      <c r="O158" s="81">
        <f>12624.74+2697.06+1225.93</f>
        <v>16547.73</v>
      </c>
      <c r="P158" s="81">
        <f>12624.74+2697.06+1225.93</f>
        <v>16547.73</v>
      </c>
      <c r="Q158" s="232">
        <f t="shared" si="13"/>
        <v>0</v>
      </c>
      <c r="R158" s="141"/>
    </row>
    <row r="159" spans="1:18" s="15" customFormat="1" hidden="1" x14ac:dyDescent="0.25">
      <c r="A159" s="229"/>
      <c r="B159" s="62" t="s">
        <v>92</v>
      </c>
      <c r="C159" s="181" t="s">
        <v>17</v>
      </c>
      <c r="D159" s="182"/>
      <c r="E159" s="194" t="s">
        <v>20</v>
      </c>
      <c r="F159" s="73" t="s">
        <v>129</v>
      </c>
      <c r="G159" s="230" t="s">
        <v>114</v>
      </c>
      <c r="H159" s="181"/>
      <c r="I159" s="231"/>
      <c r="J159" s="190"/>
      <c r="K159" s="77"/>
      <c r="L159" s="77"/>
      <c r="M159" s="187">
        <f t="shared" ref="M159" si="17">K159-L159</f>
        <v>0</v>
      </c>
      <c r="N159" s="114"/>
      <c r="O159" s="224"/>
      <c r="P159" s="224"/>
      <c r="Q159" s="232">
        <f t="shared" si="13"/>
        <v>0</v>
      </c>
    </row>
    <row r="160" spans="1:18" s="13" customFormat="1" hidden="1" x14ac:dyDescent="0.25">
      <c r="A160" s="229"/>
      <c r="B160" s="30" t="s">
        <v>93</v>
      </c>
      <c r="C160" s="181" t="s">
        <v>17</v>
      </c>
      <c r="D160" s="182"/>
      <c r="E160" s="183" t="s">
        <v>94</v>
      </c>
      <c r="F160" s="73" t="s">
        <v>403</v>
      </c>
      <c r="G160" s="74" t="s">
        <v>112</v>
      </c>
      <c r="H160" s="75">
        <v>7</v>
      </c>
      <c r="I160" s="76">
        <v>2</v>
      </c>
      <c r="J160" s="96">
        <f>2</f>
        <v>2</v>
      </c>
      <c r="K160" s="77">
        <f>2336.84</f>
        <v>2336.84</v>
      </c>
      <c r="L160" s="77">
        <f>2336.84</f>
        <v>2336.84</v>
      </c>
      <c r="M160" s="78">
        <f>K160-L160</f>
        <v>0</v>
      </c>
      <c r="N160" s="100">
        <f>3+8</f>
        <v>11</v>
      </c>
      <c r="O160" s="81">
        <f>20117.75</f>
        <v>20117.75</v>
      </c>
      <c r="P160" s="81">
        <f>20117.75</f>
        <v>20117.75</v>
      </c>
      <c r="Q160" s="232">
        <f t="shared" si="13"/>
        <v>0</v>
      </c>
      <c r="R160" s="141"/>
    </row>
    <row r="161" spans="1:18" s="13" customFormat="1" hidden="1" x14ac:dyDescent="0.25">
      <c r="A161" s="229"/>
      <c r="B161" s="30" t="s">
        <v>93</v>
      </c>
      <c r="C161" s="181" t="s">
        <v>17</v>
      </c>
      <c r="D161" s="182"/>
      <c r="E161" s="183" t="s">
        <v>94</v>
      </c>
      <c r="F161" s="73" t="s">
        <v>130</v>
      </c>
      <c r="G161" s="230" t="s">
        <v>114</v>
      </c>
      <c r="H161" s="181"/>
      <c r="I161" s="231"/>
      <c r="J161" s="190"/>
      <c r="K161" s="77"/>
      <c r="L161" s="77"/>
      <c r="M161" s="187">
        <f t="shared" ref="M161" si="18">K161-L161</f>
        <v>0</v>
      </c>
      <c r="N161" s="100"/>
      <c r="O161" s="224"/>
      <c r="P161" s="224"/>
      <c r="Q161" s="232">
        <f t="shared" si="13"/>
        <v>0</v>
      </c>
    </row>
    <row r="162" spans="1:18" s="13" customFormat="1" hidden="1" x14ac:dyDescent="0.25">
      <c r="A162" s="229"/>
      <c r="B162" s="30" t="s">
        <v>93</v>
      </c>
      <c r="C162" s="181" t="s">
        <v>17</v>
      </c>
      <c r="D162" s="182"/>
      <c r="E162" s="183" t="s">
        <v>94</v>
      </c>
      <c r="F162" s="73" t="s">
        <v>240</v>
      </c>
      <c r="G162" s="230" t="s">
        <v>118</v>
      </c>
      <c r="H162" s="181"/>
      <c r="I162" s="231"/>
      <c r="J162" s="96"/>
      <c r="K162" s="77"/>
      <c r="L162" s="77"/>
      <c r="M162" s="78">
        <f t="shared" si="16"/>
        <v>0</v>
      </c>
      <c r="N162" s="100"/>
      <c r="O162" s="224"/>
      <c r="P162" s="224"/>
      <c r="Q162" s="232">
        <f t="shared" si="13"/>
        <v>0</v>
      </c>
    </row>
    <row r="163" spans="1:18" s="13" customFormat="1" hidden="1" x14ac:dyDescent="0.25">
      <c r="A163" s="229"/>
      <c r="B163" s="30" t="s">
        <v>95</v>
      </c>
      <c r="C163" s="181" t="s">
        <v>17</v>
      </c>
      <c r="D163" s="182"/>
      <c r="E163" s="194" t="s">
        <v>20</v>
      </c>
      <c r="F163" s="73" t="s">
        <v>404</v>
      </c>
      <c r="G163" s="74" t="s">
        <v>112</v>
      </c>
      <c r="H163" s="75">
        <v>17</v>
      </c>
      <c r="I163" s="76">
        <v>11</v>
      </c>
      <c r="J163" s="96">
        <f>1+4+4+5+2</f>
        <v>16</v>
      </c>
      <c r="K163" s="77">
        <f>1061.35+5770.05+5238.9+6606.04</f>
        <v>18676.34</v>
      </c>
      <c r="L163" s="77">
        <f>1061.35+5770.05+5238.9</f>
        <v>12070.3</v>
      </c>
      <c r="M163" s="78">
        <f>K163-L163</f>
        <v>6606.0400000000009</v>
      </c>
      <c r="N163" s="100">
        <f>1+6+1+4+1+1</f>
        <v>14</v>
      </c>
      <c r="O163" s="81">
        <f>11603.82+7559.28+6777.29+24757.02</f>
        <v>50697.41</v>
      </c>
      <c r="P163" s="81">
        <f>11603.82+7559.28+6777.29+24757.02</f>
        <v>50697.41</v>
      </c>
      <c r="Q163" s="79">
        <f t="shared" si="13"/>
        <v>0</v>
      </c>
      <c r="R163" s="141"/>
    </row>
    <row r="164" spans="1:18" s="13" customFormat="1" hidden="1" x14ac:dyDescent="0.25">
      <c r="A164" s="229"/>
      <c r="B164" s="30" t="s">
        <v>95</v>
      </c>
      <c r="C164" s="181" t="s">
        <v>17</v>
      </c>
      <c r="D164" s="182"/>
      <c r="E164" s="194" t="s">
        <v>20</v>
      </c>
      <c r="F164" s="73" t="s">
        <v>291</v>
      </c>
      <c r="G164" s="230" t="s">
        <v>114</v>
      </c>
      <c r="H164" s="181">
        <v>9</v>
      </c>
      <c r="I164" s="231">
        <v>2</v>
      </c>
      <c r="J164" s="190">
        <v>2</v>
      </c>
      <c r="K164" s="77">
        <v>2356.8000000000002</v>
      </c>
      <c r="L164" s="77">
        <v>2356.8000000000002</v>
      </c>
      <c r="M164" s="187">
        <f t="shared" ref="M164" si="19">K164-L164</f>
        <v>0</v>
      </c>
      <c r="N164" s="100">
        <v>12</v>
      </c>
      <c r="O164" s="224">
        <v>29189.15</v>
      </c>
      <c r="P164" s="224">
        <v>29189.15</v>
      </c>
      <c r="Q164" s="232">
        <f t="shared" si="13"/>
        <v>0</v>
      </c>
    </row>
    <row r="165" spans="1:18" s="13" customFormat="1" hidden="1" x14ac:dyDescent="0.25">
      <c r="A165" s="229"/>
      <c r="B165" s="30" t="s">
        <v>96</v>
      </c>
      <c r="C165" s="181" t="s">
        <v>17</v>
      </c>
      <c r="D165" s="182"/>
      <c r="E165" s="194" t="s">
        <v>97</v>
      </c>
      <c r="F165" s="73" t="s">
        <v>405</v>
      </c>
      <c r="G165" s="74" t="s">
        <v>112</v>
      </c>
      <c r="H165" s="75">
        <v>1</v>
      </c>
      <c r="I165" s="76">
        <v>1</v>
      </c>
      <c r="J165" s="96">
        <f>2</f>
        <v>2</v>
      </c>
      <c r="K165" s="77"/>
      <c r="L165" s="77"/>
      <c r="M165" s="78">
        <f>K165-L165</f>
        <v>0</v>
      </c>
      <c r="N165" s="103">
        <f>1+2+1</f>
        <v>4</v>
      </c>
      <c r="O165" s="77">
        <f>1742.31+9358.48</f>
        <v>11100.789999999999</v>
      </c>
      <c r="P165" s="77">
        <f>1742.31+9358.48</f>
        <v>11100.789999999999</v>
      </c>
      <c r="Q165" s="79">
        <f t="shared" si="13"/>
        <v>0</v>
      </c>
      <c r="R165" s="141"/>
    </row>
    <row r="166" spans="1:18" s="13" customFormat="1" hidden="1" x14ac:dyDescent="0.25">
      <c r="A166" s="229"/>
      <c r="B166" s="30" t="s">
        <v>96</v>
      </c>
      <c r="C166" s="181" t="s">
        <v>17</v>
      </c>
      <c r="D166" s="182"/>
      <c r="E166" s="194" t="s">
        <v>97</v>
      </c>
      <c r="F166" s="73" t="s">
        <v>468</v>
      </c>
      <c r="G166" s="230" t="s">
        <v>114</v>
      </c>
      <c r="H166" s="181">
        <v>1</v>
      </c>
      <c r="I166" s="231"/>
      <c r="J166" s="190"/>
      <c r="K166" s="77"/>
      <c r="L166" s="77"/>
      <c r="M166" s="187">
        <f t="shared" ref="M166" si="20">K166-L166</f>
        <v>0</v>
      </c>
      <c r="N166" s="100">
        <v>4</v>
      </c>
      <c r="O166" s="224">
        <v>8676.6</v>
      </c>
      <c r="P166" s="224">
        <v>8676.6</v>
      </c>
      <c r="Q166" s="232">
        <f t="shared" si="13"/>
        <v>0</v>
      </c>
    </row>
    <row r="167" spans="1:18" s="13" customFormat="1" hidden="1" x14ac:dyDescent="0.25">
      <c r="A167" s="229"/>
      <c r="B167" s="30" t="s">
        <v>98</v>
      </c>
      <c r="C167" s="181" t="s">
        <v>17</v>
      </c>
      <c r="D167" s="182"/>
      <c r="E167" s="194" t="s">
        <v>35</v>
      </c>
      <c r="F167" s="73" t="s">
        <v>406</v>
      </c>
      <c r="G167" s="74" t="s">
        <v>112</v>
      </c>
      <c r="H167" s="75">
        <v>38</v>
      </c>
      <c r="I167" s="76">
        <v>23</v>
      </c>
      <c r="J167" s="96">
        <f>1+2+1+1+4+4+1+2+1</f>
        <v>17</v>
      </c>
      <c r="K167" s="77">
        <f>845.24+1764.25+8353.03+1298.98+7610.68+13826.64+2752.31+9720.26+116979.76-2616.91+4851.2</f>
        <v>165385.44</v>
      </c>
      <c r="L167" s="77">
        <f>845.24+1764.25+8353.03+1298.98+7610.68+13826.64+2752.31+9720.26+116979.76-2616.91+4851.2</f>
        <v>165385.44</v>
      </c>
      <c r="M167" s="78">
        <f>K167-L167</f>
        <v>0</v>
      </c>
      <c r="N167" s="100">
        <f>9+1+1+4+2+1+2+4+2+1+1</f>
        <v>28</v>
      </c>
      <c r="O167" s="81">
        <f>76864.27+883.08</f>
        <v>77747.350000000006</v>
      </c>
      <c r="P167" s="81">
        <v>76864.27</v>
      </c>
      <c r="Q167" s="79">
        <f t="shared" si="13"/>
        <v>883.08000000000175</v>
      </c>
      <c r="R167" s="141"/>
    </row>
    <row r="168" spans="1:18" s="13" customFormat="1" hidden="1" x14ac:dyDescent="0.25">
      <c r="A168" s="229"/>
      <c r="B168" s="30" t="s">
        <v>98</v>
      </c>
      <c r="C168" s="181" t="s">
        <v>17</v>
      </c>
      <c r="D168" s="182"/>
      <c r="E168" s="194" t="s">
        <v>35</v>
      </c>
      <c r="F168" s="73" t="s">
        <v>435</v>
      </c>
      <c r="G168" s="235" t="s">
        <v>117</v>
      </c>
      <c r="H168" s="181">
        <v>6</v>
      </c>
      <c r="I168" s="231">
        <v>2</v>
      </c>
      <c r="J168" s="96">
        <v>2</v>
      </c>
      <c r="K168" s="77">
        <v>2486.83</v>
      </c>
      <c r="L168" s="77">
        <v>2486.83</v>
      </c>
      <c r="M168" s="78">
        <f t="shared" si="16"/>
        <v>0</v>
      </c>
      <c r="N168" s="100">
        <v>5</v>
      </c>
      <c r="O168" s="77">
        <v>18950.45</v>
      </c>
      <c r="P168" s="77">
        <v>18950.45</v>
      </c>
      <c r="Q168" s="232">
        <f t="shared" si="13"/>
        <v>0</v>
      </c>
    </row>
    <row r="169" spans="1:18" s="13" customFormat="1" hidden="1" x14ac:dyDescent="0.25">
      <c r="A169" s="229"/>
      <c r="B169" s="30" t="s">
        <v>488</v>
      </c>
      <c r="C169" s="181" t="s">
        <v>17</v>
      </c>
      <c r="D169" s="182"/>
      <c r="E169" s="194" t="s">
        <v>97</v>
      </c>
      <c r="F169" s="73" t="s">
        <v>498</v>
      </c>
      <c r="G169" s="235" t="s">
        <v>112</v>
      </c>
      <c r="H169" s="181">
        <v>15</v>
      </c>
      <c r="I169" s="231">
        <v>8</v>
      </c>
      <c r="J169" s="96">
        <f>4+1+1+2</f>
        <v>8</v>
      </c>
      <c r="K169" s="77">
        <f>1535.8+576.3+802.8</f>
        <v>2914.8999999999996</v>
      </c>
      <c r="L169" s="77">
        <f>1535.8+576.3+802.8</f>
        <v>2914.8999999999996</v>
      </c>
      <c r="M169" s="78">
        <f t="shared" si="16"/>
        <v>0</v>
      </c>
      <c r="N169" s="100"/>
      <c r="O169" s="77"/>
      <c r="P169" s="77"/>
      <c r="Q169" s="232"/>
    </row>
    <row r="170" spans="1:18" s="15" customFormat="1" hidden="1" x14ac:dyDescent="0.25">
      <c r="A170" s="229"/>
      <c r="B170" s="30" t="s">
        <v>99</v>
      </c>
      <c r="C170" s="181" t="s">
        <v>17</v>
      </c>
      <c r="D170" s="182"/>
      <c r="E170" s="183" t="s">
        <v>32</v>
      </c>
      <c r="F170" s="73" t="s">
        <v>418</v>
      </c>
      <c r="G170" s="74" t="s">
        <v>112</v>
      </c>
      <c r="H170" s="75"/>
      <c r="I170" s="76"/>
      <c r="J170" s="96"/>
      <c r="K170" s="77"/>
      <c r="L170" s="77"/>
      <c r="M170" s="78">
        <f t="shared" si="16"/>
        <v>0</v>
      </c>
      <c r="N170" s="100"/>
      <c r="O170" s="81"/>
      <c r="P170" s="81"/>
      <c r="Q170" s="79">
        <f t="shared" si="13"/>
        <v>0</v>
      </c>
      <c r="R170" s="141"/>
    </row>
    <row r="171" spans="1:18" s="15" customFormat="1" hidden="1" x14ac:dyDescent="0.25">
      <c r="A171" s="229"/>
      <c r="B171" s="30" t="s">
        <v>99</v>
      </c>
      <c r="C171" s="181" t="s">
        <v>17</v>
      </c>
      <c r="D171" s="182"/>
      <c r="E171" s="183" t="s">
        <v>32</v>
      </c>
      <c r="F171" s="73" t="s">
        <v>423</v>
      </c>
      <c r="G171" s="235" t="s">
        <v>117</v>
      </c>
      <c r="H171" s="181"/>
      <c r="I171" s="231"/>
      <c r="J171" s="190"/>
      <c r="K171" s="77"/>
      <c r="L171" s="77"/>
      <c r="M171" s="78">
        <f t="shared" si="16"/>
        <v>0</v>
      </c>
      <c r="N171" s="114"/>
      <c r="O171" s="77"/>
      <c r="P171" s="77"/>
      <c r="Q171" s="232">
        <f t="shared" si="13"/>
        <v>0</v>
      </c>
    </row>
    <row r="172" spans="1:18" s="15" customFormat="1" ht="30" hidden="1" x14ac:dyDescent="0.25">
      <c r="A172" s="229"/>
      <c r="B172" s="30" t="s">
        <v>144</v>
      </c>
      <c r="C172" s="181" t="s">
        <v>304</v>
      </c>
      <c r="D172" s="182" t="s">
        <v>313</v>
      </c>
      <c r="E172" s="194" t="s">
        <v>97</v>
      </c>
      <c r="F172" s="73" t="s">
        <v>407</v>
      </c>
      <c r="G172" s="66" t="s">
        <v>112</v>
      </c>
      <c r="H172" s="75">
        <v>19</v>
      </c>
      <c r="I172" s="76">
        <v>18</v>
      </c>
      <c r="J172" s="98">
        <f>2+2+1+3+1+1+5+2+1+4+2</f>
        <v>24</v>
      </c>
      <c r="K172" s="77">
        <f>950.9+1449.39+2272.32+2785.92+5112.01+6655.23+3700.19</f>
        <v>22925.96</v>
      </c>
      <c r="L172" s="77">
        <f>950.9+1449.39+2272.32+2785.92+5112.01+6655.23</f>
        <v>19225.77</v>
      </c>
      <c r="M172" s="78">
        <f>K172-L172</f>
        <v>3700.1899999999987</v>
      </c>
      <c r="N172" s="100">
        <f>3+2+1+1+1+1+1</f>
        <v>10</v>
      </c>
      <c r="O172" s="77">
        <f>5020.57+5566.06+2694.94+845.24</f>
        <v>14126.810000000001</v>
      </c>
      <c r="P172" s="77">
        <f>5020.57+5566.06+2694.94+845.24</f>
        <v>14126.810000000001</v>
      </c>
      <c r="Q172" s="79">
        <f t="shared" si="13"/>
        <v>0</v>
      </c>
      <c r="R172" s="141"/>
    </row>
    <row r="173" spans="1:18" s="15" customFormat="1" hidden="1" x14ac:dyDescent="0.25">
      <c r="A173" s="229"/>
      <c r="B173" s="30" t="s">
        <v>488</v>
      </c>
      <c r="C173" s="181"/>
      <c r="D173" s="182"/>
      <c r="E173" s="194"/>
      <c r="F173" s="73" t="s">
        <v>509</v>
      </c>
      <c r="G173" s="66" t="s">
        <v>114</v>
      </c>
      <c r="H173" s="75">
        <v>24</v>
      </c>
      <c r="I173" s="76">
        <v>8</v>
      </c>
      <c r="J173" s="98">
        <v>8</v>
      </c>
      <c r="K173" s="77">
        <v>13216.48</v>
      </c>
      <c r="L173" s="77">
        <v>13216.48</v>
      </c>
      <c r="M173" s="187">
        <f t="shared" ref="M173:M176" si="21">K173-L173</f>
        <v>0</v>
      </c>
      <c r="N173" s="100"/>
      <c r="O173" s="77"/>
      <c r="P173" s="77"/>
      <c r="Q173" s="232">
        <f t="shared" si="13"/>
        <v>0</v>
      </c>
    </row>
    <row r="174" spans="1:18" s="15" customFormat="1" x14ac:dyDescent="0.25">
      <c r="A174" s="229"/>
      <c r="B174" s="30" t="s">
        <v>514</v>
      </c>
      <c r="C174" s="181"/>
      <c r="D174" s="182"/>
      <c r="E174" s="194" t="s">
        <v>18</v>
      </c>
      <c r="F174" s="73"/>
      <c r="G174" s="66" t="s">
        <v>116</v>
      </c>
      <c r="H174" s="75">
        <v>4</v>
      </c>
      <c r="I174" s="76"/>
      <c r="J174" s="98"/>
      <c r="K174" s="77">
        <v>1766</v>
      </c>
      <c r="L174" s="77">
        <v>1766</v>
      </c>
      <c r="M174" s="187">
        <f t="shared" si="21"/>
        <v>0</v>
      </c>
      <c r="N174" s="100"/>
      <c r="O174" s="77"/>
      <c r="P174" s="77"/>
      <c r="Q174" s="232"/>
    </row>
    <row r="175" spans="1:18" s="15" customFormat="1" x14ac:dyDescent="0.25">
      <c r="A175" s="229"/>
      <c r="B175" s="30" t="s">
        <v>488</v>
      </c>
      <c r="C175" s="181"/>
      <c r="D175" s="182"/>
      <c r="E175" s="194"/>
      <c r="F175" s="73" t="s">
        <v>512</v>
      </c>
      <c r="G175" s="66" t="s">
        <v>116</v>
      </c>
      <c r="H175" s="75">
        <v>11</v>
      </c>
      <c r="I175" s="76">
        <v>7</v>
      </c>
      <c r="J175" s="98">
        <v>7</v>
      </c>
      <c r="K175" s="77">
        <v>12080</v>
      </c>
      <c r="L175" s="77">
        <v>12080</v>
      </c>
      <c r="M175" s="187">
        <f t="shared" si="21"/>
        <v>0</v>
      </c>
      <c r="N175" s="100"/>
      <c r="O175" s="77"/>
      <c r="P175" s="77"/>
      <c r="Q175" s="79"/>
    </row>
    <row r="176" spans="1:18" s="15" customFormat="1" ht="30" hidden="1" x14ac:dyDescent="0.25">
      <c r="A176" s="229"/>
      <c r="B176" s="238" t="s">
        <v>144</v>
      </c>
      <c r="C176" s="181" t="s">
        <v>446</v>
      </c>
      <c r="D176" s="182" t="s">
        <v>313</v>
      </c>
      <c r="E176" s="183" t="s">
        <v>20</v>
      </c>
      <c r="F176" s="73" t="s">
        <v>485</v>
      </c>
      <c r="G176" s="235" t="s">
        <v>114</v>
      </c>
      <c r="H176" s="181">
        <v>33</v>
      </c>
      <c r="I176" s="234">
        <v>11</v>
      </c>
      <c r="J176" s="202">
        <v>11</v>
      </c>
      <c r="K176" s="77">
        <v>35181.31</v>
      </c>
      <c r="L176" s="77">
        <v>26994.22</v>
      </c>
      <c r="M176" s="187">
        <f t="shared" si="21"/>
        <v>8187.0899999999965</v>
      </c>
      <c r="N176" s="100">
        <v>21</v>
      </c>
      <c r="O176" s="224">
        <v>53276.800000000003</v>
      </c>
      <c r="P176" s="224">
        <v>53276.800000000003</v>
      </c>
      <c r="Q176" s="232">
        <f t="shared" ref="Q176" si="22">O176-P176</f>
        <v>0</v>
      </c>
    </row>
    <row r="177" spans="1:18" s="21" customFormat="1" ht="45" hidden="1" x14ac:dyDescent="0.25">
      <c r="A177" s="181"/>
      <c r="B177" s="30" t="s">
        <v>100</v>
      </c>
      <c r="C177" s="181" t="s">
        <v>304</v>
      </c>
      <c r="D177" s="182" t="s">
        <v>416</v>
      </c>
      <c r="E177" s="194" t="s">
        <v>20</v>
      </c>
      <c r="F177" s="73" t="s">
        <v>408</v>
      </c>
      <c r="G177" s="27" t="s">
        <v>112</v>
      </c>
      <c r="H177" s="75">
        <v>26</v>
      </c>
      <c r="I177" s="76">
        <v>14</v>
      </c>
      <c r="J177" s="98">
        <f>5+1+4+6</f>
        <v>16</v>
      </c>
      <c r="K177" s="86">
        <f>6524.55+600.31+19349.45+15377.18</f>
        <v>41851.490000000005</v>
      </c>
      <c r="L177" s="86">
        <f>6524.55+600.31+19349.45+15377.18</f>
        <v>41851.490000000005</v>
      </c>
      <c r="M177" s="78">
        <f>K177-L177</f>
        <v>0</v>
      </c>
      <c r="N177" s="100">
        <f>1+3+2+3</f>
        <v>9</v>
      </c>
      <c r="O177" s="87">
        <f>10770.58+2113.01+3508.24+19305.88</f>
        <v>35697.710000000006</v>
      </c>
      <c r="P177" s="87">
        <f>10770.58+2113.01+3508.24+19305.88</f>
        <v>35697.710000000006</v>
      </c>
      <c r="Q177" s="79">
        <f t="shared" si="13"/>
        <v>0</v>
      </c>
      <c r="R177" s="141"/>
    </row>
    <row r="178" spans="1:18" s="21" customFormat="1" ht="60" hidden="1" x14ac:dyDescent="0.25">
      <c r="A178" s="181"/>
      <c r="B178" s="30" t="s">
        <v>100</v>
      </c>
      <c r="C178" s="203" t="s">
        <v>125</v>
      </c>
      <c r="D178" s="182" t="s">
        <v>126</v>
      </c>
      <c r="E178" s="194" t="s">
        <v>20</v>
      </c>
      <c r="F178" s="73" t="s">
        <v>486</v>
      </c>
      <c r="G178" s="236" t="s">
        <v>114</v>
      </c>
      <c r="H178" s="181">
        <v>10</v>
      </c>
      <c r="I178" s="234"/>
      <c r="J178" s="202"/>
      <c r="K178" s="86"/>
      <c r="L178" s="86"/>
      <c r="M178" s="187">
        <f t="shared" ref="M178" si="23">K178-L178</f>
        <v>0</v>
      </c>
      <c r="N178" s="100"/>
      <c r="O178" s="239">
        <v>71568.429999999993</v>
      </c>
      <c r="P178" s="239">
        <v>36488.1</v>
      </c>
      <c r="Q178" s="232">
        <f t="shared" si="13"/>
        <v>35080.329999999994</v>
      </c>
    </row>
    <row r="179" spans="1:18" s="13" customFormat="1" hidden="1" x14ac:dyDescent="0.25">
      <c r="A179" s="229"/>
      <c r="B179" s="62" t="s">
        <v>101</v>
      </c>
      <c r="C179" s="181" t="s">
        <v>17</v>
      </c>
      <c r="D179" s="182"/>
      <c r="E179" s="194" t="s">
        <v>20</v>
      </c>
      <c r="F179" s="73" t="s">
        <v>409</v>
      </c>
      <c r="G179" s="74" t="s">
        <v>112</v>
      </c>
      <c r="H179" s="75">
        <v>13</v>
      </c>
      <c r="I179" s="76">
        <v>8</v>
      </c>
      <c r="J179" s="96">
        <f>1+5+1+1+2+2</f>
        <v>12</v>
      </c>
      <c r="K179" s="77">
        <f>1045.98+3354.45+1225.93+742.59+2494.7</f>
        <v>8863.6500000000015</v>
      </c>
      <c r="L179" s="77">
        <f>1045.98+3354.45+1225.93+742.59</f>
        <v>6368.9500000000007</v>
      </c>
      <c r="M179" s="78">
        <f t="shared" si="16"/>
        <v>2494.7000000000007</v>
      </c>
      <c r="N179" s="100">
        <f>5+2+1+1</f>
        <v>9</v>
      </c>
      <c r="O179" s="81">
        <f>6288.07+3061.62+3426.18+12951.18</f>
        <v>25727.05</v>
      </c>
      <c r="P179" s="81">
        <f>6288.07+3061.62+3426.18+12951.18</f>
        <v>25727.05</v>
      </c>
      <c r="Q179" s="79">
        <f t="shared" si="13"/>
        <v>0</v>
      </c>
      <c r="R179" s="141"/>
    </row>
    <row r="180" spans="1:18" s="13" customFormat="1" hidden="1" x14ac:dyDescent="0.25">
      <c r="A180" s="229"/>
      <c r="B180" s="62" t="s">
        <v>146</v>
      </c>
      <c r="C180" s="181" t="s">
        <v>17</v>
      </c>
      <c r="D180" s="182"/>
      <c r="E180" s="194" t="s">
        <v>20</v>
      </c>
      <c r="F180" s="73" t="s">
        <v>410</v>
      </c>
      <c r="G180" s="74" t="s">
        <v>112</v>
      </c>
      <c r="H180" s="75">
        <v>15</v>
      </c>
      <c r="I180" s="76">
        <v>11</v>
      </c>
      <c r="J180" s="96">
        <f>4+1+1+2+1+2+1</f>
        <v>12</v>
      </c>
      <c r="K180" s="77">
        <f>4610.77+1568.98+1854.88+422.62+1334.13+2599.07+5262.18+1092.81</f>
        <v>18745.440000000002</v>
      </c>
      <c r="L180" s="77">
        <f>4610.77+1568.98+1854.88+422.62+1334.13+2599.07</f>
        <v>12390.45</v>
      </c>
      <c r="M180" s="78">
        <f t="shared" si="16"/>
        <v>6354.9900000000016</v>
      </c>
      <c r="N180" s="100">
        <f>5+1+1+2+1+1</f>
        <v>11</v>
      </c>
      <c r="O180" s="81">
        <f>13579.06+1287.07+2636.18+26196.83</f>
        <v>43699.14</v>
      </c>
      <c r="P180" s="81">
        <f>13579.06+1287.07+2636.18+26196.83</f>
        <v>43699.14</v>
      </c>
      <c r="Q180" s="232">
        <f t="shared" si="13"/>
        <v>0</v>
      </c>
      <c r="R180" s="141"/>
    </row>
    <row r="181" spans="1:18" s="13" customFormat="1" hidden="1" x14ac:dyDescent="0.25">
      <c r="A181" s="229"/>
      <c r="B181" s="62" t="s">
        <v>146</v>
      </c>
      <c r="C181" s="181" t="s">
        <v>17</v>
      </c>
      <c r="D181" s="182"/>
      <c r="E181" s="183" t="s">
        <v>21</v>
      </c>
      <c r="F181" s="73" t="s">
        <v>443</v>
      </c>
      <c r="G181" s="230" t="s">
        <v>118</v>
      </c>
      <c r="H181" s="181">
        <v>11</v>
      </c>
      <c r="I181" s="234">
        <v>2</v>
      </c>
      <c r="J181" s="190">
        <v>2</v>
      </c>
      <c r="K181" s="193">
        <v>5728.56</v>
      </c>
      <c r="L181" s="193">
        <v>5728.56</v>
      </c>
      <c r="M181" s="187">
        <f t="shared" si="16"/>
        <v>0</v>
      </c>
      <c r="N181" s="114">
        <v>5</v>
      </c>
      <c r="O181" s="224">
        <v>3363.06</v>
      </c>
      <c r="P181" s="224">
        <v>3363.06</v>
      </c>
      <c r="Q181" s="79">
        <f t="shared" si="13"/>
        <v>0</v>
      </c>
    </row>
    <row r="182" spans="1:18" s="13" customFormat="1" hidden="1" x14ac:dyDescent="0.25">
      <c r="A182" s="229"/>
      <c r="B182" s="27" t="s">
        <v>102</v>
      </c>
      <c r="C182" s="181" t="s">
        <v>17</v>
      </c>
      <c r="D182" s="182"/>
      <c r="E182" s="194" t="s">
        <v>20</v>
      </c>
      <c r="F182" s="73" t="s">
        <v>411</v>
      </c>
      <c r="G182" s="74" t="s">
        <v>112</v>
      </c>
      <c r="H182" s="75">
        <v>13</v>
      </c>
      <c r="I182" s="76">
        <v>11</v>
      </c>
      <c r="J182" s="96">
        <f>1+1+2+1+2+1+3</f>
        <v>11</v>
      </c>
      <c r="K182" s="77">
        <f>845.24+845.24+1690.48+1394.65+2689.38+1324.62</f>
        <v>8789.61</v>
      </c>
      <c r="L182" s="77">
        <f>845.24+845.24+1690.48+1394.65+2689.38</f>
        <v>7464.9900000000007</v>
      </c>
      <c r="M182" s="78">
        <f>K182-L182</f>
        <v>1324.62</v>
      </c>
      <c r="N182" s="100">
        <f>3+1+1+1</f>
        <v>6</v>
      </c>
      <c r="O182" s="81">
        <f>7808.21+30833.77-12193.52+9963.17+5385.9</f>
        <v>41797.530000000006</v>
      </c>
      <c r="P182" s="81">
        <f>7808.21+30833.77-12193.52+9963.17</f>
        <v>36411.630000000005</v>
      </c>
      <c r="Q182" s="232">
        <f t="shared" si="13"/>
        <v>5385.9000000000015</v>
      </c>
      <c r="R182" s="141"/>
    </row>
    <row r="183" spans="1:18" s="13" customFormat="1" hidden="1" x14ac:dyDescent="0.25">
      <c r="A183" s="229"/>
      <c r="B183" s="27" t="s">
        <v>102</v>
      </c>
      <c r="C183" s="181" t="s">
        <v>17</v>
      </c>
      <c r="D183" s="182"/>
      <c r="E183" s="194" t="s">
        <v>20</v>
      </c>
      <c r="F183" s="73" t="s">
        <v>469</v>
      </c>
      <c r="G183" s="230" t="s">
        <v>114</v>
      </c>
      <c r="H183" s="181">
        <v>10</v>
      </c>
      <c r="I183" s="231">
        <v>3</v>
      </c>
      <c r="J183" s="190">
        <v>3</v>
      </c>
      <c r="K183" s="77">
        <v>1267.8599999999999</v>
      </c>
      <c r="L183" s="77">
        <v>1267.8599999999999</v>
      </c>
      <c r="M183" s="187">
        <f t="shared" ref="M183" si="24">K183-L183</f>
        <v>0</v>
      </c>
      <c r="N183" s="100">
        <v>8</v>
      </c>
      <c r="O183" s="224">
        <v>31795.42</v>
      </c>
      <c r="P183" s="224">
        <v>24770.92</v>
      </c>
      <c r="Q183" s="232">
        <f t="shared" si="13"/>
        <v>7024.5</v>
      </c>
    </row>
    <row r="184" spans="1:18" s="13" customFormat="1" hidden="1" x14ac:dyDescent="0.25">
      <c r="A184" s="229"/>
      <c r="B184" s="27" t="s">
        <v>103</v>
      </c>
      <c r="C184" s="181" t="s">
        <v>17</v>
      </c>
      <c r="D184" s="182"/>
      <c r="E184" s="183" t="s">
        <v>20</v>
      </c>
      <c r="F184" s="73" t="s">
        <v>412</v>
      </c>
      <c r="G184" s="74" t="s">
        <v>112</v>
      </c>
      <c r="H184" s="75">
        <v>14</v>
      </c>
      <c r="I184" s="76">
        <v>10</v>
      </c>
      <c r="J184" s="96">
        <f>4+1+2+3+1</f>
        <v>11</v>
      </c>
      <c r="K184" s="77">
        <f>16248.67+1092.81+2003.49+401.4</f>
        <v>19746.370000000003</v>
      </c>
      <c r="L184" s="77">
        <f>16248.67+1092.81+2003.49</f>
        <v>19344.97</v>
      </c>
      <c r="M184" s="78">
        <f>K184-L184</f>
        <v>401.40000000000146</v>
      </c>
      <c r="N184" s="100">
        <f>7+2+1+1+2+1</f>
        <v>14</v>
      </c>
      <c r="O184" s="77">
        <f>20193.14+7541.5+685.38</f>
        <v>28420.02</v>
      </c>
      <c r="P184" s="77">
        <f>20193.14+7541.5</f>
        <v>27734.639999999999</v>
      </c>
      <c r="Q184" s="232">
        <f t="shared" si="13"/>
        <v>685.38000000000102</v>
      </c>
      <c r="R184" s="141"/>
    </row>
    <row r="185" spans="1:18" s="13" customFormat="1" hidden="1" x14ac:dyDescent="0.25">
      <c r="A185" s="229"/>
      <c r="B185" s="27" t="s">
        <v>103</v>
      </c>
      <c r="C185" s="181" t="s">
        <v>17</v>
      </c>
      <c r="D185" s="182"/>
      <c r="E185" s="183" t="s">
        <v>20</v>
      </c>
      <c r="F185" s="73" t="s">
        <v>470</v>
      </c>
      <c r="G185" s="230" t="s">
        <v>114</v>
      </c>
      <c r="H185" s="181">
        <v>14</v>
      </c>
      <c r="I185" s="231">
        <v>3</v>
      </c>
      <c r="J185" s="190">
        <v>3</v>
      </c>
      <c r="K185" s="77">
        <v>4940.1000000000004</v>
      </c>
      <c r="L185" s="77">
        <v>4940.1000000000004</v>
      </c>
      <c r="M185" s="187">
        <f t="shared" ref="M185:M187" si="25">K185-L185</f>
        <v>0</v>
      </c>
      <c r="N185" s="100">
        <v>4</v>
      </c>
      <c r="O185" s="224">
        <v>10431.89</v>
      </c>
      <c r="P185" s="224">
        <v>10431.89</v>
      </c>
      <c r="Q185" s="232">
        <f t="shared" si="13"/>
        <v>0</v>
      </c>
    </row>
    <row r="186" spans="1:18" s="15" customFormat="1" hidden="1" x14ac:dyDescent="0.25">
      <c r="A186" s="229"/>
      <c r="B186" s="27" t="s">
        <v>104</v>
      </c>
      <c r="C186" s="181" t="s">
        <v>17</v>
      </c>
      <c r="D186" s="182"/>
      <c r="E186" s="183" t="s">
        <v>20</v>
      </c>
      <c r="F186" s="73" t="s">
        <v>413</v>
      </c>
      <c r="G186" s="74" t="s">
        <v>112</v>
      </c>
      <c r="H186" s="75">
        <v>14</v>
      </c>
      <c r="I186" s="76">
        <v>13</v>
      </c>
      <c r="J186" s="96">
        <f>3+1+2+4+1+1+1</f>
        <v>13</v>
      </c>
      <c r="K186" s="77">
        <f>5112.82+422.64+8302.14+1605.5+1092.81</f>
        <v>16535.91</v>
      </c>
      <c r="L186" s="77">
        <f>5112.82+422.64+8302.14+1605.5</f>
        <v>15443.099999999999</v>
      </c>
      <c r="M186" s="78">
        <f>K186-L186</f>
        <v>1092.8100000000013</v>
      </c>
      <c r="N186" s="100">
        <f>4+1+1+2+1</f>
        <v>9</v>
      </c>
      <c r="O186" s="81">
        <f>7087.22+3426.18+3496.22</f>
        <v>14009.619999999999</v>
      </c>
      <c r="P186" s="81">
        <f>7087.22+3426.18+3496.22</f>
        <v>14009.619999999999</v>
      </c>
      <c r="Q186" s="232">
        <f t="shared" si="13"/>
        <v>0</v>
      </c>
      <c r="R186" s="141"/>
    </row>
    <row r="187" spans="1:18" s="15" customFormat="1" hidden="1" x14ac:dyDescent="0.25">
      <c r="A187" s="229"/>
      <c r="B187" s="27" t="s">
        <v>104</v>
      </c>
      <c r="C187" s="181" t="s">
        <v>17</v>
      </c>
      <c r="D187" s="182"/>
      <c r="E187" s="183" t="s">
        <v>20</v>
      </c>
      <c r="F187" s="73" t="s">
        <v>471</v>
      </c>
      <c r="G187" s="230" t="s">
        <v>114</v>
      </c>
      <c r="H187" s="181">
        <v>38</v>
      </c>
      <c r="I187" s="231">
        <v>6</v>
      </c>
      <c r="J187" s="190">
        <v>6</v>
      </c>
      <c r="K187" s="77">
        <v>20374.36</v>
      </c>
      <c r="L187" s="77">
        <v>15557.56</v>
      </c>
      <c r="M187" s="187">
        <f t="shared" si="25"/>
        <v>4816.8000000000011</v>
      </c>
      <c r="N187" s="114">
        <v>18</v>
      </c>
      <c r="O187" s="224">
        <v>40887.050000000003</v>
      </c>
      <c r="P187" s="224">
        <v>40887.050000000003</v>
      </c>
      <c r="Q187" s="232">
        <f t="shared" si="13"/>
        <v>0</v>
      </c>
    </row>
    <row r="188" spans="1:18" s="13" customFormat="1" hidden="1" x14ac:dyDescent="0.25">
      <c r="A188" s="229"/>
      <c r="B188" s="30" t="s">
        <v>26</v>
      </c>
      <c r="C188" s="181" t="s">
        <v>17</v>
      </c>
      <c r="D188" s="182"/>
      <c r="E188" s="183" t="s">
        <v>32</v>
      </c>
      <c r="F188" s="73" t="s">
        <v>246</v>
      </c>
      <c r="G188" s="74" t="s">
        <v>117</v>
      </c>
      <c r="H188" s="75"/>
      <c r="I188" s="76"/>
      <c r="J188" s="96"/>
      <c r="K188" s="77"/>
      <c r="L188" s="77"/>
      <c r="M188" s="78">
        <f t="shared" si="16"/>
        <v>0</v>
      </c>
      <c r="N188" s="100">
        <v>5</v>
      </c>
      <c r="O188" s="81">
        <v>7808.15</v>
      </c>
      <c r="P188" s="81">
        <v>7808.15</v>
      </c>
      <c r="Q188" s="232">
        <f t="shared" si="13"/>
        <v>0</v>
      </c>
    </row>
    <row r="189" spans="1:18" s="13" customFormat="1" hidden="1" x14ac:dyDescent="0.25">
      <c r="A189" s="229"/>
      <c r="B189" s="62" t="s">
        <v>106</v>
      </c>
      <c r="C189" s="181" t="s">
        <v>17</v>
      </c>
      <c r="D189" s="205"/>
      <c r="E189" s="194" t="s">
        <v>20</v>
      </c>
      <c r="F189" s="73" t="s">
        <v>414</v>
      </c>
      <c r="G189" s="74" t="s">
        <v>112</v>
      </c>
      <c r="H189" s="75">
        <v>13</v>
      </c>
      <c r="I189" s="76">
        <v>6</v>
      </c>
      <c r="J189" s="96">
        <f>1+4+2</f>
        <v>7</v>
      </c>
      <c r="K189" s="77">
        <f>3125.9+1766.16</f>
        <v>4892.0600000000004</v>
      </c>
      <c r="L189" s="77">
        <f>3125.9</f>
        <v>3125.9</v>
      </c>
      <c r="M189" s="78">
        <f>K189-L189</f>
        <v>1766.1600000000003</v>
      </c>
      <c r="N189" s="100">
        <f>3+1</f>
        <v>4</v>
      </c>
      <c r="O189" s="81">
        <f>15956.85+4551.62+19965.34</f>
        <v>40473.81</v>
      </c>
      <c r="P189" s="81">
        <f>15956.85+4551.62+19965.34</f>
        <v>40473.81</v>
      </c>
      <c r="Q189" s="232">
        <f t="shared" si="13"/>
        <v>0</v>
      </c>
      <c r="R189" s="141"/>
    </row>
    <row r="190" spans="1:18" hidden="1" x14ac:dyDescent="0.25">
      <c r="A190" s="269"/>
      <c r="B190" s="66"/>
      <c r="C190" s="270"/>
      <c r="D190" s="235"/>
      <c r="E190" s="235"/>
      <c r="F190" s="73"/>
      <c r="G190" s="235" t="s">
        <v>131</v>
      </c>
      <c r="H190" s="240">
        <f>SUM(H10:H189)</f>
        <v>2619</v>
      </c>
      <c r="I190" s="268">
        <f>SUM(I10:I189)</f>
        <v>1420</v>
      </c>
      <c r="J190" s="208">
        <f>SUM(J10:J189)</f>
        <v>1693</v>
      </c>
      <c r="K190" s="209">
        <f>SUM(K10:K189)</f>
        <v>3052085.9949999996</v>
      </c>
      <c r="L190" s="209">
        <f>SUM(L10:L189)</f>
        <v>2696757.0650000009</v>
      </c>
      <c r="M190" s="210">
        <f>K190-L190</f>
        <v>355328.92999999877</v>
      </c>
      <c r="N190" s="208">
        <f>SUM(N10:N189)</f>
        <v>1753</v>
      </c>
      <c r="O190" s="241">
        <f>SUM(O10:O189)</f>
        <v>5518807.8799999999</v>
      </c>
      <c r="P190" s="241">
        <f>SUM(P10:P189)</f>
        <v>5317204.049999998</v>
      </c>
      <c r="Q190" s="79">
        <f t="shared" si="13"/>
        <v>201603.83000000194</v>
      </c>
      <c r="R190" s="129"/>
    </row>
    <row r="191" spans="1:18" hidden="1" x14ac:dyDescent="0.25">
      <c r="K191" s="91" t="s">
        <v>305</v>
      </c>
    </row>
    <row r="192" spans="1:18" ht="45" hidden="1" x14ac:dyDescent="0.25">
      <c r="B192" s="89" t="s">
        <v>316</v>
      </c>
      <c r="F192" s="104" t="s">
        <v>317</v>
      </c>
      <c r="M192" s="142"/>
      <c r="Q192" s="133"/>
    </row>
    <row r="193" spans="13:13" s="6" customFormat="1" x14ac:dyDescent="0.25">
      <c r="M193" s="216"/>
    </row>
  </sheetData>
  <autoFilter ref="A9:U192">
    <filterColumn colId="6">
      <filters>
        <filter val="Охтирський МЦ"/>
      </filters>
    </filterColumn>
  </autoFilter>
  <mergeCells count="7">
    <mergeCell ref="O1:Q1"/>
    <mergeCell ref="A3:Q3"/>
    <mergeCell ref="A4:Q4"/>
    <mergeCell ref="A5:Q5"/>
    <mergeCell ref="B7:G7"/>
    <mergeCell ref="H7:M7"/>
    <mergeCell ref="N7:Q7"/>
  </mergeCells>
  <pageMargins left="0.7" right="0.7" top="0.75" bottom="0.75" header="0.3" footer="0.3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97"/>
  <sheetViews>
    <sheetView workbookViewId="0">
      <selection sqref="A1:XFD1048576"/>
    </sheetView>
  </sheetViews>
  <sheetFormatPr defaultRowHeight="15" x14ac:dyDescent="0.25"/>
  <cols>
    <col min="1" max="1" width="1.85546875" style="6" customWidth="1"/>
    <col min="2" max="2" width="38.28515625" style="88" customWidth="1"/>
    <col min="3" max="3" width="6.5703125" style="19" customWidth="1"/>
    <col min="4" max="4" width="17.42578125" style="19" customWidth="1"/>
    <col min="5" max="5" width="19" style="19" customWidth="1"/>
    <col min="6" max="6" width="19" style="89" customWidth="1"/>
    <col min="7" max="7" width="20.140625" style="89" customWidth="1"/>
    <col min="8" max="9" width="15.7109375" style="90" customWidth="1"/>
    <col min="10" max="10" width="15.7109375" style="99" customWidth="1"/>
    <col min="11" max="13" width="15.7109375" style="91" customWidth="1"/>
    <col min="14" max="14" width="15.7109375" style="99" customWidth="1"/>
    <col min="15" max="17" width="15.7109375" style="92" customWidth="1"/>
    <col min="18" max="18" width="8.85546875" style="6" customWidth="1"/>
    <col min="19" max="16384" width="9.140625" style="6"/>
  </cols>
  <sheetData>
    <row r="1" spans="1:17" s="105" customFormat="1" x14ac:dyDescent="0.25">
      <c r="A1" s="60"/>
      <c r="B1" s="60"/>
      <c r="C1" s="225"/>
      <c r="D1" s="225"/>
      <c r="E1" s="225"/>
      <c r="F1" s="63"/>
      <c r="G1" s="63"/>
      <c r="H1" s="64"/>
      <c r="I1" s="64"/>
      <c r="J1" s="93"/>
      <c r="K1" s="65"/>
      <c r="L1" s="65"/>
      <c r="M1" s="65"/>
      <c r="N1" s="93"/>
      <c r="O1" s="362" t="s">
        <v>15</v>
      </c>
      <c r="P1" s="362"/>
      <c r="Q1" s="362"/>
    </row>
    <row r="2" spans="1:17" s="105" customFormat="1" x14ac:dyDescent="0.25">
      <c r="A2" s="273"/>
      <c r="B2" s="273"/>
      <c r="C2" s="274"/>
      <c r="D2" s="274"/>
      <c r="E2" s="274"/>
      <c r="F2" s="66"/>
      <c r="G2" s="66"/>
      <c r="H2" s="272"/>
      <c r="I2" s="272"/>
      <c r="J2" s="94"/>
      <c r="K2" s="67"/>
      <c r="L2" s="67"/>
      <c r="M2" s="67"/>
      <c r="N2" s="94"/>
      <c r="O2" s="68"/>
      <c r="P2" s="68"/>
      <c r="Q2" s="68"/>
    </row>
    <row r="3" spans="1:17" s="105" customFormat="1" x14ac:dyDescent="0.25">
      <c r="A3" s="380" t="s">
        <v>318</v>
      </c>
      <c r="B3" s="367"/>
      <c r="C3" s="380"/>
      <c r="D3" s="380"/>
      <c r="E3" s="380"/>
      <c r="F3" s="367"/>
      <c r="G3" s="367"/>
      <c r="H3" s="366"/>
      <c r="I3" s="366"/>
      <c r="J3" s="367"/>
      <c r="K3" s="367"/>
      <c r="L3" s="367"/>
      <c r="M3" s="367"/>
      <c r="N3" s="367"/>
      <c r="O3" s="367"/>
      <c r="P3" s="367"/>
      <c r="Q3" s="367"/>
    </row>
    <row r="4" spans="1:17" s="105" customFormat="1" x14ac:dyDescent="0.25">
      <c r="A4" s="381">
        <v>43738</v>
      </c>
      <c r="B4" s="373"/>
      <c r="C4" s="382"/>
      <c r="D4" s="382"/>
      <c r="E4" s="382"/>
      <c r="F4" s="373"/>
      <c r="G4" s="373"/>
      <c r="H4" s="372"/>
      <c r="I4" s="372"/>
      <c r="J4" s="373"/>
      <c r="K4" s="373"/>
      <c r="L4" s="373"/>
      <c r="M4" s="373"/>
      <c r="N4" s="373"/>
      <c r="O4" s="373"/>
      <c r="P4" s="373"/>
      <c r="Q4" s="373"/>
    </row>
    <row r="5" spans="1:17" s="105" customFormat="1" x14ac:dyDescent="0.25">
      <c r="A5" s="367" t="s">
        <v>14</v>
      </c>
      <c r="B5" s="367"/>
      <c r="C5" s="367"/>
      <c r="D5" s="367"/>
      <c r="E5" s="367"/>
      <c r="F5" s="367"/>
      <c r="G5" s="367"/>
      <c r="H5" s="366"/>
      <c r="I5" s="366"/>
      <c r="J5" s="367"/>
      <c r="K5" s="367"/>
      <c r="L5" s="367"/>
      <c r="M5" s="367"/>
      <c r="N5" s="367"/>
      <c r="O5" s="367"/>
      <c r="P5" s="367"/>
      <c r="Q5" s="367"/>
    </row>
    <row r="6" spans="1:17" s="105" customFormat="1" x14ac:dyDescent="0.25">
      <c r="A6" s="273"/>
      <c r="B6" s="273"/>
      <c r="C6" s="274"/>
      <c r="D6" s="274"/>
      <c r="E6" s="274"/>
      <c r="F6" s="66"/>
      <c r="G6" s="66"/>
      <c r="H6" s="272"/>
      <c r="I6" s="272"/>
      <c r="J6" s="94"/>
      <c r="K6" s="67"/>
      <c r="L6" s="67"/>
      <c r="M6" s="67"/>
      <c r="N6" s="94"/>
      <c r="O6" s="68"/>
      <c r="P6" s="68"/>
      <c r="Q6" s="68"/>
    </row>
    <row r="7" spans="1:17" x14ac:dyDescent="0.25">
      <c r="A7" s="227" t="s">
        <v>0</v>
      </c>
      <c r="B7" s="367" t="s">
        <v>10</v>
      </c>
      <c r="C7" s="380"/>
      <c r="D7" s="380"/>
      <c r="E7" s="380"/>
      <c r="F7" s="367"/>
      <c r="G7" s="367"/>
      <c r="H7" s="366" t="s">
        <v>472</v>
      </c>
      <c r="I7" s="366"/>
      <c r="J7" s="367"/>
      <c r="K7" s="367"/>
      <c r="L7" s="367"/>
      <c r="M7" s="367"/>
      <c r="N7" s="367" t="s">
        <v>132</v>
      </c>
      <c r="O7" s="367"/>
      <c r="P7" s="367"/>
      <c r="Q7" s="367"/>
    </row>
    <row r="8" spans="1:17" ht="195" x14ac:dyDescent="0.25">
      <c r="A8" s="227"/>
      <c r="B8" s="273" t="s">
        <v>4</v>
      </c>
      <c r="C8" s="274" t="s">
        <v>1</v>
      </c>
      <c r="D8" s="274" t="s">
        <v>3</v>
      </c>
      <c r="E8" s="274" t="s">
        <v>2</v>
      </c>
      <c r="F8" s="273" t="s">
        <v>6</v>
      </c>
      <c r="G8" s="66" t="s">
        <v>5</v>
      </c>
      <c r="H8" s="273" t="s">
        <v>7</v>
      </c>
      <c r="I8" s="273" t="s">
        <v>8</v>
      </c>
      <c r="J8" s="94" t="s">
        <v>9</v>
      </c>
      <c r="K8" s="67" t="s">
        <v>11</v>
      </c>
      <c r="L8" s="67" t="s">
        <v>12</v>
      </c>
      <c r="M8" s="67" t="s">
        <v>13</v>
      </c>
      <c r="N8" s="94" t="s">
        <v>9</v>
      </c>
      <c r="O8" s="68" t="s">
        <v>11</v>
      </c>
      <c r="P8" s="68" t="s">
        <v>12</v>
      </c>
      <c r="Q8" s="68" t="s">
        <v>13</v>
      </c>
    </row>
    <row r="9" spans="1:17" x14ac:dyDescent="0.25">
      <c r="A9" s="228">
        <v>1</v>
      </c>
      <c r="B9" s="61">
        <f>A9+1</f>
        <v>2</v>
      </c>
      <c r="C9" s="228">
        <f t="shared" ref="C9:Q9" si="0">B9+1</f>
        <v>3</v>
      </c>
      <c r="D9" s="228">
        <f t="shared" si="0"/>
        <v>4</v>
      </c>
      <c r="E9" s="228">
        <f t="shared" si="0"/>
        <v>5</v>
      </c>
      <c r="F9" s="69">
        <f t="shared" si="0"/>
        <v>6</v>
      </c>
      <c r="G9" s="69">
        <f t="shared" si="0"/>
        <v>7</v>
      </c>
      <c r="H9" s="70">
        <f t="shared" si="0"/>
        <v>8</v>
      </c>
      <c r="I9" s="70">
        <f t="shared" si="0"/>
        <v>9</v>
      </c>
      <c r="J9" s="95">
        <f t="shared" si="0"/>
        <v>10</v>
      </c>
      <c r="K9" s="71">
        <f t="shared" si="0"/>
        <v>11</v>
      </c>
      <c r="L9" s="71">
        <f t="shared" si="0"/>
        <v>12</v>
      </c>
      <c r="M9" s="71">
        <f t="shared" si="0"/>
        <v>13</v>
      </c>
      <c r="N9" s="95">
        <f t="shared" si="0"/>
        <v>14</v>
      </c>
      <c r="O9" s="72">
        <f t="shared" si="0"/>
        <v>15</v>
      </c>
      <c r="P9" s="72">
        <f t="shared" si="0"/>
        <v>16</v>
      </c>
      <c r="Q9" s="72">
        <f t="shared" si="0"/>
        <v>17</v>
      </c>
    </row>
    <row r="10" spans="1:17" s="13" customFormat="1" ht="30" x14ac:dyDescent="0.25">
      <c r="A10" s="229"/>
      <c r="B10" s="62" t="s">
        <v>16</v>
      </c>
      <c r="C10" s="181" t="s">
        <v>304</v>
      </c>
      <c r="D10" s="182" t="s">
        <v>315</v>
      </c>
      <c r="E10" s="183" t="s">
        <v>18</v>
      </c>
      <c r="F10" s="73" t="s">
        <v>322</v>
      </c>
      <c r="G10" s="74" t="s">
        <v>112</v>
      </c>
      <c r="H10" s="75">
        <v>12</v>
      </c>
      <c r="I10" s="76">
        <v>11</v>
      </c>
      <c r="J10" s="98">
        <f>2+1+3+3+1+3</f>
        <v>13</v>
      </c>
      <c r="K10" s="77">
        <f>4792.51+1138.19+504.26+11366.06+4859.68+3954.5+12023.46</f>
        <v>38638.660000000003</v>
      </c>
      <c r="L10" s="77">
        <f>4792.51+1138.19+504.26+11366.06+4859.68+3954.5+12023.46</f>
        <v>38638.660000000003</v>
      </c>
      <c r="M10" s="78">
        <f>K10-L10</f>
        <v>0</v>
      </c>
      <c r="N10" s="100">
        <f>2+5+1+2+1</f>
        <v>11</v>
      </c>
      <c r="O10" s="77">
        <f>9108.77+6924.32+22366.06+8197.52</f>
        <v>46596.67</v>
      </c>
      <c r="P10" s="77">
        <f>9108.77+6924.32+22366.06+8197.52</f>
        <v>46596.67</v>
      </c>
      <c r="Q10" s="79">
        <f>O10-P10</f>
        <v>0</v>
      </c>
    </row>
    <row r="11" spans="1:17" s="13" customFormat="1" ht="30" x14ac:dyDescent="0.25">
      <c r="A11" s="229"/>
      <c r="B11" s="62" t="s">
        <v>16</v>
      </c>
      <c r="C11" s="181" t="s">
        <v>304</v>
      </c>
      <c r="D11" s="182" t="s">
        <v>315</v>
      </c>
      <c r="E11" s="183" t="s">
        <v>18</v>
      </c>
      <c r="F11" s="73" t="s">
        <v>322</v>
      </c>
      <c r="G11" s="230" t="s">
        <v>116</v>
      </c>
      <c r="H11" s="181">
        <v>11</v>
      </c>
      <c r="I11" s="231">
        <v>6</v>
      </c>
      <c r="J11" s="96">
        <v>6</v>
      </c>
      <c r="K11" s="224">
        <v>11526</v>
      </c>
      <c r="L11" s="224">
        <v>11526</v>
      </c>
      <c r="M11" s="78">
        <f t="shared" ref="M11:M74" si="1">K11-L11</f>
        <v>0</v>
      </c>
      <c r="N11" s="100"/>
      <c r="O11" s="224">
        <v>2945</v>
      </c>
      <c r="P11" s="224">
        <v>2945</v>
      </c>
      <c r="Q11" s="232">
        <f t="shared" ref="Q11:Q80" si="2">O11-P11</f>
        <v>0</v>
      </c>
    </row>
    <row r="12" spans="1:17" s="13" customFormat="1" x14ac:dyDescent="0.25">
      <c r="A12" s="229"/>
      <c r="B12" s="62" t="s">
        <v>490</v>
      </c>
      <c r="C12" s="181" t="s">
        <v>304</v>
      </c>
      <c r="D12" s="182"/>
      <c r="E12" s="183"/>
      <c r="F12" s="189" t="s">
        <v>501</v>
      </c>
      <c r="G12" s="230" t="s">
        <v>112</v>
      </c>
      <c r="H12" s="181">
        <v>17</v>
      </c>
      <c r="I12" s="231">
        <v>14</v>
      </c>
      <c r="J12" s="96">
        <f>5+1+3+1+1+2+2+1</f>
        <v>16</v>
      </c>
      <c r="K12" s="224">
        <f>8352.39+384.2+1463.8+3720.67+546.41+5470.48+13100.4</f>
        <v>33038.35</v>
      </c>
      <c r="L12" s="224">
        <f>8352.39+384.2+1463.8+3720.67+546.41+5470.48+13100.4</f>
        <v>33038.35</v>
      </c>
      <c r="M12" s="78">
        <f t="shared" si="1"/>
        <v>0</v>
      </c>
      <c r="N12" s="100"/>
      <c r="O12" s="224"/>
      <c r="P12" s="224"/>
      <c r="Q12" s="79">
        <f t="shared" si="2"/>
        <v>0</v>
      </c>
    </row>
    <row r="13" spans="1:17" s="15" customFormat="1" x14ac:dyDescent="0.25">
      <c r="A13" s="229"/>
      <c r="B13" s="62" t="s">
        <v>19</v>
      </c>
      <c r="C13" s="181" t="s">
        <v>17</v>
      </c>
      <c r="D13" s="182"/>
      <c r="E13" s="183" t="s">
        <v>20</v>
      </c>
      <c r="F13" s="73" t="s">
        <v>323</v>
      </c>
      <c r="G13" s="74" t="s">
        <v>112</v>
      </c>
      <c r="H13" s="75">
        <v>15</v>
      </c>
      <c r="I13" s="76">
        <v>10</v>
      </c>
      <c r="J13" s="96">
        <f>1+2+5+2+1+5+1</f>
        <v>17</v>
      </c>
      <c r="K13" s="77">
        <f>422.62+4792.51+1796.14+1373.52+5511.59+1707.76</f>
        <v>15604.140000000001</v>
      </c>
      <c r="L13" s="77">
        <f>422.62+4792.51+1796.14+1373.52+5511.59+1707.76</f>
        <v>15604.140000000001</v>
      </c>
      <c r="M13" s="78">
        <f t="shared" si="1"/>
        <v>0</v>
      </c>
      <c r="N13" s="100">
        <f>8+3+1+2</f>
        <v>14</v>
      </c>
      <c r="O13" s="81">
        <f>6459.36+7124.45</f>
        <v>13583.81</v>
      </c>
      <c r="P13" s="81">
        <f>6459.36+7124.45</f>
        <v>13583.81</v>
      </c>
      <c r="Q13" s="79">
        <f t="shared" si="2"/>
        <v>0</v>
      </c>
    </row>
    <row r="14" spans="1:17" s="15" customFormat="1" x14ac:dyDescent="0.25">
      <c r="A14" s="229"/>
      <c r="B14" s="62" t="s">
        <v>19</v>
      </c>
      <c r="C14" s="181" t="s">
        <v>17</v>
      </c>
      <c r="D14" s="182"/>
      <c r="E14" s="183" t="s">
        <v>20</v>
      </c>
      <c r="F14" s="73" t="s">
        <v>451</v>
      </c>
      <c r="G14" s="230" t="s">
        <v>114</v>
      </c>
      <c r="H14" s="181">
        <v>13</v>
      </c>
      <c r="I14" s="231">
        <v>4</v>
      </c>
      <c r="J14" s="190">
        <v>4</v>
      </c>
      <c r="K14" s="77">
        <v>5843.64</v>
      </c>
      <c r="L14" s="77">
        <v>5843.64</v>
      </c>
      <c r="M14" s="78">
        <f t="shared" si="1"/>
        <v>0</v>
      </c>
      <c r="N14" s="100">
        <v>10</v>
      </c>
      <c r="O14" s="224">
        <v>18093.599999999999</v>
      </c>
      <c r="P14" s="224">
        <v>18093.599999999999</v>
      </c>
      <c r="Q14" s="232">
        <f t="shared" si="2"/>
        <v>0</v>
      </c>
    </row>
    <row r="15" spans="1:17" s="15" customFormat="1" x14ac:dyDescent="0.25">
      <c r="A15" s="229"/>
      <c r="B15" s="62" t="s">
        <v>153</v>
      </c>
      <c r="C15" s="181" t="s">
        <v>17</v>
      </c>
      <c r="D15" s="182"/>
      <c r="E15" s="183" t="s">
        <v>20</v>
      </c>
      <c r="F15" s="73" t="s">
        <v>324</v>
      </c>
      <c r="G15" s="74" t="s">
        <v>112</v>
      </c>
      <c r="H15" s="75">
        <v>16</v>
      </c>
      <c r="I15" s="82">
        <v>10</v>
      </c>
      <c r="J15" s="96">
        <f>1+1+2+1+1+2+1+1+1+1</f>
        <v>12</v>
      </c>
      <c r="K15" s="77">
        <f>950.9+2451.87+3074.57+845.24+1977.86+1284.48+883.08+401.4+1357.13+421.47</f>
        <v>13647.999999999998</v>
      </c>
      <c r="L15" s="77">
        <f>950.9+2451.87+3074.57+845.24+1977.86+1284.48+883.08+401.4+1357.13+421.47</f>
        <v>13647.999999999998</v>
      </c>
      <c r="M15" s="78">
        <f t="shared" si="1"/>
        <v>0</v>
      </c>
      <c r="N15" s="114">
        <f>1+2+1+2+1+1</f>
        <v>8</v>
      </c>
      <c r="O15" s="81">
        <f>422.62+945.61+2484.69+7964.81+1536.8+2498.17</f>
        <v>15852.699999999999</v>
      </c>
      <c r="P15" s="81">
        <f>422.62+945.61+2484.69+7964.81+1536.8+2498.17</f>
        <v>15852.699999999999</v>
      </c>
      <c r="Q15" s="79">
        <f t="shared" si="2"/>
        <v>0</v>
      </c>
    </row>
    <row r="16" spans="1:17" s="15" customFormat="1" x14ac:dyDescent="0.25">
      <c r="A16" s="229"/>
      <c r="B16" s="233" t="s">
        <v>153</v>
      </c>
      <c r="C16" s="181" t="s">
        <v>17</v>
      </c>
      <c r="D16" s="182"/>
      <c r="E16" s="183" t="s">
        <v>20</v>
      </c>
      <c r="F16" s="73" t="s">
        <v>452</v>
      </c>
      <c r="G16" s="230" t="s">
        <v>114</v>
      </c>
      <c r="H16" s="181">
        <v>15</v>
      </c>
      <c r="I16" s="231">
        <v>5</v>
      </c>
      <c r="J16" s="190">
        <v>5</v>
      </c>
      <c r="K16" s="77">
        <v>16581.29</v>
      </c>
      <c r="L16" s="77">
        <v>16581.29</v>
      </c>
      <c r="M16" s="78">
        <f t="shared" si="1"/>
        <v>0</v>
      </c>
      <c r="N16" s="100">
        <v>9</v>
      </c>
      <c r="O16" s="224">
        <v>23692.400000000001</v>
      </c>
      <c r="P16" s="224">
        <v>23692.400000000001</v>
      </c>
      <c r="Q16" s="232">
        <f t="shared" si="2"/>
        <v>0</v>
      </c>
    </row>
    <row r="17" spans="1:17" s="13" customFormat="1" x14ac:dyDescent="0.25">
      <c r="A17" s="229"/>
      <c r="B17" s="30" t="s">
        <v>22</v>
      </c>
      <c r="C17" s="181" t="s">
        <v>17</v>
      </c>
      <c r="D17" s="182"/>
      <c r="E17" s="183" t="s">
        <v>23</v>
      </c>
      <c r="F17" s="73" t="s">
        <v>325</v>
      </c>
      <c r="G17" s="74" t="s">
        <v>112</v>
      </c>
      <c r="H17" s="75">
        <v>49</v>
      </c>
      <c r="I17" s="76">
        <v>10</v>
      </c>
      <c r="J17" s="96">
        <f>1+2+1+9</f>
        <v>13</v>
      </c>
      <c r="K17" s="77">
        <f>2698.64+1402.33+11601.84+8586.48</f>
        <v>24289.29</v>
      </c>
      <c r="L17" s="77">
        <f>2698.64+1402.33+11601.84+8586.48</f>
        <v>24289.29</v>
      </c>
      <c r="M17" s="78">
        <f t="shared" si="1"/>
        <v>0</v>
      </c>
      <c r="N17" s="100">
        <f>14+3+7+1+1</f>
        <v>26</v>
      </c>
      <c r="O17" s="81">
        <f>22716.4+4171.06+18768.39+8172.47</f>
        <v>53828.320000000007</v>
      </c>
      <c r="P17" s="81">
        <f>22716.4+4171.06+18768.39+8172.47</f>
        <v>53828.320000000007</v>
      </c>
      <c r="Q17" s="79">
        <f t="shared" si="2"/>
        <v>0</v>
      </c>
    </row>
    <row r="18" spans="1:17" s="13" customFormat="1" x14ac:dyDescent="0.25">
      <c r="A18" s="229"/>
      <c r="B18" s="30" t="s">
        <v>154</v>
      </c>
      <c r="C18" s="181" t="s">
        <v>17</v>
      </c>
      <c r="D18" s="182"/>
      <c r="E18" s="183" t="s">
        <v>20</v>
      </c>
      <c r="F18" s="73" t="s">
        <v>453</v>
      </c>
      <c r="G18" s="230" t="s">
        <v>114</v>
      </c>
      <c r="H18" s="181">
        <v>33</v>
      </c>
      <c r="I18" s="234">
        <v>2</v>
      </c>
      <c r="J18" s="190">
        <v>2</v>
      </c>
      <c r="K18" s="193">
        <v>2938.2</v>
      </c>
      <c r="L18" s="193">
        <v>2938.2</v>
      </c>
      <c r="M18" s="78">
        <f t="shared" si="1"/>
        <v>0</v>
      </c>
      <c r="N18" s="114">
        <v>16</v>
      </c>
      <c r="O18" s="224">
        <v>41112.769999999997</v>
      </c>
      <c r="P18" s="224">
        <v>41112.769999999997</v>
      </c>
      <c r="Q18" s="232">
        <f t="shared" si="2"/>
        <v>0</v>
      </c>
    </row>
    <row r="19" spans="1:17" s="13" customFormat="1" x14ac:dyDescent="0.25">
      <c r="A19" s="229"/>
      <c r="B19" s="30" t="s">
        <v>154</v>
      </c>
      <c r="C19" s="181" t="s">
        <v>17</v>
      </c>
      <c r="D19" s="182"/>
      <c r="E19" s="183" t="s">
        <v>20</v>
      </c>
      <c r="F19" s="73" t="s">
        <v>326</v>
      </c>
      <c r="G19" s="74" t="s">
        <v>112</v>
      </c>
      <c r="H19" s="75">
        <v>25</v>
      </c>
      <c r="I19" s="76">
        <v>19</v>
      </c>
      <c r="J19" s="96">
        <f>1+1+2+2+2+6+1+4+1+2+2</f>
        <v>24</v>
      </c>
      <c r="K19" s="77">
        <f>950.9+864.46+845.24+405.02+739.59+6850.57+12952.58+883.08+2185.62</f>
        <v>26677.06</v>
      </c>
      <c r="L19" s="77">
        <f>950.9+864.46+845.24+405.02+739.59+6850.57+12952.58+883.08+2185.62</f>
        <v>26677.06</v>
      </c>
      <c r="M19" s="78">
        <f t="shared" si="1"/>
        <v>0</v>
      </c>
      <c r="N19" s="100">
        <f>6+3+1+1+1+2+1+1</f>
        <v>16</v>
      </c>
      <c r="O19" s="81">
        <f>6681.33+7017+1523.5+9094.74+3532.32</f>
        <v>27848.89</v>
      </c>
      <c r="P19" s="81">
        <f>6681.33+7017+1523.5+9094.74+3532.32</f>
        <v>27848.89</v>
      </c>
      <c r="Q19" s="79">
        <f t="shared" si="2"/>
        <v>0</v>
      </c>
    </row>
    <row r="20" spans="1:17" s="13" customFormat="1" x14ac:dyDescent="0.25">
      <c r="A20" s="229"/>
      <c r="B20" s="62" t="s">
        <v>24</v>
      </c>
      <c r="C20" s="181" t="s">
        <v>17</v>
      </c>
      <c r="D20" s="182"/>
      <c r="E20" s="183" t="s">
        <v>20</v>
      </c>
      <c r="F20" s="73" t="s">
        <v>327</v>
      </c>
      <c r="G20" s="74" t="s">
        <v>112</v>
      </c>
      <c r="H20" s="75">
        <v>7</v>
      </c>
      <c r="I20" s="76">
        <v>4</v>
      </c>
      <c r="J20" s="96">
        <f>3+1+1</f>
        <v>5</v>
      </c>
      <c r="K20" s="77">
        <f>1191.02</f>
        <v>1191.02</v>
      </c>
      <c r="L20" s="77">
        <f>1191.02</f>
        <v>1191.02</v>
      </c>
      <c r="M20" s="78">
        <f t="shared" si="1"/>
        <v>0</v>
      </c>
      <c r="N20" s="100">
        <f>1+1</f>
        <v>2</v>
      </c>
      <c r="O20" s="81">
        <f>576.3+1810.93</f>
        <v>2387.23</v>
      </c>
      <c r="P20" s="81">
        <f>576.3+1810.93</f>
        <v>2387.23</v>
      </c>
      <c r="Q20" s="232">
        <f t="shared" si="2"/>
        <v>0</v>
      </c>
    </row>
    <row r="21" spans="1:17" s="13" customFormat="1" x14ac:dyDescent="0.25">
      <c r="A21" s="229"/>
      <c r="B21" s="62" t="s">
        <v>24</v>
      </c>
      <c r="C21" s="181" t="s">
        <v>17</v>
      </c>
      <c r="D21" s="182"/>
      <c r="E21" s="183" t="s">
        <v>20</v>
      </c>
      <c r="F21" s="73" t="s">
        <v>454</v>
      </c>
      <c r="G21" s="230" t="s">
        <v>114</v>
      </c>
      <c r="H21" s="181">
        <v>14</v>
      </c>
      <c r="I21" s="231"/>
      <c r="J21" s="190"/>
      <c r="K21" s="77"/>
      <c r="L21" s="77"/>
      <c r="M21" s="78">
        <f t="shared" si="1"/>
        <v>0</v>
      </c>
      <c r="N21" s="100">
        <v>16</v>
      </c>
      <c r="O21" s="224">
        <v>35336.5</v>
      </c>
      <c r="P21" s="224">
        <v>35336.5</v>
      </c>
      <c r="Q21" s="232">
        <f t="shared" si="2"/>
        <v>0</v>
      </c>
    </row>
    <row r="22" spans="1:17" s="13" customFormat="1" x14ac:dyDescent="0.25">
      <c r="A22" s="229"/>
      <c r="B22" s="62" t="s">
        <v>25</v>
      </c>
      <c r="C22" s="181" t="s">
        <v>17</v>
      </c>
      <c r="D22" s="182"/>
      <c r="E22" s="183" t="s">
        <v>20</v>
      </c>
      <c r="F22" s="73" t="s">
        <v>328</v>
      </c>
      <c r="G22" s="74" t="s">
        <v>112</v>
      </c>
      <c r="H22" s="75">
        <v>14</v>
      </c>
      <c r="I22" s="76">
        <v>10</v>
      </c>
      <c r="J22" s="96">
        <f>1+1+1+1+1+1+1+2+1</f>
        <v>10</v>
      </c>
      <c r="K22" s="173">
        <f>403.41+1605.6+3697.9+1204.2+1092.81+3022.24+4486.05</f>
        <v>15512.21</v>
      </c>
      <c r="L22" s="173">
        <f>403.41+1605.6+3697.9+1204.2+1092.81+3022.24+4486.05</f>
        <v>15512.21</v>
      </c>
      <c r="M22" s="78">
        <f t="shared" si="1"/>
        <v>0</v>
      </c>
      <c r="N22" s="100">
        <f>6+1+2+2+1</f>
        <v>12</v>
      </c>
      <c r="O22" s="81">
        <f>14526.7+5595.3+2440.62+2839.24</f>
        <v>25401.86</v>
      </c>
      <c r="P22" s="81">
        <f>14526.7+5595.3+2440.62+2839.24</f>
        <v>25401.86</v>
      </c>
      <c r="Q22" s="232">
        <f t="shared" si="2"/>
        <v>0</v>
      </c>
    </row>
    <row r="23" spans="1:17" s="13" customFormat="1" x14ac:dyDescent="0.25">
      <c r="A23" s="229"/>
      <c r="B23" s="62" t="s">
        <v>25</v>
      </c>
      <c r="C23" s="181" t="s">
        <v>17</v>
      </c>
      <c r="D23" s="182"/>
      <c r="E23" s="183" t="s">
        <v>20</v>
      </c>
      <c r="F23" s="73" t="s">
        <v>455</v>
      </c>
      <c r="G23" s="230" t="s">
        <v>114</v>
      </c>
      <c r="H23" s="181">
        <v>6</v>
      </c>
      <c r="I23" s="231"/>
      <c r="J23" s="190">
        <f>1</f>
        <v>1</v>
      </c>
      <c r="K23" s="77"/>
      <c r="L23" s="77"/>
      <c r="M23" s="78">
        <f t="shared" si="1"/>
        <v>0</v>
      </c>
      <c r="N23" s="100">
        <v>3</v>
      </c>
      <c r="O23" s="224">
        <v>7219.8</v>
      </c>
      <c r="P23" s="224">
        <v>7219.8</v>
      </c>
      <c r="Q23" s="232">
        <f t="shared" si="2"/>
        <v>0</v>
      </c>
    </row>
    <row r="24" spans="1:17" s="13" customFormat="1" x14ac:dyDescent="0.25">
      <c r="A24" s="229"/>
      <c r="B24" s="62" t="s">
        <v>26</v>
      </c>
      <c r="C24" s="181" t="s">
        <v>17</v>
      </c>
      <c r="D24" s="182"/>
      <c r="E24" s="183" t="s">
        <v>27</v>
      </c>
      <c r="F24" s="73" t="s">
        <v>329</v>
      </c>
      <c r="G24" s="74" t="s">
        <v>112</v>
      </c>
      <c r="H24" s="75">
        <v>17</v>
      </c>
      <c r="I24" s="76">
        <v>15</v>
      </c>
      <c r="J24" s="96">
        <f>2+2+4+1+4+1+1+3</f>
        <v>18</v>
      </c>
      <c r="K24" s="77">
        <f>845.24+1056.55+5121.1+26225.35+422.62+16490.35+1457.08+1479.16+11270.02</f>
        <v>64367.47</v>
      </c>
      <c r="L24" s="77">
        <f>845.24+1056.55+5121.1+26225.35+422.62+16490.35+1457.08+1479.16+11270.02</f>
        <v>64367.47</v>
      </c>
      <c r="M24" s="78">
        <f t="shared" si="1"/>
        <v>0</v>
      </c>
      <c r="N24" s="100">
        <f>6+1+1+2+1+1</f>
        <v>12</v>
      </c>
      <c r="O24" s="81">
        <f>17838.53+2535.75+7238.9</f>
        <v>27613.18</v>
      </c>
      <c r="P24" s="81">
        <f>17838.53+2535.75+7238.9</f>
        <v>27613.18</v>
      </c>
      <c r="Q24" s="232">
        <f t="shared" si="2"/>
        <v>0</v>
      </c>
    </row>
    <row r="25" spans="1:17" s="15" customFormat="1" x14ac:dyDescent="0.25">
      <c r="A25" s="229"/>
      <c r="B25" s="62" t="s">
        <v>28</v>
      </c>
      <c r="C25" s="181" t="s">
        <v>17</v>
      </c>
      <c r="D25" s="182"/>
      <c r="E25" s="194" t="s">
        <v>29</v>
      </c>
      <c r="F25" s="73" t="s">
        <v>330</v>
      </c>
      <c r="G25" s="74" t="s">
        <v>112</v>
      </c>
      <c r="H25" s="75">
        <v>10</v>
      </c>
      <c r="I25" s="76">
        <v>10</v>
      </c>
      <c r="J25" s="96">
        <f>2+1+2+1+1+1+2</f>
        <v>10</v>
      </c>
      <c r="K25" s="77">
        <f>6135.14+2440.63+9722.07+968.96+2258.48+3607.78</f>
        <v>25133.059999999998</v>
      </c>
      <c r="L25" s="77">
        <f>6135.14+2440.63+9722.07+968.96+2258.48+3607.78</f>
        <v>25133.059999999998</v>
      </c>
      <c r="M25" s="78">
        <f t="shared" si="1"/>
        <v>0</v>
      </c>
      <c r="N25" s="100">
        <f>3+2+4+3+1+1</f>
        <v>14</v>
      </c>
      <c r="O25" s="81">
        <f>5310.83+4630.52+14679.01+36087.29+8956.5+10112.26+3030.29</f>
        <v>82806.699999999983</v>
      </c>
      <c r="P25" s="81">
        <f>5310.83+4630.52+14679.01+36087.29+8956.5+10112.26+3030.29</f>
        <v>82806.699999999983</v>
      </c>
      <c r="Q25" s="232">
        <f t="shared" si="2"/>
        <v>0</v>
      </c>
    </row>
    <row r="26" spans="1:17" s="15" customFormat="1" x14ac:dyDescent="0.25">
      <c r="A26" s="229"/>
      <c r="B26" s="62" t="s">
        <v>28</v>
      </c>
      <c r="C26" s="181" t="s">
        <v>17</v>
      </c>
      <c r="D26" s="182"/>
      <c r="E26" s="194" t="s">
        <v>29</v>
      </c>
      <c r="F26" s="73" t="s">
        <v>420</v>
      </c>
      <c r="G26" s="235" t="s">
        <v>117</v>
      </c>
      <c r="H26" s="181">
        <v>2</v>
      </c>
      <c r="I26" s="231"/>
      <c r="J26" s="96"/>
      <c r="K26" s="77"/>
      <c r="L26" s="77"/>
      <c r="M26" s="78">
        <f t="shared" si="1"/>
        <v>0</v>
      </c>
      <c r="N26" s="100">
        <v>2</v>
      </c>
      <c r="O26" s="224">
        <v>2766.24</v>
      </c>
      <c r="P26" s="224">
        <v>2766.24</v>
      </c>
      <c r="Q26" s="79">
        <f t="shared" si="2"/>
        <v>0</v>
      </c>
    </row>
    <row r="27" spans="1:17" s="15" customFormat="1" x14ac:dyDescent="0.25">
      <c r="A27" s="229"/>
      <c r="B27" s="233" t="s">
        <v>500</v>
      </c>
      <c r="C27" s="181" t="s">
        <v>17</v>
      </c>
      <c r="D27" s="182"/>
      <c r="E27" s="194"/>
      <c r="F27" s="73" t="s">
        <v>503</v>
      </c>
      <c r="G27" s="235" t="s">
        <v>112</v>
      </c>
      <c r="H27" s="181">
        <v>24</v>
      </c>
      <c r="I27" s="231">
        <v>15</v>
      </c>
      <c r="J27" s="96">
        <f>2+2+2+1+3+5+2+1</f>
        <v>18</v>
      </c>
      <c r="K27" s="77">
        <f>1202.51+3555.1+602.1+708.47+7232.25+1003.5+1938.63</f>
        <v>16242.560000000001</v>
      </c>
      <c r="L27" s="77">
        <f>1202.51+3555.1+602.1+708.47+7232.25+1003.5+1938.63</f>
        <v>16242.560000000001</v>
      </c>
      <c r="M27" s="78">
        <f t="shared" si="1"/>
        <v>0</v>
      </c>
      <c r="N27" s="100">
        <f>1</f>
        <v>1</v>
      </c>
      <c r="O27" s="224"/>
      <c r="P27" s="224"/>
      <c r="Q27" s="79">
        <f t="shared" si="2"/>
        <v>0</v>
      </c>
    </row>
    <row r="28" spans="1:17" s="13" customFormat="1" x14ac:dyDescent="0.25">
      <c r="A28" s="229"/>
      <c r="B28" s="27" t="s">
        <v>30</v>
      </c>
      <c r="C28" s="181" t="s">
        <v>17</v>
      </c>
      <c r="D28" s="182"/>
      <c r="E28" s="194" t="s">
        <v>21</v>
      </c>
      <c r="F28" s="73" t="s">
        <v>333</v>
      </c>
      <c r="G28" s="74" t="s">
        <v>112</v>
      </c>
      <c r="H28" s="75">
        <v>20</v>
      </c>
      <c r="I28" s="76">
        <v>14</v>
      </c>
      <c r="J28" s="96">
        <f>3+1+3+1+4+1+1+2+1+3</f>
        <v>20</v>
      </c>
      <c r="K28" s="77">
        <f>16637.24+1045.98+2789.73+1629.68+3146.97</f>
        <v>25249.600000000002</v>
      </c>
      <c r="L28" s="77">
        <f>16637.24+1045.98+2789.73+1629.68+3146.97</f>
        <v>25249.600000000002</v>
      </c>
      <c r="M28" s="78">
        <f t="shared" si="1"/>
        <v>0</v>
      </c>
      <c r="N28" s="100">
        <f>9+1+3+1+1+1+2+1+1+2+1+1</f>
        <v>24</v>
      </c>
      <c r="O28" s="81">
        <f>77047.8+15703.07+7288.94+1341.33+1730.62</f>
        <v>103111.76</v>
      </c>
      <c r="P28" s="81">
        <f>77047.8+15703.07+7288.94+1341.33+1730.62</f>
        <v>103111.76</v>
      </c>
      <c r="Q28" s="79">
        <f>O28-P28</f>
        <v>0</v>
      </c>
    </row>
    <row r="29" spans="1:17" s="13" customFormat="1" x14ac:dyDescent="0.25">
      <c r="A29" s="229"/>
      <c r="B29" s="27" t="s">
        <v>491</v>
      </c>
      <c r="C29" s="181" t="s">
        <v>17</v>
      </c>
      <c r="D29" s="182"/>
      <c r="E29" s="183" t="s">
        <v>20</v>
      </c>
      <c r="F29" s="73" t="s">
        <v>495</v>
      </c>
      <c r="G29" s="74" t="s">
        <v>112</v>
      </c>
      <c r="H29" s="75">
        <v>14</v>
      </c>
      <c r="I29" s="76">
        <v>8</v>
      </c>
      <c r="J29" s="96">
        <f>2+2+1+1+1+1</f>
        <v>8</v>
      </c>
      <c r="K29" s="77">
        <f>1727.9+2093.89+728.54+3535.53</f>
        <v>8085.8600000000006</v>
      </c>
      <c r="L29" s="77">
        <f>1727.9+2093.89+728.54+3535.53</f>
        <v>8085.8600000000006</v>
      </c>
      <c r="M29" s="78">
        <f t="shared" si="1"/>
        <v>0</v>
      </c>
      <c r="N29" s="100"/>
      <c r="O29" s="81"/>
      <c r="P29" s="81"/>
      <c r="Q29" s="79">
        <f t="shared" si="2"/>
        <v>0</v>
      </c>
    </row>
    <row r="30" spans="1:17" s="13" customFormat="1" x14ac:dyDescent="0.25">
      <c r="A30" s="229"/>
      <c r="B30" s="27" t="s">
        <v>491</v>
      </c>
      <c r="C30" s="181" t="s">
        <v>17</v>
      </c>
      <c r="D30" s="182"/>
      <c r="E30" s="183" t="s">
        <v>20</v>
      </c>
      <c r="F30" s="73" t="s">
        <v>504</v>
      </c>
      <c r="G30" s="74" t="s">
        <v>114</v>
      </c>
      <c r="H30" s="75">
        <v>7</v>
      </c>
      <c r="I30" s="76">
        <v>1</v>
      </c>
      <c r="J30" s="96">
        <v>1</v>
      </c>
      <c r="K30" s="77">
        <v>1267.8599999999999</v>
      </c>
      <c r="L30" s="77">
        <v>1267.8599999999999</v>
      </c>
      <c r="M30" s="78">
        <f t="shared" si="1"/>
        <v>0</v>
      </c>
      <c r="N30" s="100"/>
      <c r="O30" s="81"/>
      <c r="P30" s="81"/>
      <c r="Q30" s="232">
        <f t="shared" si="2"/>
        <v>0</v>
      </c>
    </row>
    <row r="31" spans="1:17" s="13" customFormat="1" x14ac:dyDescent="0.25">
      <c r="A31" s="229"/>
      <c r="B31" s="27" t="s">
        <v>491</v>
      </c>
      <c r="C31" s="181" t="s">
        <v>17</v>
      </c>
      <c r="D31" s="182"/>
      <c r="E31" s="183"/>
      <c r="F31" s="73" t="s">
        <v>510</v>
      </c>
      <c r="G31" s="235" t="s">
        <v>117</v>
      </c>
      <c r="H31" s="75">
        <v>1</v>
      </c>
      <c r="I31" s="76"/>
      <c r="J31" s="96"/>
      <c r="K31" s="77"/>
      <c r="L31" s="77"/>
      <c r="M31" s="78">
        <f t="shared" si="1"/>
        <v>0</v>
      </c>
      <c r="N31" s="100"/>
      <c r="O31" s="81"/>
      <c r="P31" s="81"/>
      <c r="Q31" s="232">
        <f t="shared" si="2"/>
        <v>0</v>
      </c>
    </row>
    <row r="32" spans="1:17" s="13" customFormat="1" x14ac:dyDescent="0.25">
      <c r="A32" s="229"/>
      <c r="B32" s="30" t="s">
        <v>31</v>
      </c>
      <c r="C32" s="181" t="s">
        <v>17</v>
      </c>
      <c r="D32" s="182"/>
      <c r="E32" s="183" t="s">
        <v>32</v>
      </c>
      <c r="F32" s="73" t="s">
        <v>331</v>
      </c>
      <c r="G32" s="74" t="s">
        <v>112</v>
      </c>
      <c r="H32" s="75">
        <v>16</v>
      </c>
      <c r="I32" s="76">
        <v>14</v>
      </c>
      <c r="J32" s="96">
        <f>1+2+3+1+4+3+3+3</f>
        <v>20</v>
      </c>
      <c r="K32" s="77">
        <f>633.93+1045.98+5377.62+950.9+6004.09+4598.82+8410.14+1846.04</f>
        <v>28867.52</v>
      </c>
      <c r="L32" s="77">
        <f>633.93+1045.98+5377.62+950.9+6004.09+4598.82+8410.14+1846.04</f>
        <v>28867.52</v>
      </c>
      <c r="M32" s="78">
        <f t="shared" si="1"/>
        <v>0</v>
      </c>
      <c r="N32" s="100">
        <f>1+3+3+1+1+2+1</f>
        <v>12</v>
      </c>
      <c r="O32" s="81">
        <f>2299.8+15239.58+6152.75+2720.49+1483.38+7043.49+11175.04</f>
        <v>46114.530000000006</v>
      </c>
      <c r="P32" s="81">
        <f>2299.8+15239.58+6152.75+2720.49+1483.38+7043.49+11175.04</f>
        <v>46114.530000000006</v>
      </c>
      <c r="Q32" s="232">
        <f t="shared" si="2"/>
        <v>0</v>
      </c>
    </row>
    <row r="33" spans="1:17" s="13" customFormat="1" x14ac:dyDescent="0.25">
      <c r="A33" s="229"/>
      <c r="B33" s="30" t="s">
        <v>31</v>
      </c>
      <c r="C33" s="181" t="s">
        <v>17</v>
      </c>
      <c r="D33" s="182"/>
      <c r="E33" s="183" t="s">
        <v>32</v>
      </c>
      <c r="F33" s="73" t="s">
        <v>422</v>
      </c>
      <c r="G33" s="235" t="s">
        <v>117</v>
      </c>
      <c r="H33" s="181">
        <v>15</v>
      </c>
      <c r="I33" s="231">
        <v>3</v>
      </c>
      <c r="J33" s="96">
        <v>3</v>
      </c>
      <c r="K33" s="77">
        <v>7586.5</v>
      </c>
      <c r="L33" s="77">
        <v>7586.5</v>
      </c>
      <c r="M33" s="78">
        <f t="shared" si="1"/>
        <v>0</v>
      </c>
      <c r="N33" s="100">
        <v>10</v>
      </c>
      <c r="O33" s="77">
        <v>21507.42</v>
      </c>
      <c r="P33" s="77">
        <v>21507.42</v>
      </c>
      <c r="Q33" s="232">
        <f t="shared" si="2"/>
        <v>0</v>
      </c>
    </row>
    <row r="34" spans="1:17" s="15" customFormat="1" x14ac:dyDescent="0.25">
      <c r="A34" s="229"/>
      <c r="B34" s="62" t="s">
        <v>33</v>
      </c>
      <c r="C34" s="181" t="s">
        <v>17</v>
      </c>
      <c r="D34" s="182"/>
      <c r="E34" s="183" t="s">
        <v>20</v>
      </c>
      <c r="F34" s="73" t="s">
        <v>332</v>
      </c>
      <c r="G34" s="74" t="s">
        <v>112</v>
      </c>
      <c r="H34" s="75">
        <v>11</v>
      </c>
      <c r="I34" s="76">
        <v>7</v>
      </c>
      <c r="J34" s="96">
        <f>1+1+1+1+1+2+1</f>
        <v>8</v>
      </c>
      <c r="K34" s="77">
        <f>845.245+5363.43+5912.72+845.24+12887.16+2852.15+6514.08</f>
        <v>35220.025000000001</v>
      </c>
      <c r="L34" s="77">
        <f>845.245+5363.43+5912.72+845.24+12887.16+2852.15+6514.08</f>
        <v>35220.025000000001</v>
      </c>
      <c r="M34" s="78">
        <f t="shared" si="1"/>
        <v>0</v>
      </c>
      <c r="N34" s="100">
        <f>2+1+1+1+1+2+1+1</f>
        <v>10</v>
      </c>
      <c r="O34" s="81">
        <f>845.24+1613.64+3380.96+3639.33+1152.6</f>
        <v>10631.77</v>
      </c>
      <c r="P34" s="81">
        <f>845.24+1613.64+3380.96+3639.33+1152.6</f>
        <v>10631.77</v>
      </c>
      <c r="Q34" s="79">
        <f t="shared" si="2"/>
        <v>0</v>
      </c>
    </row>
    <row r="35" spans="1:17" s="15" customFormat="1" x14ac:dyDescent="0.25">
      <c r="A35" s="229"/>
      <c r="B35" s="62" t="s">
        <v>33</v>
      </c>
      <c r="C35" s="181" t="s">
        <v>17</v>
      </c>
      <c r="D35" s="182"/>
      <c r="E35" s="183" t="s">
        <v>20</v>
      </c>
      <c r="F35" s="73" t="s">
        <v>481</v>
      </c>
      <c r="G35" s="230" t="s">
        <v>114</v>
      </c>
      <c r="H35" s="181">
        <v>7</v>
      </c>
      <c r="I35" s="231"/>
      <c r="J35" s="190"/>
      <c r="K35" s="77">
        <v>602.1</v>
      </c>
      <c r="L35" s="77">
        <v>602.1</v>
      </c>
      <c r="M35" s="78">
        <f t="shared" si="1"/>
        <v>0</v>
      </c>
      <c r="N35" s="100">
        <v>15</v>
      </c>
      <c r="O35" s="224">
        <v>43782.74</v>
      </c>
      <c r="P35" s="224">
        <v>43782.74</v>
      </c>
      <c r="Q35" s="232">
        <f t="shared" si="2"/>
        <v>0</v>
      </c>
    </row>
    <row r="36" spans="1:17" s="15" customFormat="1" x14ac:dyDescent="0.25">
      <c r="A36" s="229"/>
      <c r="B36" s="62" t="s">
        <v>147</v>
      </c>
      <c r="C36" s="181" t="s">
        <v>17</v>
      </c>
      <c r="D36" s="182"/>
      <c r="E36" s="183" t="s">
        <v>29</v>
      </c>
      <c r="F36" s="73" t="s">
        <v>334</v>
      </c>
      <c r="G36" s="74" t="s">
        <v>112</v>
      </c>
      <c r="H36" s="75">
        <v>9</v>
      </c>
      <c r="I36" s="234">
        <v>4</v>
      </c>
      <c r="J36" s="96">
        <f>1+1+2+1</f>
        <v>5</v>
      </c>
      <c r="K36" s="77">
        <f>1854.88+2824.48+3058.67</f>
        <v>7738.0300000000007</v>
      </c>
      <c r="L36" s="77">
        <f>1854.88+2824.48+3058.67</f>
        <v>7738.0300000000007</v>
      </c>
      <c r="M36" s="78">
        <f t="shared" si="1"/>
        <v>0</v>
      </c>
      <c r="N36" s="114">
        <f>1+1+1</f>
        <v>3</v>
      </c>
      <c r="O36" s="81">
        <f>1394.65+2473.17+1961.49</f>
        <v>5829.31</v>
      </c>
      <c r="P36" s="81">
        <f>1394.65+2473.17+1961.49</f>
        <v>5829.31</v>
      </c>
      <c r="Q36" s="79">
        <f t="shared" si="2"/>
        <v>0</v>
      </c>
    </row>
    <row r="37" spans="1:17" s="15" customFormat="1" x14ac:dyDescent="0.25">
      <c r="A37" s="229"/>
      <c r="B37" s="233" t="s">
        <v>147</v>
      </c>
      <c r="C37" s="181" t="s">
        <v>17</v>
      </c>
      <c r="D37" s="182"/>
      <c r="E37" s="183" t="s">
        <v>29</v>
      </c>
      <c r="F37" s="73" t="s">
        <v>423</v>
      </c>
      <c r="G37" s="230" t="s">
        <v>117</v>
      </c>
      <c r="H37" s="181">
        <v>8</v>
      </c>
      <c r="I37" s="231">
        <v>4</v>
      </c>
      <c r="J37" s="96">
        <v>4</v>
      </c>
      <c r="K37" s="77">
        <v>6847.1</v>
      </c>
      <c r="L37" s="77">
        <v>6847.1</v>
      </c>
      <c r="M37" s="78">
        <f t="shared" si="1"/>
        <v>0</v>
      </c>
      <c r="N37" s="100">
        <v>4</v>
      </c>
      <c r="O37" s="224">
        <v>4706.45</v>
      </c>
      <c r="P37" s="224">
        <v>4706.45</v>
      </c>
      <c r="Q37" s="232">
        <f t="shared" si="2"/>
        <v>0</v>
      </c>
    </row>
    <row r="38" spans="1:17" s="13" customFormat="1" x14ac:dyDescent="0.25">
      <c r="A38" s="229"/>
      <c r="B38" s="62" t="s">
        <v>34</v>
      </c>
      <c r="C38" s="181" t="s">
        <v>17</v>
      </c>
      <c r="D38" s="182"/>
      <c r="E38" s="194" t="s">
        <v>35</v>
      </c>
      <c r="F38" s="73" t="s">
        <v>335</v>
      </c>
      <c r="G38" s="74" t="s">
        <v>112</v>
      </c>
      <c r="H38" s="75">
        <v>32</v>
      </c>
      <c r="I38" s="76">
        <v>20</v>
      </c>
      <c r="J38" s="96">
        <f>4+2+2+7+4+1+1+2</f>
        <v>23</v>
      </c>
      <c r="K38" s="77">
        <f>8288.4+1267.86+845.24+13964.6+11418.26+21175.62+1092.81+2207.7</f>
        <v>60260.489999999991</v>
      </c>
      <c r="L38" s="77">
        <f>8288.4+1267.86+845.24+13964.6+11418.26+21175.62+1092.81+2207.7</f>
        <v>60260.489999999991</v>
      </c>
      <c r="M38" s="78">
        <f t="shared" si="1"/>
        <v>0</v>
      </c>
      <c r="N38" s="100">
        <f>4+4+6+1+3+1+3+1+2+1+1</f>
        <v>27</v>
      </c>
      <c r="O38" s="81">
        <f>23915.04+21171.88+6399.1+11460.81+1501.24+2795.71</f>
        <v>67243.78</v>
      </c>
      <c r="P38" s="81">
        <f>23915.04+21171.88+6399.1+11460.81+1501.24+2795.71</f>
        <v>67243.78</v>
      </c>
      <c r="Q38" s="79">
        <f t="shared" si="2"/>
        <v>0</v>
      </c>
    </row>
    <row r="39" spans="1:17" s="13" customFormat="1" x14ac:dyDescent="0.25">
      <c r="A39" s="229"/>
      <c r="B39" s="62" t="s">
        <v>34</v>
      </c>
      <c r="C39" s="181" t="s">
        <v>17</v>
      </c>
      <c r="D39" s="182"/>
      <c r="E39" s="194" t="s">
        <v>35</v>
      </c>
      <c r="F39" s="73" t="s">
        <v>424</v>
      </c>
      <c r="G39" s="235" t="s">
        <v>117</v>
      </c>
      <c r="H39" s="181">
        <v>2</v>
      </c>
      <c r="I39" s="231">
        <v>1</v>
      </c>
      <c r="J39" s="96">
        <v>2</v>
      </c>
      <c r="K39" s="77">
        <v>3842</v>
      </c>
      <c r="L39" s="77">
        <v>3842</v>
      </c>
      <c r="M39" s="78">
        <f t="shared" si="1"/>
        <v>0</v>
      </c>
      <c r="N39" s="100">
        <v>3</v>
      </c>
      <c r="O39" s="224">
        <v>9220.7999999999993</v>
      </c>
      <c r="P39" s="224">
        <v>9220.7999999999993</v>
      </c>
      <c r="Q39" s="232">
        <f t="shared" si="2"/>
        <v>0</v>
      </c>
    </row>
    <row r="40" spans="1:17" s="13" customFormat="1" x14ac:dyDescent="0.25">
      <c r="A40" s="229"/>
      <c r="B40" s="27" t="s">
        <v>36</v>
      </c>
      <c r="C40" s="181" t="s">
        <v>17</v>
      </c>
      <c r="D40" s="182"/>
      <c r="E40" s="194" t="s">
        <v>32</v>
      </c>
      <c r="F40" s="73" t="s">
        <v>336</v>
      </c>
      <c r="G40" s="74" t="s">
        <v>112</v>
      </c>
      <c r="H40" s="75">
        <v>28</v>
      </c>
      <c r="I40" s="76">
        <v>21</v>
      </c>
      <c r="J40" s="96">
        <f>1+3+4+2+2+7+6+2</f>
        <v>27</v>
      </c>
      <c r="K40" s="77">
        <f>2091.97+4201.22+3643.94+998.92+6188.59+7556.35</f>
        <v>24680.989999999998</v>
      </c>
      <c r="L40" s="77">
        <f>2091.97+4201.22+3643.94+998.92+6188.59+7556.35</f>
        <v>24680.989999999998</v>
      </c>
      <c r="M40" s="78">
        <f t="shared" si="1"/>
        <v>0</v>
      </c>
      <c r="N40" s="100">
        <f>4+2+5+1+1+4+1+1</f>
        <v>19</v>
      </c>
      <c r="O40" s="81">
        <f>26828.22+3116.2+14162+4691+13237.22+22342.31+1888.86</f>
        <v>86265.81</v>
      </c>
      <c r="P40" s="81">
        <f>26828.22+3116.2+14162+4691+13237.22+22342.31+1888.86</f>
        <v>86265.81</v>
      </c>
      <c r="Q40" s="79">
        <f t="shared" si="2"/>
        <v>0</v>
      </c>
    </row>
    <row r="41" spans="1:17" s="13" customFormat="1" x14ac:dyDescent="0.25">
      <c r="A41" s="229"/>
      <c r="B41" s="27" t="s">
        <v>38</v>
      </c>
      <c r="C41" s="181" t="s">
        <v>17</v>
      </c>
      <c r="D41" s="182"/>
      <c r="E41" s="183" t="s">
        <v>20</v>
      </c>
      <c r="F41" s="73" t="s">
        <v>338</v>
      </c>
      <c r="G41" s="74" t="s">
        <v>112</v>
      </c>
      <c r="H41" s="75">
        <v>42</v>
      </c>
      <c r="I41" s="76">
        <v>36</v>
      </c>
      <c r="J41" s="96">
        <f>5+9+3+4+4+2+3+3+11+3+4</f>
        <v>51</v>
      </c>
      <c r="K41" s="77">
        <f>4427.07+14262.52+23391.74+11108.38+9141.17+3923.07+23674.29+5445.61</f>
        <v>95373.849999999991</v>
      </c>
      <c r="L41" s="77">
        <f>4427.07+14262.52+23391.74+11108.38+9141.17+3923.07+23674.29+5445.61</f>
        <v>95373.849999999991</v>
      </c>
      <c r="M41" s="78">
        <f t="shared" si="1"/>
        <v>0</v>
      </c>
      <c r="N41" s="100">
        <f>1+14+2+2+2+3+1+1</f>
        <v>26</v>
      </c>
      <c r="O41" s="81">
        <f>34449.99+27363.78+23604.86+16739.26+15240.34+16003.48+4203.85</f>
        <v>137605.56</v>
      </c>
      <c r="P41" s="81">
        <f>34449.99+27363.78+23604.86+16739.26+15240.34+16003.48+4203.85</f>
        <v>137605.56</v>
      </c>
      <c r="Q41" s="79">
        <f t="shared" si="2"/>
        <v>0</v>
      </c>
    </row>
    <row r="42" spans="1:17" s="13" customFormat="1" x14ac:dyDescent="0.25">
      <c r="A42" s="229"/>
      <c r="B42" s="27" t="s">
        <v>38</v>
      </c>
      <c r="C42" s="181" t="s">
        <v>17</v>
      </c>
      <c r="D42" s="182"/>
      <c r="E42" s="183" t="s">
        <v>20</v>
      </c>
      <c r="F42" s="73" t="s">
        <v>268</v>
      </c>
      <c r="G42" s="230" t="s">
        <v>114</v>
      </c>
      <c r="H42" s="181"/>
      <c r="I42" s="231"/>
      <c r="J42" s="190"/>
      <c r="K42" s="77"/>
      <c r="L42" s="77"/>
      <c r="M42" s="78">
        <f t="shared" si="1"/>
        <v>0</v>
      </c>
      <c r="N42" s="100"/>
      <c r="O42" s="224"/>
      <c r="P42" s="224"/>
      <c r="Q42" s="232">
        <f t="shared" si="2"/>
        <v>0</v>
      </c>
    </row>
    <row r="43" spans="1:17" s="13" customFormat="1" x14ac:dyDescent="0.25">
      <c r="A43" s="229"/>
      <c r="B43" s="27" t="s">
        <v>38</v>
      </c>
      <c r="C43" s="181" t="s">
        <v>17</v>
      </c>
      <c r="D43" s="182"/>
      <c r="E43" s="183" t="s">
        <v>18</v>
      </c>
      <c r="F43" s="73" t="s">
        <v>324</v>
      </c>
      <c r="G43" s="230" t="s">
        <v>116</v>
      </c>
      <c r="H43" s="181">
        <v>3</v>
      </c>
      <c r="I43" s="231">
        <v>3</v>
      </c>
      <c r="J43" s="190">
        <v>3</v>
      </c>
      <c r="K43" s="77">
        <v>4098</v>
      </c>
      <c r="L43" s="77">
        <v>4098</v>
      </c>
      <c r="M43" s="78">
        <f t="shared" si="1"/>
        <v>0</v>
      </c>
      <c r="N43" s="100"/>
      <c r="O43" s="224"/>
      <c r="P43" s="224"/>
      <c r="Q43" s="232">
        <f t="shared" si="2"/>
        <v>0</v>
      </c>
    </row>
    <row r="44" spans="1:17" s="13" customFormat="1" x14ac:dyDescent="0.25">
      <c r="A44" s="229"/>
      <c r="B44" s="62" t="s">
        <v>39</v>
      </c>
      <c r="C44" s="181" t="s">
        <v>17</v>
      </c>
      <c r="D44" s="182"/>
      <c r="E44" s="183" t="s">
        <v>20</v>
      </c>
      <c r="F44" s="73" t="s">
        <v>269</v>
      </c>
      <c r="G44" s="230" t="s">
        <v>114</v>
      </c>
      <c r="H44" s="181"/>
      <c r="I44" s="231"/>
      <c r="J44" s="190"/>
      <c r="K44" s="77"/>
      <c r="L44" s="77"/>
      <c r="M44" s="78">
        <f t="shared" si="1"/>
        <v>0</v>
      </c>
      <c r="N44" s="100"/>
      <c r="O44" s="224"/>
      <c r="P44" s="224"/>
      <c r="Q44" s="232">
        <f t="shared" si="2"/>
        <v>0</v>
      </c>
    </row>
    <row r="45" spans="1:17" s="13" customFormat="1" x14ac:dyDescent="0.25">
      <c r="A45" s="229"/>
      <c r="B45" s="27" t="s">
        <v>40</v>
      </c>
      <c r="C45" s="181" t="s">
        <v>17</v>
      </c>
      <c r="D45" s="182"/>
      <c r="E45" s="194" t="s">
        <v>41</v>
      </c>
      <c r="F45" s="73" t="s">
        <v>339</v>
      </c>
      <c r="G45" s="74" t="s">
        <v>112</v>
      </c>
      <c r="H45" s="75">
        <v>26</v>
      </c>
      <c r="I45" s="76">
        <v>21</v>
      </c>
      <c r="J45" s="96">
        <f>1+1+3+9+4+4+3+2+1+1+2+3</f>
        <v>34</v>
      </c>
      <c r="K45" s="77">
        <f>1045.98+12271.86+15658.52+8166.35+6035.99+8024.36+2759.63+3460.61+3962.12+3444.02</f>
        <v>64829.439999999995</v>
      </c>
      <c r="L45" s="77">
        <f>1045.98+12271.86+15658.52+8166.35+6035.99+8024.36+2759.63+3460.61+3962.12+3444.02</f>
        <v>64829.439999999995</v>
      </c>
      <c r="M45" s="78">
        <f t="shared" si="1"/>
        <v>0</v>
      </c>
      <c r="N45" s="100">
        <f>3+13+6+5+4+2+1+1</f>
        <v>35</v>
      </c>
      <c r="O45" s="81">
        <f>17269.31+39990.78+16582.12+23492.44+7068.31+4243.84</f>
        <v>108646.79999999999</v>
      </c>
      <c r="P45" s="81">
        <f>17269.31+39990.78+16582.12+23492.44+7068.31+4243.84</f>
        <v>108646.79999999999</v>
      </c>
      <c r="Q45" s="79">
        <f t="shared" si="2"/>
        <v>0</v>
      </c>
    </row>
    <row r="46" spans="1:17" s="13" customFormat="1" x14ac:dyDescent="0.25">
      <c r="A46" s="229"/>
      <c r="B46" s="27" t="s">
        <v>40</v>
      </c>
      <c r="C46" s="181" t="s">
        <v>17</v>
      </c>
      <c r="D46" s="182"/>
      <c r="E46" s="194" t="s">
        <v>41</v>
      </c>
      <c r="F46" s="73" t="s">
        <v>482</v>
      </c>
      <c r="G46" s="230" t="s">
        <v>114</v>
      </c>
      <c r="H46" s="181"/>
      <c r="I46" s="231"/>
      <c r="J46" s="190"/>
      <c r="K46" s="77"/>
      <c r="L46" s="77"/>
      <c r="M46" s="78">
        <f t="shared" si="1"/>
        <v>0</v>
      </c>
      <c r="N46" s="100">
        <v>1</v>
      </c>
      <c r="O46" s="224">
        <v>3073.6</v>
      </c>
      <c r="P46" s="224">
        <f>3073.6</f>
        <v>3073.6</v>
      </c>
      <c r="Q46" s="232">
        <f t="shared" si="2"/>
        <v>0</v>
      </c>
    </row>
    <row r="47" spans="1:17" s="13" customFormat="1" x14ac:dyDescent="0.25">
      <c r="A47" s="229"/>
      <c r="B47" s="27" t="s">
        <v>148</v>
      </c>
      <c r="C47" s="181" t="s">
        <v>17</v>
      </c>
      <c r="D47" s="182"/>
      <c r="E47" s="183" t="s">
        <v>20</v>
      </c>
      <c r="F47" s="73" t="s">
        <v>340</v>
      </c>
      <c r="G47" s="74" t="s">
        <v>112</v>
      </c>
      <c r="H47" s="75">
        <v>19</v>
      </c>
      <c r="I47" s="82">
        <v>15</v>
      </c>
      <c r="J47" s="96">
        <f>1+2+1+4+4+2+3</f>
        <v>17</v>
      </c>
      <c r="K47" s="77">
        <f>537.88+2110.03+6723.98+8914.21+1204.2+602.1</f>
        <v>20092.399999999998</v>
      </c>
      <c r="L47" s="77">
        <f>537.88+2110.03+6723.98+8914.21+1204.2+602.1</f>
        <v>20092.399999999998</v>
      </c>
      <c r="M47" s="78">
        <f t="shared" si="1"/>
        <v>0</v>
      </c>
      <c r="N47" s="100">
        <f>6+5+3+1+1+1+1</f>
        <v>18</v>
      </c>
      <c r="O47" s="81">
        <f>9370.6+9456.38+8868.69+5367.27+11572.62</f>
        <v>44635.560000000005</v>
      </c>
      <c r="P47" s="81">
        <f>9370.6+9456.38+8868.69+5367.27+11572.62</f>
        <v>44635.560000000005</v>
      </c>
      <c r="Q47" s="79">
        <f t="shared" si="2"/>
        <v>0</v>
      </c>
    </row>
    <row r="48" spans="1:17" s="13" customFormat="1" x14ac:dyDescent="0.25">
      <c r="A48" s="229"/>
      <c r="B48" s="27" t="s">
        <v>148</v>
      </c>
      <c r="C48" s="181" t="s">
        <v>17</v>
      </c>
      <c r="D48" s="182"/>
      <c r="E48" s="194" t="s">
        <v>32</v>
      </c>
      <c r="F48" s="73" t="s">
        <v>425</v>
      </c>
      <c r="G48" s="230" t="s">
        <v>117</v>
      </c>
      <c r="H48" s="181">
        <v>11</v>
      </c>
      <c r="I48" s="231">
        <v>2</v>
      </c>
      <c r="J48" s="96">
        <v>2</v>
      </c>
      <c r="K48" s="77">
        <v>5760.1</v>
      </c>
      <c r="L48" s="77">
        <v>5760.1</v>
      </c>
      <c r="M48" s="78">
        <f t="shared" si="1"/>
        <v>0</v>
      </c>
      <c r="N48" s="100">
        <v>4</v>
      </c>
      <c r="O48" s="224">
        <v>12851.49</v>
      </c>
      <c r="P48" s="224">
        <v>12851.49</v>
      </c>
      <c r="Q48" s="232">
        <f t="shared" si="2"/>
        <v>0</v>
      </c>
    </row>
    <row r="49" spans="1:17" s="13" customFormat="1" x14ac:dyDescent="0.25">
      <c r="A49" s="229"/>
      <c r="B49" s="30" t="s">
        <v>42</v>
      </c>
      <c r="C49" s="181" t="s">
        <v>17</v>
      </c>
      <c r="D49" s="182"/>
      <c r="E49" s="183" t="s">
        <v>23</v>
      </c>
      <c r="F49" s="73" t="s">
        <v>341</v>
      </c>
      <c r="G49" s="74" t="s">
        <v>112</v>
      </c>
      <c r="H49" s="75">
        <v>36</v>
      </c>
      <c r="I49" s="76">
        <v>30</v>
      </c>
      <c r="J49" s="96">
        <f>5+3+5+3+8+3+8+5</f>
        <v>40</v>
      </c>
      <c r="K49" s="77">
        <f>7156.22+3849.11+8154.25+4149.36+15912.38+18649.91</f>
        <v>57871.229999999996</v>
      </c>
      <c r="L49" s="77">
        <f>7156.22+3849.11+8154.25+4149.36+15912.38+18649.91</f>
        <v>57871.229999999996</v>
      </c>
      <c r="M49" s="78">
        <f t="shared" si="1"/>
        <v>0</v>
      </c>
      <c r="N49" s="100">
        <f>4+6+9+2+4+2+2+3+3+2</f>
        <v>37</v>
      </c>
      <c r="O49" s="81">
        <f>5364.2+26170.88+2849.25+18965.6+9565.56+9423.5+18214.56</f>
        <v>90553.549999999988</v>
      </c>
      <c r="P49" s="81">
        <f>5364.2+26170.88+2849.25+18965.6+9565.56+9423.5+18214.56</f>
        <v>90553.549999999988</v>
      </c>
      <c r="Q49" s="79">
        <f t="shared" si="2"/>
        <v>0</v>
      </c>
    </row>
    <row r="50" spans="1:17" s="13" customFormat="1" x14ac:dyDescent="0.25">
      <c r="A50" s="229"/>
      <c r="B50" s="30" t="s">
        <v>42</v>
      </c>
      <c r="C50" s="181" t="s">
        <v>17</v>
      </c>
      <c r="D50" s="182"/>
      <c r="E50" s="183" t="s">
        <v>23</v>
      </c>
      <c r="F50" s="73" t="s">
        <v>437</v>
      </c>
      <c r="G50" s="230" t="s">
        <v>118</v>
      </c>
      <c r="H50" s="181">
        <v>2</v>
      </c>
      <c r="I50" s="231"/>
      <c r="J50" s="96"/>
      <c r="K50" s="77"/>
      <c r="L50" s="77"/>
      <c r="M50" s="78">
        <f t="shared" si="1"/>
        <v>0</v>
      </c>
      <c r="N50" s="100">
        <v>1</v>
      </c>
      <c r="O50" s="224">
        <v>7766.4</v>
      </c>
      <c r="P50" s="224">
        <v>7766.4</v>
      </c>
      <c r="Q50" s="232">
        <f t="shared" si="2"/>
        <v>0</v>
      </c>
    </row>
    <row r="51" spans="1:17" s="13" customFormat="1" x14ac:dyDescent="0.25">
      <c r="A51" s="229"/>
      <c r="B51" s="30" t="s">
        <v>173</v>
      </c>
      <c r="C51" s="181" t="s">
        <v>17</v>
      </c>
      <c r="D51" s="182"/>
      <c r="E51" s="230" t="s">
        <v>118</v>
      </c>
      <c r="F51" s="73" t="s">
        <v>342</v>
      </c>
      <c r="G51" s="74" t="s">
        <v>112</v>
      </c>
      <c r="H51" s="75">
        <v>4</v>
      </c>
      <c r="I51" s="76">
        <v>4</v>
      </c>
      <c r="J51" s="96">
        <f>1+2+1</f>
        <v>4</v>
      </c>
      <c r="K51" s="77">
        <f>6833.76+696.36</f>
        <v>7530.12</v>
      </c>
      <c r="L51" s="77">
        <f>6833.76+696.36</f>
        <v>7530.12</v>
      </c>
      <c r="M51" s="78">
        <f t="shared" si="1"/>
        <v>0</v>
      </c>
      <c r="N51" s="100">
        <f>4+2</f>
        <v>6</v>
      </c>
      <c r="O51" s="81">
        <f>5931.9+4183.92+3158.95</f>
        <v>13274.77</v>
      </c>
      <c r="P51" s="81">
        <f>5931.9+4183.92+3158.95</f>
        <v>13274.77</v>
      </c>
      <c r="Q51" s="79">
        <f t="shared" si="2"/>
        <v>0</v>
      </c>
    </row>
    <row r="52" spans="1:17" s="13" customFormat="1" x14ac:dyDescent="0.25">
      <c r="A52" s="229"/>
      <c r="B52" s="62" t="s">
        <v>143</v>
      </c>
      <c r="C52" s="181" t="s">
        <v>64</v>
      </c>
      <c r="D52" s="182" t="s">
        <v>444</v>
      </c>
      <c r="E52" s="183" t="s">
        <v>20</v>
      </c>
      <c r="F52" s="73" t="s">
        <v>445</v>
      </c>
      <c r="G52" s="230" t="s">
        <v>114</v>
      </c>
      <c r="H52" s="181">
        <v>25</v>
      </c>
      <c r="I52" s="234">
        <v>7</v>
      </c>
      <c r="J52" s="190">
        <v>7</v>
      </c>
      <c r="K52" s="193">
        <v>18650.8</v>
      </c>
      <c r="L52" s="193">
        <v>18650.8</v>
      </c>
      <c r="M52" s="78">
        <f t="shared" si="1"/>
        <v>0</v>
      </c>
      <c r="N52" s="114">
        <v>18</v>
      </c>
      <c r="O52" s="224">
        <v>27390.400000000001</v>
      </c>
      <c r="P52" s="224">
        <v>27390.400000000001</v>
      </c>
      <c r="Q52" s="232">
        <f t="shared" si="2"/>
        <v>0</v>
      </c>
    </row>
    <row r="53" spans="1:17" s="13" customFormat="1" x14ac:dyDescent="0.25">
      <c r="A53" s="229"/>
      <c r="B53" s="30" t="s">
        <v>158</v>
      </c>
      <c r="C53" s="181" t="s">
        <v>17</v>
      </c>
      <c r="D53" s="182"/>
      <c r="E53" s="194" t="s">
        <v>32</v>
      </c>
      <c r="F53" s="73" t="s">
        <v>426</v>
      </c>
      <c r="G53" s="230" t="s">
        <v>117</v>
      </c>
      <c r="H53" s="181">
        <v>12</v>
      </c>
      <c r="I53" s="234">
        <v>5</v>
      </c>
      <c r="J53" s="190">
        <v>6</v>
      </c>
      <c r="K53" s="193">
        <v>10870.84</v>
      </c>
      <c r="L53" s="193">
        <v>10870.84</v>
      </c>
      <c r="M53" s="78">
        <f t="shared" si="1"/>
        <v>0</v>
      </c>
      <c r="N53" s="114">
        <v>5</v>
      </c>
      <c r="O53" s="224">
        <v>16813.7</v>
      </c>
      <c r="P53" s="224">
        <v>16813.7</v>
      </c>
      <c r="Q53" s="232">
        <f t="shared" si="2"/>
        <v>0</v>
      </c>
    </row>
    <row r="54" spans="1:17" s="15" customFormat="1" x14ac:dyDescent="0.25">
      <c r="A54" s="229"/>
      <c r="B54" s="62" t="s">
        <v>43</v>
      </c>
      <c r="C54" s="181" t="s">
        <v>17</v>
      </c>
      <c r="D54" s="182"/>
      <c r="E54" s="183" t="s">
        <v>18</v>
      </c>
      <c r="F54" s="73" t="s">
        <v>344</v>
      </c>
      <c r="G54" s="74" t="s">
        <v>112</v>
      </c>
      <c r="H54" s="75">
        <v>31</v>
      </c>
      <c r="I54" s="76">
        <v>22</v>
      </c>
      <c r="J54" s="96">
        <f>1+2+2+5+2+3+2+3+3+3</f>
        <v>26</v>
      </c>
      <c r="K54" s="77">
        <f>1776.93+926.88+3328.29+3172.19+9832.29+3539.2</f>
        <v>22575.780000000002</v>
      </c>
      <c r="L54" s="77">
        <f>1776.93+926.88+3328.29+3172.19+9832.29+3539.2</f>
        <v>22575.780000000002</v>
      </c>
      <c r="M54" s="78">
        <f t="shared" si="1"/>
        <v>0</v>
      </c>
      <c r="N54" s="100">
        <f>1+5+4+1+1+1+1</f>
        <v>14</v>
      </c>
      <c r="O54" s="81">
        <f>1223.8+3810.29+4959.02+10043.87+2769.48+2146.91+11926.24-1465.64</f>
        <v>35413.97</v>
      </c>
      <c r="P54" s="81">
        <f>1223.8+3810.29+4959.02+10043.87+2769.48+2146.91+11926.24-1465.64</f>
        <v>35413.97</v>
      </c>
      <c r="Q54" s="79">
        <f t="shared" si="2"/>
        <v>0</v>
      </c>
    </row>
    <row r="55" spans="1:17" s="15" customFormat="1" ht="30" x14ac:dyDescent="0.25">
      <c r="A55" s="229"/>
      <c r="B55" s="62" t="s">
        <v>43</v>
      </c>
      <c r="C55" s="181" t="s">
        <v>304</v>
      </c>
      <c r="D55" s="182" t="s">
        <v>473</v>
      </c>
      <c r="E55" s="183" t="s">
        <v>18</v>
      </c>
      <c r="F55" s="73" t="s">
        <v>323</v>
      </c>
      <c r="G55" s="271" t="s">
        <v>116</v>
      </c>
      <c r="H55" s="181">
        <v>25</v>
      </c>
      <c r="I55" s="234">
        <v>19</v>
      </c>
      <c r="J55" s="98">
        <v>21</v>
      </c>
      <c r="K55" s="77">
        <v>26931</v>
      </c>
      <c r="L55" s="77">
        <v>26931</v>
      </c>
      <c r="M55" s="78">
        <f t="shared" si="1"/>
        <v>0</v>
      </c>
      <c r="N55" s="114">
        <v>18</v>
      </c>
      <c r="O55" s="224">
        <v>60535</v>
      </c>
      <c r="P55" s="224">
        <v>60535</v>
      </c>
      <c r="Q55" s="232">
        <f t="shared" si="2"/>
        <v>0</v>
      </c>
    </row>
    <row r="56" spans="1:17" s="13" customFormat="1" x14ac:dyDescent="0.25">
      <c r="A56" s="229"/>
      <c r="B56" s="30" t="s">
        <v>44</v>
      </c>
      <c r="C56" s="181" t="s">
        <v>17</v>
      </c>
      <c r="D56" s="182"/>
      <c r="E56" s="183" t="s">
        <v>20</v>
      </c>
      <c r="F56" s="73" t="s">
        <v>345</v>
      </c>
      <c r="G56" s="74" t="s">
        <v>112</v>
      </c>
      <c r="H56" s="75">
        <v>15</v>
      </c>
      <c r="I56" s="76">
        <v>9</v>
      </c>
      <c r="J56" s="96">
        <f>1+1+1+4+2+1</f>
        <v>10</v>
      </c>
      <c r="K56" s="77">
        <f>2422.38+1267.86+15410.58+1534.35+708.47</f>
        <v>21343.64</v>
      </c>
      <c r="L56" s="77">
        <f>2422.38+1267.86+15410.58+1534.35+708.47</f>
        <v>21343.64</v>
      </c>
      <c r="M56" s="78">
        <f t="shared" si="1"/>
        <v>0</v>
      </c>
      <c r="N56" s="100">
        <f>1+11</f>
        <v>12</v>
      </c>
      <c r="O56" s="81">
        <f>421.62+4603.39+10559.77+72902.04</f>
        <v>88486.819999999992</v>
      </c>
      <c r="P56" s="81">
        <f>421.62+4603.39+10559.77+72902.04</f>
        <v>88486.819999999992</v>
      </c>
      <c r="Q56" s="79">
        <f t="shared" si="2"/>
        <v>0</v>
      </c>
    </row>
    <row r="57" spans="1:17" s="13" customFormat="1" x14ac:dyDescent="0.25">
      <c r="A57" s="229"/>
      <c r="B57" s="30" t="s">
        <v>44</v>
      </c>
      <c r="C57" s="181" t="s">
        <v>17</v>
      </c>
      <c r="D57" s="182"/>
      <c r="E57" s="183" t="s">
        <v>20</v>
      </c>
      <c r="F57" s="73" t="s">
        <v>483</v>
      </c>
      <c r="G57" s="230" t="s">
        <v>114</v>
      </c>
      <c r="H57" s="181"/>
      <c r="I57" s="231"/>
      <c r="J57" s="190"/>
      <c r="K57" s="77"/>
      <c r="L57" s="77"/>
      <c r="M57" s="78">
        <f t="shared" si="1"/>
        <v>0</v>
      </c>
      <c r="N57" s="100">
        <v>2</v>
      </c>
      <c r="O57" s="224">
        <v>9934.7000000000007</v>
      </c>
      <c r="P57" s="224">
        <v>9934.7000000000007</v>
      </c>
      <c r="Q57" s="232">
        <f t="shared" si="2"/>
        <v>0</v>
      </c>
    </row>
    <row r="58" spans="1:17" s="13" customFormat="1" x14ac:dyDescent="0.25">
      <c r="A58" s="229"/>
      <c r="B58" s="30" t="s">
        <v>492</v>
      </c>
      <c r="C58" s="181" t="s">
        <v>17</v>
      </c>
      <c r="D58" s="182"/>
      <c r="E58" s="183" t="s">
        <v>20</v>
      </c>
      <c r="F58" s="73" t="s">
        <v>499</v>
      </c>
      <c r="G58" s="230" t="s">
        <v>112</v>
      </c>
      <c r="H58" s="181">
        <v>10</v>
      </c>
      <c r="I58" s="231">
        <v>8</v>
      </c>
      <c r="J58" s="190">
        <f>1+8</f>
        <v>9</v>
      </c>
      <c r="K58" s="77">
        <f>1044.98+2096.62</f>
        <v>3141.6</v>
      </c>
      <c r="L58" s="77">
        <f>1044.98+2096.62</f>
        <v>3141.6</v>
      </c>
      <c r="M58" s="78">
        <f t="shared" si="1"/>
        <v>0</v>
      </c>
      <c r="N58" s="100"/>
      <c r="O58" s="224"/>
      <c r="P58" s="224"/>
      <c r="Q58" s="79">
        <f t="shared" si="2"/>
        <v>0</v>
      </c>
    </row>
    <row r="59" spans="1:17" s="13" customFormat="1" x14ac:dyDescent="0.25">
      <c r="A59" s="229"/>
      <c r="B59" s="27" t="s">
        <v>45</v>
      </c>
      <c r="C59" s="181" t="s">
        <v>17</v>
      </c>
      <c r="D59" s="182"/>
      <c r="E59" s="183" t="s">
        <v>20</v>
      </c>
      <c r="F59" s="73" t="s">
        <v>346</v>
      </c>
      <c r="G59" s="74" t="s">
        <v>112</v>
      </c>
      <c r="H59" s="75"/>
      <c r="I59" s="76"/>
      <c r="J59" s="96"/>
      <c r="K59" s="77"/>
      <c r="L59" s="77"/>
      <c r="M59" s="78">
        <f t="shared" si="1"/>
        <v>0</v>
      </c>
      <c r="N59" s="100">
        <f>1</f>
        <v>1</v>
      </c>
      <c r="O59" s="81">
        <f>17995.91+2729.8</f>
        <v>20725.71</v>
      </c>
      <c r="P59" s="81">
        <f>17995.91+2729.8</f>
        <v>20725.71</v>
      </c>
      <c r="Q59" s="79">
        <f t="shared" si="2"/>
        <v>0</v>
      </c>
    </row>
    <row r="60" spans="1:17" s="13" customFormat="1" x14ac:dyDescent="0.25">
      <c r="A60" s="229"/>
      <c r="B60" s="27" t="s">
        <v>45</v>
      </c>
      <c r="C60" s="181" t="s">
        <v>17</v>
      </c>
      <c r="D60" s="182"/>
      <c r="E60" s="183" t="s">
        <v>20</v>
      </c>
      <c r="F60" s="73" t="s">
        <v>484</v>
      </c>
      <c r="G60" s="230" t="s">
        <v>114</v>
      </c>
      <c r="H60" s="181"/>
      <c r="I60" s="231"/>
      <c r="J60" s="190"/>
      <c r="K60" s="77"/>
      <c r="L60" s="77"/>
      <c r="M60" s="78">
        <f t="shared" si="1"/>
        <v>0</v>
      </c>
      <c r="N60" s="100"/>
      <c r="O60" s="224"/>
      <c r="P60" s="224"/>
      <c r="Q60" s="232">
        <f t="shared" si="2"/>
        <v>0</v>
      </c>
    </row>
    <row r="61" spans="1:17" s="15" customFormat="1" x14ac:dyDescent="0.25">
      <c r="A61" s="229"/>
      <c r="B61" s="27" t="s">
        <v>46</v>
      </c>
      <c r="C61" s="181" t="s">
        <v>17</v>
      </c>
      <c r="D61" s="182"/>
      <c r="E61" s="183" t="s">
        <v>20</v>
      </c>
      <c r="F61" s="73" t="s">
        <v>347</v>
      </c>
      <c r="G61" s="74" t="s">
        <v>112</v>
      </c>
      <c r="H61" s="75">
        <v>19</v>
      </c>
      <c r="I61" s="76">
        <v>16</v>
      </c>
      <c r="J61" s="96">
        <f>1+2+3+2+4+1+4+2+1+5+1+1</f>
        <v>27</v>
      </c>
      <c r="K61" s="77">
        <f>1045.98+1068.08+8157.32+1778.85+9152.67+11156.63+11271.63+1490.2+9025.41+10714.36</f>
        <v>64861.12999999999</v>
      </c>
      <c r="L61" s="77">
        <f>1045.98+1068.08+8157.32+1778.85+9152.67+11156.63+11271.63+1490.2+9025.41+10714.36</f>
        <v>64861.12999999999</v>
      </c>
      <c r="M61" s="78">
        <f t="shared" si="1"/>
        <v>0</v>
      </c>
      <c r="N61" s="100">
        <f>4+4+1+1+1+2</f>
        <v>13</v>
      </c>
      <c r="O61" s="81">
        <f>10759.2+10685.34+7362.04+22509.72</f>
        <v>51316.3</v>
      </c>
      <c r="P61" s="81">
        <f>10759.2+10685.34+7362.04+22509.72</f>
        <v>51316.3</v>
      </c>
      <c r="Q61" s="79">
        <f t="shared" si="2"/>
        <v>0</v>
      </c>
    </row>
    <row r="62" spans="1:17" s="15" customFormat="1" x14ac:dyDescent="0.25">
      <c r="A62" s="229"/>
      <c r="B62" s="27" t="s">
        <v>46</v>
      </c>
      <c r="C62" s="181" t="s">
        <v>17</v>
      </c>
      <c r="D62" s="182"/>
      <c r="E62" s="183" t="s">
        <v>20</v>
      </c>
      <c r="F62" s="73" t="s">
        <v>273</v>
      </c>
      <c r="G62" s="230" t="s">
        <v>114</v>
      </c>
      <c r="H62" s="181">
        <v>5</v>
      </c>
      <c r="I62" s="231">
        <v>1</v>
      </c>
      <c r="J62" s="190">
        <v>1</v>
      </c>
      <c r="K62" s="77">
        <v>576.29999999999995</v>
      </c>
      <c r="L62" s="77">
        <v>576.29999999999995</v>
      </c>
      <c r="M62" s="78">
        <f t="shared" si="1"/>
        <v>0</v>
      </c>
      <c r="N62" s="100">
        <v>3</v>
      </c>
      <c r="O62" s="224">
        <v>9356.9</v>
      </c>
      <c r="P62" s="224">
        <v>9356.9</v>
      </c>
      <c r="Q62" s="232">
        <f t="shared" si="2"/>
        <v>0</v>
      </c>
    </row>
    <row r="63" spans="1:17" s="13" customFormat="1" ht="45" x14ac:dyDescent="0.25">
      <c r="A63" s="229"/>
      <c r="B63" s="30" t="s">
        <v>47</v>
      </c>
      <c r="C63" s="181" t="s">
        <v>304</v>
      </c>
      <c r="D63" s="182" t="s">
        <v>474</v>
      </c>
      <c r="E63" s="183" t="s">
        <v>18</v>
      </c>
      <c r="F63" s="73" t="s">
        <v>348</v>
      </c>
      <c r="G63" s="74" t="s">
        <v>112</v>
      </c>
      <c r="H63" s="75">
        <v>51</v>
      </c>
      <c r="I63" s="76">
        <v>37</v>
      </c>
      <c r="J63" s="98">
        <f>1+1+3+21+7+2+5+2+7+15+14</f>
        <v>78</v>
      </c>
      <c r="K63" s="77">
        <f>30728.27+19236.99+22614.7+52735.68</f>
        <v>125315.64000000001</v>
      </c>
      <c r="L63" s="77">
        <f>30728.27+19236.99+22614.7+52735.68</f>
        <v>125315.64000000001</v>
      </c>
      <c r="M63" s="78">
        <f t="shared" si="1"/>
        <v>0</v>
      </c>
      <c r="N63" s="100">
        <f>7+3+4+10+6+1+2+1+3+2</f>
        <v>39</v>
      </c>
      <c r="O63" s="81">
        <f>8477.51+15159.83+14079.46+15414.2+17995.91+2065.56+1859.53+9543.86+1728.53+14526.84</f>
        <v>100851.23</v>
      </c>
      <c r="P63" s="81">
        <f>8477.51+15159.83+14079.46+15414.2+17995.91+2065.56+1859.53+9543.86+1728.53+14526.84</f>
        <v>100851.23</v>
      </c>
      <c r="Q63" s="79">
        <f t="shared" si="2"/>
        <v>0</v>
      </c>
    </row>
    <row r="64" spans="1:17" s="13" customFormat="1" ht="45" x14ac:dyDescent="0.25">
      <c r="A64" s="229"/>
      <c r="B64" s="62" t="s">
        <v>120</v>
      </c>
      <c r="C64" s="181" t="s">
        <v>304</v>
      </c>
      <c r="D64" s="182" t="s">
        <v>474</v>
      </c>
      <c r="E64" s="183" t="s">
        <v>18</v>
      </c>
      <c r="F64" s="73" t="s">
        <v>334</v>
      </c>
      <c r="G64" s="230" t="s">
        <v>116</v>
      </c>
      <c r="H64" s="181">
        <v>30</v>
      </c>
      <c r="I64" s="234">
        <v>17</v>
      </c>
      <c r="J64" s="98">
        <v>20</v>
      </c>
      <c r="K64" s="77">
        <v>37956</v>
      </c>
      <c r="L64" s="77">
        <v>37956</v>
      </c>
      <c r="M64" s="78">
        <f t="shared" si="1"/>
        <v>0</v>
      </c>
      <c r="N64" s="100">
        <v>15</v>
      </c>
      <c r="O64" s="224">
        <v>60831</v>
      </c>
      <c r="P64" s="224">
        <v>60831</v>
      </c>
      <c r="Q64" s="232">
        <f t="shared" si="2"/>
        <v>0</v>
      </c>
    </row>
    <row r="65" spans="1:17" s="13" customFormat="1" x14ac:dyDescent="0.25">
      <c r="A65" s="229"/>
      <c r="B65" s="30" t="s">
        <v>134</v>
      </c>
      <c r="C65" s="181" t="s">
        <v>17</v>
      </c>
      <c r="D65" s="182"/>
      <c r="E65" s="183" t="s">
        <v>20</v>
      </c>
      <c r="F65" s="73" t="s">
        <v>349</v>
      </c>
      <c r="G65" s="74" t="s">
        <v>112</v>
      </c>
      <c r="H65" s="75">
        <v>21</v>
      </c>
      <c r="I65" s="76">
        <v>20</v>
      </c>
      <c r="J65" s="96">
        <f>1+4+1+1+2+1+1+7+1</f>
        <v>19</v>
      </c>
      <c r="K65" s="77">
        <f>7301.48+1473.89+1911.09+1690.48+845.24+6268.51+441.51+1983.45+3361.83+883.11+2668.51+2972.45</f>
        <v>31801.55</v>
      </c>
      <c r="L65" s="77">
        <f>7301.48+1473.89+1911.09+1690.48+845.24+6268.51+441.51+1983.45+3361.83+883.11+2668.51+2972.45</f>
        <v>31801.55</v>
      </c>
      <c r="M65" s="78">
        <f t="shared" si="1"/>
        <v>0</v>
      </c>
      <c r="N65" s="100">
        <f>4+1+1+1+1+1</f>
        <v>9</v>
      </c>
      <c r="O65" s="81">
        <f>5020.05+3215.31+12312.39+4648.82+32425.98+7889.42+3294.46</f>
        <v>68806.430000000008</v>
      </c>
      <c r="P65" s="81">
        <f>5020.05+3215.31+12312.39+4648.82+32425.98+7889.42+3294.46</f>
        <v>68806.430000000008</v>
      </c>
      <c r="Q65" s="79">
        <f t="shared" si="2"/>
        <v>0</v>
      </c>
    </row>
    <row r="66" spans="1:17" s="13" customFormat="1" x14ac:dyDescent="0.25">
      <c r="A66" s="229"/>
      <c r="B66" s="30" t="s">
        <v>134</v>
      </c>
      <c r="C66" s="181" t="s">
        <v>17</v>
      </c>
      <c r="D66" s="182"/>
      <c r="E66" s="183" t="s">
        <v>20</v>
      </c>
      <c r="F66" s="73" t="s">
        <v>456</v>
      </c>
      <c r="G66" s="230" t="s">
        <v>114</v>
      </c>
      <c r="H66" s="181">
        <v>21</v>
      </c>
      <c r="I66" s="231">
        <v>7</v>
      </c>
      <c r="J66" s="190">
        <v>7</v>
      </c>
      <c r="K66" s="77">
        <v>17181.12</v>
      </c>
      <c r="L66" s="77">
        <v>17181.12</v>
      </c>
      <c r="M66" s="78">
        <f t="shared" si="1"/>
        <v>0</v>
      </c>
      <c r="N66" s="100">
        <v>27</v>
      </c>
      <c r="O66" s="224">
        <v>61494.8</v>
      </c>
      <c r="P66" s="224">
        <v>61494.8</v>
      </c>
      <c r="Q66" s="232">
        <f t="shared" si="2"/>
        <v>0</v>
      </c>
    </row>
    <row r="67" spans="1:17" s="13" customFormat="1" x14ac:dyDescent="0.25">
      <c r="A67" s="229"/>
      <c r="B67" s="62" t="s">
        <v>48</v>
      </c>
      <c r="C67" s="181" t="s">
        <v>17</v>
      </c>
      <c r="D67" s="182"/>
      <c r="E67" s="183" t="s">
        <v>20</v>
      </c>
      <c r="F67" s="73" t="s">
        <v>350</v>
      </c>
      <c r="G67" s="74" t="s">
        <v>112</v>
      </c>
      <c r="H67" s="75">
        <v>19</v>
      </c>
      <c r="I67" s="76">
        <v>11</v>
      </c>
      <c r="J67" s="96">
        <f>1+1+2+1+3+2</f>
        <v>10</v>
      </c>
      <c r="K67" s="77">
        <f>4805.96+2585.78+3065.92+2588.55+14407.5+9289.05+3030.73+11469.98</f>
        <v>51243.47</v>
      </c>
      <c r="L67" s="77">
        <f>4805.96+2585.78+3065.92+2588.55+14407.5+9289.05+3030.73+11469.98</f>
        <v>51243.47</v>
      </c>
      <c r="M67" s="78">
        <f t="shared" si="1"/>
        <v>0</v>
      </c>
      <c r="N67" s="100">
        <f>2+1+2+1+3</f>
        <v>9</v>
      </c>
      <c r="O67" s="81">
        <f>23174.33+2535.72+11633.02+6993.42+20756.4</f>
        <v>65092.890000000007</v>
      </c>
      <c r="P67" s="81">
        <f>23174.33+2535.72+11633.02+6993.42+20756.4</f>
        <v>65092.890000000007</v>
      </c>
      <c r="Q67" s="79">
        <f t="shared" si="2"/>
        <v>0</v>
      </c>
    </row>
    <row r="68" spans="1:17" s="13" customFormat="1" x14ac:dyDescent="0.25">
      <c r="A68" s="229"/>
      <c r="B68" s="62" t="s">
        <v>49</v>
      </c>
      <c r="C68" s="181" t="s">
        <v>17</v>
      </c>
      <c r="D68" s="182"/>
      <c r="E68" s="183" t="s">
        <v>50</v>
      </c>
      <c r="F68" s="73" t="s">
        <v>351</v>
      </c>
      <c r="G68" s="74" t="s">
        <v>112</v>
      </c>
      <c r="H68" s="75">
        <v>29</v>
      </c>
      <c r="I68" s="76">
        <v>19</v>
      </c>
      <c r="J68" s="96">
        <f>1+4+8+6+5+1</f>
        <v>25</v>
      </c>
      <c r="K68" s="77">
        <f>525.65+1267.86+6544.72+13939.57+2896.54+9712.48+14471.86+991.75</f>
        <v>50350.43</v>
      </c>
      <c r="L68" s="77">
        <f>525.65+1267.86+6544.72+13939.57+2896.54+9712.48+14471.86+991.75</f>
        <v>50350.43</v>
      </c>
      <c r="M68" s="78">
        <f t="shared" si="1"/>
        <v>0</v>
      </c>
      <c r="N68" s="100">
        <f>5+1+3+1+1</f>
        <v>11</v>
      </c>
      <c r="O68" s="81">
        <f>7374+1806.93+7275.53+4666.9+2684.03+6682.03+10412.84</f>
        <v>40902.259999999995</v>
      </c>
      <c r="P68" s="81">
        <f>7374+1806.93+7275.53+4666.9+2684.03+6682.03+10412.84</f>
        <v>40902.259999999995</v>
      </c>
      <c r="Q68" s="232">
        <f t="shared" si="2"/>
        <v>0</v>
      </c>
    </row>
    <row r="69" spans="1:17" s="13" customFormat="1" x14ac:dyDescent="0.25">
      <c r="A69" s="229"/>
      <c r="B69" s="62" t="s">
        <v>49</v>
      </c>
      <c r="C69" s="181" t="s">
        <v>17</v>
      </c>
      <c r="D69" s="182"/>
      <c r="E69" s="183" t="s">
        <v>50</v>
      </c>
      <c r="F69" s="73" t="s">
        <v>427</v>
      </c>
      <c r="G69" s="230" t="s">
        <v>115</v>
      </c>
      <c r="H69" s="181">
        <v>15</v>
      </c>
      <c r="I69" s="231">
        <v>6</v>
      </c>
      <c r="J69" s="96">
        <v>6</v>
      </c>
      <c r="K69" s="77">
        <v>13535.63</v>
      </c>
      <c r="L69" s="77">
        <v>13535.63</v>
      </c>
      <c r="M69" s="78">
        <f t="shared" si="1"/>
        <v>0</v>
      </c>
      <c r="N69" s="100">
        <v>10</v>
      </c>
      <c r="O69" s="224">
        <v>17660.3</v>
      </c>
      <c r="P69" s="224">
        <v>17660.3</v>
      </c>
      <c r="Q69" s="79">
        <f t="shared" si="2"/>
        <v>0</v>
      </c>
    </row>
    <row r="70" spans="1:17" s="13" customFormat="1" x14ac:dyDescent="0.25">
      <c r="A70" s="229"/>
      <c r="B70" s="27" t="s">
        <v>51</v>
      </c>
      <c r="C70" s="181" t="s">
        <v>17</v>
      </c>
      <c r="D70" s="182"/>
      <c r="E70" s="183" t="s">
        <v>20</v>
      </c>
      <c r="F70" s="73" t="s">
        <v>186</v>
      </c>
      <c r="G70" s="74" t="s">
        <v>112</v>
      </c>
      <c r="H70" s="75"/>
      <c r="I70" s="76"/>
      <c r="J70" s="96"/>
      <c r="K70" s="77"/>
      <c r="L70" s="77"/>
      <c r="M70" s="78">
        <f t="shared" si="1"/>
        <v>0</v>
      </c>
      <c r="N70" s="100">
        <f>1</f>
        <v>1</v>
      </c>
      <c r="O70" s="81">
        <v>2451.87</v>
      </c>
      <c r="P70" s="81">
        <v>2451.87</v>
      </c>
      <c r="Q70" s="232">
        <f t="shared" si="2"/>
        <v>0</v>
      </c>
    </row>
    <row r="71" spans="1:17" s="13" customFormat="1" x14ac:dyDescent="0.25">
      <c r="A71" s="229"/>
      <c r="B71" s="27" t="s">
        <v>51</v>
      </c>
      <c r="C71" s="181" t="s">
        <v>17</v>
      </c>
      <c r="D71" s="182"/>
      <c r="E71" s="183" t="s">
        <v>20</v>
      </c>
      <c r="F71" s="73" t="s">
        <v>276</v>
      </c>
      <c r="G71" s="230" t="s">
        <v>114</v>
      </c>
      <c r="H71" s="181"/>
      <c r="I71" s="231"/>
      <c r="J71" s="190"/>
      <c r="K71" s="77"/>
      <c r="L71" s="77"/>
      <c r="M71" s="78">
        <f t="shared" si="1"/>
        <v>0</v>
      </c>
      <c r="N71" s="100">
        <v>3</v>
      </c>
      <c r="O71" s="224">
        <v>6763.6</v>
      </c>
      <c r="P71" s="224">
        <v>6763.6</v>
      </c>
      <c r="Q71" s="232">
        <f t="shared" si="2"/>
        <v>0</v>
      </c>
    </row>
    <row r="72" spans="1:17" s="13" customFormat="1" x14ac:dyDescent="0.25">
      <c r="A72" s="229"/>
      <c r="B72" s="62" t="s">
        <v>52</v>
      </c>
      <c r="C72" s="181" t="s">
        <v>17</v>
      </c>
      <c r="D72" s="182"/>
      <c r="E72" s="183" t="s">
        <v>20</v>
      </c>
      <c r="F72" s="73" t="s">
        <v>352</v>
      </c>
      <c r="G72" s="74" t="s">
        <v>112</v>
      </c>
      <c r="H72" s="75">
        <v>15</v>
      </c>
      <c r="I72" s="76">
        <v>9</v>
      </c>
      <c r="J72" s="96">
        <f>1+1+1+1+2+3+1+1+1</f>
        <v>12</v>
      </c>
      <c r="K72" s="77">
        <f>10714.2+2747.14+2138.07+6709.4+7033.21+883.08+708.47</f>
        <v>30933.57</v>
      </c>
      <c r="L72" s="77">
        <f>10714.2+2747.14+2138.07+6709.4+7033.21+883.08+708.47</f>
        <v>30933.57</v>
      </c>
      <c r="M72" s="78">
        <f t="shared" si="1"/>
        <v>0</v>
      </c>
      <c r="N72" s="100">
        <f>4+3+1+1+2+3+1+1+2</f>
        <v>18</v>
      </c>
      <c r="O72" s="81">
        <f>5977.15+48296.91+7596.86+1061.83+8902.9+6856.31+2935.36+8136.06</f>
        <v>89763.38</v>
      </c>
      <c r="P72" s="81">
        <f>5977.15+48296.91+7596.86+1061.83+8902.9+6856.31+2935.36+8136.06</f>
        <v>89763.38</v>
      </c>
      <c r="Q72" s="232">
        <f t="shared" si="2"/>
        <v>0</v>
      </c>
    </row>
    <row r="73" spans="1:17" s="13" customFormat="1" x14ac:dyDescent="0.25">
      <c r="A73" s="229"/>
      <c r="B73" s="62" t="s">
        <v>52</v>
      </c>
      <c r="C73" s="181" t="s">
        <v>17</v>
      </c>
      <c r="D73" s="182"/>
      <c r="E73" s="183" t="s">
        <v>20</v>
      </c>
      <c r="F73" s="73" t="s">
        <v>457</v>
      </c>
      <c r="G73" s="230" t="s">
        <v>114</v>
      </c>
      <c r="H73" s="181">
        <v>14</v>
      </c>
      <c r="I73" s="231">
        <v>4</v>
      </c>
      <c r="J73" s="190">
        <v>4</v>
      </c>
      <c r="K73" s="77">
        <v>11041.4</v>
      </c>
      <c r="L73" s="77">
        <v>11041.4</v>
      </c>
      <c r="M73" s="78">
        <f t="shared" si="1"/>
        <v>0</v>
      </c>
      <c r="N73" s="100">
        <v>21</v>
      </c>
      <c r="O73" s="264">
        <v>57984.82</v>
      </c>
      <c r="P73" s="264">
        <v>57984.82</v>
      </c>
      <c r="Q73" s="232">
        <f t="shared" si="2"/>
        <v>0</v>
      </c>
    </row>
    <row r="74" spans="1:17" s="13" customFormat="1" x14ac:dyDescent="0.25">
      <c r="A74" s="229"/>
      <c r="B74" s="27" t="s">
        <v>53</v>
      </c>
      <c r="C74" s="181" t="s">
        <v>17</v>
      </c>
      <c r="D74" s="182"/>
      <c r="E74" s="183" t="s">
        <v>20</v>
      </c>
      <c r="F74" s="73" t="s">
        <v>353</v>
      </c>
      <c r="G74" s="74" t="s">
        <v>112</v>
      </c>
      <c r="H74" s="75">
        <v>13</v>
      </c>
      <c r="I74" s="76">
        <v>10</v>
      </c>
      <c r="J74" s="96">
        <f>2+2+2+1+2+1+1</f>
        <v>11</v>
      </c>
      <c r="K74" s="77">
        <f>3655.66+6862.24+2535.72+3550.85+401.4</f>
        <v>17005.87</v>
      </c>
      <c r="L74" s="77">
        <f>3655.66+6862.24+2535.72+3550.85+401.4</f>
        <v>17005.87</v>
      </c>
      <c r="M74" s="78">
        <f t="shared" si="1"/>
        <v>0</v>
      </c>
      <c r="N74" s="100">
        <f>1+2+2+1+1+1</f>
        <v>8</v>
      </c>
      <c r="O74" s="81">
        <f>1743.3+3921.71+422.62+5626.45+37901.04</f>
        <v>49615.12</v>
      </c>
      <c r="P74" s="81">
        <f>1743.3+3921.71+422.62+5626.45+37901.04</f>
        <v>49615.12</v>
      </c>
      <c r="Q74" s="232">
        <f t="shared" si="2"/>
        <v>0</v>
      </c>
    </row>
    <row r="75" spans="1:17" s="13" customFormat="1" x14ac:dyDescent="0.25">
      <c r="A75" s="229"/>
      <c r="B75" s="27" t="s">
        <v>149</v>
      </c>
      <c r="C75" s="181" t="s">
        <v>17</v>
      </c>
      <c r="D75" s="182"/>
      <c r="E75" s="183" t="s">
        <v>383</v>
      </c>
      <c r="F75" s="73" t="s">
        <v>354</v>
      </c>
      <c r="G75" s="74" t="s">
        <v>112</v>
      </c>
      <c r="H75" s="75">
        <v>39</v>
      </c>
      <c r="I75" s="76">
        <v>12</v>
      </c>
      <c r="J75" s="96">
        <f>7+3+3</f>
        <v>13</v>
      </c>
      <c r="K75" s="77">
        <f>7743.07+4386.1+10376.2</f>
        <v>22505.370000000003</v>
      </c>
      <c r="L75" s="77">
        <f>7743.07+4386.1+10376.2</f>
        <v>22505.370000000003</v>
      </c>
      <c r="M75" s="78">
        <f t="shared" ref="M75:M138" si="3">K75-L75</f>
        <v>0</v>
      </c>
      <c r="N75" s="100">
        <f>2+2+2+1</f>
        <v>7</v>
      </c>
      <c r="O75" s="81">
        <f>3676.8+3431.65+6320.35+4068.03</f>
        <v>17496.830000000002</v>
      </c>
      <c r="P75" s="81">
        <f>3676.8+3431.65+6320.35+4068.03</f>
        <v>17496.830000000002</v>
      </c>
      <c r="Q75" s="79">
        <f t="shared" si="2"/>
        <v>0</v>
      </c>
    </row>
    <row r="76" spans="1:17" s="13" customFormat="1" x14ac:dyDescent="0.25">
      <c r="A76" s="229"/>
      <c r="B76" s="27" t="s">
        <v>149</v>
      </c>
      <c r="C76" s="181" t="s">
        <v>17</v>
      </c>
      <c r="D76" s="182"/>
      <c r="E76" s="183" t="s">
        <v>383</v>
      </c>
      <c r="F76" s="73" t="s">
        <v>438</v>
      </c>
      <c r="G76" s="230" t="s">
        <v>118</v>
      </c>
      <c r="H76" s="181">
        <v>16</v>
      </c>
      <c r="I76" s="234">
        <v>1</v>
      </c>
      <c r="J76" s="190">
        <v>1</v>
      </c>
      <c r="K76" s="193">
        <v>576.29999999999995</v>
      </c>
      <c r="L76" s="193">
        <v>576.29999999999995</v>
      </c>
      <c r="M76" s="78">
        <f t="shared" si="3"/>
        <v>0</v>
      </c>
      <c r="N76" s="114">
        <v>7</v>
      </c>
      <c r="O76" s="224">
        <v>9835.52</v>
      </c>
      <c r="P76" s="224">
        <v>9835.52</v>
      </c>
      <c r="Q76" s="232">
        <f t="shared" si="2"/>
        <v>0</v>
      </c>
    </row>
    <row r="77" spans="1:17" s="13" customFormat="1" x14ac:dyDescent="0.25">
      <c r="A77" s="229"/>
      <c r="B77" s="62" t="s">
        <v>107</v>
      </c>
      <c r="C77" s="181" t="s">
        <v>17</v>
      </c>
      <c r="D77" s="182"/>
      <c r="E77" s="194" t="s">
        <v>20</v>
      </c>
      <c r="F77" s="73" t="s">
        <v>355</v>
      </c>
      <c r="G77" s="74" t="s">
        <v>112</v>
      </c>
      <c r="H77" s="75">
        <v>13</v>
      </c>
      <c r="I77" s="76">
        <v>8</v>
      </c>
      <c r="J77" s="96">
        <f>1+3+3+2+1</f>
        <v>10</v>
      </c>
      <c r="K77" s="77">
        <f>666.63+7071.2+5333.38+13316.37+23091.24+4686.95+2216.53</f>
        <v>56382.3</v>
      </c>
      <c r="L77" s="77">
        <f>666.63+7071.2+5333.38+13316.37+23091.24+4686.95+2216.53</f>
        <v>56382.3</v>
      </c>
      <c r="M77" s="78">
        <f t="shared" si="3"/>
        <v>0</v>
      </c>
      <c r="N77" s="100">
        <f>2+6+1+1+2</f>
        <v>12</v>
      </c>
      <c r="O77" s="81">
        <f>7612.92+18804.48+9163.33+3260.98+6297.63</f>
        <v>45139.340000000004</v>
      </c>
      <c r="P77" s="81">
        <f>7612.92+18804.48+9163.33+3260.98+6297.63</f>
        <v>45139.340000000004</v>
      </c>
      <c r="Q77" s="79">
        <f t="shared" si="2"/>
        <v>0</v>
      </c>
    </row>
    <row r="78" spans="1:17" s="13" customFormat="1" x14ac:dyDescent="0.25">
      <c r="A78" s="229"/>
      <c r="B78" s="30" t="s">
        <v>54</v>
      </c>
      <c r="C78" s="181" t="s">
        <v>17</v>
      </c>
      <c r="D78" s="182"/>
      <c r="E78" s="194" t="s">
        <v>20</v>
      </c>
      <c r="F78" s="73" t="s">
        <v>356</v>
      </c>
      <c r="G78" s="74" t="s">
        <v>112</v>
      </c>
      <c r="H78" s="75"/>
      <c r="I78" s="76"/>
      <c r="J78" s="96"/>
      <c r="K78" s="77">
        <f>9075.37</f>
        <v>9075.3700000000008</v>
      </c>
      <c r="L78" s="77">
        <f>9075.37</f>
        <v>9075.3700000000008</v>
      </c>
      <c r="M78" s="78">
        <f t="shared" si="3"/>
        <v>0</v>
      </c>
      <c r="N78" s="100">
        <f>4+1+1+2+1</f>
        <v>9</v>
      </c>
      <c r="O78" s="81">
        <f>17895.28+17443.73+5473.41+2994.97</f>
        <v>43807.39</v>
      </c>
      <c r="P78" s="81">
        <f>17895.28+17443.73+5473.41+2994.97</f>
        <v>43807.39</v>
      </c>
      <c r="Q78" s="79">
        <f t="shared" si="2"/>
        <v>0</v>
      </c>
    </row>
    <row r="79" spans="1:17" s="13" customFormat="1" ht="30" x14ac:dyDescent="0.25">
      <c r="A79" s="229"/>
      <c r="B79" s="27" t="s">
        <v>55</v>
      </c>
      <c r="C79" s="181" t="s">
        <v>304</v>
      </c>
      <c r="D79" s="182" t="s">
        <v>387</v>
      </c>
      <c r="E79" s="183" t="s">
        <v>20</v>
      </c>
      <c r="F79" s="73" t="s">
        <v>357</v>
      </c>
      <c r="G79" s="74" t="s">
        <v>112</v>
      </c>
      <c r="H79" s="75">
        <v>23</v>
      </c>
      <c r="I79" s="76">
        <v>15</v>
      </c>
      <c r="J79" s="96">
        <f>3+1+1+2+1+1+1+3</f>
        <v>13</v>
      </c>
      <c r="K79" s="77">
        <f>1267.86+6667.8+5756.15+1180.38+4780.37+4352.43+2850.42+2493.42+1404.9</f>
        <v>30753.729999999996</v>
      </c>
      <c r="L79" s="77">
        <f>1267.86+6667.8+5756.15+1180.38+4780.37+4352.43+2850.42+2493.42+1404.9</f>
        <v>30753.729999999996</v>
      </c>
      <c r="M79" s="78">
        <f t="shared" si="3"/>
        <v>0</v>
      </c>
      <c r="N79" s="100">
        <f>2+1+2+2+2+1+2+1</f>
        <v>13</v>
      </c>
      <c r="O79" s="81">
        <f>34854.19+2113.1+6430.67+5463.42+39145.22+2535.72+5132.44+12985.86</f>
        <v>108660.62000000001</v>
      </c>
      <c r="P79" s="81">
        <f>34854.19+2113.1+6430.67+5463.42+39145.22+2535.72+5132.44+12985.86</f>
        <v>108660.62000000001</v>
      </c>
      <c r="Q79" s="232">
        <f t="shared" si="2"/>
        <v>0</v>
      </c>
    </row>
    <row r="80" spans="1:17" s="13" customFormat="1" ht="30" x14ac:dyDescent="0.25">
      <c r="A80" s="229"/>
      <c r="B80" s="62" t="s">
        <v>56</v>
      </c>
      <c r="C80" s="181" t="s">
        <v>17</v>
      </c>
      <c r="D80" s="182" t="s">
        <v>386</v>
      </c>
      <c r="E80" s="183" t="s">
        <v>18</v>
      </c>
      <c r="F80" s="73" t="s">
        <v>358</v>
      </c>
      <c r="G80" s="74" t="s">
        <v>112</v>
      </c>
      <c r="H80" s="75">
        <v>14</v>
      </c>
      <c r="I80" s="76">
        <v>6</v>
      </c>
      <c r="J80" s="96">
        <f>1+1+2+2</f>
        <v>6</v>
      </c>
      <c r="K80" s="77">
        <f>678.11+678.11+4865.7+5265.72</f>
        <v>11487.64</v>
      </c>
      <c r="L80" s="77">
        <f>678.11+678.11+4865.7+5265.72</f>
        <v>11487.64</v>
      </c>
      <c r="M80" s="78">
        <f t="shared" si="3"/>
        <v>0</v>
      </c>
      <c r="N80" s="100">
        <f>1</f>
        <v>1</v>
      </c>
      <c r="O80" s="81">
        <f>4395.5</f>
        <v>4395.5</v>
      </c>
      <c r="P80" s="81">
        <f>4395.5</f>
        <v>4395.5</v>
      </c>
      <c r="Q80" s="79">
        <f t="shared" si="2"/>
        <v>0</v>
      </c>
    </row>
    <row r="81" spans="1:17" s="13" customFormat="1" ht="30" x14ac:dyDescent="0.25">
      <c r="A81" s="229"/>
      <c r="B81" s="62" t="s">
        <v>56</v>
      </c>
      <c r="C81" s="181" t="s">
        <v>304</v>
      </c>
      <c r="D81" s="182" t="s">
        <v>386</v>
      </c>
      <c r="E81" s="183" t="s">
        <v>18</v>
      </c>
      <c r="F81" s="73" t="s">
        <v>476</v>
      </c>
      <c r="G81" s="230" t="s">
        <v>113</v>
      </c>
      <c r="H81" s="181">
        <v>12</v>
      </c>
      <c r="I81" s="231">
        <v>9</v>
      </c>
      <c r="J81" s="96">
        <v>9</v>
      </c>
      <c r="K81" s="77">
        <v>15944</v>
      </c>
      <c r="L81" s="77">
        <v>15944</v>
      </c>
      <c r="M81" s="78">
        <f t="shared" si="3"/>
        <v>0</v>
      </c>
      <c r="N81" s="100"/>
      <c r="O81" s="224">
        <v>7612</v>
      </c>
      <c r="P81" s="224">
        <v>7612</v>
      </c>
      <c r="Q81" s="232">
        <f t="shared" ref="Q81:Q145" si="4">O81-P81</f>
        <v>0</v>
      </c>
    </row>
    <row r="82" spans="1:17" s="13" customFormat="1" x14ac:dyDescent="0.25">
      <c r="A82" s="229"/>
      <c r="B82" s="62" t="s">
        <v>156</v>
      </c>
      <c r="C82" s="181" t="s">
        <v>304</v>
      </c>
      <c r="D82" s="182"/>
      <c r="E82" s="183" t="s">
        <v>20</v>
      </c>
      <c r="F82" s="73" t="s">
        <v>359</v>
      </c>
      <c r="G82" s="74" t="s">
        <v>112</v>
      </c>
      <c r="H82" s="75">
        <v>5</v>
      </c>
      <c r="I82" s="76">
        <v>2</v>
      </c>
      <c r="J82" s="96">
        <f>2</f>
        <v>2</v>
      </c>
      <c r="K82" s="77">
        <f>1690.48+993.47</f>
        <v>2683.95</v>
      </c>
      <c r="L82" s="77">
        <f>1690.48+993.47</f>
        <v>2683.95</v>
      </c>
      <c r="M82" s="78">
        <f t="shared" si="3"/>
        <v>0</v>
      </c>
      <c r="N82" s="100">
        <f>3+1+1</f>
        <v>5</v>
      </c>
      <c r="O82" s="81">
        <f>5488.54+2398.37+422.62+1605.6</f>
        <v>9915.130000000001</v>
      </c>
      <c r="P82" s="81">
        <f>5488.54+2398.37+422.62+1605.6</f>
        <v>9915.130000000001</v>
      </c>
      <c r="Q82" s="79">
        <f t="shared" si="4"/>
        <v>0</v>
      </c>
    </row>
    <row r="83" spans="1:17" s="15" customFormat="1" x14ac:dyDescent="0.25">
      <c r="A83" s="229"/>
      <c r="B83" s="62" t="s">
        <v>57</v>
      </c>
      <c r="C83" s="181" t="s">
        <v>17</v>
      </c>
      <c r="D83" s="182"/>
      <c r="E83" s="183" t="s">
        <v>20</v>
      </c>
      <c r="F83" s="73" t="s">
        <v>360</v>
      </c>
      <c r="G83" s="74" t="s">
        <v>112</v>
      </c>
      <c r="H83" s="75">
        <v>8</v>
      </c>
      <c r="I83" s="76">
        <v>6</v>
      </c>
      <c r="J83" s="96">
        <f>2+1+1+2</f>
        <v>6</v>
      </c>
      <c r="K83" s="77">
        <f>806.82+1728.9+422.62+2958.34</f>
        <v>5916.68</v>
      </c>
      <c r="L83" s="77">
        <f>806.82+1728.9+422.62+2958.34</f>
        <v>5916.68</v>
      </c>
      <c r="M83" s="78">
        <f t="shared" si="3"/>
        <v>0</v>
      </c>
      <c r="N83" s="100">
        <f>2+1</f>
        <v>3</v>
      </c>
      <c r="O83" s="81">
        <f>2745.3</f>
        <v>2745.3</v>
      </c>
      <c r="P83" s="81">
        <f>2745.3</f>
        <v>2745.3</v>
      </c>
      <c r="Q83" s="232">
        <f t="shared" si="4"/>
        <v>0</v>
      </c>
    </row>
    <row r="84" spans="1:17" s="15" customFormat="1" x14ac:dyDescent="0.25">
      <c r="A84" s="229"/>
      <c r="B84" s="62" t="s">
        <v>57</v>
      </c>
      <c r="C84" s="181" t="s">
        <v>17</v>
      </c>
      <c r="D84" s="182"/>
      <c r="E84" s="183" t="s">
        <v>20</v>
      </c>
      <c r="F84" s="73" t="s">
        <v>458</v>
      </c>
      <c r="G84" s="230" t="s">
        <v>114</v>
      </c>
      <c r="H84" s="181">
        <v>32</v>
      </c>
      <c r="I84" s="231">
        <v>11</v>
      </c>
      <c r="J84" s="190">
        <v>11</v>
      </c>
      <c r="K84" s="77">
        <v>28057.919999999998</v>
      </c>
      <c r="L84" s="77">
        <v>28057.919999999998</v>
      </c>
      <c r="M84" s="78">
        <f t="shared" si="3"/>
        <v>0</v>
      </c>
      <c r="N84" s="100">
        <v>19</v>
      </c>
      <c r="O84" s="224">
        <v>42687.199999999997</v>
      </c>
      <c r="P84" s="224">
        <v>42687.199999999997</v>
      </c>
      <c r="Q84" s="232">
        <f t="shared" si="4"/>
        <v>0</v>
      </c>
    </row>
    <row r="85" spans="1:17" s="13" customFormat="1" x14ac:dyDescent="0.25">
      <c r="A85" s="229"/>
      <c r="B85" s="62" t="s">
        <v>58</v>
      </c>
      <c r="C85" s="181" t="s">
        <v>17</v>
      </c>
      <c r="D85" s="182"/>
      <c r="E85" s="183" t="s">
        <v>20</v>
      </c>
      <c r="F85" s="73" t="s">
        <v>361</v>
      </c>
      <c r="G85" s="74" t="s">
        <v>112</v>
      </c>
      <c r="H85" s="75">
        <v>9</v>
      </c>
      <c r="I85" s="76">
        <v>7</v>
      </c>
      <c r="J85" s="96">
        <f>1+2+1+1+1+1</f>
        <v>7</v>
      </c>
      <c r="K85" s="77">
        <f>1892.47+3118.94+422.62+1324.62</f>
        <v>6758.65</v>
      </c>
      <c r="L85" s="77">
        <f>1892.47+3118.94+422.62+1324.62</f>
        <v>6758.65</v>
      </c>
      <c r="M85" s="78">
        <f t="shared" si="3"/>
        <v>0</v>
      </c>
      <c r="N85" s="100">
        <f>1+1+3+1</f>
        <v>6</v>
      </c>
      <c r="O85" s="81">
        <f>9196.24+2480.78+2954.11+15214.32</f>
        <v>29845.45</v>
      </c>
      <c r="P85" s="81">
        <f>9196.24+2480.78+2954.11+15214.32</f>
        <v>29845.45</v>
      </c>
      <c r="Q85" s="232">
        <f t="shared" si="4"/>
        <v>0</v>
      </c>
    </row>
    <row r="86" spans="1:17" s="13" customFormat="1" x14ac:dyDescent="0.25">
      <c r="A86" s="229"/>
      <c r="B86" s="62" t="s">
        <v>58</v>
      </c>
      <c r="C86" s="181" t="s">
        <v>17</v>
      </c>
      <c r="D86" s="182"/>
      <c r="E86" s="183" t="s">
        <v>20</v>
      </c>
      <c r="F86" s="73" t="s">
        <v>478</v>
      </c>
      <c r="G86" s="230" t="s">
        <v>114</v>
      </c>
      <c r="H86" s="181">
        <v>15</v>
      </c>
      <c r="I86" s="231">
        <v>3</v>
      </c>
      <c r="J86" s="190">
        <v>3</v>
      </c>
      <c r="K86" s="77">
        <v>3765.16</v>
      </c>
      <c r="L86" s="77">
        <v>3765.16</v>
      </c>
      <c r="M86" s="78">
        <f t="shared" si="3"/>
        <v>0</v>
      </c>
      <c r="N86" s="100">
        <v>21</v>
      </c>
      <c r="O86" s="224">
        <v>54215.77</v>
      </c>
      <c r="P86" s="224">
        <v>54215.77</v>
      </c>
      <c r="Q86" s="232">
        <f t="shared" si="4"/>
        <v>0</v>
      </c>
    </row>
    <row r="87" spans="1:17" s="13" customFormat="1" x14ac:dyDescent="0.25">
      <c r="A87" s="229"/>
      <c r="B87" s="62" t="s">
        <v>59</v>
      </c>
      <c r="C87" s="181" t="s">
        <v>17</v>
      </c>
      <c r="D87" s="182"/>
      <c r="E87" s="183" t="s">
        <v>20</v>
      </c>
      <c r="F87" s="73" t="s">
        <v>362</v>
      </c>
      <c r="G87" s="74" t="s">
        <v>112</v>
      </c>
      <c r="H87" s="75">
        <v>13</v>
      </c>
      <c r="I87" s="76">
        <v>8</v>
      </c>
      <c r="J87" s="96">
        <f>1+1+1+3+1+1</f>
        <v>8</v>
      </c>
      <c r="K87" s="77">
        <f>403.41+1431.16+845.24+998.92+3059.87</f>
        <v>6738.6</v>
      </c>
      <c r="L87" s="77">
        <f>403.41+1431.16+845.24+998.92+3059.87</f>
        <v>6738.6</v>
      </c>
      <c r="M87" s="78">
        <f t="shared" si="3"/>
        <v>0</v>
      </c>
      <c r="N87" s="100">
        <f>1+2+2+1+1+1+1</f>
        <v>9</v>
      </c>
      <c r="O87" s="81">
        <f>6646.05+1267.86+979.71</f>
        <v>8893.619999999999</v>
      </c>
      <c r="P87" s="81">
        <f>2353.23+5561.68+978.71</f>
        <v>8893.619999999999</v>
      </c>
      <c r="Q87" s="232">
        <f t="shared" si="4"/>
        <v>0</v>
      </c>
    </row>
    <row r="88" spans="1:17" s="13" customFormat="1" x14ac:dyDescent="0.25">
      <c r="A88" s="229"/>
      <c r="B88" s="62" t="s">
        <v>59</v>
      </c>
      <c r="C88" s="181" t="s">
        <v>17</v>
      </c>
      <c r="D88" s="182"/>
      <c r="E88" s="183" t="s">
        <v>20</v>
      </c>
      <c r="F88" s="73" t="s">
        <v>128</v>
      </c>
      <c r="G88" s="230" t="s">
        <v>114</v>
      </c>
      <c r="H88" s="181"/>
      <c r="I88" s="231"/>
      <c r="J88" s="190"/>
      <c r="K88" s="77"/>
      <c r="L88" s="77"/>
      <c r="M88" s="78">
        <f t="shared" si="3"/>
        <v>0</v>
      </c>
      <c r="N88" s="100"/>
      <c r="O88" s="224"/>
      <c r="P88" s="224"/>
      <c r="Q88" s="232">
        <f t="shared" si="4"/>
        <v>0</v>
      </c>
    </row>
    <row r="89" spans="1:17" s="13" customFormat="1" x14ac:dyDescent="0.25">
      <c r="A89" s="229"/>
      <c r="B89" s="27" t="s">
        <v>60</v>
      </c>
      <c r="C89" s="181" t="s">
        <v>17</v>
      </c>
      <c r="D89" s="182"/>
      <c r="E89" s="183" t="s">
        <v>20</v>
      </c>
      <c r="F89" s="73" t="s">
        <v>364</v>
      </c>
      <c r="G89" s="74" t="s">
        <v>112</v>
      </c>
      <c r="H89" s="75">
        <v>17</v>
      </c>
      <c r="I89" s="76">
        <v>11</v>
      </c>
      <c r="J89" s="96">
        <f>1+1+1+4+4+2</f>
        <v>13</v>
      </c>
      <c r="K89" s="77">
        <f>634.93+893.27+2930.22+8503.46</f>
        <v>12961.88</v>
      </c>
      <c r="L89" s="77">
        <f>634.93+893.27+2930.22+8503.46</f>
        <v>12961.88</v>
      </c>
      <c r="M89" s="78">
        <f t="shared" si="3"/>
        <v>0</v>
      </c>
      <c r="N89" s="100">
        <f>4+1+3+1+1</f>
        <v>10</v>
      </c>
      <c r="O89" s="81">
        <f>15124.53+2065.75+8492.52+5828.3</f>
        <v>31511.1</v>
      </c>
      <c r="P89" s="81">
        <f>15124.53+2065.75+8492.52+5828.3</f>
        <v>31511.1</v>
      </c>
      <c r="Q89" s="232">
        <f t="shared" si="4"/>
        <v>0</v>
      </c>
    </row>
    <row r="90" spans="1:17" s="13" customFormat="1" x14ac:dyDescent="0.25">
      <c r="A90" s="229"/>
      <c r="B90" s="27" t="s">
        <v>60</v>
      </c>
      <c r="C90" s="181" t="s">
        <v>17</v>
      </c>
      <c r="D90" s="182"/>
      <c r="E90" s="183" t="s">
        <v>20</v>
      </c>
      <c r="F90" s="73" t="s">
        <v>479</v>
      </c>
      <c r="G90" s="230" t="s">
        <v>114</v>
      </c>
      <c r="H90" s="181">
        <v>13</v>
      </c>
      <c r="I90" s="231">
        <v>2</v>
      </c>
      <c r="J90" s="190">
        <v>2</v>
      </c>
      <c r="K90" s="77">
        <v>5186.7</v>
      </c>
      <c r="L90" s="77">
        <v>5186.7</v>
      </c>
      <c r="M90" s="78">
        <f t="shared" si="3"/>
        <v>0</v>
      </c>
      <c r="N90" s="100">
        <v>12</v>
      </c>
      <c r="O90" s="224">
        <v>41221.599999999999</v>
      </c>
      <c r="P90" s="224">
        <v>41221.599999999999</v>
      </c>
      <c r="Q90" s="232">
        <f t="shared" si="4"/>
        <v>0</v>
      </c>
    </row>
    <row r="91" spans="1:17" s="13" customFormat="1" x14ac:dyDescent="0.25">
      <c r="A91" s="229"/>
      <c r="B91" s="27" t="s">
        <v>493</v>
      </c>
      <c r="C91" s="181" t="s">
        <v>17</v>
      </c>
      <c r="D91" s="182"/>
      <c r="E91" s="183" t="s">
        <v>20</v>
      </c>
      <c r="F91" s="73" t="s">
        <v>496</v>
      </c>
      <c r="G91" s="230" t="s">
        <v>112</v>
      </c>
      <c r="H91" s="181">
        <v>13</v>
      </c>
      <c r="I91" s="231">
        <v>11</v>
      </c>
      <c r="J91" s="190">
        <f>3+2+1+3+1+2+1+3</f>
        <v>16</v>
      </c>
      <c r="K91" s="77">
        <f>3387.04+3467.41+1267.86+2218.74+8089.94+1924.71+5638.36</f>
        <v>25994.059999999998</v>
      </c>
      <c r="L91" s="77">
        <f>3387.04+3467.41+1267.86+2218.74+8089.94+1924.71+5638.36</f>
        <v>25994.059999999998</v>
      </c>
      <c r="M91" s="78">
        <f t="shared" si="3"/>
        <v>0</v>
      </c>
      <c r="N91" s="100"/>
      <c r="O91" s="224"/>
      <c r="P91" s="224"/>
      <c r="Q91" s="232">
        <f t="shared" si="4"/>
        <v>0</v>
      </c>
    </row>
    <row r="92" spans="1:17" s="15" customFormat="1" x14ac:dyDescent="0.25">
      <c r="A92" s="229"/>
      <c r="B92" s="27" t="s">
        <v>61</v>
      </c>
      <c r="C92" s="181" t="s">
        <v>17</v>
      </c>
      <c r="D92" s="182"/>
      <c r="E92" s="183" t="s">
        <v>20</v>
      </c>
      <c r="F92" s="73" t="s">
        <v>363</v>
      </c>
      <c r="G92" s="74" t="s">
        <v>112</v>
      </c>
      <c r="H92" s="75"/>
      <c r="I92" s="76"/>
      <c r="J92" s="96"/>
      <c r="K92" s="77"/>
      <c r="L92" s="77"/>
      <c r="M92" s="78">
        <f t="shared" si="3"/>
        <v>0</v>
      </c>
      <c r="N92" s="100"/>
      <c r="O92" s="81"/>
      <c r="P92" s="81"/>
      <c r="Q92" s="232">
        <f t="shared" si="4"/>
        <v>0</v>
      </c>
    </row>
    <row r="93" spans="1:17" s="15" customFormat="1" x14ac:dyDescent="0.25">
      <c r="A93" s="229"/>
      <c r="B93" s="236" t="s">
        <v>306</v>
      </c>
      <c r="C93" s="181" t="s">
        <v>17</v>
      </c>
      <c r="D93" s="182"/>
      <c r="E93" s="183" t="s">
        <v>35</v>
      </c>
      <c r="F93" s="73" t="s">
        <v>365</v>
      </c>
      <c r="G93" s="230" t="s">
        <v>112</v>
      </c>
      <c r="H93" s="181">
        <v>37</v>
      </c>
      <c r="I93" s="231">
        <v>22</v>
      </c>
      <c r="J93" s="190">
        <f>1+2+1+3+3+2+3+1+2+1+3</f>
        <v>22</v>
      </c>
      <c r="K93" s="77">
        <f>1045.98+2658.7+35696.14+4892.46+1024.04+2384.53+10793.24+5320.79+2075.24+1324.62+1192.16+2649.24</f>
        <v>71057.14</v>
      </c>
      <c r="L93" s="77">
        <f>1045.98+2658.7+35696.14+4892.46+1024.04+2384.53+10793.24+5320.79+2075.24+1324.62+1192.16+2649.24</f>
        <v>71057.14</v>
      </c>
      <c r="M93" s="78">
        <f t="shared" si="3"/>
        <v>0</v>
      </c>
      <c r="N93" s="114">
        <f>7+2+2+2+1+1+1</f>
        <v>16</v>
      </c>
      <c r="O93" s="224">
        <f>2313.84+6162.57+2330.32+1690.48+3706.14+3107.65+4960.7</f>
        <v>24271.7</v>
      </c>
      <c r="P93" s="224">
        <f>2313.84+6162.57+2330.32+1690.48+3706.14+3107.65+4960.7</f>
        <v>24271.7</v>
      </c>
      <c r="Q93" s="232">
        <f t="shared" si="4"/>
        <v>0</v>
      </c>
    </row>
    <row r="94" spans="1:17" s="13" customFormat="1" x14ac:dyDescent="0.25">
      <c r="A94" s="229"/>
      <c r="B94" s="62" t="s">
        <v>306</v>
      </c>
      <c r="C94" s="181" t="s">
        <v>17</v>
      </c>
      <c r="D94" s="182"/>
      <c r="E94" s="183" t="s">
        <v>27</v>
      </c>
      <c r="F94" s="73" t="s">
        <v>421</v>
      </c>
      <c r="G94" s="230" t="s">
        <v>117</v>
      </c>
      <c r="H94" s="181">
        <v>4</v>
      </c>
      <c r="I94" s="231"/>
      <c r="J94" s="96"/>
      <c r="K94" s="77"/>
      <c r="L94" s="77"/>
      <c r="M94" s="78">
        <f t="shared" si="3"/>
        <v>0</v>
      </c>
      <c r="N94" s="100"/>
      <c r="O94" s="77"/>
      <c r="P94" s="77"/>
      <c r="Q94" s="79">
        <f>O94-P94</f>
        <v>0</v>
      </c>
    </row>
    <row r="95" spans="1:17" s="13" customFormat="1" x14ac:dyDescent="0.25">
      <c r="A95" s="229"/>
      <c r="B95" s="27" t="s">
        <v>62</v>
      </c>
      <c r="C95" s="181" t="s">
        <v>17</v>
      </c>
      <c r="D95" s="182"/>
      <c r="E95" s="183" t="s">
        <v>35</v>
      </c>
      <c r="F95" s="73" t="s">
        <v>366</v>
      </c>
      <c r="G95" s="74" t="s">
        <v>112</v>
      </c>
      <c r="H95" s="75">
        <v>29</v>
      </c>
      <c r="I95" s="76">
        <v>19</v>
      </c>
      <c r="J95" s="96">
        <f>1+3+1+1+2+4+4+3</f>
        <v>19</v>
      </c>
      <c r="K95" s="77">
        <f>3613.4+1872.01+1394.65+3518.32+15902.72+5370.89+2686.97</f>
        <v>34358.959999999999</v>
      </c>
      <c r="L95" s="77">
        <f>3613.4+1872.01+1394.65+3518.32+15902.72+5370.89+2686.97</f>
        <v>34358.959999999999</v>
      </c>
      <c r="M95" s="78">
        <f t="shared" si="3"/>
        <v>0</v>
      </c>
      <c r="N95" s="100">
        <f>6+2+1+2+1+3+1</f>
        <v>16</v>
      </c>
      <c r="O95" s="81">
        <f>19511.33+1270.93+3979.74+2500.85+8530.18+845.24+12787.47+17476.07</f>
        <v>66901.81</v>
      </c>
      <c r="P95" s="81">
        <f>19511.33+1270.93+3979.74+2500.85+8530.18+845.24+12787.47+17476.07</f>
        <v>66901.81</v>
      </c>
      <c r="Q95" s="79">
        <f t="shared" si="4"/>
        <v>0</v>
      </c>
    </row>
    <row r="96" spans="1:17" s="13" customFormat="1" x14ac:dyDescent="0.25">
      <c r="A96" s="229"/>
      <c r="B96" s="27" t="s">
        <v>62</v>
      </c>
      <c r="C96" s="181" t="s">
        <v>17</v>
      </c>
      <c r="D96" s="182"/>
      <c r="E96" s="183" t="s">
        <v>35</v>
      </c>
      <c r="F96" s="73" t="s">
        <v>428</v>
      </c>
      <c r="G96" s="230" t="s">
        <v>117</v>
      </c>
      <c r="H96" s="181">
        <v>5</v>
      </c>
      <c r="I96" s="231"/>
      <c r="J96" s="96"/>
      <c r="K96" s="77"/>
      <c r="L96" s="77"/>
      <c r="M96" s="78">
        <f t="shared" si="3"/>
        <v>0</v>
      </c>
      <c r="N96" s="100">
        <v>9</v>
      </c>
      <c r="O96" s="224">
        <v>22788.1</v>
      </c>
      <c r="P96" s="224">
        <v>22788.1</v>
      </c>
      <c r="Q96" s="232">
        <f t="shared" si="4"/>
        <v>0</v>
      </c>
    </row>
    <row r="97" spans="1:17" s="13" customFormat="1" x14ac:dyDescent="0.25">
      <c r="A97" s="229"/>
      <c r="B97" s="27" t="s">
        <v>155</v>
      </c>
      <c r="C97" s="181" t="s">
        <v>17</v>
      </c>
      <c r="D97" s="182"/>
      <c r="E97" s="183" t="s">
        <v>20</v>
      </c>
      <c r="F97" s="73" t="s">
        <v>367</v>
      </c>
      <c r="G97" s="74" t="s">
        <v>112</v>
      </c>
      <c r="H97" s="75">
        <v>13</v>
      </c>
      <c r="I97" s="82">
        <v>9</v>
      </c>
      <c r="J97" s="96">
        <f>1+2+3+1+2+2</f>
        <v>11</v>
      </c>
      <c r="K97" s="77">
        <f>3117.56+2266.78+5307.72+3606.94+1494.21</f>
        <v>15793.210000000003</v>
      </c>
      <c r="L97" s="77">
        <f>3117.56+2266.78+5307.72+3606.94+1494.21</f>
        <v>15793.210000000003</v>
      </c>
      <c r="M97" s="78">
        <f t="shared" si="3"/>
        <v>0</v>
      </c>
      <c r="N97" s="100">
        <f>1+1+1+1</f>
        <v>4</v>
      </c>
      <c r="O97" s="81">
        <f>1798.06+2123.67</f>
        <v>3921.73</v>
      </c>
      <c r="P97" s="81">
        <f>1798.06+2123.67</f>
        <v>3921.73</v>
      </c>
      <c r="Q97" s="232">
        <f t="shared" si="4"/>
        <v>0</v>
      </c>
    </row>
    <row r="98" spans="1:17" s="13" customFormat="1" ht="15.75" x14ac:dyDescent="0.25">
      <c r="A98" s="229"/>
      <c r="B98" s="27" t="s">
        <v>155</v>
      </c>
      <c r="C98" s="181" t="s">
        <v>17</v>
      </c>
      <c r="D98" s="182"/>
      <c r="E98" s="183" t="s">
        <v>20</v>
      </c>
      <c r="F98" s="73" t="s">
        <v>459</v>
      </c>
      <c r="G98" s="230" t="s">
        <v>114</v>
      </c>
      <c r="H98" s="1">
        <v>13</v>
      </c>
      <c r="I98" s="231">
        <v>4</v>
      </c>
      <c r="J98" s="190">
        <v>4</v>
      </c>
      <c r="K98" s="77">
        <v>8816.51</v>
      </c>
      <c r="L98" s="77">
        <v>8816.51</v>
      </c>
      <c r="M98" s="78">
        <f t="shared" si="3"/>
        <v>0</v>
      </c>
      <c r="N98" s="100">
        <v>16</v>
      </c>
      <c r="O98" s="224">
        <v>36413.46</v>
      </c>
      <c r="P98" s="224">
        <v>36413.46</v>
      </c>
      <c r="Q98" s="232">
        <f t="shared" si="4"/>
        <v>0</v>
      </c>
    </row>
    <row r="99" spans="1:17" s="13" customFormat="1" x14ac:dyDescent="0.25">
      <c r="A99" s="229"/>
      <c r="B99" s="30" t="s">
        <v>66</v>
      </c>
      <c r="C99" s="181" t="s">
        <v>17</v>
      </c>
      <c r="D99" s="182"/>
      <c r="E99" s="183" t="s">
        <v>21</v>
      </c>
      <c r="F99" s="73" t="s">
        <v>368</v>
      </c>
      <c r="G99" s="74" t="s">
        <v>112</v>
      </c>
      <c r="H99" s="75">
        <v>33</v>
      </c>
      <c r="I99" s="76">
        <v>27</v>
      </c>
      <c r="J99" s="96">
        <f>1+3+2+3+2+1+2+1+3+7+4+3+2+3</f>
        <v>37</v>
      </c>
      <c r="K99" s="77">
        <f>1045.98+4309.04+3820.12+1872.01+4253.49+3044.79+1191.19+4942.84+9299.2+9796.16+4139.27+2886.87</f>
        <v>50600.960000000014</v>
      </c>
      <c r="L99" s="77">
        <f>1045.98+4309.04+3820.12+1872.01+4253.49+3044.79+1191.19+4942.84+9299.2+9796.16+4139.27+2886.87</f>
        <v>50600.960000000014</v>
      </c>
      <c r="M99" s="78">
        <f t="shared" si="3"/>
        <v>0</v>
      </c>
      <c r="N99" s="100">
        <f>6+3+8+7+1+1+1+2+1+1+1+1+1+1</f>
        <v>35</v>
      </c>
      <c r="O99" s="81">
        <f>11911.17+23136+18060.17+1977.84+2091.97+19535.65+19124.11+3199.71+4430.07+5418.9+2717.24</f>
        <v>111602.83</v>
      </c>
      <c r="P99" s="81">
        <f>11911.17+23136+18060.17+1977.84+2091.97+19535.65+19124.11+3199.71+4430.07+5418.9+2717.24</f>
        <v>111602.83</v>
      </c>
      <c r="Q99" s="232">
        <f t="shared" si="4"/>
        <v>0</v>
      </c>
    </row>
    <row r="100" spans="1:17" s="13" customFormat="1" x14ac:dyDescent="0.25">
      <c r="A100" s="229"/>
      <c r="B100" s="30" t="s">
        <v>66</v>
      </c>
      <c r="C100" s="181" t="s">
        <v>17</v>
      </c>
      <c r="D100" s="182"/>
      <c r="E100" s="183" t="s">
        <v>21</v>
      </c>
      <c r="F100" s="73" t="s">
        <v>439</v>
      </c>
      <c r="G100" s="230" t="s">
        <v>118</v>
      </c>
      <c r="H100" s="181">
        <v>7</v>
      </c>
      <c r="I100" s="231">
        <v>3</v>
      </c>
      <c r="J100" s="96">
        <v>3</v>
      </c>
      <c r="K100" s="77">
        <v>5367.3</v>
      </c>
      <c r="L100" s="77">
        <v>5367.3</v>
      </c>
      <c r="M100" s="78">
        <f t="shared" si="3"/>
        <v>0</v>
      </c>
      <c r="N100" s="100">
        <v>24</v>
      </c>
      <c r="O100" s="224">
        <v>66871.69</v>
      </c>
      <c r="P100" s="224">
        <v>66871.69</v>
      </c>
      <c r="Q100" s="79">
        <f t="shared" si="4"/>
        <v>0</v>
      </c>
    </row>
    <row r="101" spans="1:17" s="13" customFormat="1" x14ac:dyDescent="0.25">
      <c r="A101" s="229"/>
      <c r="B101" s="62" t="s">
        <v>137</v>
      </c>
      <c r="C101" s="181" t="s">
        <v>17</v>
      </c>
      <c r="D101" s="182"/>
      <c r="E101" s="194" t="s">
        <v>35</v>
      </c>
      <c r="F101" s="73" t="s">
        <v>369</v>
      </c>
      <c r="G101" s="74" t="s">
        <v>112</v>
      </c>
      <c r="H101" s="75">
        <v>34</v>
      </c>
      <c r="I101" s="76">
        <v>19</v>
      </c>
      <c r="J101" s="96">
        <f>3+3+1+4+1+3+2+3</f>
        <v>20</v>
      </c>
      <c r="K101" s="77">
        <f>504.26+845.24+3380.96+422.62+2535.72+6256.62+883.08+2649.24</f>
        <v>17477.739999999998</v>
      </c>
      <c r="L101" s="77">
        <f>504.26+845.24+3380.96+422.62+2535.72+6256.62+883.08+2649.24</f>
        <v>17477.739999999998</v>
      </c>
      <c r="M101" s="78">
        <f t="shared" si="3"/>
        <v>0</v>
      </c>
      <c r="N101" s="100">
        <f>5+1+1+2+1</f>
        <v>10</v>
      </c>
      <c r="O101" s="81">
        <f>2617.36+422.62+3852.18+3380.96+422.62</f>
        <v>10695.74</v>
      </c>
      <c r="P101" s="81">
        <f>2617.36+422.62+3852.18+3380.96+422.62</f>
        <v>10695.74</v>
      </c>
      <c r="Q101" s="232">
        <f t="shared" si="4"/>
        <v>0</v>
      </c>
    </row>
    <row r="102" spans="1:17" s="13" customFormat="1" x14ac:dyDescent="0.25">
      <c r="A102" s="229"/>
      <c r="B102" s="62" t="s">
        <v>137</v>
      </c>
      <c r="C102" s="181" t="s">
        <v>17</v>
      </c>
      <c r="D102" s="182"/>
      <c r="E102" s="194" t="s">
        <v>35</v>
      </c>
      <c r="F102" s="73" t="s">
        <v>429</v>
      </c>
      <c r="G102" s="230" t="s">
        <v>117</v>
      </c>
      <c r="H102" s="181">
        <v>11</v>
      </c>
      <c r="I102" s="231">
        <v>2</v>
      </c>
      <c r="J102" s="190">
        <v>2</v>
      </c>
      <c r="K102" s="193">
        <v>4530.1000000000004</v>
      </c>
      <c r="L102" s="193">
        <v>4530.1000000000004</v>
      </c>
      <c r="M102" s="78">
        <f t="shared" si="3"/>
        <v>0</v>
      </c>
      <c r="N102" s="114">
        <v>2</v>
      </c>
      <c r="O102" s="224">
        <v>10565.5</v>
      </c>
      <c r="P102" s="224">
        <v>10565.5</v>
      </c>
      <c r="Q102" s="79">
        <f t="shared" si="4"/>
        <v>0</v>
      </c>
    </row>
    <row r="103" spans="1:17" s="13" customFormat="1" x14ac:dyDescent="0.25">
      <c r="A103" s="229"/>
      <c r="B103" s="30" t="s">
        <v>67</v>
      </c>
      <c r="C103" s="181" t="s">
        <v>17</v>
      </c>
      <c r="D103" s="182"/>
      <c r="E103" s="194" t="s">
        <v>21</v>
      </c>
      <c r="F103" s="73" t="s">
        <v>370</v>
      </c>
      <c r="G103" s="74" t="s">
        <v>112</v>
      </c>
      <c r="H103" s="75">
        <v>37</v>
      </c>
      <c r="I103" s="76">
        <v>26</v>
      </c>
      <c r="J103" s="96">
        <f>2+1+1+2+1+1+2+2+1+2+5+5+2+5</f>
        <v>32</v>
      </c>
      <c r="K103" s="77">
        <f>3319.85+1198.9+864.45+7235.32+1947.89+5377.75+8701.73+3581.7+8737.54+7647.65</f>
        <v>48612.780000000006</v>
      </c>
      <c r="L103" s="77">
        <f>3319.85+1198.9+864.45+7235.32+1947.89+5377.75+8701.73+3581.7+8737.54+7647.65</f>
        <v>48612.780000000006</v>
      </c>
      <c r="M103" s="78">
        <f t="shared" si="3"/>
        <v>0</v>
      </c>
      <c r="N103" s="100">
        <f>4+9+4+4+1+3+1+3+1+1+1+1+1+1</f>
        <v>35</v>
      </c>
      <c r="O103" s="81">
        <f>29696.65+38129.03+13567.9+20687.05+2022.79+8145.77+17250.05+1233.28+5568.04+11106.62</f>
        <v>147407.18</v>
      </c>
      <c r="P103" s="81">
        <f>29696.65+38129.03+13567.9+20687.05+2022.79+8145.77+17250.05+1233.28+5568.04+11106.62</f>
        <v>147407.18</v>
      </c>
      <c r="Q103" s="232">
        <f t="shared" si="4"/>
        <v>0</v>
      </c>
    </row>
    <row r="104" spans="1:17" s="13" customFormat="1" x14ac:dyDescent="0.25">
      <c r="A104" s="229"/>
      <c r="B104" s="30" t="s">
        <v>67</v>
      </c>
      <c r="C104" s="181" t="s">
        <v>17</v>
      </c>
      <c r="D104" s="182"/>
      <c r="E104" s="194" t="s">
        <v>21</v>
      </c>
      <c r="F104" s="73" t="s">
        <v>440</v>
      </c>
      <c r="G104" s="230" t="s">
        <v>118</v>
      </c>
      <c r="H104" s="181">
        <v>15</v>
      </c>
      <c r="I104" s="231">
        <v>2</v>
      </c>
      <c r="J104" s="96">
        <v>2</v>
      </c>
      <c r="K104" s="77">
        <v>5282.54</v>
      </c>
      <c r="L104" s="77">
        <v>5282.54</v>
      </c>
      <c r="M104" s="78">
        <f t="shared" si="3"/>
        <v>0</v>
      </c>
      <c r="N104" s="100">
        <v>20</v>
      </c>
      <c r="O104" s="224">
        <v>66027.179999999993</v>
      </c>
      <c r="P104" s="224">
        <v>66027.179999999993</v>
      </c>
      <c r="Q104" s="79">
        <f t="shared" si="4"/>
        <v>0</v>
      </c>
    </row>
    <row r="105" spans="1:17" s="13" customFormat="1" x14ac:dyDescent="0.25">
      <c r="A105" s="229"/>
      <c r="B105" s="30" t="s">
        <v>68</v>
      </c>
      <c r="C105" s="181" t="s">
        <v>17</v>
      </c>
      <c r="D105" s="182"/>
      <c r="E105" s="194" t="s">
        <v>32</v>
      </c>
      <c r="F105" s="73" t="s">
        <v>371</v>
      </c>
      <c r="G105" s="74" t="s">
        <v>112</v>
      </c>
      <c r="H105" s="75">
        <v>19</v>
      </c>
      <c r="I105" s="76">
        <v>18</v>
      </c>
      <c r="J105" s="96">
        <f>2+1+2+5+5+3+1+2+2</f>
        <v>23</v>
      </c>
      <c r="K105" s="77">
        <f>1128.59+422.62+1152.6+4557.81+10981.59+5362.88+4996.85+4352.15+3073.96+3697.9+1003.5</f>
        <v>40730.450000000004</v>
      </c>
      <c r="L105" s="77">
        <f>1128.59+422.62+1152.6+4557.81+10981.59+5362.88+4996.85+4352.15+3073.96+3697.9+1003.5</f>
        <v>40730.450000000004</v>
      </c>
      <c r="M105" s="78">
        <f t="shared" si="3"/>
        <v>0</v>
      </c>
      <c r="N105" s="100">
        <f>6+5+1+4+2+2+1</f>
        <v>21</v>
      </c>
      <c r="O105" s="81">
        <f>7813.73+8523.5+1452.28+12582.19+18077.76+4987.46+2373.79</f>
        <v>55810.709999999992</v>
      </c>
      <c r="P105" s="81">
        <f>7813.73+8523.5+1452.28+12582.19+18077.76+4987.46+2373.79</f>
        <v>55810.709999999992</v>
      </c>
      <c r="Q105" s="232">
        <f t="shared" si="4"/>
        <v>0</v>
      </c>
    </row>
    <row r="106" spans="1:17" s="13" customFormat="1" x14ac:dyDescent="0.25">
      <c r="A106" s="229"/>
      <c r="B106" s="30" t="s">
        <v>68</v>
      </c>
      <c r="C106" s="181" t="s">
        <v>17</v>
      </c>
      <c r="D106" s="182"/>
      <c r="E106" s="194" t="s">
        <v>32</v>
      </c>
      <c r="F106" s="73" t="s">
        <v>430</v>
      </c>
      <c r="G106" s="235" t="s">
        <v>117</v>
      </c>
      <c r="H106" s="181">
        <v>3</v>
      </c>
      <c r="I106" s="231"/>
      <c r="J106" s="96"/>
      <c r="K106" s="77"/>
      <c r="L106" s="77"/>
      <c r="M106" s="78">
        <f t="shared" si="3"/>
        <v>0</v>
      </c>
      <c r="N106" s="100"/>
      <c r="O106" s="77"/>
      <c r="P106" s="77"/>
      <c r="Q106" s="79">
        <f t="shared" si="4"/>
        <v>0</v>
      </c>
    </row>
    <row r="107" spans="1:17" s="15" customFormat="1" x14ac:dyDescent="0.25">
      <c r="A107" s="229"/>
      <c r="B107" s="27" t="s">
        <v>69</v>
      </c>
      <c r="C107" s="181" t="s">
        <v>17</v>
      </c>
      <c r="D107" s="182"/>
      <c r="E107" s="183" t="s">
        <v>20</v>
      </c>
      <c r="F107" s="73" t="s">
        <v>372</v>
      </c>
      <c r="G107" s="74" t="s">
        <v>112</v>
      </c>
      <c r="H107" s="75">
        <v>8</v>
      </c>
      <c r="I107" s="76">
        <v>5</v>
      </c>
      <c r="J107" s="96">
        <f>1+1+1+1+3</f>
        <v>7</v>
      </c>
      <c r="K107" s="77">
        <f>422.62+17390.69+3114.71+475.45+2326.92</f>
        <v>23730.39</v>
      </c>
      <c r="L107" s="77">
        <f>422.62+17390.69+3114.71+475.45+2326.92</f>
        <v>23730.39</v>
      </c>
      <c r="M107" s="78">
        <f t="shared" si="3"/>
        <v>0</v>
      </c>
      <c r="N107" s="100">
        <f>3+2+1+1+1+1</f>
        <v>9</v>
      </c>
      <c r="O107" s="77">
        <f>7210.31+3647.96+1306.28+1267.86+2697.06</f>
        <v>16129.470000000001</v>
      </c>
      <c r="P107" s="77">
        <f>7210.31+3647.96+1306.28+1267.86+2697.06</f>
        <v>16129.470000000001</v>
      </c>
      <c r="Q107" s="232">
        <f t="shared" si="4"/>
        <v>0</v>
      </c>
    </row>
    <row r="108" spans="1:17" s="15" customFormat="1" x14ac:dyDescent="0.25">
      <c r="A108" s="229"/>
      <c r="B108" s="236" t="s">
        <v>502</v>
      </c>
      <c r="C108" s="181" t="s">
        <v>17</v>
      </c>
      <c r="D108" s="182"/>
      <c r="E108" s="183" t="s">
        <v>20</v>
      </c>
      <c r="F108" s="73" t="s">
        <v>508</v>
      </c>
      <c r="G108" s="74" t="s">
        <v>112</v>
      </c>
      <c r="H108" s="75">
        <v>14</v>
      </c>
      <c r="I108" s="76">
        <v>9</v>
      </c>
      <c r="J108" s="96">
        <f>4+1+4+1</f>
        <v>10</v>
      </c>
      <c r="K108" s="77">
        <f>6145.3+993.47+5403.3</f>
        <v>12542.07</v>
      </c>
      <c r="L108" s="77">
        <f>6145.3+993.47+5403.3</f>
        <v>12542.07</v>
      </c>
      <c r="M108" s="78">
        <f t="shared" si="3"/>
        <v>0</v>
      </c>
      <c r="N108" s="100"/>
      <c r="O108" s="77"/>
      <c r="P108" s="77"/>
      <c r="Q108" s="232">
        <f t="shared" si="4"/>
        <v>0</v>
      </c>
    </row>
    <row r="109" spans="1:17" s="15" customFormat="1" x14ac:dyDescent="0.25">
      <c r="A109" s="229"/>
      <c r="B109" s="236" t="s">
        <v>502</v>
      </c>
      <c r="C109" s="181" t="s">
        <v>17</v>
      </c>
      <c r="D109" s="182"/>
      <c r="E109" s="183" t="s">
        <v>32</v>
      </c>
      <c r="F109" s="73" t="s">
        <v>511</v>
      </c>
      <c r="G109" s="235" t="s">
        <v>117</v>
      </c>
      <c r="H109" s="75">
        <v>5</v>
      </c>
      <c r="I109" s="76"/>
      <c r="J109" s="96"/>
      <c r="K109" s="77"/>
      <c r="L109" s="77"/>
      <c r="M109" s="78">
        <f t="shared" si="3"/>
        <v>0</v>
      </c>
      <c r="N109" s="100"/>
      <c r="O109" s="77"/>
      <c r="P109" s="77"/>
      <c r="Q109" s="232">
        <f t="shared" si="4"/>
        <v>0</v>
      </c>
    </row>
    <row r="110" spans="1:17" s="13" customFormat="1" x14ac:dyDescent="0.25">
      <c r="A110" s="229"/>
      <c r="B110" s="62" t="s">
        <v>70</v>
      </c>
      <c r="C110" s="181" t="s">
        <v>17</v>
      </c>
      <c r="D110" s="182"/>
      <c r="E110" s="183" t="s">
        <v>20</v>
      </c>
      <c r="F110" s="73" t="s">
        <v>373</v>
      </c>
      <c r="G110" s="74" t="s">
        <v>112</v>
      </c>
      <c r="H110" s="75">
        <v>14</v>
      </c>
      <c r="I110" s="76">
        <v>10</v>
      </c>
      <c r="J110" s="96">
        <f>2+2+2+3+1+2</f>
        <v>12</v>
      </c>
      <c r="K110" s="77">
        <f>19498+3011.17+8156.45</f>
        <v>30665.62</v>
      </c>
      <c r="L110" s="77">
        <f>19498+3011.17+8156.45</f>
        <v>30665.62</v>
      </c>
      <c r="M110" s="78">
        <f t="shared" si="3"/>
        <v>0</v>
      </c>
      <c r="N110" s="100">
        <f>2+3+4+2+1</f>
        <v>12</v>
      </c>
      <c r="O110" s="81">
        <f>7606.2+16795.84+3492.18</f>
        <v>27894.22</v>
      </c>
      <c r="P110" s="81">
        <f>7606.2+16795.84+3492.18</f>
        <v>27894.22</v>
      </c>
      <c r="Q110" s="79">
        <f t="shared" si="4"/>
        <v>0</v>
      </c>
    </row>
    <row r="111" spans="1:17" s="13" customFormat="1" x14ac:dyDescent="0.25">
      <c r="A111" s="229"/>
      <c r="B111" s="62" t="s">
        <v>70</v>
      </c>
      <c r="C111" s="181" t="s">
        <v>17</v>
      </c>
      <c r="D111" s="182"/>
      <c r="E111" s="183" t="s">
        <v>20</v>
      </c>
      <c r="F111" s="73" t="s">
        <v>460</v>
      </c>
      <c r="G111" s="230" t="s">
        <v>114</v>
      </c>
      <c r="H111" s="181">
        <v>34</v>
      </c>
      <c r="I111" s="231">
        <v>11</v>
      </c>
      <c r="J111" s="190">
        <v>11</v>
      </c>
      <c r="K111" s="77">
        <v>31822.240000000002</v>
      </c>
      <c r="L111" s="77">
        <v>31822.240000000002</v>
      </c>
      <c r="M111" s="78">
        <f t="shared" si="3"/>
        <v>0</v>
      </c>
      <c r="N111" s="100">
        <v>31</v>
      </c>
      <c r="O111" s="224">
        <v>75536.87</v>
      </c>
      <c r="P111" s="224">
        <v>75536.87</v>
      </c>
      <c r="Q111" s="232">
        <f t="shared" si="4"/>
        <v>0</v>
      </c>
    </row>
    <row r="112" spans="1:17" s="15" customFormat="1" x14ac:dyDescent="0.25">
      <c r="A112" s="229"/>
      <c r="B112" s="62" t="s">
        <v>71</v>
      </c>
      <c r="C112" s="181" t="s">
        <v>17</v>
      </c>
      <c r="D112" s="182"/>
      <c r="E112" s="183" t="s">
        <v>32</v>
      </c>
      <c r="F112" s="73" t="s">
        <v>374</v>
      </c>
      <c r="G112" s="74" t="s">
        <v>112</v>
      </c>
      <c r="H112" s="75">
        <v>22</v>
      </c>
      <c r="I112" s="76">
        <v>17</v>
      </c>
      <c r="J112" s="96">
        <f>3+1+2+1+1+3+3+1+3</f>
        <v>18</v>
      </c>
      <c r="K112" s="77">
        <f>1536.8+461.04+1748.88+633.93+3169.65+2435.83+13203.17+728.54</f>
        <v>23917.840000000004</v>
      </c>
      <c r="L112" s="77">
        <f>1536.8+461.04+1748.88+633.93+3169.65+2435.83+13203.17+728.54</f>
        <v>23917.840000000004</v>
      </c>
      <c r="M112" s="78">
        <f t="shared" si="3"/>
        <v>0</v>
      </c>
      <c r="N112" s="100">
        <f>3+2+1+1+2+1</f>
        <v>10</v>
      </c>
      <c r="O112" s="81">
        <f>9567.93+3616.67+403.41+14275.52+10922.18+12907.41</f>
        <v>51693.119999999995</v>
      </c>
      <c r="P112" s="81">
        <f>9567.93+3616.67+403.41+14275.52+10922.18+12907.41</f>
        <v>51693.119999999995</v>
      </c>
      <c r="Q112" s="79">
        <f t="shared" si="4"/>
        <v>0</v>
      </c>
    </row>
    <row r="113" spans="1:17" s="15" customFormat="1" x14ac:dyDescent="0.25">
      <c r="A113" s="229"/>
      <c r="B113" s="62" t="s">
        <v>71</v>
      </c>
      <c r="C113" s="181" t="s">
        <v>17</v>
      </c>
      <c r="D113" s="182"/>
      <c r="E113" s="183" t="s">
        <v>32</v>
      </c>
      <c r="F113" s="73" t="s">
        <v>431</v>
      </c>
      <c r="G113" s="230" t="s">
        <v>115</v>
      </c>
      <c r="H113" s="181">
        <v>8</v>
      </c>
      <c r="I113" s="231">
        <v>4</v>
      </c>
      <c r="J113" s="96">
        <v>4</v>
      </c>
      <c r="K113" s="237">
        <v>6627.45</v>
      </c>
      <c r="L113" s="237">
        <v>6627.45</v>
      </c>
      <c r="M113" s="78">
        <f t="shared" si="3"/>
        <v>0</v>
      </c>
      <c r="N113" s="114">
        <f>5</f>
        <v>5</v>
      </c>
      <c r="O113" s="77">
        <v>6595.5</v>
      </c>
      <c r="P113" s="77">
        <v>6595.5</v>
      </c>
      <c r="Q113" s="232">
        <f t="shared" si="4"/>
        <v>0</v>
      </c>
    </row>
    <row r="114" spans="1:17" s="13" customFormat="1" x14ac:dyDescent="0.25">
      <c r="A114" s="229"/>
      <c r="B114" s="62" t="s">
        <v>319</v>
      </c>
      <c r="C114" s="181" t="s">
        <v>17</v>
      </c>
      <c r="D114" s="182"/>
      <c r="E114" s="183" t="s">
        <v>20</v>
      </c>
      <c r="F114" s="73" t="s">
        <v>375</v>
      </c>
      <c r="G114" s="74" t="s">
        <v>112</v>
      </c>
      <c r="H114" s="75">
        <v>31</v>
      </c>
      <c r="I114" s="76">
        <v>24</v>
      </c>
      <c r="J114" s="96">
        <f>2+1+4+3+6+2+7+1+2+1</f>
        <v>29</v>
      </c>
      <c r="K114" s="77">
        <f>710.77+1523.35+6753.23+7215.52+1437.48+28056.52+6091.99+2561.63+3510.24</f>
        <v>57860.729999999989</v>
      </c>
      <c r="L114" s="77">
        <f>710.77+1523.35+6753.23+7215.52+1437.48+28056.52+6091.99+2561.63+3510.24</f>
        <v>57860.729999999989</v>
      </c>
      <c r="M114" s="78">
        <f t="shared" si="3"/>
        <v>0</v>
      </c>
      <c r="N114" s="100">
        <f>3+1+2+1+2+1</f>
        <v>10</v>
      </c>
      <c r="O114" s="77">
        <f>13419.94+726.71+2846.77+3770.56+4653.31</f>
        <v>25417.290000000005</v>
      </c>
      <c r="P114" s="77">
        <f>13419.94+726.71+2846.77+3770.56+4653.31</f>
        <v>25417.290000000005</v>
      </c>
      <c r="Q114" s="79">
        <f>O114-P114</f>
        <v>0</v>
      </c>
    </row>
    <row r="115" spans="1:17" s="15" customFormat="1" x14ac:dyDescent="0.25">
      <c r="A115" s="229"/>
      <c r="B115" s="62" t="s">
        <v>150</v>
      </c>
      <c r="C115" s="181" t="s">
        <v>17</v>
      </c>
      <c r="D115" s="182"/>
      <c r="E115" s="183" t="s">
        <v>35</v>
      </c>
      <c r="F115" s="73" t="s">
        <v>376</v>
      </c>
      <c r="G115" s="74" t="s">
        <v>112</v>
      </c>
      <c r="H115" s="75">
        <v>31</v>
      </c>
      <c r="I115" s="76">
        <v>15</v>
      </c>
      <c r="J115" s="96">
        <f>1+1+2+2+1+3+1+4</f>
        <v>15</v>
      </c>
      <c r="K115" s="77">
        <f>1343.65+384.2+1690.4+4889.84+2417.43+2791.74</f>
        <v>13517.26</v>
      </c>
      <c r="L115" s="77">
        <f>1343.65+384.2+1690.4+4889.84+2417.43+2791.74</f>
        <v>13517.26</v>
      </c>
      <c r="M115" s="78">
        <f t="shared" si="3"/>
        <v>0</v>
      </c>
      <c r="N115" s="114">
        <f>8+1+1+2+3+1+1+1</f>
        <v>18</v>
      </c>
      <c r="O115" s="77">
        <f>5997.32+3719.39+3054.34+13138.17+6578.46+6198.68</f>
        <v>38686.36</v>
      </c>
      <c r="P115" s="77">
        <f>5997.32+3719.39+3054.34+13138.17+6578.46+6198.68</f>
        <v>38686.36</v>
      </c>
      <c r="Q115" s="79">
        <f t="shared" si="4"/>
        <v>0</v>
      </c>
    </row>
    <row r="116" spans="1:17" s="15" customFormat="1" x14ac:dyDescent="0.25">
      <c r="A116" s="229"/>
      <c r="B116" s="233" t="s">
        <v>150</v>
      </c>
      <c r="C116" s="181" t="s">
        <v>17</v>
      </c>
      <c r="D116" s="182"/>
      <c r="E116" s="183" t="s">
        <v>32</v>
      </c>
      <c r="F116" s="73" t="s">
        <v>487</v>
      </c>
      <c r="G116" s="230" t="s">
        <v>117</v>
      </c>
      <c r="H116" s="181">
        <v>5</v>
      </c>
      <c r="I116" s="231">
        <v>4</v>
      </c>
      <c r="J116" s="96">
        <v>5</v>
      </c>
      <c r="K116" s="77">
        <v>16858.8</v>
      </c>
      <c r="L116" s="77">
        <v>16858.8</v>
      </c>
      <c r="M116" s="78">
        <f t="shared" si="3"/>
        <v>0</v>
      </c>
      <c r="N116" s="100">
        <v>3</v>
      </c>
      <c r="O116" s="77">
        <v>9645.1</v>
      </c>
      <c r="P116" s="77">
        <v>9645.1</v>
      </c>
      <c r="Q116" s="232">
        <f t="shared" si="4"/>
        <v>0</v>
      </c>
    </row>
    <row r="117" spans="1:17" s="13" customFormat="1" x14ac:dyDescent="0.25">
      <c r="A117" s="229"/>
      <c r="B117" s="30" t="s">
        <v>72</v>
      </c>
      <c r="C117" s="181" t="s">
        <v>17</v>
      </c>
      <c r="D117" s="182"/>
      <c r="E117" s="183" t="s">
        <v>21</v>
      </c>
      <c r="F117" s="73" t="s">
        <v>377</v>
      </c>
      <c r="G117" s="74" t="s">
        <v>112</v>
      </c>
      <c r="H117" s="75">
        <v>23</v>
      </c>
      <c r="I117" s="76">
        <v>14</v>
      </c>
      <c r="J117" s="96">
        <f>1+1+1+1+6+2+1+2+3</f>
        <v>18</v>
      </c>
      <c r="K117" s="77">
        <f>633.93+1415.78+1610.18+1394.65+18140.86+2440.63+4140.81</f>
        <v>29776.840000000004</v>
      </c>
      <c r="L117" s="77">
        <f>633.93+1415.78+1610.18+1394.65+18140.86+2440.63+4140.81</f>
        <v>29776.840000000004</v>
      </c>
      <c r="M117" s="78">
        <f t="shared" si="3"/>
        <v>0</v>
      </c>
      <c r="N117" s="100">
        <f>1+3+1+1+1+3+1+3+1+1+2</f>
        <v>18</v>
      </c>
      <c r="O117" s="81">
        <f>1950.74+10237.13+6595.95+3861.21+1348.53+10328.94+50451.86-19567+15859.78</f>
        <v>81067.14</v>
      </c>
      <c r="P117" s="81">
        <f>1950.74+10237.13+6595.95+3861.21+1348.53+10328.94+50451.86-19567+15859.78</f>
        <v>81067.14</v>
      </c>
      <c r="Q117" s="79">
        <f t="shared" si="4"/>
        <v>0</v>
      </c>
    </row>
    <row r="118" spans="1:17" s="13" customFormat="1" x14ac:dyDescent="0.25">
      <c r="A118" s="229"/>
      <c r="B118" s="30" t="s">
        <v>72</v>
      </c>
      <c r="C118" s="181" t="s">
        <v>17</v>
      </c>
      <c r="D118" s="182"/>
      <c r="E118" s="183" t="s">
        <v>21</v>
      </c>
      <c r="F118" s="73" t="s">
        <v>441</v>
      </c>
      <c r="G118" s="230" t="s">
        <v>118</v>
      </c>
      <c r="H118" s="181">
        <v>7</v>
      </c>
      <c r="I118" s="231">
        <v>1</v>
      </c>
      <c r="J118" s="96">
        <v>1</v>
      </c>
      <c r="K118" s="77">
        <v>1728.9</v>
      </c>
      <c r="L118" s="77">
        <v>1728.9</v>
      </c>
      <c r="M118" s="78">
        <f t="shared" si="3"/>
        <v>0</v>
      </c>
      <c r="N118" s="100">
        <v>20</v>
      </c>
      <c r="O118" s="224">
        <v>46633.58</v>
      </c>
      <c r="P118" s="224">
        <v>46633.58</v>
      </c>
      <c r="Q118" s="232">
        <f t="shared" si="4"/>
        <v>0</v>
      </c>
    </row>
    <row r="119" spans="1:17" s="15" customFormat="1" x14ac:dyDescent="0.25">
      <c r="A119" s="229"/>
      <c r="B119" s="30" t="s">
        <v>73</v>
      </c>
      <c r="C119" s="181" t="s">
        <v>17</v>
      </c>
      <c r="D119" s="182"/>
      <c r="E119" s="183" t="s">
        <v>74</v>
      </c>
      <c r="F119" s="73" t="s">
        <v>378</v>
      </c>
      <c r="G119" s="74" t="s">
        <v>112</v>
      </c>
      <c r="H119" s="75">
        <v>33</v>
      </c>
      <c r="I119" s="76">
        <v>28</v>
      </c>
      <c r="J119" s="96">
        <f>9+8+2+2+10+1+6+5</f>
        <v>43</v>
      </c>
      <c r="K119" s="77">
        <f>6305.33+12574.83+14899.84+13657.06+15923.24</f>
        <v>63360.299999999996</v>
      </c>
      <c r="L119" s="77">
        <f>6305.33+12574.83+14899.84+13657.06+15923.24</f>
        <v>63360.299999999996</v>
      </c>
      <c r="M119" s="78">
        <f t="shared" si="3"/>
        <v>0</v>
      </c>
      <c r="N119" s="100">
        <f>5+3+3+1+1+2</f>
        <v>15</v>
      </c>
      <c r="O119" s="81">
        <f>5416.39+9506.99+12269.39+7610.68+1928.68</f>
        <v>36732.129999999997</v>
      </c>
      <c r="P119" s="81">
        <f>5416.39+9506.99+12269.39+7610.68+1928.68</f>
        <v>36732.129999999997</v>
      </c>
      <c r="Q119" s="79">
        <f t="shared" si="4"/>
        <v>0</v>
      </c>
    </row>
    <row r="120" spans="1:17" s="15" customFormat="1" x14ac:dyDescent="0.25">
      <c r="A120" s="229"/>
      <c r="B120" s="30" t="s">
        <v>73</v>
      </c>
      <c r="C120" s="181" t="s">
        <v>17</v>
      </c>
      <c r="D120" s="182"/>
      <c r="E120" s="183" t="s">
        <v>74</v>
      </c>
      <c r="F120" s="73" t="s">
        <v>282</v>
      </c>
      <c r="G120" s="230" t="s">
        <v>114</v>
      </c>
      <c r="H120" s="181"/>
      <c r="I120" s="231"/>
      <c r="J120" s="190"/>
      <c r="K120" s="77"/>
      <c r="L120" s="77"/>
      <c r="M120" s="78">
        <f t="shared" si="3"/>
        <v>0</v>
      </c>
      <c r="N120" s="100">
        <v>1</v>
      </c>
      <c r="O120" s="224">
        <v>1728.9</v>
      </c>
      <c r="P120" s="224">
        <v>1728.9</v>
      </c>
      <c r="Q120" s="232">
        <f t="shared" si="4"/>
        <v>0</v>
      </c>
    </row>
    <row r="121" spans="1:17" s="13" customFormat="1" x14ac:dyDescent="0.25">
      <c r="A121" s="229"/>
      <c r="B121" s="30" t="s">
        <v>135</v>
      </c>
      <c r="C121" s="181" t="s">
        <v>17</v>
      </c>
      <c r="D121" s="182"/>
      <c r="E121" s="194" t="s">
        <v>35</v>
      </c>
      <c r="F121" s="73" t="s">
        <v>379</v>
      </c>
      <c r="G121" s="74" t="s">
        <v>112</v>
      </c>
      <c r="H121" s="75">
        <v>33</v>
      </c>
      <c r="I121" s="76">
        <v>23</v>
      </c>
      <c r="J121" s="96">
        <f>1+6+5+3+3+5+1</f>
        <v>24</v>
      </c>
      <c r="K121" s="77">
        <f>697.32+4374.12+5747.44+4426.94+15712.05+4176.57</f>
        <v>35134.44</v>
      </c>
      <c r="L121" s="77">
        <f>697.32+4374.12+5747.44+4426.94+15712.05+4176.57</f>
        <v>35134.44</v>
      </c>
      <c r="M121" s="78">
        <f t="shared" si="3"/>
        <v>0</v>
      </c>
      <c r="N121" s="100">
        <f>2+5+1+2+2+2</f>
        <v>14</v>
      </c>
      <c r="O121" s="81">
        <f>6432.89+2283.68+4932.13</f>
        <v>13648.7</v>
      </c>
      <c r="P121" s="81">
        <f>6432.89+2283.68+4932.13</f>
        <v>13648.7</v>
      </c>
      <c r="Q121" s="232">
        <f t="shared" si="4"/>
        <v>0</v>
      </c>
    </row>
    <row r="122" spans="1:17" s="13" customFormat="1" x14ac:dyDescent="0.25">
      <c r="A122" s="229"/>
      <c r="B122" s="30" t="s">
        <v>135</v>
      </c>
      <c r="C122" s="181" t="s">
        <v>17</v>
      </c>
      <c r="D122" s="182"/>
      <c r="E122" s="194" t="s">
        <v>35</v>
      </c>
      <c r="F122" s="73" t="s">
        <v>432</v>
      </c>
      <c r="G122" s="230" t="s">
        <v>115</v>
      </c>
      <c r="H122" s="181">
        <v>2</v>
      </c>
      <c r="I122" s="231"/>
      <c r="J122" s="96"/>
      <c r="K122" s="77"/>
      <c r="L122" s="77"/>
      <c r="M122" s="78">
        <f t="shared" si="3"/>
        <v>0</v>
      </c>
      <c r="N122" s="100">
        <v>1</v>
      </c>
      <c r="O122" s="224">
        <v>2689.4</v>
      </c>
      <c r="P122" s="224">
        <v>2689.4</v>
      </c>
      <c r="Q122" s="79">
        <f t="shared" si="4"/>
        <v>0</v>
      </c>
    </row>
    <row r="123" spans="1:17" s="13" customFormat="1" x14ac:dyDescent="0.25">
      <c r="A123" s="229"/>
      <c r="B123" s="30" t="s">
        <v>145</v>
      </c>
      <c r="C123" s="181" t="s">
        <v>17</v>
      </c>
      <c r="D123" s="182"/>
      <c r="E123" s="194" t="s">
        <v>20</v>
      </c>
      <c r="F123" s="73" t="s">
        <v>380</v>
      </c>
      <c r="G123" s="74" t="s">
        <v>112</v>
      </c>
      <c r="H123" s="75">
        <v>15</v>
      </c>
      <c r="I123" s="82">
        <v>13</v>
      </c>
      <c r="J123" s="96">
        <f>2+1+1+2+2+5+3+2+3</f>
        <v>21</v>
      </c>
      <c r="K123" s="77">
        <f>5169.72+1100+538.84+4293.82+3949.22+3361.76+5643.1+4037.33+4704.3</f>
        <v>32798.090000000004</v>
      </c>
      <c r="L123" s="77">
        <f>5169.72+1100+538.84+4293.82+3949.22+3361.76+5643.1+4037.33+4704.3</f>
        <v>32798.090000000004</v>
      </c>
      <c r="M123" s="78">
        <f t="shared" si="3"/>
        <v>0</v>
      </c>
      <c r="N123" s="100">
        <f>1+1+2+1+2+1</f>
        <v>8</v>
      </c>
      <c r="O123" s="81">
        <f>5120.23+3915.15+1114.12+14002.49+7111.04</f>
        <v>31263.03</v>
      </c>
      <c r="P123" s="81">
        <f>5120.23+3915.15+1114.12+14002.49+7111.04</f>
        <v>31263.03</v>
      </c>
      <c r="Q123" s="232">
        <f t="shared" si="4"/>
        <v>0</v>
      </c>
    </row>
    <row r="124" spans="1:17" s="13" customFormat="1" x14ac:dyDescent="0.25">
      <c r="A124" s="229"/>
      <c r="B124" s="30" t="s">
        <v>145</v>
      </c>
      <c r="C124" s="181" t="s">
        <v>17</v>
      </c>
      <c r="D124" s="182"/>
      <c r="E124" s="194" t="s">
        <v>20</v>
      </c>
      <c r="F124" s="73" t="s">
        <v>461</v>
      </c>
      <c r="G124" s="230" t="s">
        <v>114</v>
      </c>
      <c r="H124" s="181">
        <v>5</v>
      </c>
      <c r="I124" s="231">
        <v>1</v>
      </c>
      <c r="J124" s="190">
        <v>1</v>
      </c>
      <c r="K124" s="77">
        <v>1921</v>
      </c>
      <c r="L124" s="77">
        <v>1921</v>
      </c>
      <c r="M124" s="78">
        <f t="shared" si="3"/>
        <v>0</v>
      </c>
      <c r="N124" s="100">
        <v>10</v>
      </c>
      <c r="O124" s="224">
        <v>22933.25</v>
      </c>
      <c r="P124" s="224">
        <v>22933.25</v>
      </c>
      <c r="Q124" s="232">
        <f t="shared" si="4"/>
        <v>0</v>
      </c>
    </row>
    <row r="125" spans="1:17" s="13" customFormat="1" x14ac:dyDescent="0.25">
      <c r="A125" s="229"/>
      <c r="B125" s="62" t="s">
        <v>76</v>
      </c>
      <c r="C125" s="181" t="s">
        <v>17</v>
      </c>
      <c r="D125" s="182"/>
      <c r="E125" s="183" t="s">
        <v>20</v>
      </c>
      <c r="F125" s="73" t="s">
        <v>381</v>
      </c>
      <c r="G125" s="74" t="s">
        <v>112</v>
      </c>
      <c r="H125" s="75">
        <v>25</v>
      </c>
      <c r="I125" s="76">
        <v>19</v>
      </c>
      <c r="J125" s="96">
        <f>1+6+3+1+3+1+2+2+2+1+1</f>
        <v>23</v>
      </c>
      <c r="K125" s="77">
        <f>6556.06+2806.39+2697.06+1267.86+11775.51+1557.35+2113.1+4117.36+1673.84+1724.01</f>
        <v>36288.539999999994</v>
      </c>
      <c r="L125" s="77">
        <f>6556.06+2806.39+2697.06+1267.86+11775.51+1557.35+2113.1+4117.36+1673.84+1724.01</f>
        <v>36288.539999999994</v>
      </c>
      <c r="M125" s="78">
        <f t="shared" si="3"/>
        <v>0</v>
      </c>
      <c r="N125" s="100">
        <f>5+6+2+1+1+1+1+2</f>
        <v>19</v>
      </c>
      <c r="O125" s="81">
        <f>11527.9+19846.52+1011.91+9641+2451.87+10072.83+11307.66+2243.83+6181.56+5655.45</f>
        <v>79940.53</v>
      </c>
      <c r="P125" s="81">
        <f>11527.9+19846.52+1011.91+9641+2451.87+10072.83+11307.66+2243.83+6181.56+5655.45</f>
        <v>79940.53</v>
      </c>
      <c r="Q125" s="232">
        <f t="shared" si="4"/>
        <v>0</v>
      </c>
    </row>
    <row r="126" spans="1:17" s="13" customFormat="1" x14ac:dyDescent="0.25">
      <c r="A126" s="229"/>
      <c r="B126" s="62" t="s">
        <v>76</v>
      </c>
      <c r="C126" s="181" t="s">
        <v>17</v>
      </c>
      <c r="D126" s="182"/>
      <c r="E126" s="183" t="s">
        <v>20</v>
      </c>
      <c r="F126" s="73" t="s">
        <v>462</v>
      </c>
      <c r="G126" s="230" t="s">
        <v>114</v>
      </c>
      <c r="H126" s="181">
        <v>14</v>
      </c>
      <c r="I126" s="231">
        <v>2</v>
      </c>
      <c r="J126" s="190">
        <v>2</v>
      </c>
      <c r="K126" s="77">
        <v>4722.2</v>
      </c>
      <c r="L126" s="77">
        <v>4722.2</v>
      </c>
      <c r="M126" s="78">
        <f t="shared" si="3"/>
        <v>0</v>
      </c>
      <c r="N126" s="100">
        <v>9</v>
      </c>
      <c r="O126" s="224">
        <v>30007.39</v>
      </c>
      <c r="P126" s="224">
        <v>30007.39</v>
      </c>
      <c r="Q126" s="232">
        <f t="shared" si="4"/>
        <v>0</v>
      </c>
    </row>
    <row r="127" spans="1:17" s="13" customFormat="1" x14ac:dyDescent="0.25">
      <c r="A127" s="229"/>
      <c r="B127" s="30" t="s">
        <v>77</v>
      </c>
      <c r="C127" s="181" t="s">
        <v>17</v>
      </c>
      <c r="D127" s="182"/>
      <c r="E127" s="183" t="s">
        <v>32</v>
      </c>
      <c r="F127" s="73" t="s">
        <v>388</v>
      </c>
      <c r="G127" s="74" t="s">
        <v>112</v>
      </c>
      <c r="H127" s="75">
        <v>20</v>
      </c>
      <c r="I127" s="76">
        <v>12</v>
      </c>
      <c r="J127" s="96">
        <f>2+2+2+6+1+1+1</f>
        <v>15</v>
      </c>
      <c r="K127" s="77">
        <f>2440.63+1507.02+2101.48+13625.7+1324.62+2083.47</f>
        <v>23082.920000000002</v>
      </c>
      <c r="L127" s="77">
        <v>23082.920000000002</v>
      </c>
      <c r="M127" s="78">
        <f t="shared" si="3"/>
        <v>0</v>
      </c>
      <c r="N127" s="100">
        <f>5+2+3+3+1+1</f>
        <v>15</v>
      </c>
      <c r="O127" s="81">
        <f>11716.73+6848.82+4046.18+11166.34+8845.95</f>
        <v>42624.020000000004</v>
      </c>
      <c r="P127" s="81">
        <f>11716.73+6848.82+4046.18+11166.34+8845.95</f>
        <v>42624.020000000004</v>
      </c>
      <c r="Q127" s="232">
        <f t="shared" si="4"/>
        <v>0</v>
      </c>
    </row>
    <row r="128" spans="1:17" s="13" customFormat="1" x14ac:dyDescent="0.25">
      <c r="A128" s="229"/>
      <c r="B128" s="30" t="s">
        <v>77</v>
      </c>
      <c r="C128" s="181" t="s">
        <v>17</v>
      </c>
      <c r="D128" s="182"/>
      <c r="E128" s="183" t="s">
        <v>32</v>
      </c>
      <c r="F128" s="73" t="s">
        <v>433</v>
      </c>
      <c r="G128" s="230" t="s">
        <v>117</v>
      </c>
      <c r="H128" s="181">
        <v>3</v>
      </c>
      <c r="I128" s="231">
        <v>1</v>
      </c>
      <c r="J128" s="96">
        <v>1</v>
      </c>
      <c r="K128" s="77">
        <v>1921</v>
      </c>
      <c r="L128" s="77">
        <v>1921</v>
      </c>
      <c r="M128" s="78">
        <f t="shared" si="3"/>
        <v>0</v>
      </c>
      <c r="N128" s="100">
        <v>6</v>
      </c>
      <c r="O128" s="224">
        <v>18164.11</v>
      </c>
      <c r="P128" s="224">
        <v>18164.11</v>
      </c>
      <c r="Q128" s="79">
        <f t="shared" si="4"/>
        <v>0</v>
      </c>
    </row>
    <row r="129" spans="1:17" s="13" customFormat="1" x14ac:dyDescent="0.25">
      <c r="A129" s="229"/>
      <c r="B129" s="30" t="s">
        <v>321</v>
      </c>
      <c r="C129" s="181" t="s">
        <v>17</v>
      </c>
      <c r="D129" s="182"/>
      <c r="E129" s="183" t="s">
        <v>21</v>
      </c>
      <c r="F129" s="73" t="s">
        <v>489</v>
      </c>
      <c r="G129" s="230" t="s">
        <v>112</v>
      </c>
      <c r="H129" s="181">
        <v>6</v>
      </c>
      <c r="I129" s="231">
        <v>2</v>
      </c>
      <c r="J129" s="96">
        <f>1+1</f>
        <v>2</v>
      </c>
      <c r="K129" s="77">
        <f>2547.89+1766.16</f>
        <v>4314.05</v>
      </c>
      <c r="L129" s="77">
        <f>2547.89+1766.16</f>
        <v>4314.05</v>
      </c>
      <c r="M129" s="78">
        <f t="shared" si="3"/>
        <v>0</v>
      </c>
      <c r="N129" s="100"/>
      <c r="O129" s="224"/>
      <c r="P129" s="224"/>
      <c r="Q129" s="79">
        <f t="shared" si="4"/>
        <v>0</v>
      </c>
    </row>
    <row r="130" spans="1:17" s="13" customFormat="1" ht="30" x14ac:dyDescent="0.25">
      <c r="A130" s="229"/>
      <c r="B130" s="62" t="s">
        <v>79</v>
      </c>
      <c r="C130" s="181" t="s">
        <v>304</v>
      </c>
      <c r="D130" s="182" t="s">
        <v>385</v>
      </c>
      <c r="E130" s="183" t="s">
        <v>18</v>
      </c>
      <c r="F130" s="73" t="s">
        <v>389</v>
      </c>
      <c r="G130" s="74" t="s">
        <v>112</v>
      </c>
      <c r="H130" s="75">
        <v>19</v>
      </c>
      <c r="I130" s="76">
        <v>12</v>
      </c>
      <c r="J130" s="96">
        <f>2+5+2+3+2+2</f>
        <v>16</v>
      </c>
      <c r="K130" s="77">
        <f>2091.97+3190.2+5703.08+6368.88+4029.68+4560.06</f>
        <v>25943.870000000003</v>
      </c>
      <c r="L130" s="77">
        <f>2091.97+3190.2+5703.08+6368.88+4029.68+4560.06</f>
        <v>25943.870000000003</v>
      </c>
      <c r="M130" s="78">
        <f t="shared" si="3"/>
        <v>0</v>
      </c>
      <c r="N130" s="100">
        <f>2+2+1+2+1+1+3</f>
        <v>12</v>
      </c>
      <c r="O130" s="81">
        <f>1547.4+4166.12+7835.61+1675.01+4717.63+6039.62+18829.39+23135.63</f>
        <v>67946.41</v>
      </c>
      <c r="P130" s="81">
        <f>1547.4+4166.12+7835.61+1675.01+4717.63+6039.62+18829.39+23135.63</f>
        <v>67946.41</v>
      </c>
      <c r="Q130" s="232">
        <f t="shared" si="4"/>
        <v>0</v>
      </c>
    </row>
    <row r="131" spans="1:17" s="13" customFormat="1" ht="30" x14ac:dyDescent="0.25">
      <c r="A131" s="229"/>
      <c r="B131" s="62" t="s">
        <v>79</v>
      </c>
      <c r="C131" s="181" t="s">
        <v>304</v>
      </c>
      <c r="D131" s="182" t="s">
        <v>475</v>
      </c>
      <c r="E131" s="183" t="s">
        <v>18</v>
      </c>
      <c r="F131" s="73" t="s">
        <v>329</v>
      </c>
      <c r="G131" s="271" t="s">
        <v>116</v>
      </c>
      <c r="H131" s="181">
        <v>42</v>
      </c>
      <c r="I131" s="234">
        <v>30</v>
      </c>
      <c r="J131" s="98">
        <v>34</v>
      </c>
      <c r="K131" s="224">
        <v>76112</v>
      </c>
      <c r="L131" s="224">
        <v>76112</v>
      </c>
      <c r="M131" s="78">
        <f t="shared" si="3"/>
        <v>0</v>
      </c>
      <c r="N131" s="100">
        <v>15</v>
      </c>
      <c r="O131" s="224">
        <v>56311</v>
      </c>
      <c r="P131" s="224">
        <v>56311</v>
      </c>
      <c r="Q131" s="79">
        <f t="shared" si="4"/>
        <v>0</v>
      </c>
    </row>
    <row r="132" spans="1:17" s="13" customFormat="1" x14ac:dyDescent="0.25">
      <c r="A132" s="229"/>
      <c r="B132" s="62" t="s">
        <v>151</v>
      </c>
      <c r="C132" s="181" t="s">
        <v>17</v>
      </c>
      <c r="D132" s="182"/>
      <c r="E132" s="183" t="s">
        <v>32</v>
      </c>
      <c r="F132" s="73" t="s">
        <v>390</v>
      </c>
      <c r="G132" s="74" t="s">
        <v>112</v>
      </c>
      <c r="H132" s="75">
        <v>59</v>
      </c>
      <c r="I132" s="82">
        <v>50</v>
      </c>
      <c r="J132" s="96">
        <f>1+3+3+5+3+9+4+6+3+2+6+5+3+8+4</f>
        <v>65</v>
      </c>
      <c r="K132" s="81">
        <f>2317+4640.19+5864.19+10765+12519.53+4514.35+14486.46+3421.94+27163.56+5180.87+3460.57</f>
        <v>94333.66</v>
      </c>
      <c r="L132" s="81">
        <f>2317+4640.19+5864.19+10765+12519.53+4514.35+14486.46+3421.94+27163.56+5180.87+3460.57</f>
        <v>94333.66</v>
      </c>
      <c r="M132" s="78">
        <f t="shared" si="3"/>
        <v>0</v>
      </c>
      <c r="N132" s="100">
        <f>9+3+5+1+4+4+1+2</f>
        <v>29</v>
      </c>
      <c r="O132" s="81">
        <f>10726.94+18822.65+5703.53+12846.53+1320.36+4050.1+22728.38</f>
        <v>76198.490000000005</v>
      </c>
      <c r="P132" s="81">
        <f>10726.94+18822.65+5703.53+12846.53+1320.36+4050.1+22728.38</f>
        <v>76198.490000000005</v>
      </c>
      <c r="Q132" s="232">
        <f t="shared" si="4"/>
        <v>0</v>
      </c>
    </row>
    <row r="133" spans="1:17" s="13" customFormat="1" x14ac:dyDescent="0.25">
      <c r="A133" s="229"/>
      <c r="B133" s="62" t="s">
        <v>151</v>
      </c>
      <c r="C133" s="181" t="s">
        <v>17</v>
      </c>
      <c r="D133" s="182"/>
      <c r="E133" s="183" t="s">
        <v>32</v>
      </c>
      <c r="F133" s="73" t="s">
        <v>434</v>
      </c>
      <c r="G133" s="230" t="s">
        <v>117</v>
      </c>
      <c r="H133" s="181">
        <v>12</v>
      </c>
      <c r="I133" s="231">
        <v>3</v>
      </c>
      <c r="J133" s="96">
        <v>3</v>
      </c>
      <c r="K133" s="77">
        <v>3411.9</v>
      </c>
      <c r="L133" s="77">
        <v>3411.9</v>
      </c>
      <c r="M133" s="78">
        <f t="shared" si="3"/>
        <v>0</v>
      </c>
      <c r="N133" s="100">
        <v>13</v>
      </c>
      <c r="O133" s="224">
        <v>24537.7</v>
      </c>
      <c r="P133" s="224">
        <v>24537.7</v>
      </c>
      <c r="Q133" s="79">
        <f t="shared" si="4"/>
        <v>0</v>
      </c>
    </row>
    <row r="134" spans="1:17" s="13" customFormat="1" x14ac:dyDescent="0.25">
      <c r="A134" s="229"/>
      <c r="B134" s="62" t="s">
        <v>80</v>
      </c>
      <c r="C134" s="181" t="s">
        <v>17</v>
      </c>
      <c r="D134" s="182"/>
      <c r="E134" s="183" t="s">
        <v>81</v>
      </c>
      <c r="F134" s="73" t="s">
        <v>417</v>
      </c>
      <c r="G134" s="74" t="s">
        <v>112</v>
      </c>
      <c r="H134" s="75"/>
      <c r="I134" s="76"/>
      <c r="J134" s="96"/>
      <c r="K134" s="77">
        <f>749.19+8649.27</f>
        <v>9398.4600000000009</v>
      </c>
      <c r="L134" s="77">
        <f>749.19+8649.27</f>
        <v>9398.4600000000009</v>
      </c>
      <c r="M134" s="78">
        <f t="shared" si="3"/>
        <v>0</v>
      </c>
      <c r="N134" s="100">
        <f>2+2</f>
        <v>4</v>
      </c>
      <c r="O134" s="81">
        <f>3040.94+9398.46</f>
        <v>12439.4</v>
      </c>
      <c r="P134" s="81">
        <f>3040.94+9398.46</f>
        <v>12439.4</v>
      </c>
      <c r="Q134" s="232">
        <f t="shared" si="4"/>
        <v>0</v>
      </c>
    </row>
    <row r="135" spans="1:17" s="13" customFormat="1" x14ac:dyDescent="0.25">
      <c r="A135" s="229"/>
      <c r="B135" s="62" t="s">
        <v>80</v>
      </c>
      <c r="C135" s="181" t="s">
        <v>17</v>
      </c>
      <c r="D135" s="182"/>
      <c r="E135" s="183" t="s">
        <v>81</v>
      </c>
      <c r="F135" s="73" t="s">
        <v>285</v>
      </c>
      <c r="G135" s="230" t="s">
        <v>114</v>
      </c>
      <c r="H135" s="181"/>
      <c r="I135" s="231"/>
      <c r="J135" s="190"/>
      <c r="K135" s="77"/>
      <c r="L135" s="77"/>
      <c r="M135" s="78">
        <f t="shared" si="3"/>
        <v>0</v>
      </c>
      <c r="N135" s="100">
        <v>23</v>
      </c>
      <c r="O135" s="224">
        <v>58735.99</v>
      </c>
      <c r="P135" s="224">
        <v>58735.99</v>
      </c>
      <c r="Q135" s="232">
        <f t="shared" si="4"/>
        <v>0</v>
      </c>
    </row>
    <row r="136" spans="1:17" s="13" customFormat="1" x14ac:dyDescent="0.25">
      <c r="A136" s="229"/>
      <c r="B136" s="30" t="s">
        <v>82</v>
      </c>
      <c r="C136" s="181" t="s">
        <v>17</v>
      </c>
      <c r="D136" s="182"/>
      <c r="E136" s="183" t="s">
        <v>20</v>
      </c>
      <c r="F136" s="73" t="s">
        <v>394</v>
      </c>
      <c r="G136" s="74" t="s">
        <v>112</v>
      </c>
      <c r="H136" s="75">
        <v>13</v>
      </c>
      <c r="I136" s="76">
        <v>11</v>
      </c>
      <c r="J136" s="96">
        <f>4+3+2+2+1+1</f>
        <v>13</v>
      </c>
      <c r="K136" s="77">
        <v>20254</v>
      </c>
      <c r="L136" s="77">
        <v>20254</v>
      </c>
      <c r="M136" s="78">
        <f t="shared" si="3"/>
        <v>0</v>
      </c>
      <c r="N136" s="100">
        <f>3+5+1+1+1</f>
        <v>11</v>
      </c>
      <c r="O136" s="81">
        <f>5975.84+23579.15+1426.34</f>
        <v>30981.33</v>
      </c>
      <c r="P136" s="81">
        <f>5975.84+23579.15+1426.34</f>
        <v>30981.33</v>
      </c>
      <c r="Q136" s="232">
        <f t="shared" si="4"/>
        <v>0</v>
      </c>
    </row>
    <row r="137" spans="1:17" s="13" customFormat="1" x14ac:dyDescent="0.25">
      <c r="A137" s="229"/>
      <c r="B137" s="30" t="s">
        <v>82</v>
      </c>
      <c r="C137" s="181" t="s">
        <v>17</v>
      </c>
      <c r="D137" s="182"/>
      <c r="E137" s="183" t="s">
        <v>20</v>
      </c>
      <c r="F137" s="73" t="s">
        <v>463</v>
      </c>
      <c r="G137" s="230" t="s">
        <v>114</v>
      </c>
      <c r="H137" s="181">
        <v>19</v>
      </c>
      <c r="I137" s="231">
        <v>5</v>
      </c>
      <c r="J137" s="190">
        <v>5</v>
      </c>
      <c r="K137" s="77">
        <v>11385.5</v>
      </c>
      <c r="L137" s="77">
        <v>11385.5</v>
      </c>
      <c r="M137" s="78">
        <f t="shared" si="3"/>
        <v>0</v>
      </c>
      <c r="N137" s="100">
        <v>14</v>
      </c>
      <c r="O137" s="224">
        <v>48620.71</v>
      </c>
      <c r="P137" s="224">
        <v>48620.71</v>
      </c>
      <c r="Q137" s="232">
        <f t="shared" si="4"/>
        <v>0</v>
      </c>
    </row>
    <row r="138" spans="1:17" s="13" customFormat="1" x14ac:dyDescent="0.25">
      <c r="A138" s="229"/>
      <c r="B138" s="30" t="s">
        <v>309</v>
      </c>
      <c r="C138" s="181" t="s">
        <v>17</v>
      </c>
      <c r="D138" s="182"/>
      <c r="E138" s="183" t="s">
        <v>20</v>
      </c>
      <c r="F138" s="73" t="s">
        <v>391</v>
      </c>
      <c r="G138" s="230" t="s">
        <v>112</v>
      </c>
      <c r="H138" s="181">
        <v>15</v>
      </c>
      <c r="I138" s="231">
        <v>10</v>
      </c>
      <c r="J138" s="190">
        <f>1+5+2+1+1+1</f>
        <v>11</v>
      </c>
      <c r="K138" s="77">
        <f>3606.1+3402.77+2649.24+993.47+441.54</f>
        <v>11093.12</v>
      </c>
      <c r="L138" s="77">
        <f>3606.1+3402.77+2649.24+993.47+441.54</f>
        <v>11093.12</v>
      </c>
      <c r="M138" s="78">
        <f t="shared" si="3"/>
        <v>0</v>
      </c>
      <c r="N138" s="100">
        <f>1+5+1+3</f>
        <v>10</v>
      </c>
      <c r="O138" s="224">
        <f>3088.97+13147.65+1267.86+5955.71</f>
        <v>23460.19</v>
      </c>
      <c r="P138" s="224">
        <f>3088.97+13147.65+1267.86+5955.71</f>
        <v>23460.19</v>
      </c>
      <c r="Q138" s="232">
        <f t="shared" si="4"/>
        <v>0</v>
      </c>
    </row>
    <row r="139" spans="1:17" s="13" customFormat="1" x14ac:dyDescent="0.25">
      <c r="A139" s="229"/>
      <c r="B139" s="30" t="s">
        <v>152</v>
      </c>
      <c r="C139" s="181" t="s">
        <v>17</v>
      </c>
      <c r="D139" s="182"/>
      <c r="E139" s="183" t="s">
        <v>35</v>
      </c>
      <c r="F139" s="73" t="s">
        <v>392</v>
      </c>
      <c r="G139" s="74" t="s">
        <v>112</v>
      </c>
      <c r="H139" s="75">
        <v>7</v>
      </c>
      <c r="I139" s="76">
        <v>6</v>
      </c>
      <c r="J139" s="96">
        <f>1+1+2+1+1+1+2</f>
        <v>9</v>
      </c>
      <c r="K139" s="77">
        <f>403.41+845.24+2113.1+2649.24</f>
        <v>6010.99</v>
      </c>
      <c r="L139" s="77">
        <f>403.41+845.24+2113.1+2649.24</f>
        <v>6010.99</v>
      </c>
      <c r="M139" s="78">
        <f t="shared" ref="M139:M189" si="5">K139-L139</f>
        <v>0</v>
      </c>
      <c r="N139" s="100">
        <f>2+2+2+1+1+1+2</f>
        <v>11</v>
      </c>
      <c r="O139" s="81">
        <f>1690.48+3050.26+3661.61+4648.82+1267.86+1690.48+9282.42+4052.53</f>
        <v>29344.46</v>
      </c>
      <c r="P139" s="81">
        <f>1690.48+3050.26+3661.61+4648.82+1267.86+1690.48+9282.42+4052.53</f>
        <v>29344.46</v>
      </c>
      <c r="Q139" s="232">
        <f t="shared" si="4"/>
        <v>0</v>
      </c>
    </row>
    <row r="140" spans="1:17" s="13" customFormat="1" x14ac:dyDescent="0.25">
      <c r="A140" s="229"/>
      <c r="B140" s="30" t="s">
        <v>83</v>
      </c>
      <c r="C140" s="181" t="s">
        <v>17</v>
      </c>
      <c r="D140" s="182"/>
      <c r="E140" s="183" t="s">
        <v>20</v>
      </c>
      <c r="F140" s="73" t="s">
        <v>393</v>
      </c>
      <c r="G140" s="74" t="s">
        <v>112</v>
      </c>
      <c r="H140" s="75">
        <v>13</v>
      </c>
      <c r="I140" s="76">
        <v>8</v>
      </c>
      <c r="J140" s="96">
        <f>1+1+2+1+1+1+1+1</f>
        <v>9</v>
      </c>
      <c r="K140" s="77">
        <f>768.4+2535.72+845.24+14407.5+883.08</f>
        <v>19439.940000000002</v>
      </c>
      <c r="L140" s="77">
        <f>768.4+2535.72+845.24+14407.5+883.08</f>
        <v>19439.940000000002</v>
      </c>
      <c r="M140" s="78">
        <f t="shared" si="5"/>
        <v>0</v>
      </c>
      <c r="N140" s="100">
        <f>1+2+1+1+1+2</f>
        <v>8</v>
      </c>
      <c r="O140" s="81">
        <f>5837.09+1922.92+4288.54+1686.25</f>
        <v>13734.8</v>
      </c>
      <c r="P140" s="81">
        <f>5837.09+1922.92+4288.54+1686.25</f>
        <v>13734.8</v>
      </c>
      <c r="Q140" s="232">
        <f t="shared" si="4"/>
        <v>0</v>
      </c>
    </row>
    <row r="141" spans="1:17" s="13" customFormat="1" x14ac:dyDescent="0.25">
      <c r="A141" s="229"/>
      <c r="B141" s="30" t="s">
        <v>83</v>
      </c>
      <c r="C141" s="181" t="s">
        <v>17</v>
      </c>
      <c r="D141" s="182"/>
      <c r="E141" s="183" t="s">
        <v>20</v>
      </c>
      <c r="F141" s="73" t="s">
        <v>464</v>
      </c>
      <c r="G141" s="230" t="s">
        <v>114</v>
      </c>
      <c r="H141" s="181">
        <v>30</v>
      </c>
      <c r="I141" s="231">
        <v>12</v>
      </c>
      <c r="J141" s="190">
        <v>12</v>
      </c>
      <c r="K141" s="77">
        <v>33226.89</v>
      </c>
      <c r="L141" s="77">
        <v>33226.89</v>
      </c>
      <c r="M141" s="78">
        <f t="shared" si="5"/>
        <v>0</v>
      </c>
      <c r="N141" s="100">
        <v>28</v>
      </c>
      <c r="O141" s="224">
        <v>106750.62</v>
      </c>
      <c r="P141" s="224">
        <v>106750.62</v>
      </c>
      <c r="Q141" s="232">
        <f t="shared" si="4"/>
        <v>0</v>
      </c>
    </row>
    <row r="142" spans="1:17" s="13" customFormat="1" ht="29.25" customHeight="1" x14ac:dyDescent="0.25">
      <c r="A142" s="229"/>
      <c r="B142" s="30" t="s">
        <v>85</v>
      </c>
      <c r="C142" s="181" t="s">
        <v>304</v>
      </c>
      <c r="D142" s="182" t="s">
        <v>415</v>
      </c>
      <c r="E142" s="183" t="s">
        <v>20</v>
      </c>
      <c r="F142" s="73" t="s">
        <v>395</v>
      </c>
      <c r="G142" s="74" t="s">
        <v>112</v>
      </c>
      <c r="H142" s="75">
        <v>20</v>
      </c>
      <c r="I142" s="76">
        <v>8</v>
      </c>
      <c r="J142" s="98">
        <f>2+1+1</f>
        <v>4</v>
      </c>
      <c r="K142" s="77">
        <f>4800.58+2591.84+7239.38</f>
        <v>14631.8</v>
      </c>
      <c r="L142" s="77">
        <f>4800.58+2591.84+7239.38</f>
        <v>14631.8</v>
      </c>
      <c r="M142" s="78">
        <f t="shared" si="5"/>
        <v>0</v>
      </c>
      <c r="N142" s="100">
        <f>2+1+2</f>
        <v>5</v>
      </c>
      <c r="O142" s="81">
        <f>3917.73+8936.21+5669.37+31185.72+18292.46</f>
        <v>68001.489999999991</v>
      </c>
      <c r="P142" s="81">
        <f>3917.73+8936.21+5669.37+31185.72+18292.46</f>
        <v>68001.489999999991</v>
      </c>
      <c r="Q142" s="79">
        <f t="shared" si="4"/>
        <v>0</v>
      </c>
    </row>
    <row r="143" spans="1:17" s="13" customFormat="1" x14ac:dyDescent="0.25">
      <c r="A143" s="229"/>
      <c r="B143" s="27" t="s">
        <v>86</v>
      </c>
      <c r="C143" s="181" t="s">
        <v>17</v>
      </c>
      <c r="D143" s="182"/>
      <c r="E143" s="194" t="s">
        <v>20</v>
      </c>
      <c r="F143" s="73" t="s">
        <v>396</v>
      </c>
      <c r="G143" s="74" t="s">
        <v>112</v>
      </c>
      <c r="H143" s="75">
        <v>19</v>
      </c>
      <c r="I143" s="76">
        <v>13</v>
      </c>
      <c r="J143" s="96">
        <f>1+3+1+7+2+2+5</f>
        <v>21</v>
      </c>
      <c r="K143" s="77">
        <f>950.9+5134.06+2091.97+528.03+8954.46+5719.74+9578.1</f>
        <v>32957.259999999995</v>
      </c>
      <c r="L143" s="77">
        <f>950.9+5134.06+2091.97+528.03+8954.46+5719.74+9578.1</f>
        <v>32957.259999999995</v>
      </c>
      <c r="M143" s="78">
        <f t="shared" si="5"/>
        <v>0</v>
      </c>
      <c r="N143" s="100">
        <f>15+4+2+1+2+2</f>
        <v>26</v>
      </c>
      <c r="O143" s="81">
        <f>30236.61+18366.75+8887.09+1077.68+8961.95</f>
        <v>67530.080000000002</v>
      </c>
      <c r="P143" s="81">
        <f>30236.61+18366.75+8887.09+1077.68+8961.95</f>
        <v>67530.080000000002</v>
      </c>
      <c r="Q143" s="232">
        <f t="shared" si="4"/>
        <v>0</v>
      </c>
    </row>
    <row r="144" spans="1:17" s="13" customFormat="1" x14ac:dyDescent="0.25">
      <c r="A144" s="229"/>
      <c r="B144" s="27" t="s">
        <v>86</v>
      </c>
      <c r="C144" s="181" t="s">
        <v>17</v>
      </c>
      <c r="D144" s="182"/>
      <c r="E144" s="194" t="s">
        <v>20</v>
      </c>
      <c r="F144" s="73" t="s">
        <v>465</v>
      </c>
      <c r="G144" s="230" t="s">
        <v>114</v>
      </c>
      <c r="H144" s="181">
        <v>9</v>
      </c>
      <c r="I144" s="231">
        <v>2</v>
      </c>
      <c r="J144" s="190">
        <v>2</v>
      </c>
      <c r="K144" s="77">
        <v>3933.72</v>
      </c>
      <c r="L144" s="77">
        <v>3933.72</v>
      </c>
      <c r="M144" s="78">
        <f t="shared" si="5"/>
        <v>0</v>
      </c>
      <c r="N144" s="100">
        <v>9</v>
      </c>
      <c r="O144" s="224">
        <v>20829.13</v>
      </c>
      <c r="P144" s="224">
        <v>20829.13</v>
      </c>
      <c r="Q144" s="232">
        <f t="shared" si="4"/>
        <v>0</v>
      </c>
    </row>
    <row r="145" spans="1:17" s="13" customFormat="1" x14ac:dyDescent="0.25">
      <c r="A145" s="229"/>
      <c r="B145" s="62" t="s">
        <v>312</v>
      </c>
      <c r="C145" s="181" t="s">
        <v>17</v>
      </c>
      <c r="D145" s="182"/>
      <c r="E145" s="194" t="s">
        <v>20</v>
      </c>
      <c r="F145" s="73" t="s">
        <v>320</v>
      </c>
      <c r="G145" s="74" t="s">
        <v>112</v>
      </c>
      <c r="H145" s="75">
        <v>21</v>
      </c>
      <c r="I145" s="76">
        <v>13</v>
      </c>
      <c r="J145" s="96">
        <f>1+1+1+2+3+4</f>
        <v>12</v>
      </c>
      <c r="K145" s="77">
        <f>3319.49+845.24+4965.79+4415.4</f>
        <v>13545.92</v>
      </c>
      <c r="L145" s="77">
        <f>3319.49+845.24+4965.79+4415.4</f>
        <v>13545.92</v>
      </c>
      <c r="M145" s="78">
        <f t="shared" si="5"/>
        <v>0</v>
      </c>
      <c r="N145" s="100">
        <f>5+6+1+1</f>
        <v>13</v>
      </c>
      <c r="O145" s="81">
        <f>4226.2+6627.45+4360.59+6336.1</f>
        <v>21550.34</v>
      </c>
      <c r="P145" s="81">
        <f>4226.2+6627.45+4360.59+6336.1</f>
        <v>21550.34</v>
      </c>
      <c r="Q145" s="232">
        <f t="shared" si="4"/>
        <v>0</v>
      </c>
    </row>
    <row r="146" spans="1:17" s="13" customFormat="1" x14ac:dyDescent="0.25">
      <c r="A146" s="229"/>
      <c r="B146" s="62" t="s">
        <v>494</v>
      </c>
      <c r="C146" s="181" t="s">
        <v>17</v>
      </c>
      <c r="D146" s="182"/>
      <c r="E146" s="194" t="s">
        <v>20</v>
      </c>
      <c r="F146" s="73" t="s">
        <v>497</v>
      </c>
      <c r="G146" s="74" t="s">
        <v>112</v>
      </c>
      <c r="H146" s="75">
        <v>13</v>
      </c>
      <c r="I146" s="76">
        <v>9</v>
      </c>
      <c r="J146" s="96">
        <f>1+1+1+1+2+1+2</f>
        <v>9</v>
      </c>
      <c r="K146" s="77">
        <f>3379+5494.06+576.3+2417.43+3057.66+2384.32</f>
        <v>17308.77</v>
      </c>
      <c r="L146" s="77">
        <f>3379+5494.06+576.3+2417.43+3057.66+2384.32</f>
        <v>17308.77</v>
      </c>
      <c r="M146" s="78">
        <f t="shared" si="5"/>
        <v>0</v>
      </c>
      <c r="N146" s="100"/>
      <c r="O146" s="81"/>
      <c r="P146" s="81"/>
      <c r="Q146" s="232">
        <f t="shared" ref="Q146:Q190" si="6">O146-P146</f>
        <v>0</v>
      </c>
    </row>
    <row r="147" spans="1:17" s="13" customFormat="1" x14ac:dyDescent="0.25">
      <c r="A147" s="229"/>
      <c r="B147" s="62" t="s">
        <v>494</v>
      </c>
      <c r="C147" s="181" t="s">
        <v>17</v>
      </c>
      <c r="D147" s="182"/>
      <c r="E147" s="194" t="s">
        <v>20</v>
      </c>
      <c r="F147" s="73" t="s">
        <v>507</v>
      </c>
      <c r="G147" s="74" t="s">
        <v>114</v>
      </c>
      <c r="H147" s="75">
        <v>35</v>
      </c>
      <c r="I147" s="76">
        <v>6</v>
      </c>
      <c r="J147" s="96">
        <v>6</v>
      </c>
      <c r="K147" s="77">
        <v>14361.56</v>
      </c>
      <c r="L147" s="77">
        <v>14361.56</v>
      </c>
      <c r="M147" s="78">
        <f t="shared" si="5"/>
        <v>0</v>
      </c>
      <c r="N147" s="100"/>
      <c r="O147" s="81"/>
      <c r="P147" s="81"/>
      <c r="Q147" s="232">
        <f t="shared" si="6"/>
        <v>0</v>
      </c>
    </row>
    <row r="148" spans="1:17" s="13" customFormat="1" x14ac:dyDescent="0.25">
      <c r="A148" s="229"/>
      <c r="B148" s="30" t="s">
        <v>88</v>
      </c>
      <c r="C148" s="181" t="s">
        <v>17</v>
      </c>
      <c r="D148" s="182"/>
      <c r="E148" s="183" t="s">
        <v>89</v>
      </c>
      <c r="F148" s="73" t="s">
        <v>397</v>
      </c>
      <c r="G148" s="74" t="s">
        <v>112</v>
      </c>
      <c r="H148" s="75">
        <v>20</v>
      </c>
      <c r="I148" s="76">
        <v>12</v>
      </c>
      <c r="J148" s="96">
        <f>1+3+1+2+4+1</f>
        <v>12</v>
      </c>
      <c r="K148" s="77">
        <f>4226.2+2394.91+6485.1+556.71+4126.31+9704.16+1282.67+1282.67</f>
        <v>30058.729999999996</v>
      </c>
      <c r="L148" s="77">
        <f>4226.2+2394.91+6485.1+556.71+4126.31+9704.16+1282.67+1282.67</f>
        <v>30058.729999999996</v>
      </c>
      <c r="M148" s="78">
        <f t="shared" si="5"/>
        <v>0</v>
      </c>
      <c r="N148" s="100">
        <f>4+1+3+1+2+2+1+1+2</f>
        <v>17</v>
      </c>
      <c r="O148" s="81">
        <f>11967.83+2831.55+10544.37+9418.99+3799.13+1798.04+2548.4-12193.52+4083.77</f>
        <v>34798.559999999998</v>
      </c>
      <c r="P148" s="81">
        <f>11967.83+2831.55+10544.37+9418.99+3799.13+1798.04+2548.4-12193.52+4083.77</f>
        <v>34798.559999999998</v>
      </c>
      <c r="Q148" s="79">
        <f t="shared" si="6"/>
        <v>0</v>
      </c>
    </row>
    <row r="149" spans="1:17" s="13" customFormat="1" x14ac:dyDescent="0.25">
      <c r="A149" s="229"/>
      <c r="B149" s="30" t="s">
        <v>88</v>
      </c>
      <c r="C149" s="181" t="s">
        <v>17</v>
      </c>
      <c r="D149" s="182"/>
      <c r="E149" s="183" t="s">
        <v>89</v>
      </c>
      <c r="F149" s="73" t="s">
        <v>442</v>
      </c>
      <c r="G149" s="230" t="s">
        <v>118</v>
      </c>
      <c r="H149" s="181">
        <v>7</v>
      </c>
      <c r="I149" s="231">
        <v>1</v>
      </c>
      <c r="J149" s="96">
        <v>1</v>
      </c>
      <c r="K149" s="77"/>
      <c r="L149" s="77"/>
      <c r="M149" s="78">
        <f t="shared" si="5"/>
        <v>0</v>
      </c>
      <c r="N149" s="100">
        <v>3</v>
      </c>
      <c r="O149" s="224">
        <v>11020.82</v>
      </c>
      <c r="P149" s="224">
        <v>11020.82</v>
      </c>
      <c r="Q149" s="232">
        <f t="shared" si="6"/>
        <v>0</v>
      </c>
    </row>
    <row r="150" spans="1:17" s="13" customFormat="1" x14ac:dyDescent="0.25">
      <c r="A150" s="229"/>
      <c r="B150" s="30" t="s">
        <v>88</v>
      </c>
      <c r="C150" s="181" t="s">
        <v>17</v>
      </c>
      <c r="D150" s="182"/>
      <c r="E150" s="194" t="s">
        <v>505</v>
      </c>
      <c r="F150" s="73" t="s">
        <v>506</v>
      </c>
      <c r="G150" s="230" t="s">
        <v>114</v>
      </c>
      <c r="H150" s="181">
        <v>6</v>
      </c>
      <c r="I150" s="231">
        <v>2</v>
      </c>
      <c r="J150" s="96">
        <v>2</v>
      </c>
      <c r="K150" s="77">
        <v>6559.74</v>
      </c>
      <c r="L150" s="77">
        <v>6559.74</v>
      </c>
      <c r="M150" s="78">
        <f t="shared" si="5"/>
        <v>0</v>
      </c>
      <c r="N150" s="100"/>
      <c r="O150" s="224"/>
      <c r="P150" s="224"/>
      <c r="Q150" s="232">
        <f t="shared" si="6"/>
        <v>0</v>
      </c>
    </row>
    <row r="151" spans="1:17" s="13" customFormat="1" x14ac:dyDescent="0.25">
      <c r="A151" s="229"/>
      <c r="B151" s="30" t="s">
        <v>90</v>
      </c>
      <c r="C151" s="181" t="s">
        <v>17</v>
      </c>
      <c r="D151" s="182"/>
      <c r="E151" s="194" t="s">
        <v>20</v>
      </c>
      <c r="F151" s="73" t="s">
        <v>398</v>
      </c>
      <c r="G151" s="74" t="s">
        <v>112</v>
      </c>
      <c r="H151" s="75">
        <v>12</v>
      </c>
      <c r="I151" s="76">
        <v>7</v>
      </c>
      <c r="J151" s="96">
        <f>1+1+1+4</f>
        <v>7</v>
      </c>
      <c r="K151" s="77">
        <f>422.62+4662.44+7580.13+2408.4</f>
        <v>15073.589999999998</v>
      </c>
      <c r="L151" s="77">
        <f>422.62+4662.44+7580.13+2408.4</f>
        <v>15073.589999999998</v>
      </c>
      <c r="M151" s="78">
        <f t="shared" si="5"/>
        <v>0</v>
      </c>
      <c r="N151" s="100">
        <f>1+1+1+1+2</f>
        <v>6</v>
      </c>
      <c r="O151" s="81">
        <f>2122.67+787.61+15453.48+6194.26+37549.5</f>
        <v>62107.519999999997</v>
      </c>
      <c r="P151" s="81">
        <f>2122.67+787.61+15453.48+6194.26+37549.5</f>
        <v>62107.519999999997</v>
      </c>
      <c r="Q151" s="79">
        <f t="shared" si="6"/>
        <v>0</v>
      </c>
    </row>
    <row r="152" spans="1:17" s="13" customFormat="1" x14ac:dyDescent="0.25">
      <c r="A152" s="229"/>
      <c r="B152" s="30" t="s">
        <v>90</v>
      </c>
      <c r="C152" s="181" t="s">
        <v>17</v>
      </c>
      <c r="D152" s="182"/>
      <c r="E152" s="194" t="s">
        <v>20</v>
      </c>
      <c r="F152" s="73" t="s">
        <v>466</v>
      </c>
      <c r="G152" s="230" t="s">
        <v>114</v>
      </c>
      <c r="H152" s="181">
        <v>18</v>
      </c>
      <c r="I152" s="231">
        <v>8</v>
      </c>
      <c r="J152" s="190">
        <v>8</v>
      </c>
      <c r="K152" s="77">
        <v>18496.560000000001</v>
      </c>
      <c r="L152" s="77">
        <v>18496.560000000001</v>
      </c>
      <c r="M152" s="78">
        <f t="shared" si="5"/>
        <v>0</v>
      </c>
      <c r="N152" s="100">
        <v>28</v>
      </c>
      <c r="O152" s="224">
        <v>115855.1</v>
      </c>
      <c r="P152" s="224">
        <v>115855.1</v>
      </c>
      <c r="Q152" s="232">
        <f t="shared" si="6"/>
        <v>0</v>
      </c>
    </row>
    <row r="153" spans="1:17" s="13" customFormat="1" x14ac:dyDescent="0.25">
      <c r="A153" s="229"/>
      <c r="B153" s="30" t="s">
        <v>91</v>
      </c>
      <c r="C153" s="181" t="s">
        <v>17</v>
      </c>
      <c r="D153" s="182"/>
      <c r="E153" s="194" t="s">
        <v>20</v>
      </c>
      <c r="F153" s="73" t="s">
        <v>399</v>
      </c>
      <c r="G153" s="74" t="s">
        <v>112</v>
      </c>
      <c r="H153" s="75"/>
      <c r="I153" s="76"/>
      <c r="J153" s="96"/>
      <c r="K153" s="77"/>
      <c r="L153" s="77"/>
      <c r="M153" s="78">
        <f t="shared" si="5"/>
        <v>0</v>
      </c>
      <c r="N153" s="100"/>
      <c r="O153" s="81"/>
      <c r="P153" s="81"/>
      <c r="Q153" s="79">
        <f t="shared" si="6"/>
        <v>0</v>
      </c>
    </row>
    <row r="154" spans="1:17" s="13" customFormat="1" x14ac:dyDescent="0.25">
      <c r="A154" s="229"/>
      <c r="B154" s="62" t="s">
        <v>138</v>
      </c>
      <c r="C154" s="181" t="s">
        <v>17</v>
      </c>
      <c r="D154" s="182"/>
      <c r="E154" s="194" t="s">
        <v>20</v>
      </c>
      <c r="F154" s="73" t="s">
        <v>467</v>
      </c>
      <c r="G154" s="230" t="s">
        <v>114</v>
      </c>
      <c r="H154" s="181">
        <v>18</v>
      </c>
      <c r="I154" s="231">
        <v>3</v>
      </c>
      <c r="J154" s="190">
        <v>3</v>
      </c>
      <c r="K154" s="193">
        <v>5542.2</v>
      </c>
      <c r="L154" s="193">
        <v>5542.2</v>
      </c>
      <c r="M154" s="78">
        <f t="shared" si="5"/>
        <v>0</v>
      </c>
      <c r="N154" s="114">
        <v>7</v>
      </c>
      <c r="O154" s="224">
        <v>16429.099999999999</v>
      </c>
      <c r="P154" s="224">
        <v>16429.099999999999</v>
      </c>
      <c r="Q154" s="232">
        <f t="shared" si="6"/>
        <v>0</v>
      </c>
    </row>
    <row r="155" spans="1:17" s="13" customFormat="1" x14ac:dyDescent="0.25">
      <c r="A155" s="229"/>
      <c r="B155" s="62" t="s">
        <v>138</v>
      </c>
      <c r="C155" s="181" t="s">
        <v>17</v>
      </c>
      <c r="D155" s="182"/>
      <c r="E155" s="194" t="s">
        <v>20</v>
      </c>
      <c r="F155" s="73" t="s">
        <v>400</v>
      </c>
      <c r="G155" s="74" t="s">
        <v>112</v>
      </c>
      <c r="H155" s="75">
        <v>12</v>
      </c>
      <c r="I155" s="82">
        <v>8</v>
      </c>
      <c r="J155" s="96">
        <f>3+1+1+2+2</f>
        <v>9</v>
      </c>
      <c r="K155" s="77">
        <f>2224.52+9639.33+3232.07+1625.67+1324.62</f>
        <v>18046.21</v>
      </c>
      <c r="L155" s="77">
        <f>2224.52+9639.33+3232.07+1625.67+1324.62</f>
        <v>18046.21</v>
      </c>
      <c r="M155" s="78">
        <f t="shared" si="5"/>
        <v>0</v>
      </c>
      <c r="N155" s="100">
        <f>5+4+2</f>
        <v>11</v>
      </c>
      <c r="O155" s="81">
        <f>8995.87+8641.99+5740.02</f>
        <v>23377.88</v>
      </c>
      <c r="P155" s="81">
        <f>8995.87+8641.99+5740.02</f>
        <v>23377.88</v>
      </c>
      <c r="Q155" s="79">
        <f t="shared" si="6"/>
        <v>0</v>
      </c>
    </row>
    <row r="156" spans="1:17" s="13" customFormat="1" x14ac:dyDescent="0.25">
      <c r="A156" s="229"/>
      <c r="B156" s="62" t="s">
        <v>157</v>
      </c>
      <c r="C156" s="181" t="s">
        <v>17</v>
      </c>
      <c r="D156" s="182"/>
      <c r="E156" s="194" t="s">
        <v>20</v>
      </c>
      <c r="F156" s="73" t="s">
        <v>401</v>
      </c>
      <c r="G156" s="74" t="s">
        <v>112</v>
      </c>
      <c r="H156" s="75">
        <v>15</v>
      </c>
      <c r="I156" s="82"/>
      <c r="J156" s="96"/>
      <c r="K156" s="77"/>
      <c r="L156" s="77"/>
      <c r="M156" s="78">
        <f t="shared" si="5"/>
        <v>0</v>
      </c>
      <c r="N156" s="100"/>
      <c r="O156" s="81"/>
      <c r="P156" s="81"/>
      <c r="Q156" s="232">
        <f t="shared" si="6"/>
        <v>0</v>
      </c>
    </row>
    <row r="157" spans="1:17" s="13" customFormat="1" x14ac:dyDescent="0.25">
      <c r="A157" s="229"/>
      <c r="B157" s="62" t="s">
        <v>515</v>
      </c>
      <c r="C157" s="181"/>
      <c r="D157" s="182"/>
      <c r="E157" s="194" t="s">
        <v>20</v>
      </c>
      <c r="F157" s="73"/>
      <c r="G157" s="74" t="s">
        <v>112</v>
      </c>
      <c r="H157" s="75">
        <v>5</v>
      </c>
      <c r="I157" s="82">
        <v>1</v>
      </c>
      <c r="J157" s="96">
        <f>1</f>
        <v>1</v>
      </c>
      <c r="K157" s="77"/>
      <c r="L157" s="77"/>
      <c r="M157" s="78">
        <f t="shared" si="5"/>
        <v>0</v>
      </c>
      <c r="N157" s="100"/>
      <c r="O157" s="81"/>
      <c r="P157" s="81"/>
      <c r="Q157" s="232"/>
    </row>
    <row r="158" spans="1:17" s="15" customFormat="1" x14ac:dyDescent="0.25">
      <c r="A158" s="229"/>
      <c r="B158" s="62" t="s">
        <v>92</v>
      </c>
      <c r="C158" s="181" t="s">
        <v>17</v>
      </c>
      <c r="D158" s="182"/>
      <c r="E158" s="194" t="s">
        <v>20</v>
      </c>
      <c r="F158" s="73" t="s">
        <v>402</v>
      </c>
      <c r="G158" s="74" t="s">
        <v>112</v>
      </c>
      <c r="H158" s="75">
        <v>13</v>
      </c>
      <c r="I158" s="76">
        <v>10</v>
      </c>
      <c r="J158" s="96">
        <f>1+2+5+2</f>
        <v>10</v>
      </c>
      <c r="K158" s="77">
        <f>1951.74+1335.1+2996.76+883.08</f>
        <v>7166.68</v>
      </c>
      <c r="L158" s="77">
        <f>1951.74+1335.1+2996.76+883.08</f>
        <v>7166.68</v>
      </c>
      <c r="M158" s="78">
        <f t="shared" si="5"/>
        <v>0</v>
      </c>
      <c r="N158" s="100">
        <f>4+1+1</f>
        <v>6</v>
      </c>
      <c r="O158" s="81">
        <f>12624.74+2697.06+1225.93</f>
        <v>16547.73</v>
      </c>
      <c r="P158" s="81">
        <f>12624.74+2697.06+1225.93</f>
        <v>16547.73</v>
      </c>
      <c r="Q158" s="232">
        <f t="shared" si="6"/>
        <v>0</v>
      </c>
    </row>
    <row r="159" spans="1:17" s="15" customFormat="1" x14ac:dyDescent="0.25">
      <c r="A159" s="229"/>
      <c r="B159" s="62" t="s">
        <v>92</v>
      </c>
      <c r="C159" s="181" t="s">
        <v>17</v>
      </c>
      <c r="D159" s="182"/>
      <c r="E159" s="194" t="s">
        <v>20</v>
      </c>
      <c r="F159" s="73" t="s">
        <v>129</v>
      </c>
      <c r="G159" s="230" t="s">
        <v>114</v>
      </c>
      <c r="H159" s="181"/>
      <c r="I159" s="231"/>
      <c r="J159" s="190"/>
      <c r="K159" s="77"/>
      <c r="L159" s="77"/>
      <c r="M159" s="78">
        <f t="shared" si="5"/>
        <v>0</v>
      </c>
      <c r="N159" s="114"/>
      <c r="O159" s="224"/>
      <c r="P159" s="224"/>
      <c r="Q159" s="232">
        <f t="shared" si="6"/>
        <v>0</v>
      </c>
    </row>
    <row r="160" spans="1:17" s="13" customFormat="1" x14ac:dyDescent="0.25">
      <c r="A160" s="229"/>
      <c r="B160" s="30" t="s">
        <v>93</v>
      </c>
      <c r="C160" s="181" t="s">
        <v>17</v>
      </c>
      <c r="D160" s="182"/>
      <c r="E160" s="183" t="s">
        <v>94</v>
      </c>
      <c r="F160" s="73" t="s">
        <v>403</v>
      </c>
      <c r="G160" s="74" t="s">
        <v>112</v>
      </c>
      <c r="H160" s="75">
        <v>7</v>
      </c>
      <c r="I160" s="76">
        <v>2</v>
      </c>
      <c r="J160" s="96">
        <f>2</f>
        <v>2</v>
      </c>
      <c r="K160" s="77">
        <f>2336.84</f>
        <v>2336.84</v>
      </c>
      <c r="L160" s="77">
        <f>2336.84</f>
        <v>2336.84</v>
      </c>
      <c r="M160" s="78">
        <f t="shared" si="5"/>
        <v>0</v>
      </c>
      <c r="N160" s="100">
        <f>3+8</f>
        <v>11</v>
      </c>
      <c r="O160" s="81">
        <f>20117.75</f>
        <v>20117.75</v>
      </c>
      <c r="P160" s="81">
        <f>20117.75</f>
        <v>20117.75</v>
      </c>
      <c r="Q160" s="232">
        <f t="shared" si="6"/>
        <v>0</v>
      </c>
    </row>
    <row r="161" spans="1:17" s="13" customFormat="1" x14ac:dyDescent="0.25">
      <c r="A161" s="229"/>
      <c r="B161" s="30" t="s">
        <v>93</v>
      </c>
      <c r="C161" s="181" t="s">
        <v>17</v>
      </c>
      <c r="D161" s="182"/>
      <c r="E161" s="183" t="s">
        <v>94</v>
      </c>
      <c r="F161" s="73" t="s">
        <v>130</v>
      </c>
      <c r="G161" s="230" t="s">
        <v>114</v>
      </c>
      <c r="H161" s="181"/>
      <c r="I161" s="231"/>
      <c r="J161" s="190"/>
      <c r="K161" s="77"/>
      <c r="L161" s="77"/>
      <c r="M161" s="78">
        <f t="shared" si="5"/>
        <v>0</v>
      </c>
      <c r="N161" s="100"/>
      <c r="O161" s="224"/>
      <c r="P161" s="224"/>
      <c r="Q161" s="232">
        <f t="shared" si="6"/>
        <v>0</v>
      </c>
    </row>
    <row r="162" spans="1:17" s="13" customFormat="1" x14ac:dyDescent="0.25">
      <c r="A162" s="229"/>
      <c r="B162" s="30" t="s">
        <v>93</v>
      </c>
      <c r="C162" s="181" t="s">
        <v>17</v>
      </c>
      <c r="D162" s="182"/>
      <c r="E162" s="183" t="s">
        <v>94</v>
      </c>
      <c r="F162" s="73" t="s">
        <v>240</v>
      </c>
      <c r="G162" s="230" t="s">
        <v>118</v>
      </c>
      <c r="H162" s="181"/>
      <c r="I162" s="231"/>
      <c r="J162" s="96"/>
      <c r="K162" s="77"/>
      <c r="L162" s="77"/>
      <c r="M162" s="78">
        <f t="shared" si="5"/>
        <v>0</v>
      </c>
      <c r="N162" s="100"/>
      <c r="O162" s="224"/>
      <c r="P162" s="224"/>
      <c r="Q162" s="232">
        <f t="shared" si="6"/>
        <v>0</v>
      </c>
    </row>
    <row r="163" spans="1:17" s="13" customFormat="1" x14ac:dyDescent="0.25">
      <c r="A163" s="229"/>
      <c r="B163" s="30" t="s">
        <v>95</v>
      </c>
      <c r="C163" s="181" t="s">
        <v>17</v>
      </c>
      <c r="D163" s="182"/>
      <c r="E163" s="194" t="s">
        <v>20</v>
      </c>
      <c r="F163" s="73" t="s">
        <v>404</v>
      </c>
      <c r="G163" s="74" t="s">
        <v>112</v>
      </c>
      <c r="H163" s="75">
        <v>18</v>
      </c>
      <c r="I163" s="76">
        <v>11</v>
      </c>
      <c r="J163" s="96">
        <f>1+4+4+5+2</f>
        <v>16</v>
      </c>
      <c r="K163" s="77">
        <f>1061.35+5770.05+5238.9+6606.04</f>
        <v>18676.34</v>
      </c>
      <c r="L163" s="77">
        <f>1061.35+5770.05+5238.9+6606.04</f>
        <v>18676.34</v>
      </c>
      <c r="M163" s="78">
        <f t="shared" si="5"/>
        <v>0</v>
      </c>
      <c r="N163" s="100">
        <f>1+6+1+4+1+1</f>
        <v>14</v>
      </c>
      <c r="O163" s="81">
        <f>11603.82+7559.28+6777.29+24757.02</f>
        <v>50697.41</v>
      </c>
      <c r="P163" s="81">
        <f>11603.82+7559.28+6777.29+24757.02</f>
        <v>50697.41</v>
      </c>
      <c r="Q163" s="79">
        <f t="shared" si="6"/>
        <v>0</v>
      </c>
    </row>
    <row r="164" spans="1:17" s="13" customFormat="1" x14ac:dyDescent="0.25">
      <c r="A164" s="229"/>
      <c r="B164" s="30" t="s">
        <v>95</v>
      </c>
      <c r="C164" s="181" t="s">
        <v>17</v>
      </c>
      <c r="D164" s="182"/>
      <c r="E164" s="194" t="s">
        <v>20</v>
      </c>
      <c r="F164" s="73" t="s">
        <v>291</v>
      </c>
      <c r="G164" s="230" t="s">
        <v>114</v>
      </c>
      <c r="H164" s="181">
        <v>9</v>
      </c>
      <c r="I164" s="231">
        <v>2</v>
      </c>
      <c r="J164" s="190">
        <v>2</v>
      </c>
      <c r="K164" s="77">
        <v>2356.8000000000002</v>
      </c>
      <c r="L164" s="77">
        <v>2356.8000000000002</v>
      </c>
      <c r="M164" s="78">
        <f t="shared" si="5"/>
        <v>0</v>
      </c>
      <c r="N164" s="100">
        <v>12</v>
      </c>
      <c r="O164" s="224">
        <v>29189.15</v>
      </c>
      <c r="P164" s="224">
        <v>29189.15</v>
      </c>
      <c r="Q164" s="232">
        <f t="shared" si="6"/>
        <v>0</v>
      </c>
    </row>
    <row r="165" spans="1:17" s="13" customFormat="1" x14ac:dyDescent="0.25">
      <c r="A165" s="229"/>
      <c r="B165" s="30" t="s">
        <v>96</v>
      </c>
      <c r="C165" s="181" t="s">
        <v>17</v>
      </c>
      <c r="D165" s="182"/>
      <c r="E165" s="194" t="s">
        <v>97</v>
      </c>
      <c r="F165" s="73" t="s">
        <v>405</v>
      </c>
      <c r="G165" s="74" t="s">
        <v>112</v>
      </c>
      <c r="H165" s="75">
        <v>1</v>
      </c>
      <c r="I165" s="76">
        <v>1</v>
      </c>
      <c r="J165" s="96">
        <f>2</f>
        <v>2</v>
      </c>
      <c r="K165" s="77"/>
      <c r="L165" s="77"/>
      <c r="M165" s="78">
        <f t="shared" si="5"/>
        <v>0</v>
      </c>
      <c r="N165" s="103">
        <f>1+2+1</f>
        <v>4</v>
      </c>
      <c r="O165" s="77">
        <f>1742.31+9358.48</f>
        <v>11100.789999999999</v>
      </c>
      <c r="P165" s="77">
        <f>1742.31+9358.48</f>
        <v>11100.789999999999</v>
      </c>
      <c r="Q165" s="79">
        <f t="shared" si="6"/>
        <v>0</v>
      </c>
    </row>
    <row r="166" spans="1:17" s="13" customFormat="1" x14ac:dyDescent="0.25">
      <c r="A166" s="229"/>
      <c r="B166" s="30" t="s">
        <v>96</v>
      </c>
      <c r="C166" s="181" t="s">
        <v>17</v>
      </c>
      <c r="D166" s="182"/>
      <c r="E166" s="194" t="s">
        <v>97</v>
      </c>
      <c r="F166" s="73" t="s">
        <v>468</v>
      </c>
      <c r="G166" s="230" t="s">
        <v>114</v>
      </c>
      <c r="H166" s="181">
        <v>1</v>
      </c>
      <c r="I166" s="231">
        <v>1</v>
      </c>
      <c r="J166" s="190">
        <v>1</v>
      </c>
      <c r="K166" s="77"/>
      <c r="L166" s="77"/>
      <c r="M166" s="78">
        <f t="shared" si="5"/>
        <v>0</v>
      </c>
      <c r="N166" s="100">
        <v>6</v>
      </c>
      <c r="O166" s="224">
        <v>11285.7</v>
      </c>
      <c r="P166" s="224">
        <v>11285.7</v>
      </c>
      <c r="Q166" s="232">
        <f t="shared" si="6"/>
        <v>0</v>
      </c>
    </row>
    <row r="167" spans="1:17" s="13" customFormat="1" x14ac:dyDescent="0.25">
      <c r="A167" s="229"/>
      <c r="B167" s="30" t="s">
        <v>98</v>
      </c>
      <c r="C167" s="181" t="s">
        <v>17</v>
      </c>
      <c r="D167" s="182"/>
      <c r="E167" s="194" t="s">
        <v>35</v>
      </c>
      <c r="F167" s="73" t="s">
        <v>406</v>
      </c>
      <c r="G167" s="74" t="s">
        <v>112</v>
      </c>
      <c r="H167" s="75">
        <v>40</v>
      </c>
      <c r="I167" s="76">
        <v>26</v>
      </c>
      <c r="J167" s="96">
        <f>1+2+1+1+4+4+1+2+1+5</f>
        <v>22</v>
      </c>
      <c r="K167" s="77">
        <f>845.24+1764.25+8353.03+1298.98+7610.68+13826.64+2752.31+9720.26+116979.76-2616.91+4851.2+993.47+3498.2</f>
        <v>169877.11000000002</v>
      </c>
      <c r="L167" s="77">
        <f>845.24+1764.25+8353.03+1298.98+7610.68+13826.64+2752.31+9720.26+116979.76-2616.91+4851.2+993.47+3498.2</f>
        <v>169877.11000000002</v>
      </c>
      <c r="M167" s="78">
        <f t="shared" si="5"/>
        <v>0</v>
      </c>
      <c r="N167" s="100">
        <f>9+1+1+4+2+1+2+4+2+1+1</f>
        <v>28</v>
      </c>
      <c r="O167" s="81">
        <f>76864.27+883.08+47501.34+5480.06</f>
        <v>130728.75</v>
      </c>
      <c r="P167" s="81">
        <f>76864.27+883.08+47501.34+5480.06</f>
        <v>130728.75</v>
      </c>
      <c r="Q167" s="79">
        <f t="shared" si="6"/>
        <v>0</v>
      </c>
    </row>
    <row r="168" spans="1:17" s="13" customFormat="1" x14ac:dyDescent="0.25">
      <c r="A168" s="229"/>
      <c r="B168" s="30" t="s">
        <v>98</v>
      </c>
      <c r="C168" s="181" t="s">
        <v>17</v>
      </c>
      <c r="D168" s="182"/>
      <c r="E168" s="194" t="s">
        <v>35</v>
      </c>
      <c r="F168" s="73" t="s">
        <v>435</v>
      </c>
      <c r="G168" s="235" t="s">
        <v>117</v>
      </c>
      <c r="H168" s="181">
        <v>6</v>
      </c>
      <c r="I168" s="231">
        <v>2</v>
      </c>
      <c r="J168" s="96">
        <v>2</v>
      </c>
      <c r="K168" s="77">
        <v>2486.83</v>
      </c>
      <c r="L168" s="77">
        <v>2486.83</v>
      </c>
      <c r="M168" s="78">
        <f t="shared" si="5"/>
        <v>0</v>
      </c>
      <c r="N168" s="100">
        <v>5</v>
      </c>
      <c r="O168" s="77">
        <v>18950.45</v>
      </c>
      <c r="P168" s="77">
        <v>18950.45</v>
      </c>
      <c r="Q168" s="232">
        <f t="shared" si="6"/>
        <v>0</v>
      </c>
    </row>
    <row r="169" spans="1:17" s="13" customFormat="1" x14ac:dyDescent="0.25">
      <c r="A169" s="229"/>
      <c r="B169" s="30" t="s">
        <v>488</v>
      </c>
      <c r="C169" s="181" t="s">
        <v>17</v>
      </c>
      <c r="D169" s="182"/>
      <c r="E169" s="194" t="s">
        <v>97</v>
      </c>
      <c r="F169" s="73" t="s">
        <v>498</v>
      </c>
      <c r="G169" s="235" t="s">
        <v>112</v>
      </c>
      <c r="H169" s="181">
        <v>15</v>
      </c>
      <c r="I169" s="231">
        <v>8</v>
      </c>
      <c r="J169" s="96">
        <f>4+1+1+2</f>
        <v>8</v>
      </c>
      <c r="K169" s="77">
        <f>1535.8+576.3+802.8</f>
        <v>2914.8999999999996</v>
      </c>
      <c r="L169" s="77">
        <f>1535.8+576.3+802.8</f>
        <v>2914.8999999999996</v>
      </c>
      <c r="M169" s="78">
        <f t="shared" si="5"/>
        <v>0</v>
      </c>
      <c r="N169" s="100"/>
      <c r="O169" s="77"/>
      <c r="P169" s="77"/>
      <c r="Q169" s="232"/>
    </row>
    <row r="170" spans="1:17" s="15" customFormat="1" x14ac:dyDescent="0.25">
      <c r="A170" s="229"/>
      <c r="B170" s="30" t="s">
        <v>99</v>
      </c>
      <c r="C170" s="181" t="s">
        <v>17</v>
      </c>
      <c r="D170" s="182"/>
      <c r="E170" s="183" t="s">
        <v>32</v>
      </c>
      <c r="F170" s="73" t="s">
        <v>418</v>
      </c>
      <c r="G170" s="74" t="s">
        <v>112</v>
      </c>
      <c r="H170" s="75"/>
      <c r="I170" s="76"/>
      <c r="J170" s="96"/>
      <c r="K170" s="77"/>
      <c r="L170" s="77"/>
      <c r="M170" s="78">
        <f t="shared" si="5"/>
        <v>0</v>
      </c>
      <c r="N170" s="100"/>
      <c r="O170" s="81"/>
      <c r="P170" s="81"/>
      <c r="Q170" s="79">
        <f t="shared" si="6"/>
        <v>0</v>
      </c>
    </row>
    <row r="171" spans="1:17" s="15" customFormat="1" x14ac:dyDescent="0.25">
      <c r="A171" s="229"/>
      <c r="B171" s="30" t="s">
        <v>99</v>
      </c>
      <c r="C171" s="181" t="s">
        <v>17</v>
      </c>
      <c r="D171" s="182"/>
      <c r="E171" s="183" t="s">
        <v>32</v>
      </c>
      <c r="F171" s="73" t="s">
        <v>423</v>
      </c>
      <c r="G171" s="235" t="s">
        <v>117</v>
      </c>
      <c r="H171" s="181"/>
      <c r="I171" s="231"/>
      <c r="J171" s="190"/>
      <c r="K171" s="77"/>
      <c r="L171" s="77"/>
      <c r="M171" s="78">
        <f t="shared" si="5"/>
        <v>0</v>
      </c>
      <c r="N171" s="114"/>
      <c r="O171" s="77"/>
      <c r="P171" s="77"/>
      <c r="Q171" s="232">
        <f t="shared" si="6"/>
        <v>0</v>
      </c>
    </row>
    <row r="172" spans="1:17" s="15" customFormat="1" ht="30" x14ac:dyDescent="0.25">
      <c r="A172" s="229"/>
      <c r="B172" s="30" t="s">
        <v>144</v>
      </c>
      <c r="C172" s="181" t="s">
        <v>304</v>
      </c>
      <c r="D172" s="182" t="s">
        <v>313</v>
      </c>
      <c r="E172" s="194" t="s">
        <v>97</v>
      </c>
      <c r="F172" s="73" t="s">
        <v>407</v>
      </c>
      <c r="G172" s="66" t="s">
        <v>112</v>
      </c>
      <c r="H172" s="75">
        <v>21</v>
      </c>
      <c r="I172" s="76">
        <v>18</v>
      </c>
      <c r="J172" s="98">
        <f>2+2+1+3+1+1+5+2+1+4+2</f>
        <v>24</v>
      </c>
      <c r="K172" s="77">
        <f>950.9+1449.39+2272.32+2785.92+5112.01+6655.23+3700.19+4208.95</f>
        <v>27134.91</v>
      </c>
      <c r="L172" s="77">
        <f>950.9+1449.39+2272.32+2785.92+5112.01+6655.23+3700.19+4208.95</f>
        <v>27134.91</v>
      </c>
      <c r="M172" s="78">
        <f t="shared" si="5"/>
        <v>0</v>
      </c>
      <c r="N172" s="100">
        <f>3+2+1+1+1+1+1</f>
        <v>10</v>
      </c>
      <c r="O172" s="77">
        <f>5020.57+5566.06+2694.94+845.24+2460.18</f>
        <v>16586.990000000002</v>
      </c>
      <c r="P172" s="77">
        <f>5020.57+5566.06+2694.94+845.24+2460.18</f>
        <v>16586.990000000002</v>
      </c>
      <c r="Q172" s="79">
        <f t="shared" si="6"/>
        <v>0</v>
      </c>
    </row>
    <row r="173" spans="1:17" s="15" customFormat="1" x14ac:dyDescent="0.25">
      <c r="A173" s="229"/>
      <c r="B173" s="30" t="s">
        <v>488</v>
      </c>
      <c r="C173" s="181"/>
      <c r="D173" s="182"/>
      <c r="E173" s="194"/>
      <c r="F173" s="73" t="s">
        <v>509</v>
      </c>
      <c r="G173" s="66" t="s">
        <v>114</v>
      </c>
      <c r="H173" s="75">
        <v>24</v>
      </c>
      <c r="I173" s="76">
        <v>9</v>
      </c>
      <c r="J173" s="98">
        <v>9</v>
      </c>
      <c r="K173" s="77">
        <v>18735.73</v>
      </c>
      <c r="L173" s="77">
        <v>18735.73</v>
      </c>
      <c r="M173" s="78">
        <f t="shared" si="5"/>
        <v>0</v>
      </c>
      <c r="N173" s="100"/>
      <c r="O173" s="77"/>
      <c r="P173" s="77"/>
      <c r="Q173" s="232">
        <f t="shared" si="6"/>
        <v>0</v>
      </c>
    </row>
    <row r="174" spans="1:17" s="15" customFormat="1" x14ac:dyDescent="0.25">
      <c r="A174" s="229"/>
      <c r="B174" s="30" t="s">
        <v>514</v>
      </c>
      <c r="C174" s="181"/>
      <c r="D174" s="182"/>
      <c r="E174" s="194" t="s">
        <v>18</v>
      </c>
      <c r="F174" s="73"/>
      <c r="G174" s="66" t="s">
        <v>116</v>
      </c>
      <c r="H174" s="75">
        <v>5</v>
      </c>
      <c r="I174" s="76"/>
      <c r="J174" s="98"/>
      <c r="K174" s="77">
        <v>1764.13</v>
      </c>
      <c r="L174" s="77">
        <v>1764.13</v>
      </c>
      <c r="M174" s="78">
        <f t="shared" si="5"/>
        <v>0</v>
      </c>
      <c r="N174" s="100"/>
      <c r="O174" s="77"/>
      <c r="P174" s="77"/>
      <c r="Q174" s="232"/>
    </row>
    <row r="175" spans="1:17" s="15" customFormat="1" x14ac:dyDescent="0.25">
      <c r="A175" s="229"/>
      <c r="B175" s="30" t="s">
        <v>488</v>
      </c>
      <c r="C175" s="181"/>
      <c r="D175" s="182"/>
      <c r="E175" s="194"/>
      <c r="F175" s="73" t="s">
        <v>512</v>
      </c>
      <c r="G175" s="66" t="s">
        <v>116</v>
      </c>
      <c r="H175" s="75">
        <v>12</v>
      </c>
      <c r="I175" s="76">
        <v>7</v>
      </c>
      <c r="J175" s="98">
        <v>7</v>
      </c>
      <c r="K175" s="77">
        <v>12080</v>
      </c>
      <c r="L175" s="77">
        <v>12080</v>
      </c>
      <c r="M175" s="78">
        <f t="shared" si="5"/>
        <v>0</v>
      </c>
      <c r="N175" s="100"/>
      <c r="O175" s="77"/>
      <c r="P175" s="77"/>
      <c r="Q175" s="79"/>
    </row>
    <row r="176" spans="1:17" s="15" customFormat="1" ht="30" x14ac:dyDescent="0.25">
      <c r="A176" s="229"/>
      <c r="B176" s="238" t="s">
        <v>144</v>
      </c>
      <c r="C176" s="181" t="s">
        <v>446</v>
      </c>
      <c r="D176" s="182" t="s">
        <v>313</v>
      </c>
      <c r="E176" s="183" t="s">
        <v>20</v>
      </c>
      <c r="F176" s="73" t="s">
        <v>485</v>
      </c>
      <c r="G176" s="235" t="s">
        <v>114</v>
      </c>
      <c r="H176" s="181">
        <v>33</v>
      </c>
      <c r="I176" s="234">
        <v>14</v>
      </c>
      <c r="J176" s="202">
        <v>14</v>
      </c>
      <c r="K176" s="77">
        <v>38512.93</v>
      </c>
      <c r="L176" s="77">
        <v>38512.93</v>
      </c>
      <c r="M176" s="78">
        <f t="shared" si="5"/>
        <v>0</v>
      </c>
      <c r="N176" s="100">
        <v>21</v>
      </c>
      <c r="O176" s="224">
        <v>53276.800000000003</v>
      </c>
      <c r="P176" s="224">
        <v>53276.800000000003</v>
      </c>
      <c r="Q176" s="232">
        <f t="shared" ref="Q176" si="7">O176-P176</f>
        <v>0</v>
      </c>
    </row>
    <row r="177" spans="1:17" s="21" customFormat="1" ht="45" x14ac:dyDescent="0.25">
      <c r="A177" s="181"/>
      <c r="B177" s="30" t="s">
        <v>100</v>
      </c>
      <c r="C177" s="181" t="s">
        <v>304</v>
      </c>
      <c r="D177" s="182" t="s">
        <v>416</v>
      </c>
      <c r="E177" s="194" t="s">
        <v>20</v>
      </c>
      <c r="F177" s="73" t="s">
        <v>408</v>
      </c>
      <c r="G177" s="27" t="s">
        <v>112</v>
      </c>
      <c r="H177" s="75">
        <v>28</v>
      </c>
      <c r="I177" s="76">
        <v>18</v>
      </c>
      <c r="J177" s="98">
        <f>5+1+4+6+4</f>
        <v>20</v>
      </c>
      <c r="K177" s="86">
        <f>6524.55+600.31+19349.45+15377.18</f>
        <v>41851.490000000005</v>
      </c>
      <c r="L177" s="86">
        <f>6524.55+600.31+19349.45+15377.18</f>
        <v>41851.490000000005</v>
      </c>
      <c r="M177" s="78">
        <f t="shared" si="5"/>
        <v>0</v>
      </c>
      <c r="N177" s="100">
        <f>1+3+2+3+1</f>
        <v>10</v>
      </c>
      <c r="O177" s="87">
        <f>10770.58+2113.01+3508.24+19305.88+22849.19</f>
        <v>58546.900000000009</v>
      </c>
      <c r="P177" s="87">
        <f>10770.58+2113.01+3508.24+19305.88+22849.19</f>
        <v>58546.900000000009</v>
      </c>
      <c r="Q177" s="79">
        <f t="shared" si="6"/>
        <v>0</v>
      </c>
    </row>
    <row r="178" spans="1:17" s="21" customFormat="1" ht="60" x14ac:dyDescent="0.25">
      <c r="A178" s="181"/>
      <c r="B178" s="30" t="s">
        <v>100</v>
      </c>
      <c r="C178" s="203" t="s">
        <v>125</v>
      </c>
      <c r="D178" s="182" t="s">
        <v>126</v>
      </c>
      <c r="E178" s="194" t="s">
        <v>20</v>
      </c>
      <c r="F178" s="73" t="s">
        <v>486</v>
      </c>
      <c r="G178" s="236" t="s">
        <v>114</v>
      </c>
      <c r="H178" s="181">
        <v>10</v>
      </c>
      <c r="I178" s="234">
        <v>2</v>
      </c>
      <c r="J178" s="202">
        <v>2</v>
      </c>
      <c r="K178" s="86">
        <v>5699.6</v>
      </c>
      <c r="L178" s="86">
        <v>5699.6</v>
      </c>
      <c r="M178" s="78">
        <f t="shared" si="5"/>
        <v>0</v>
      </c>
      <c r="N178" s="100"/>
      <c r="O178" s="239">
        <v>71568.429999999993</v>
      </c>
      <c r="P178" s="239">
        <v>71568.429999999993</v>
      </c>
      <c r="Q178" s="232">
        <f t="shared" si="6"/>
        <v>0</v>
      </c>
    </row>
    <row r="179" spans="1:17" s="13" customFormat="1" x14ac:dyDescent="0.25">
      <c r="A179" s="229"/>
      <c r="B179" s="62" t="s">
        <v>101</v>
      </c>
      <c r="C179" s="181" t="s">
        <v>17</v>
      </c>
      <c r="D179" s="182"/>
      <c r="E179" s="194" t="s">
        <v>20</v>
      </c>
      <c r="F179" s="73" t="s">
        <v>409</v>
      </c>
      <c r="G179" s="74" t="s">
        <v>112</v>
      </c>
      <c r="H179" s="75">
        <v>14</v>
      </c>
      <c r="I179" s="76">
        <v>8</v>
      </c>
      <c r="J179" s="96">
        <f>1+5+1+1+2+2+1</f>
        <v>13</v>
      </c>
      <c r="K179" s="77">
        <v>9863.65</v>
      </c>
      <c r="L179" s="77">
        <v>9863.65</v>
      </c>
      <c r="M179" s="78">
        <f t="shared" si="5"/>
        <v>0</v>
      </c>
      <c r="N179" s="100">
        <f>5+2+1+1+1</f>
        <v>10</v>
      </c>
      <c r="O179" s="81">
        <f>6288.07+3061.62+3426.18+12951.18</f>
        <v>25727.05</v>
      </c>
      <c r="P179" s="81">
        <f>6288.07+3061.62+3426.18+12951.18</f>
        <v>25727.05</v>
      </c>
      <c r="Q179" s="79">
        <f t="shared" si="6"/>
        <v>0</v>
      </c>
    </row>
    <row r="180" spans="1:17" s="13" customFormat="1" x14ac:dyDescent="0.25">
      <c r="A180" s="229"/>
      <c r="B180" s="62" t="s">
        <v>146</v>
      </c>
      <c r="C180" s="181" t="s">
        <v>17</v>
      </c>
      <c r="D180" s="182"/>
      <c r="E180" s="194" t="s">
        <v>20</v>
      </c>
      <c r="F180" s="73" t="s">
        <v>410</v>
      </c>
      <c r="G180" s="74" t="s">
        <v>112</v>
      </c>
      <c r="H180" s="75">
        <v>15</v>
      </c>
      <c r="I180" s="76">
        <v>12</v>
      </c>
      <c r="J180" s="96">
        <f>4+1+1+2+1+2+1+1</f>
        <v>13</v>
      </c>
      <c r="K180" s="77">
        <f>4610.77+1568.98+1854.88+422.62+1334.13+2599.07+5262.18+1092.81</f>
        <v>18745.440000000002</v>
      </c>
      <c r="L180" s="77">
        <f>4610.77+1568.98+1854.88+422.62+1334.13+2599.07+5262.18+1092.81</f>
        <v>18745.440000000002</v>
      </c>
      <c r="M180" s="78">
        <f t="shared" si="5"/>
        <v>0</v>
      </c>
      <c r="N180" s="100">
        <f>5+1+1+2+1+1</f>
        <v>11</v>
      </c>
      <c r="O180" s="81">
        <f>13579.06+1287.07+2636.18+26196.83</f>
        <v>43699.14</v>
      </c>
      <c r="P180" s="81">
        <f>13579.06+1287.07+2636.18+26196.83</f>
        <v>43699.14</v>
      </c>
      <c r="Q180" s="232">
        <f t="shared" si="6"/>
        <v>0</v>
      </c>
    </row>
    <row r="181" spans="1:17" s="13" customFormat="1" x14ac:dyDescent="0.25">
      <c r="A181" s="229"/>
      <c r="B181" s="62" t="s">
        <v>146</v>
      </c>
      <c r="C181" s="181" t="s">
        <v>17</v>
      </c>
      <c r="D181" s="182"/>
      <c r="E181" s="183" t="s">
        <v>21</v>
      </c>
      <c r="F181" s="73" t="s">
        <v>443</v>
      </c>
      <c r="G181" s="230" t="s">
        <v>118</v>
      </c>
      <c r="H181" s="181">
        <v>14</v>
      </c>
      <c r="I181" s="234">
        <v>3</v>
      </c>
      <c r="J181" s="190">
        <v>3</v>
      </c>
      <c r="K181" s="193">
        <v>1754.7</v>
      </c>
      <c r="L181" s="193">
        <v>1754.7</v>
      </c>
      <c r="M181" s="78">
        <f t="shared" si="5"/>
        <v>0</v>
      </c>
      <c r="N181" s="114">
        <v>5</v>
      </c>
      <c r="O181" s="224">
        <v>5349.99</v>
      </c>
      <c r="P181" s="224">
        <v>5349.99</v>
      </c>
      <c r="Q181" s="79">
        <f t="shared" si="6"/>
        <v>0</v>
      </c>
    </row>
    <row r="182" spans="1:17" s="13" customFormat="1" x14ac:dyDescent="0.25">
      <c r="A182" s="229"/>
      <c r="B182" s="27" t="s">
        <v>102</v>
      </c>
      <c r="C182" s="181" t="s">
        <v>17</v>
      </c>
      <c r="D182" s="182"/>
      <c r="E182" s="194" t="s">
        <v>20</v>
      </c>
      <c r="F182" s="73" t="s">
        <v>411</v>
      </c>
      <c r="G182" s="74" t="s">
        <v>112</v>
      </c>
      <c r="H182" s="75">
        <v>14</v>
      </c>
      <c r="I182" s="76">
        <v>11</v>
      </c>
      <c r="J182" s="96">
        <f>1+1+2+1+2+1+3</f>
        <v>11</v>
      </c>
      <c r="K182" s="77">
        <f>845.24+845.24+1690.48+1394.65+2689.38+1324.62</f>
        <v>8789.61</v>
      </c>
      <c r="L182" s="77">
        <f>845.24+845.24+1690.48+1394.65+2689.38+1324.62</f>
        <v>8789.61</v>
      </c>
      <c r="M182" s="78">
        <f t="shared" si="5"/>
        <v>0</v>
      </c>
      <c r="N182" s="100">
        <f>3+1+1+1</f>
        <v>6</v>
      </c>
      <c r="O182" s="81">
        <f>7808.21+30833.77-12193.52+9963.17+5385.9</f>
        <v>41797.530000000006</v>
      </c>
      <c r="P182" s="81">
        <f>7808.21+30833.77-12193.52+9963.17+5385.9</f>
        <v>41797.530000000006</v>
      </c>
      <c r="Q182" s="232">
        <f t="shared" si="6"/>
        <v>0</v>
      </c>
    </row>
    <row r="183" spans="1:17" s="13" customFormat="1" x14ac:dyDescent="0.25">
      <c r="A183" s="229"/>
      <c r="B183" s="27" t="s">
        <v>102</v>
      </c>
      <c r="C183" s="181" t="s">
        <v>17</v>
      </c>
      <c r="D183" s="182"/>
      <c r="E183" s="194" t="s">
        <v>20</v>
      </c>
      <c r="F183" s="73" t="s">
        <v>469</v>
      </c>
      <c r="G183" s="230" t="s">
        <v>114</v>
      </c>
      <c r="H183" s="181">
        <v>10</v>
      </c>
      <c r="I183" s="231">
        <v>3</v>
      </c>
      <c r="J183" s="190">
        <v>3</v>
      </c>
      <c r="K183" s="77">
        <v>1267.8599999999999</v>
      </c>
      <c r="L183" s="77">
        <v>1267.8599999999999</v>
      </c>
      <c r="M183" s="78">
        <f t="shared" si="5"/>
        <v>0</v>
      </c>
      <c r="N183" s="100">
        <v>8</v>
      </c>
      <c r="O183" s="224">
        <v>31700.42</v>
      </c>
      <c r="P183" s="224">
        <v>31700.42</v>
      </c>
      <c r="Q183" s="232">
        <f t="shared" si="6"/>
        <v>0</v>
      </c>
    </row>
    <row r="184" spans="1:17" s="13" customFormat="1" x14ac:dyDescent="0.25">
      <c r="A184" s="229"/>
      <c r="B184" s="27" t="s">
        <v>103</v>
      </c>
      <c r="C184" s="181" t="s">
        <v>17</v>
      </c>
      <c r="D184" s="182"/>
      <c r="E184" s="183" t="s">
        <v>20</v>
      </c>
      <c r="F184" s="73" t="s">
        <v>412</v>
      </c>
      <c r="G184" s="74" t="s">
        <v>112</v>
      </c>
      <c r="H184" s="75">
        <v>15</v>
      </c>
      <c r="I184" s="76">
        <v>10</v>
      </c>
      <c r="J184" s="96">
        <f>4+1+2+3+1</f>
        <v>11</v>
      </c>
      <c r="K184" s="77">
        <f>16248.67+1092.81+2003.49+401.4</f>
        <v>19746.370000000003</v>
      </c>
      <c r="L184" s="77">
        <f>16248.67+1092.81+2003.49+401.4</f>
        <v>19746.370000000003</v>
      </c>
      <c r="M184" s="78">
        <f t="shared" si="5"/>
        <v>0</v>
      </c>
      <c r="N184" s="100">
        <f>7+2+1+1+2+1</f>
        <v>14</v>
      </c>
      <c r="O184" s="77">
        <f>20193.14+7541.5+685.38</f>
        <v>28420.02</v>
      </c>
      <c r="P184" s="77">
        <f>20193.14+7541.5+685.38</f>
        <v>28420.02</v>
      </c>
      <c r="Q184" s="232">
        <f t="shared" si="6"/>
        <v>0</v>
      </c>
    </row>
    <row r="185" spans="1:17" s="13" customFormat="1" x14ac:dyDescent="0.25">
      <c r="A185" s="229"/>
      <c r="B185" s="27" t="s">
        <v>103</v>
      </c>
      <c r="C185" s="181" t="s">
        <v>17</v>
      </c>
      <c r="D185" s="182"/>
      <c r="E185" s="183" t="s">
        <v>20</v>
      </c>
      <c r="F185" s="73" t="s">
        <v>470</v>
      </c>
      <c r="G185" s="230" t="s">
        <v>114</v>
      </c>
      <c r="H185" s="181">
        <v>14</v>
      </c>
      <c r="I185" s="231">
        <v>3</v>
      </c>
      <c r="J185" s="190">
        <v>3</v>
      </c>
      <c r="K185" s="77">
        <v>4940.1000000000004</v>
      </c>
      <c r="L185" s="77">
        <v>4940.1000000000004</v>
      </c>
      <c r="M185" s="78">
        <f t="shared" si="5"/>
        <v>0</v>
      </c>
      <c r="N185" s="100">
        <v>4</v>
      </c>
      <c r="O185" s="224">
        <v>10434.89</v>
      </c>
      <c r="P185" s="224">
        <v>10434.89</v>
      </c>
      <c r="Q185" s="232">
        <f t="shared" si="6"/>
        <v>0</v>
      </c>
    </row>
    <row r="186" spans="1:17" s="15" customFormat="1" x14ac:dyDescent="0.25">
      <c r="A186" s="229"/>
      <c r="B186" s="27" t="s">
        <v>104</v>
      </c>
      <c r="C186" s="181" t="s">
        <v>17</v>
      </c>
      <c r="D186" s="182"/>
      <c r="E186" s="183" t="s">
        <v>20</v>
      </c>
      <c r="F186" s="73" t="s">
        <v>413</v>
      </c>
      <c r="G186" s="74" t="s">
        <v>112</v>
      </c>
      <c r="H186" s="75">
        <v>16</v>
      </c>
      <c r="I186" s="76">
        <v>13</v>
      </c>
      <c r="J186" s="96">
        <f>3+1+2+4+1+1+1</f>
        <v>13</v>
      </c>
      <c r="K186" s="77">
        <f>5112.82+422.64+8302.14+1605.5+1092.81</f>
        <v>16535.91</v>
      </c>
      <c r="L186" s="77">
        <f>5112.82+422.64+8302.14+1605.5+1092.81</f>
        <v>16535.91</v>
      </c>
      <c r="M186" s="78">
        <f t="shared" si="5"/>
        <v>0</v>
      </c>
      <c r="N186" s="100">
        <f>4+1+1+2+1</f>
        <v>9</v>
      </c>
      <c r="O186" s="81">
        <f>7087.22+3426.18+3496.22</f>
        <v>14009.619999999999</v>
      </c>
      <c r="P186" s="81">
        <f>7087.22+3426.18+3496.22</f>
        <v>14009.619999999999</v>
      </c>
      <c r="Q186" s="232">
        <f t="shared" si="6"/>
        <v>0</v>
      </c>
    </row>
    <row r="187" spans="1:17" s="15" customFormat="1" x14ac:dyDescent="0.25">
      <c r="A187" s="229"/>
      <c r="B187" s="27" t="s">
        <v>104</v>
      </c>
      <c r="C187" s="181" t="s">
        <v>17</v>
      </c>
      <c r="D187" s="182"/>
      <c r="E187" s="183" t="s">
        <v>20</v>
      </c>
      <c r="F187" s="73" t="s">
        <v>471</v>
      </c>
      <c r="G187" s="230" t="s">
        <v>114</v>
      </c>
      <c r="H187" s="181">
        <v>39</v>
      </c>
      <c r="I187" s="231">
        <v>8</v>
      </c>
      <c r="J187" s="190">
        <v>8</v>
      </c>
      <c r="K187" s="77">
        <v>23685.91</v>
      </c>
      <c r="L187" s="77">
        <v>23685.91</v>
      </c>
      <c r="M187" s="78">
        <f t="shared" si="5"/>
        <v>0</v>
      </c>
      <c r="N187" s="114">
        <v>18</v>
      </c>
      <c r="O187" s="224">
        <v>40887.050000000003</v>
      </c>
      <c r="P187" s="224">
        <v>40887.050000000003</v>
      </c>
      <c r="Q187" s="232">
        <f t="shared" si="6"/>
        <v>0</v>
      </c>
    </row>
    <row r="188" spans="1:17" s="13" customFormat="1" x14ac:dyDescent="0.25">
      <c r="A188" s="229"/>
      <c r="B188" s="30" t="s">
        <v>26</v>
      </c>
      <c r="C188" s="181" t="s">
        <v>17</v>
      </c>
      <c r="D188" s="182"/>
      <c r="E188" s="183" t="s">
        <v>32</v>
      </c>
      <c r="F188" s="73" t="s">
        <v>246</v>
      </c>
      <c r="G188" s="74" t="s">
        <v>117</v>
      </c>
      <c r="H188" s="75"/>
      <c r="I188" s="76"/>
      <c r="J188" s="96"/>
      <c r="K188" s="77"/>
      <c r="L188" s="77"/>
      <c r="M188" s="78">
        <f t="shared" si="5"/>
        <v>0</v>
      </c>
      <c r="N188" s="100">
        <v>5</v>
      </c>
      <c r="O188" s="81">
        <v>7808.15</v>
      </c>
      <c r="P188" s="81">
        <v>7808.15</v>
      </c>
      <c r="Q188" s="232">
        <f t="shared" si="6"/>
        <v>0</v>
      </c>
    </row>
    <row r="189" spans="1:17" s="13" customFormat="1" x14ac:dyDescent="0.25">
      <c r="A189" s="229"/>
      <c r="B189" s="62" t="s">
        <v>106</v>
      </c>
      <c r="C189" s="181" t="s">
        <v>17</v>
      </c>
      <c r="D189" s="205"/>
      <c r="E189" s="194" t="s">
        <v>20</v>
      </c>
      <c r="F189" s="73" t="s">
        <v>414</v>
      </c>
      <c r="G189" s="74" t="s">
        <v>112</v>
      </c>
      <c r="H189" s="75">
        <v>13</v>
      </c>
      <c r="I189" s="76">
        <v>6</v>
      </c>
      <c r="J189" s="96">
        <f>1+4+2</f>
        <v>7</v>
      </c>
      <c r="K189" s="77">
        <v>4901.5</v>
      </c>
      <c r="L189" s="77">
        <v>4901.5</v>
      </c>
      <c r="M189" s="78">
        <f t="shared" si="5"/>
        <v>0</v>
      </c>
      <c r="N189" s="100">
        <f>3+1</f>
        <v>4</v>
      </c>
      <c r="O189" s="81">
        <v>49473.81</v>
      </c>
      <c r="P189" s="81">
        <v>49473.81</v>
      </c>
      <c r="Q189" s="232">
        <f t="shared" si="6"/>
        <v>0</v>
      </c>
    </row>
    <row r="190" spans="1:17" x14ac:dyDescent="0.25">
      <c r="A190" s="273"/>
      <c r="B190" s="66"/>
      <c r="C190" s="274"/>
      <c r="D190" s="235"/>
      <c r="E190" s="235"/>
      <c r="F190" s="73"/>
      <c r="G190" s="235" t="s">
        <v>131</v>
      </c>
      <c r="H190" s="240">
        <f>SUM(H10:H189)</f>
        <v>2709</v>
      </c>
      <c r="I190" s="272">
        <f>SUM(I10:I189)</f>
        <v>1506</v>
      </c>
      <c r="J190" s="208">
        <f>SUM(J10:J189)</f>
        <v>1802</v>
      </c>
      <c r="K190" s="209">
        <f>SUM(K10:K189)</f>
        <v>3295308.3450000002</v>
      </c>
      <c r="L190" s="209">
        <f>SUM(L10:L189)</f>
        <v>3295308.3450000002</v>
      </c>
      <c r="M190" s="210">
        <f>K190-L190</f>
        <v>0</v>
      </c>
      <c r="N190" s="208">
        <f>SUM(N10:N189)</f>
        <v>1784</v>
      </c>
      <c r="O190" s="241">
        <f>SUM(O10:O189)</f>
        <v>5704854.7200000016</v>
      </c>
      <c r="P190" s="241">
        <f>SUM(P10:P189)</f>
        <v>5704854.7200000016</v>
      </c>
      <c r="Q190" s="79">
        <f t="shared" si="6"/>
        <v>0</v>
      </c>
    </row>
    <row r="191" spans="1:17" x14ac:dyDescent="0.25">
      <c r="K191" s="91" t="s">
        <v>305</v>
      </c>
    </row>
    <row r="192" spans="1:17" ht="45" x14ac:dyDescent="0.25">
      <c r="B192" s="89" t="s">
        <v>316</v>
      </c>
      <c r="F192" s="104" t="s">
        <v>317</v>
      </c>
      <c r="M192" s="142"/>
      <c r="N192" s="277"/>
      <c r="O192" s="278"/>
      <c r="P192" s="279"/>
      <c r="Q192" s="133"/>
    </row>
    <row r="193" spans="2:17" x14ac:dyDescent="0.25"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216"/>
      <c r="N193" s="6"/>
      <c r="O193" s="6"/>
      <c r="P193" s="6"/>
      <c r="Q193" s="6"/>
    </row>
    <row r="194" spans="2:17" x14ac:dyDescent="0.25">
      <c r="M194" s="216"/>
    </row>
    <row r="195" spans="2:17" x14ac:dyDescent="0.25">
      <c r="M195" s="216"/>
    </row>
    <row r="196" spans="2:17" x14ac:dyDescent="0.25">
      <c r="M196" s="216"/>
    </row>
    <row r="197" spans="2:17" x14ac:dyDescent="0.25">
      <c r="M197" s="216"/>
    </row>
  </sheetData>
  <mergeCells count="7">
    <mergeCell ref="O1:Q1"/>
    <mergeCell ref="A3:Q3"/>
    <mergeCell ref="A4:Q4"/>
    <mergeCell ref="A5:Q5"/>
    <mergeCell ref="B7:G7"/>
    <mergeCell ref="H7:M7"/>
    <mergeCell ref="N7:Q7"/>
  </mergeCells>
  <pageMargins left="0.7" right="0.7" top="0.75" bottom="0.75" header="0.3" footer="0.3"/>
  <pageSetup paperSize="9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97"/>
  <sheetViews>
    <sheetView topLeftCell="D1" workbookViewId="0">
      <selection sqref="A1:XFD1048576"/>
    </sheetView>
  </sheetViews>
  <sheetFormatPr defaultRowHeight="15" x14ac:dyDescent="0.25"/>
  <cols>
    <col min="1" max="1" width="1.85546875" style="6" customWidth="1"/>
    <col min="2" max="2" width="38.28515625" style="88" customWidth="1"/>
    <col min="3" max="3" width="6.5703125" style="19" customWidth="1"/>
    <col min="4" max="4" width="17.42578125" style="19" customWidth="1"/>
    <col min="5" max="5" width="19" style="19" customWidth="1"/>
    <col min="6" max="6" width="19" style="89" customWidth="1"/>
    <col min="7" max="7" width="20.140625" style="89" customWidth="1"/>
    <col min="8" max="9" width="15.7109375" style="90" customWidth="1"/>
    <col min="10" max="10" width="15.7109375" style="99" customWidth="1"/>
    <col min="11" max="13" width="15.7109375" style="91" customWidth="1"/>
    <col min="14" max="14" width="15.7109375" style="99" customWidth="1"/>
    <col min="15" max="17" width="15.7109375" style="92" customWidth="1"/>
    <col min="18" max="18" width="8.85546875" style="6" customWidth="1"/>
    <col min="19" max="16384" width="9.140625" style="6"/>
  </cols>
  <sheetData>
    <row r="1" spans="1:17" s="105" customFormat="1" x14ac:dyDescent="0.25">
      <c r="A1" s="60"/>
      <c r="B1" s="60"/>
      <c r="C1" s="225"/>
      <c r="D1" s="225"/>
      <c r="E1" s="225"/>
      <c r="F1" s="63"/>
      <c r="G1" s="63"/>
      <c r="H1" s="64"/>
      <c r="I1" s="64"/>
      <c r="J1" s="93"/>
      <c r="K1" s="65"/>
      <c r="L1" s="65"/>
      <c r="M1" s="65"/>
      <c r="N1" s="93"/>
      <c r="O1" s="362" t="s">
        <v>15</v>
      </c>
      <c r="P1" s="362"/>
      <c r="Q1" s="362"/>
    </row>
    <row r="2" spans="1:17" s="105" customFormat="1" x14ac:dyDescent="0.25">
      <c r="A2" s="282"/>
      <c r="B2" s="282"/>
      <c r="C2" s="283"/>
      <c r="D2" s="283"/>
      <c r="E2" s="283"/>
      <c r="F2" s="66"/>
      <c r="G2" s="66"/>
      <c r="H2" s="281"/>
      <c r="I2" s="281"/>
      <c r="J2" s="94"/>
      <c r="K2" s="67"/>
      <c r="L2" s="67"/>
      <c r="M2" s="67"/>
      <c r="N2" s="94"/>
      <c r="O2" s="68"/>
      <c r="P2" s="68"/>
      <c r="Q2" s="68"/>
    </row>
    <row r="3" spans="1:17" s="105" customFormat="1" x14ac:dyDescent="0.25">
      <c r="A3" s="380" t="s">
        <v>318</v>
      </c>
      <c r="B3" s="367"/>
      <c r="C3" s="380"/>
      <c r="D3" s="380"/>
      <c r="E3" s="380"/>
      <c r="F3" s="367"/>
      <c r="G3" s="367"/>
      <c r="H3" s="366"/>
      <c r="I3" s="366"/>
      <c r="J3" s="367"/>
      <c r="K3" s="367"/>
      <c r="L3" s="367"/>
      <c r="M3" s="367"/>
      <c r="N3" s="367"/>
      <c r="O3" s="367"/>
      <c r="P3" s="367"/>
      <c r="Q3" s="367"/>
    </row>
    <row r="4" spans="1:17" s="105" customFormat="1" x14ac:dyDescent="0.25">
      <c r="A4" s="381">
        <v>43745</v>
      </c>
      <c r="B4" s="373"/>
      <c r="C4" s="382"/>
      <c r="D4" s="382"/>
      <c r="E4" s="382"/>
      <c r="F4" s="373"/>
      <c r="G4" s="373"/>
      <c r="H4" s="372"/>
      <c r="I4" s="372"/>
      <c r="J4" s="373"/>
      <c r="K4" s="373"/>
      <c r="L4" s="373"/>
      <c r="M4" s="373"/>
      <c r="N4" s="373"/>
      <c r="O4" s="373"/>
      <c r="P4" s="373"/>
      <c r="Q4" s="373"/>
    </row>
    <row r="5" spans="1:17" s="105" customFormat="1" x14ac:dyDescent="0.25">
      <c r="A5" s="367" t="s">
        <v>14</v>
      </c>
      <c r="B5" s="367"/>
      <c r="C5" s="367"/>
      <c r="D5" s="367"/>
      <c r="E5" s="367"/>
      <c r="F5" s="367"/>
      <c r="G5" s="367"/>
      <c r="H5" s="366"/>
      <c r="I5" s="366"/>
      <c r="J5" s="367"/>
      <c r="K5" s="367"/>
      <c r="L5" s="367"/>
      <c r="M5" s="367"/>
      <c r="N5" s="367"/>
      <c r="O5" s="367"/>
      <c r="P5" s="367"/>
      <c r="Q5" s="367"/>
    </row>
    <row r="6" spans="1:17" s="105" customFormat="1" x14ac:dyDescent="0.25">
      <c r="A6" s="282"/>
      <c r="B6" s="282"/>
      <c r="C6" s="283"/>
      <c r="D6" s="283"/>
      <c r="E6" s="283"/>
      <c r="F6" s="66"/>
      <c r="G6" s="66"/>
      <c r="H6" s="281"/>
      <c r="I6" s="281"/>
      <c r="J6" s="94"/>
      <c r="K6" s="67"/>
      <c r="L6" s="67"/>
      <c r="M6" s="67"/>
      <c r="N6" s="94"/>
      <c r="O6" s="68"/>
      <c r="P6" s="68"/>
      <c r="Q6" s="68"/>
    </row>
    <row r="7" spans="1:17" x14ac:dyDescent="0.25">
      <c r="A7" s="227" t="s">
        <v>0</v>
      </c>
      <c r="B7" s="367" t="s">
        <v>10</v>
      </c>
      <c r="C7" s="380"/>
      <c r="D7" s="380"/>
      <c r="E7" s="380"/>
      <c r="F7" s="367"/>
      <c r="G7" s="367"/>
      <c r="H7" s="366" t="s">
        <v>472</v>
      </c>
      <c r="I7" s="366"/>
      <c r="J7" s="367"/>
      <c r="K7" s="367"/>
      <c r="L7" s="367"/>
      <c r="M7" s="367"/>
      <c r="N7" s="367" t="s">
        <v>132</v>
      </c>
      <c r="O7" s="367"/>
      <c r="P7" s="367"/>
      <c r="Q7" s="367"/>
    </row>
    <row r="8" spans="1:17" ht="195" x14ac:dyDescent="0.25">
      <c r="A8" s="227"/>
      <c r="B8" s="282" t="s">
        <v>4</v>
      </c>
      <c r="C8" s="283" t="s">
        <v>1</v>
      </c>
      <c r="D8" s="283" t="s">
        <v>3</v>
      </c>
      <c r="E8" s="283" t="s">
        <v>2</v>
      </c>
      <c r="F8" s="282" t="s">
        <v>6</v>
      </c>
      <c r="G8" s="66" t="s">
        <v>5</v>
      </c>
      <c r="H8" s="282" t="s">
        <v>7</v>
      </c>
      <c r="I8" s="282" t="s">
        <v>8</v>
      </c>
      <c r="J8" s="94" t="s">
        <v>9</v>
      </c>
      <c r="K8" s="67" t="s">
        <v>11</v>
      </c>
      <c r="L8" s="67" t="s">
        <v>12</v>
      </c>
      <c r="M8" s="67" t="s">
        <v>13</v>
      </c>
      <c r="N8" s="94" t="s">
        <v>9</v>
      </c>
      <c r="O8" s="68" t="s">
        <v>11</v>
      </c>
      <c r="P8" s="68" t="s">
        <v>12</v>
      </c>
      <c r="Q8" s="68" t="s">
        <v>13</v>
      </c>
    </row>
    <row r="9" spans="1:17" x14ac:dyDescent="0.25">
      <c r="A9" s="228">
        <v>1</v>
      </c>
      <c r="B9" s="61">
        <f>A9+1</f>
        <v>2</v>
      </c>
      <c r="C9" s="228">
        <f t="shared" ref="C9:Q9" si="0">B9+1</f>
        <v>3</v>
      </c>
      <c r="D9" s="228">
        <f t="shared" si="0"/>
        <v>4</v>
      </c>
      <c r="E9" s="228">
        <f t="shared" si="0"/>
        <v>5</v>
      </c>
      <c r="F9" s="69">
        <f t="shared" si="0"/>
        <v>6</v>
      </c>
      <c r="G9" s="69">
        <f t="shared" si="0"/>
        <v>7</v>
      </c>
      <c r="H9" s="70">
        <f t="shared" si="0"/>
        <v>8</v>
      </c>
      <c r="I9" s="70">
        <f t="shared" si="0"/>
        <v>9</v>
      </c>
      <c r="J9" s="95">
        <f t="shared" si="0"/>
        <v>10</v>
      </c>
      <c r="K9" s="71">
        <f t="shared" si="0"/>
        <v>11</v>
      </c>
      <c r="L9" s="71">
        <f t="shared" si="0"/>
        <v>12</v>
      </c>
      <c r="M9" s="71">
        <f t="shared" si="0"/>
        <v>13</v>
      </c>
      <c r="N9" s="95">
        <f t="shared" si="0"/>
        <v>14</v>
      </c>
      <c r="O9" s="72">
        <f t="shared" si="0"/>
        <v>15</v>
      </c>
      <c r="P9" s="72">
        <f t="shared" si="0"/>
        <v>16</v>
      </c>
      <c r="Q9" s="72">
        <f t="shared" si="0"/>
        <v>17</v>
      </c>
    </row>
    <row r="10" spans="1:17" s="13" customFormat="1" ht="30" x14ac:dyDescent="0.25">
      <c r="A10" s="229"/>
      <c r="B10" s="62" t="s">
        <v>16</v>
      </c>
      <c r="C10" s="181" t="s">
        <v>304</v>
      </c>
      <c r="D10" s="182" t="s">
        <v>315</v>
      </c>
      <c r="E10" s="183" t="s">
        <v>18</v>
      </c>
      <c r="F10" s="73" t="s">
        <v>322</v>
      </c>
      <c r="G10" s="74" t="s">
        <v>112</v>
      </c>
      <c r="H10" s="75">
        <v>12</v>
      </c>
      <c r="I10" s="76">
        <v>11</v>
      </c>
      <c r="J10" s="98">
        <f>2+1+3+3+1+3</f>
        <v>13</v>
      </c>
      <c r="K10" s="77">
        <f>4792.51+1138.19+504.26+11366.06+4859.68+3954.5+12023.46</f>
        <v>38638.660000000003</v>
      </c>
      <c r="L10" s="77">
        <f>4792.51+1138.19+504.26+11366.06+4859.68+3954.5+12023.46</f>
        <v>38638.660000000003</v>
      </c>
      <c r="M10" s="78">
        <f>K10-L10</f>
        <v>0</v>
      </c>
      <c r="N10" s="100">
        <f>2+5+1+2+1</f>
        <v>11</v>
      </c>
      <c r="O10" s="77">
        <f>9108.77+6924.32+22366.06+8197.52</f>
        <v>46596.67</v>
      </c>
      <c r="P10" s="77">
        <f>9108.77+6924.32+22366.06+8197.52</f>
        <v>46596.67</v>
      </c>
      <c r="Q10" s="79">
        <f>O10-P10</f>
        <v>0</v>
      </c>
    </row>
    <row r="11" spans="1:17" s="13" customFormat="1" ht="30" x14ac:dyDescent="0.25">
      <c r="A11" s="229"/>
      <c r="B11" s="62" t="s">
        <v>16</v>
      </c>
      <c r="C11" s="181" t="s">
        <v>304</v>
      </c>
      <c r="D11" s="182" t="s">
        <v>315</v>
      </c>
      <c r="E11" s="183" t="s">
        <v>18</v>
      </c>
      <c r="F11" s="73" t="s">
        <v>322</v>
      </c>
      <c r="G11" s="230" t="s">
        <v>116</v>
      </c>
      <c r="H11" s="181">
        <v>11</v>
      </c>
      <c r="I11" s="231">
        <v>6</v>
      </c>
      <c r="J11" s="96">
        <v>6</v>
      </c>
      <c r="K11" s="224">
        <v>11526</v>
      </c>
      <c r="L11" s="224">
        <v>11526</v>
      </c>
      <c r="M11" s="78">
        <f t="shared" ref="M11:M74" si="1">K11-L11</f>
        <v>0</v>
      </c>
      <c r="N11" s="100"/>
      <c r="O11" s="224">
        <v>2945</v>
      </c>
      <c r="P11" s="224">
        <v>2945</v>
      </c>
      <c r="Q11" s="232">
        <f t="shared" ref="Q11:Q80" si="2">O11-P11</f>
        <v>0</v>
      </c>
    </row>
    <row r="12" spans="1:17" s="13" customFormat="1" x14ac:dyDescent="0.25">
      <c r="A12" s="229"/>
      <c r="B12" s="62" t="s">
        <v>490</v>
      </c>
      <c r="C12" s="181" t="s">
        <v>304</v>
      </c>
      <c r="D12" s="182"/>
      <c r="E12" s="183"/>
      <c r="F12" s="189" t="s">
        <v>501</v>
      </c>
      <c r="G12" s="230" t="s">
        <v>112</v>
      </c>
      <c r="H12" s="181">
        <v>17</v>
      </c>
      <c r="I12" s="231">
        <v>14</v>
      </c>
      <c r="J12" s="96">
        <f>5+1+3+1+1+2+2+1</f>
        <v>16</v>
      </c>
      <c r="K12" s="224">
        <f>8352.39+384.2+1463.8+3720.67+546.41+5470.48+13100.4</f>
        <v>33038.35</v>
      </c>
      <c r="L12" s="224">
        <f>8352.39+384.2+1463.8+3720.67+546.41+5470.48+13100.4</f>
        <v>33038.35</v>
      </c>
      <c r="M12" s="78">
        <f t="shared" si="1"/>
        <v>0</v>
      </c>
      <c r="N12" s="100"/>
      <c r="O12" s="224"/>
      <c r="P12" s="224"/>
      <c r="Q12" s="79">
        <f t="shared" si="2"/>
        <v>0</v>
      </c>
    </row>
    <row r="13" spans="1:17" s="15" customFormat="1" x14ac:dyDescent="0.25">
      <c r="A13" s="229"/>
      <c r="B13" s="62" t="s">
        <v>19</v>
      </c>
      <c r="C13" s="181" t="s">
        <v>17</v>
      </c>
      <c r="D13" s="182"/>
      <c r="E13" s="183" t="s">
        <v>20</v>
      </c>
      <c r="F13" s="73" t="s">
        <v>323</v>
      </c>
      <c r="G13" s="74" t="s">
        <v>112</v>
      </c>
      <c r="H13" s="75">
        <v>15</v>
      </c>
      <c r="I13" s="76">
        <v>13</v>
      </c>
      <c r="J13" s="96">
        <f>1+2+5+2+1+5+1+3</f>
        <v>20</v>
      </c>
      <c r="K13" s="77">
        <f>422.62+4792.51+1796.14+1373.52+5511.59+1707.76</f>
        <v>15604.140000000001</v>
      </c>
      <c r="L13" s="77">
        <f>422.62+4792.51+1796.14+1373.52+5511.59+1707.76</f>
        <v>15604.140000000001</v>
      </c>
      <c r="M13" s="78">
        <f t="shared" si="1"/>
        <v>0</v>
      </c>
      <c r="N13" s="100">
        <f>8+3+1+2</f>
        <v>14</v>
      </c>
      <c r="O13" s="81">
        <f>6459.36+7124.45</f>
        <v>13583.81</v>
      </c>
      <c r="P13" s="81">
        <f>6459.36+7124.45</f>
        <v>13583.81</v>
      </c>
      <c r="Q13" s="79">
        <f t="shared" si="2"/>
        <v>0</v>
      </c>
    </row>
    <row r="14" spans="1:17" s="15" customFormat="1" x14ac:dyDescent="0.25">
      <c r="A14" s="229"/>
      <c r="B14" s="62" t="s">
        <v>19</v>
      </c>
      <c r="C14" s="181" t="s">
        <v>17</v>
      </c>
      <c r="D14" s="182"/>
      <c r="E14" s="183" t="s">
        <v>20</v>
      </c>
      <c r="F14" s="73" t="s">
        <v>451</v>
      </c>
      <c r="G14" s="230" t="s">
        <v>114</v>
      </c>
      <c r="H14" s="181">
        <v>13</v>
      </c>
      <c r="I14" s="231">
        <v>4</v>
      </c>
      <c r="J14" s="190">
        <v>4</v>
      </c>
      <c r="K14" s="77">
        <v>5843.64</v>
      </c>
      <c r="L14" s="77">
        <v>5843.64</v>
      </c>
      <c r="M14" s="78">
        <f t="shared" si="1"/>
        <v>0</v>
      </c>
      <c r="N14" s="100">
        <v>10</v>
      </c>
      <c r="O14" s="224">
        <v>18093.599999999999</v>
      </c>
      <c r="P14" s="224">
        <v>18093.599999999999</v>
      </c>
      <c r="Q14" s="232">
        <f t="shared" si="2"/>
        <v>0</v>
      </c>
    </row>
    <row r="15" spans="1:17" s="15" customFormat="1" x14ac:dyDescent="0.25">
      <c r="A15" s="229"/>
      <c r="B15" s="62" t="s">
        <v>153</v>
      </c>
      <c r="C15" s="181" t="s">
        <v>17</v>
      </c>
      <c r="D15" s="182"/>
      <c r="E15" s="183" t="s">
        <v>20</v>
      </c>
      <c r="F15" s="73" t="s">
        <v>324</v>
      </c>
      <c r="G15" s="74" t="s">
        <v>112</v>
      </c>
      <c r="H15" s="75">
        <v>16</v>
      </c>
      <c r="I15" s="82">
        <v>10</v>
      </c>
      <c r="J15" s="96">
        <f>1+1+2+1+1+2+1+1+1+1</f>
        <v>12</v>
      </c>
      <c r="K15" s="77">
        <f>950.9+2451.87+3074.57+845.24+1977.86+1284.48+883.08+401.4+1357.13+421.47</f>
        <v>13647.999999999998</v>
      </c>
      <c r="L15" s="77">
        <f>950.9+2451.87+3074.57+845.24+1977.86+1284.48+883.08+401.4+1357.13+421.47</f>
        <v>13647.999999999998</v>
      </c>
      <c r="M15" s="78">
        <f t="shared" si="1"/>
        <v>0</v>
      </c>
      <c r="N15" s="114">
        <f>1+2+1+2+1+1</f>
        <v>8</v>
      </c>
      <c r="O15" s="81">
        <f>422.62+945.61+2484.69+7964.81+1536.8+2498.17</f>
        <v>15852.699999999999</v>
      </c>
      <c r="P15" s="81">
        <f>422.62+945.61+2484.69+7964.81+1536.8+2498.17</f>
        <v>15852.699999999999</v>
      </c>
      <c r="Q15" s="79">
        <f t="shared" si="2"/>
        <v>0</v>
      </c>
    </row>
    <row r="16" spans="1:17" s="15" customFormat="1" x14ac:dyDescent="0.25">
      <c r="A16" s="229"/>
      <c r="B16" s="233" t="s">
        <v>153</v>
      </c>
      <c r="C16" s="181" t="s">
        <v>17</v>
      </c>
      <c r="D16" s="182"/>
      <c r="E16" s="183" t="s">
        <v>20</v>
      </c>
      <c r="F16" s="73" t="s">
        <v>452</v>
      </c>
      <c r="G16" s="230" t="s">
        <v>114</v>
      </c>
      <c r="H16" s="181">
        <v>15</v>
      </c>
      <c r="I16" s="231">
        <v>5</v>
      </c>
      <c r="J16" s="190">
        <v>5</v>
      </c>
      <c r="K16" s="77">
        <v>16581.29</v>
      </c>
      <c r="L16" s="77">
        <v>16581.29</v>
      </c>
      <c r="M16" s="78">
        <f t="shared" si="1"/>
        <v>0</v>
      </c>
      <c r="N16" s="100">
        <v>9</v>
      </c>
      <c r="O16" s="224">
        <v>23692.400000000001</v>
      </c>
      <c r="P16" s="224">
        <v>23692.400000000001</v>
      </c>
      <c r="Q16" s="232">
        <f t="shared" si="2"/>
        <v>0</v>
      </c>
    </row>
    <row r="17" spans="1:17" s="13" customFormat="1" x14ac:dyDescent="0.25">
      <c r="A17" s="229"/>
      <c r="B17" s="30" t="s">
        <v>22</v>
      </c>
      <c r="C17" s="181" t="s">
        <v>17</v>
      </c>
      <c r="D17" s="182"/>
      <c r="E17" s="183" t="s">
        <v>23</v>
      </c>
      <c r="F17" s="73" t="s">
        <v>325</v>
      </c>
      <c r="G17" s="74" t="s">
        <v>112</v>
      </c>
      <c r="H17" s="75">
        <v>49</v>
      </c>
      <c r="I17" s="76">
        <v>10</v>
      </c>
      <c r="J17" s="96">
        <f>1+2+1+9</f>
        <v>13</v>
      </c>
      <c r="K17" s="77">
        <f>2698.64+1402.33+11601.84+8586.48</f>
        <v>24289.29</v>
      </c>
      <c r="L17" s="77">
        <f>2698.64+1402.33+11601.84+8586.48</f>
        <v>24289.29</v>
      </c>
      <c r="M17" s="78">
        <f t="shared" si="1"/>
        <v>0</v>
      </c>
      <c r="N17" s="100">
        <f>14+3+7+1+1</f>
        <v>26</v>
      </c>
      <c r="O17" s="81">
        <f>22716.4+4171.06+18768.39+8172.47</f>
        <v>53828.320000000007</v>
      </c>
      <c r="P17" s="81">
        <f>22716.4+4171.06+18768.39+8172.47</f>
        <v>53828.320000000007</v>
      </c>
      <c r="Q17" s="79">
        <f t="shared" si="2"/>
        <v>0</v>
      </c>
    </row>
    <row r="18" spans="1:17" s="13" customFormat="1" x14ac:dyDescent="0.25">
      <c r="A18" s="229"/>
      <c r="B18" s="30" t="s">
        <v>154</v>
      </c>
      <c r="C18" s="181" t="s">
        <v>17</v>
      </c>
      <c r="D18" s="182"/>
      <c r="E18" s="183" t="s">
        <v>20</v>
      </c>
      <c r="F18" s="73" t="s">
        <v>453</v>
      </c>
      <c r="G18" s="230" t="s">
        <v>114</v>
      </c>
      <c r="H18" s="181">
        <v>34</v>
      </c>
      <c r="I18" s="234">
        <v>2</v>
      </c>
      <c r="J18" s="190">
        <v>2</v>
      </c>
      <c r="K18" s="193">
        <v>2938.2</v>
      </c>
      <c r="L18" s="193">
        <v>2938.2</v>
      </c>
      <c r="M18" s="78">
        <f t="shared" si="1"/>
        <v>0</v>
      </c>
      <c r="N18" s="114">
        <v>16</v>
      </c>
      <c r="O18" s="224">
        <v>41112.769999999997</v>
      </c>
      <c r="P18" s="224">
        <v>41112.769999999997</v>
      </c>
      <c r="Q18" s="232">
        <f t="shared" si="2"/>
        <v>0</v>
      </c>
    </row>
    <row r="19" spans="1:17" s="13" customFormat="1" x14ac:dyDescent="0.25">
      <c r="A19" s="229"/>
      <c r="B19" s="30" t="s">
        <v>154</v>
      </c>
      <c r="C19" s="181" t="s">
        <v>17</v>
      </c>
      <c r="D19" s="182"/>
      <c r="E19" s="183" t="s">
        <v>20</v>
      </c>
      <c r="F19" s="73" t="s">
        <v>326</v>
      </c>
      <c r="G19" s="74" t="s">
        <v>112</v>
      </c>
      <c r="H19" s="75">
        <v>26</v>
      </c>
      <c r="I19" s="76">
        <v>20</v>
      </c>
      <c r="J19" s="96">
        <f>1+1+2+2+2+6+1+4+1+2+2+3</f>
        <v>27</v>
      </c>
      <c r="K19" s="77">
        <f>950.9+864.46+845.24+405.02+739.59+6850.57+12952.58+883.08+2185.62</f>
        <v>26677.06</v>
      </c>
      <c r="L19" s="77">
        <f>950.9+864.46+845.24+405.02+739.59+6850.57+12952.58+883.08+2185.62</f>
        <v>26677.06</v>
      </c>
      <c r="M19" s="78">
        <f t="shared" si="1"/>
        <v>0</v>
      </c>
      <c r="N19" s="100">
        <f>6+3+1+1+1+2+1+1</f>
        <v>16</v>
      </c>
      <c r="O19" s="81">
        <f>6681.33+7017+1523.5+9094.74+3532.32</f>
        <v>27848.89</v>
      </c>
      <c r="P19" s="81">
        <f>6681.33+7017+1523.5+9094.74+3532.32</f>
        <v>27848.89</v>
      </c>
      <c r="Q19" s="79">
        <f t="shared" si="2"/>
        <v>0</v>
      </c>
    </row>
    <row r="20" spans="1:17" s="13" customFormat="1" x14ac:dyDescent="0.25">
      <c r="A20" s="229"/>
      <c r="B20" s="62" t="s">
        <v>24</v>
      </c>
      <c r="C20" s="181" t="s">
        <v>17</v>
      </c>
      <c r="D20" s="182"/>
      <c r="E20" s="183" t="s">
        <v>20</v>
      </c>
      <c r="F20" s="73" t="s">
        <v>327</v>
      </c>
      <c r="G20" s="74" t="s">
        <v>112</v>
      </c>
      <c r="H20" s="75">
        <v>7</v>
      </c>
      <c r="I20" s="76">
        <v>4</v>
      </c>
      <c r="J20" s="96">
        <f>3+1+1</f>
        <v>5</v>
      </c>
      <c r="K20" s="77">
        <f>1191.02</f>
        <v>1191.02</v>
      </c>
      <c r="L20" s="77">
        <f>1191.02</f>
        <v>1191.02</v>
      </c>
      <c r="M20" s="78">
        <f t="shared" si="1"/>
        <v>0</v>
      </c>
      <c r="N20" s="100">
        <f>1+1</f>
        <v>2</v>
      </c>
      <c r="O20" s="81">
        <f>576.3+1810.93</f>
        <v>2387.23</v>
      </c>
      <c r="P20" s="81">
        <f>576.3+1810.93</f>
        <v>2387.23</v>
      </c>
      <c r="Q20" s="232">
        <f t="shared" si="2"/>
        <v>0</v>
      </c>
    </row>
    <row r="21" spans="1:17" s="13" customFormat="1" x14ac:dyDescent="0.25">
      <c r="A21" s="229"/>
      <c r="B21" s="62" t="s">
        <v>24</v>
      </c>
      <c r="C21" s="181" t="s">
        <v>17</v>
      </c>
      <c r="D21" s="182"/>
      <c r="E21" s="183" t="s">
        <v>20</v>
      </c>
      <c r="F21" s="73" t="s">
        <v>454</v>
      </c>
      <c r="G21" s="230" t="s">
        <v>114</v>
      </c>
      <c r="H21" s="181">
        <v>14</v>
      </c>
      <c r="I21" s="231"/>
      <c r="J21" s="190"/>
      <c r="K21" s="77"/>
      <c r="L21" s="77"/>
      <c r="M21" s="78">
        <f t="shared" si="1"/>
        <v>0</v>
      </c>
      <c r="N21" s="100">
        <v>16</v>
      </c>
      <c r="O21" s="224">
        <v>35336.5</v>
      </c>
      <c r="P21" s="224">
        <v>35336.5</v>
      </c>
      <c r="Q21" s="232">
        <f t="shared" si="2"/>
        <v>0</v>
      </c>
    </row>
    <row r="22" spans="1:17" s="13" customFormat="1" x14ac:dyDescent="0.25">
      <c r="A22" s="229"/>
      <c r="B22" s="62" t="s">
        <v>25</v>
      </c>
      <c r="C22" s="181" t="s">
        <v>17</v>
      </c>
      <c r="D22" s="182"/>
      <c r="E22" s="183" t="s">
        <v>20</v>
      </c>
      <c r="F22" s="73" t="s">
        <v>328</v>
      </c>
      <c r="G22" s="74" t="s">
        <v>112</v>
      </c>
      <c r="H22" s="75">
        <v>14</v>
      </c>
      <c r="I22" s="76">
        <v>10</v>
      </c>
      <c r="J22" s="96">
        <f>1+1+1+1+1+1+1+2+1</f>
        <v>10</v>
      </c>
      <c r="K22" s="173">
        <f>403.41+1605.6+3697.9+1204.2+1092.81+3022.24+4486.05</f>
        <v>15512.21</v>
      </c>
      <c r="L22" s="173">
        <f>403.41+1605.6+3697.9+1204.2+1092.81+3022.24+4486.05</f>
        <v>15512.21</v>
      </c>
      <c r="M22" s="78">
        <f t="shared" si="1"/>
        <v>0</v>
      </c>
      <c r="N22" s="100">
        <f>6+1+2+2+1</f>
        <v>12</v>
      </c>
      <c r="O22" s="81">
        <f>14526.7+5595.3+2440.62+2839.24</f>
        <v>25401.86</v>
      </c>
      <c r="P22" s="81">
        <f>14526.7+5595.3+2440.62+2839.24</f>
        <v>25401.86</v>
      </c>
      <c r="Q22" s="232">
        <f t="shared" si="2"/>
        <v>0</v>
      </c>
    </row>
    <row r="23" spans="1:17" s="13" customFormat="1" x14ac:dyDescent="0.25">
      <c r="A23" s="229"/>
      <c r="B23" s="62" t="s">
        <v>25</v>
      </c>
      <c r="C23" s="181" t="s">
        <v>17</v>
      </c>
      <c r="D23" s="182"/>
      <c r="E23" s="183" t="s">
        <v>20</v>
      </c>
      <c r="F23" s="73" t="s">
        <v>455</v>
      </c>
      <c r="G23" s="230" t="s">
        <v>114</v>
      </c>
      <c r="H23" s="181">
        <v>6</v>
      </c>
      <c r="I23" s="231"/>
      <c r="J23" s="190">
        <f>1</f>
        <v>1</v>
      </c>
      <c r="K23" s="77"/>
      <c r="L23" s="77"/>
      <c r="M23" s="78">
        <f t="shared" si="1"/>
        <v>0</v>
      </c>
      <c r="N23" s="100">
        <v>3</v>
      </c>
      <c r="O23" s="224">
        <v>7219.8</v>
      </c>
      <c r="P23" s="224">
        <v>7219.8</v>
      </c>
      <c r="Q23" s="232">
        <f t="shared" si="2"/>
        <v>0</v>
      </c>
    </row>
    <row r="24" spans="1:17" s="13" customFormat="1" x14ac:dyDescent="0.25">
      <c r="A24" s="229"/>
      <c r="B24" s="62" t="s">
        <v>26</v>
      </c>
      <c r="C24" s="181" t="s">
        <v>17</v>
      </c>
      <c r="D24" s="182"/>
      <c r="E24" s="183" t="s">
        <v>27</v>
      </c>
      <c r="F24" s="73" t="s">
        <v>329</v>
      </c>
      <c r="G24" s="74" t="s">
        <v>112</v>
      </c>
      <c r="H24" s="75">
        <v>17</v>
      </c>
      <c r="I24" s="76">
        <v>15</v>
      </c>
      <c r="J24" s="96">
        <f>2+2+4+1+4+1+1+3</f>
        <v>18</v>
      </c>
      <c r="K24" s="77">
        <f>845.24+1056.55+5121.1+26225.35+422.62+16490.35+1457.08+1479.16+11270.02</f>
        <v>64367.47</v>
      </c>
      <c r="L24" s="77">
        <f>845.24+1056.55+5121.1+26225.35+422.62+16490.35+1457.08+1479.16+11270.02</f>
        <v>64367.47</v>
      </c>
      <c r="M24" s="78">
        <f t="shared" si="1"/>
        <v>0</v>
      </c>
      <c r="N24" s="100">
        <f>6+1+1+2+1+1</f>
        <v>12</v>
      </c>
      <c r="O24" s="81">
        <f>17838.53+2535.75+7238.9</f>
        <v>27613.18</v>
      </c>
      <c r="P24" s="81">
        <f>17838.53+2535.75+7238.9</f>
        <v>27613.18</v>
      </c>
      <c r="Q24" s="232">
        <f t="shared" si="2"/>
        <v>0</v>
      </c>
    </row>
    <row r="25" spans="1:17" s="15" customFormat="1" x14ac:dyDescent="0.25">
      <c r="A25" s="229"/>
      <c r="B25" s="62" t="s">
        <v>28</v>
      </c>
      <c r="C25" s="181" t="s">
        <v>17</v>
      </c>
      <c r="D25" s="182"/>
      <c r="E25" s="194" t="s">
        <v>29</v>
      </c>
      <c r="F25" s="73" t="s">
        <v>330</v>
      </c>
      <c r="G25" s="74" t="s">
        <v>112</v>
      </c>
      <c r="H25" s="75">
        <v>10</v>
      </c>
      <c r="I25" s="76">
        <v>10</v>
      </c>
      <c r="J25" s="96">
        <f>2+1+2+1+1+1+2</f>
        <v>10</v>
      </c>
      <c r="K25" s="77">
        <f>6135.14+2440.63+9722.07+968.96+2258.48+3607.78</f>
        <v>25133.059999999998</v>
      </c>
      <c r="L25" s="77">
        <f>6135.14+2440.63+9722.07+968.96+2258.48+3607.78</f>
        <v>25133.059999999998</v>
      </c>
      <c r="M25" s="78">
        <f t="shared" si="1"/>
        <v>0</v>
      </c>
      <c r="N25" s="100">
        <f>3+2+4+3+1+1</f>
        <v>14</v>
      </c>
      <c r="O25" s="81">
        <f>5310.83+4630.52+14679.01+36087.29+8956.5+10112.26+3030.29</f>
        <v>82806.699999999983</v>
      </c>
      <c r="P25" s="81">
        <f>5310.83+4630.52+14679.01+36087.29+8956.5+10112.26+3030.29</f>
        <v>82806.699999999983</v>
      </c>
      <c r="Q25" s="232">
        <f t="shared" si="2"/>
        <v>0</v>
      </c>
    </row>
    <row r="26" spans="1:17" s="15" customFormat="1" x14ac:dyDescent="0.25">
      <c r="A26" s="229"/>
      <c r="B26" s="62" t="s">
        <v>28</v>
      </c>
      <c r="C26" s="181" t="s">
        <v>17</v>
      </c>
      <c r="D26" s="182"/>
      <c r="E26" s="194" t="s">
        <v>29</v>
      </c>
      <c r="F26" s="73" t="s">
        <v>420</v>
      </c>
      <c r="G26" s="235" t="s">
        <v>117</v>
      </c>
      <c r="H26" s="181">
        <v>2</v>
      </c>
      <c r="I26" s="231"/>
      <c r="J26" s="96"/>
      <c r="K26" s="77"/>
      <c r="L26" s="77"/>
      <c r="M26" s="78">
        <f t="shared" si="1"/>
        <v>0</v>
      </c>
      <c r="N26" s="100">
        <v>2</v>
      </c>
      <c r="O26" s="224">
        <v>2766.24</v>
      </c>
      <c r="P26" s="224">
        <v>2766.24</v>
      </c>
      <c r="Q26" s="79">
        <f t="shared" si="2"/>
        <v>0</v>
      </c>
    </row>
    <row r="27" spans="1:17" s="15" customFormat="1" x14ac:dyDescent="0.25">
      <c r="A27" s="229"/>
      <c r="B27" s="233" t="s">
        <v>500</v>
      </c>
      <c r="C27" s="181" t="s">
        <v>17</v>
      </c>
      <c r="D27" s="182"/>
      <c r="E27" s="194"/>
      <c r="F27" s="73" t="s">
        <v>503</v>
      </c>
      <c r="G27" s="235" t="s">
        <v>112</v>
      </c>
      <c r="H27" s="181">
        <v>26</v>
      </c>
      <c r="I27" s="231">
        <v>16</v>
      </c>
      <c r="J27" s="96">
        <f>2+2+2+1+3+5+2+1+5</f>
        <v>23</v>
      </c>
      <c r="K27" s="77">
        <f>1202.51+3555.1+602.1+708.47+7232.25+1003.5+1938.63</f>
        <v>16242.560000000001</v>
      </c>
      <c r="L27" s="77">
        <f>1202.51+3555.1+602.1+708.47+7232.25+1003.5+1938.63</f>
        <v>16242.560000000001</v>
      </c>
      <c r="M27" s="78">
        <f t="shared" si="1"/>
        <v>0</v>
      </c>
      <c r="N27" s="100">
        <f>1</f>
        <v>1</v>
      </c>
      <c r="O27" s="224"/>
      <c r="P27" s="224"/>
      <c r="Q27" s="79">
        <f t="shared" si="2"/>
        <v>0</v>
      </c>
    </row>
    <row r="28" spans="1:17" s="13" customFormat="1" x14ac:dyDescent="0.25">
      <c r="A28" s="229"/>
      <c r="B28" s="27" t="s">
        <v>30</v>
      </c>
      <c r="C28" s="181" t="s">
        <v>17</v>
      </c>
      <c r="D28" s="182"/>
      <c r="E28" s="194" t="s">
        <v>21</v>
      </c>
      <c r="F28" s="73" t="s">
        <v>333</v>
      </c>
      <c r="G28" s="74" t="s">
        <v>112</v>
      </c>
      <c r="H28" s="75">
        <v>20</v>
      </c>
      <c r="I28" s="76">
        <v>14</v>
      </c>
      <c r="J28" s="96">
        <f>3+1+3+1+4+1+1+2+1+3</f>
        <v>20</v>
      </c>
      <c r="K28" s="77">
        <f>16637.24+1045.98+2789.73+1629.68+3146.97</f>
        <v>25249.600000000002</v>
      </c>
      <c r="L28" s="77">
        <f>16637.24+1045.98+2789.73+1629.68+3146.97</f>
        <v>25249.600000000002</v>
      </c>
      <c r="M28" s="78">
        <f t="shared" si="1"/>
        <v>0</v>
      </c>
      <c r="N28" s="100">
        <f>9+1+3+1+1+1+2+1+1+2+1+1</f>
        <v>24</v>
      </c>
      <c r="O28" s="81">
        <f>77047.8+15703.07+7288.94+1341.33+1730.62</f>
        <v>103111.76</v>
      </c>
      <c r="P28" s="81">
        <f>77047.8+15703.07+7288.94+1341.33+1730.62</f>
        <v>103111.76</v>
      </c>
      <c r="Q28" s="79">
        <f>O28-P28</f>
        <v>0</v>
      </c>
    </row>
    <row r="29" spans="1:17" s="13" customFormat="1" x14ac:dyDescent="0.25">
      <c r="A29" s="229"/>
      <c r="B29" s="27" t="s">
        <v>491</v>
      </c>
      <c r="C29" s="181" t="s">
        <v>17</v>
      </c>
      <c r="D29" s="182"/>
      <c r="E29" s="183" t="s">
        <v>20</v>
      </c>
      <c r="F29" s="73" t="s">
        <v>495</v>
      </c>
      <c r="G29" s="74" t="s">
        <v>112</v>
      </c>
      <c r="H29" s="75">
        <v>14</v>
      </c>
      <c r="I29" s="76">
        <v>9</v>
      </c>
      <c r="J29" s="96">
        <f>2+2+1+1+1+1+1</f>
        <v>9</v>
      </c>
      <c r="K29" s="77">
        <f>1727.9+2093.89+728.54+3535.53</f>
        <v>8085.8600000000006</v>
      </c>
      <c r="L29" s="77">
        <f>1727.9+2093.89+728.54+3535.53</f>
        <v>8085.8600000000006</v>
      </c>
      <c r="M29" s="78">
        <f t="shared" si="1"/>
        <v>0</v>
      </c>
      <c r="N29" s="100"/>
      <c r="O29" s="81"/>
      <c r="P29" s="81"/>
      <c r="Q29" s="79">
        <f t="shared" si="2"/>
        <v>0</v>
      </c>
    </row>
    <row r="30" spans="1:17" s="13" customFormat="1" x14ac:dyDescent="0.25">
      <c r="A30" s="229"/>
      <c r="B30" s="27" t="s">
        <v>491</v>
      </c>
      <c r="C30" s="181" t="s">
        <v>17</v>
      </c>
      <c r="D30" s="182"/>
      <c r="E30" s="183" t="s">
        <v>20</v>
      </c>
      <c r="F30" s="73" t="s">
        <v>504</v>
      </c>
      <c r="G30" s="74" t="s">
        <v>114</v>
      </c>
      <c r="H30" s="75">
        <v>7</v>
      </c>
      <c r="I30" s="76">
        <v>1</v>
      </c>
      <c r="J30" s="96">
        <v>1</v>
      </c>
      <c r="K30" s="77">
        <v>1267.8599999999999</v>
      </c>
      <c r="L30" s="77">
        <v>1267.8599999999999</v>
      </c>
      <c r="M30" s="78">
        <f t="shared" si="1"/>
        <v>0</v>
      </c>
      <c r="N30" s="100"/>
      <c r="O30" s="81"/>
      <c r="P30" s="81"/>
      <c r="Q30" s="232">
        <f t="shared" si="2"/>
        <v>0</v>
      </c>
    </row>
    <row r="31" spans="1:17" s="13" customFormat="1" x14ac:dyDescent="0.25">
      <c r="A31" s="229"/>
      <c r="B31" s="27" t="s">
        <v>491</v>
      </c>
      <c r="C31" s="181" t="s">
        <v>17</v>
      </c>
      <c r="D31" s="182"/>
      <c r="E31" s="183"/>
      <c r="F31" s="73" t="s">
        <v>510</v>
      </c>
      <c r="G31" s="235" t="s">
        <v>117</v>
      </c>
      <c r="H31" s="75">
        <v>1</v>
      </c>
      <c r="I31" s="76"/>
      <c r="J31" s="96"/>
      <c r="K31" s="77"/>
      <c r="L31" s="77"/>
      <c r="M31" s="78">
        <f t="shared" si="1"/>
        <v>0</v>
      </c>
      <c r="N31" s="100"/>
      <c r="O31" s="81"/>
      <c r="P31" s="81"/>
      <c r="Q31" s="232">
        <f t="shared" si="2"/>
        <v>0</v>
      </c>
    </row>
    <row r="32" spans="1:17" s="13" customFormat="1" x14ac:dyDescent="0.25">
      <c r="A32" s="229"/>
      <c r="B32" s="30" t="s">
        <v>31</v>
      </c>
      <c r="C32" s="181" t="s">
        <v>17</v>
      </c>
      <c r="D32" s="182"/>
      <c r="E32" s="183" t="s">
        <v>32</v>
      </c>
      <c r="F32" s="73" t="s">
        <v>331</v>
      </c>
      <c r="G32" s="74" t="s">
        <v>112</v>
      </c>
      <c r="H32" s="75">
        <v>16</v>
      </c>
      <c r="I32" s="76">
        <v>14</v>
      </c>
      <c r="J32" s="96">
        <f>1+2+3+1+4+3+3+3</f>
        <v>20</v>
      </c>
      <c r="K32" s="77">
        <f>633.93+1045.98+5377.62+950.9+6004.09+4598.82+8410.14+1846.04</f>
        <v>28867.52</v>
      </c>
      <c r="L32" s="77">
        <f>633.93+1045.98+5377.62+950.9+6004.09+4598.82+8410.14+1846.04</f>
        <v>28867.52</v>
      </c>
      <c r="M32" s="78">
        <f t="shared" si="1"/>
        <v>0</v>
      </c>
      <c r="N32" s="100">
        <f>1+3+3+1+1+2+1</f>
        <v>12</v>
      </c>
      <c r="O32" s="81">
        <f>2299.8+15239.58+6152.75+2720.49+1483.38+7043.49+11175.04</f>
        <v>46114.530000000006</v>
      </c>
      <c r="P32" s="81">
        <f>2299.8+15239.58+6152.75+2720.49+1483.38+7043.49+11175.04</f>
        <v>46114.530000000006</v>
      </c>
      <c r="Q32" s="232">
        <f t="shared" si="2"/>
        <v>0</v>
      </c>
    </row>
    <row r="33" spans="1:17" s="13" customFormat="1" x14ac:dyDescent="0.25">
      <c r="A33" s="229"/>
      <c r="B33" s="30" t="s">
        <v>31</v>
      </c>
      <c r="C33" s="181" t="s">
        <v>17</v>
      </c>
      <c r="D33" s="182"/>
      <c r="E33" s="183" t="s">
        <v>32</v>
      </c>
      <c r="F33" s="73" t="s">
        <v>422</v>
      </c>
      <c r="G33" s="235" t="s">
        <v>117</v>
      </c>
      <c r="H33" s="181">
        <v>15</v>
      </c>
      <c r="I33" s="231">
        <v>3</v>
      </c>
      <c r="J33" s="96">
        <v>3</v>
      </c>
      <c r="K33" s="77">
        <v>7586.5</v>
      </c>
      <c r="L33" s="77">
        <v>7586.5</v>
      </c>
      <c r="M33" s="78">
        <f t="shared" si="1"/>
        <v>0</v>
      </c>
      <c r="N33" s="100">
        <v>10</v>
      </c>
      <c r="O33" s="77">
        <v>21507.42</v>
      </c>
      <c r="P33" s="77">
        <v>21507.42</v>
      </c>
      <c r="Q33" s="232">
        <f t="shared" si="2"/>
        <v>0</v>
      </c>
    </row>
    <row r="34" spans="1:17" s="15" customFormat="1" x14ac:dyDescent="0.25">
      <c r="A34" s="229"/>
      <c r="B34" s="62" t="s">
        <v>33</v>
      </c>
      <c r="C34" s="181" t="s">
        <v>17</v>
      </c>
      <c r="D34" s="182"/>
      <c r="E34" s="183" t="s">
        <v>20</v>
      </c>
      <c r="F34" s="73" t="s">
        <v>332</v>
      </c>
      <c r="G34" s="74" t="s">
        <v>112</v>
      </c>
      <c r="H34" s="75">
        <v>11</v>
      </c>
      <c r="I34" s="76">
        <v>7</v>
      </c>
      <c r="J34" s="96">
        <f>1+1+1+1+1+2+1</f>
        <v>8</v>
      </c>
      <c r="K34" s="77">
        <f>845.245+5363.43+5912.72+845.24+12887.16+2852.15+6514.08</f>
        <v>35220.025000000001</v>
      </c>
      <c r="L34" s="77">
        <f>845.245+5363.43+5912.72+845.24+12887.16+2852.15+6514.08</f>
        <v>35220.025000000001</v>
      </c>
      <c r="M34" s="78">
        <f t="shared" si="1"/>
        <v>0</v>
      </c>
      <c r="N34" s="100">
        <f>2+1+1+1+1+2+1+1+1</f>
        <v>11</v>
      </c>
      <c r="O34" s="81">
        <f>845.24+1613.64+3380.96+3639.33+1152.6</f>
        <v>10631.77</v>
      </c>
      <c r="P34" s="81">
        <f>845.24+1613.64+3380.96+3639.33+1152.6</f>
        <v>10631.77</v>
      </c>
      <c r="Q34" s="79">
        <f t="shared" si="2"/>
        <v>0</v>
      </c>
    </row>
    <row r="35" spans="1:17" s="15" customFormat="1" x14ac:dyDescent="0.25">
      <c r="A35" s="229"/>
      <c r="B35" s="62" t="s">
        <v>33</v>
      </c>
      <c r="C35" s="181" t="s">
        <v>17</v>
      </c>
      <c r="D35" s="182"/>
      <c r="E35" s="183" t="s">
        <v>20</v>
      </c>
      <c r="F35" s="73" t="s">
        <v>481</v>
      </c>
      <c r="G35" s="230" t="s">
        <v>114</v>
      </c>
      <c r="H35" s="181">
        <v>7</v>
      </c>
      <c r="I35" s="231"/>
      <c r="J35" s="190"/>
      <c r="K35" s="77">
        <v>602.1</v>
      </c>
      <c r="L35" s="77">
        <v>602.1</v>
      </c>
      <c r="M35" s="78">
        <f t="shared" si="1"/>
        <v>0</v>
      </c>
      <c r="N35" s="100">
        <v>15</v>
      </c>
      <c r="O35" s="224">
        <v>43782.74</v>
      </c>
      <c r="P35" s="224">
        <v>43782.74</v>
      </c>
      <c r="Q35" s="232">
        <f t="shared" si="2"/>
        <v>0</v>
      </c>
    </row>
    <row r="36" spans="1:17" s="15" customFormat="1" x14ac:dyDescent="0.25">
      <c r="A36" s="229"/>
      <c r="B36" s="62" t="s">
        <v>147</v>
      </c>
      <c r="C36" s="181" t="s">
        <v>17</v>
      </c>
      <c r="D36" s="182"/>
      <c r="E36" s="183" t="s">
        <v>29</v>
      </c>
      <c r="F36" s="73" t="s">
        <v>334</v>
      </c>
      <c r="G36" s="74" t="s">
        <v>112</v>
      </c>
      <c r="H36" s="75">
        <v>9</v>
      </c>
      <c r="I36" s="234">
        <v>6</v>
      </c>
      <c r="J36" s="96">
        <f>1+1+2+1+3</f>
        <v>8</v>
      </c>
      <c r="K36" s="77">
        <f>1854.88+2824.48+3058.67</f>
        <v>7738.0300000000007</v>
      </c>
      <c r="L36" s="77">
        <f>1854.88+2824.48+3058.67</f>
        <v>7738.0300000000007</v>
      </c>
      <c r="M36" s="78">
        <f t="shared" si="1"/>
        <v>0</v>
      </c>
      <c r="N36" s="114">
        <f>1+1+1</f>
        <v>3</v>
      </c>
      <c r="O36" s="81">
        <f>1394.65+2473.17+1961.49</f>
        <v>5829.31</v>
      </c>
      <c r="P36" s="81">
        <f>1394.65+2473.17+1961.49</f>
        <v>5829.31</v>
      </c>
      <c r="Q36" s="79">
        <f t="shared" si="2"/>
        <v>0</v>
      </c>
    </row>
    <row r="37" spans="1:17" s="15" customFormat="1" x14ac:dyDescent="0.25">
      <c r="A37" s="229"/>
      <c r="B37" s="233" t="s">
        <v>147</v>
      </c>
      <c r="C37" s="181" t="s">
        <v>17</v>
      </c>
      <c r="D37" s="182"/>
      <c r="E37" s="183" t="s">
        <v>29</v>
      </c>
      <c r="F37" s="73" t="s">
        <v>423</v>
      </c>
      <c r="G37" s="230" t="s">
        <v>117</v>
      </c>
      <c r="H37" s="181">
        <v>10</v>
      </c>
      <c r="I37" s="231">
        <v>4</v>
      </c>
      <c r="J37" s="96">
        <v>4</v>
      </c>
      <c r="K37" s="77">
        <v>6847.1</v>
      </c>
      <c r="L37" s="77">
        <v>6847.1</v>
      </c>
      <c r="M37" s="78">
        <f t="shared" si="1"/>
        <v>0</v>
      </c>
      <c r="N37" s="100">
        <v>4</v>
      </c>
      <c r="O37" s="224">
        <v>4706.45</v>
      </c>
      <c r="P37" s="224">
        <v>4706.45</v>
      </c>
      <c r="Q37" s="232">
        <f t="shared" si="2"/>
        <v>0</v>
      </c>
    </row>
    <row r="38" spans="1:17" s="13" customFormat="1" x14ac:dyDescent="0.25">
      <c r="A38" s="229"/>
      <c r="B38" s="62" t="s">
        <v>34</v>
      </c>
      <c r="C38" s="181" t="s">
        <v>17</v>
      </c>
      <c r="D38" s="182"/>
      <c r="E38" s="194" t="s">
        <v>35</v>
      </c>
      <c r="F38" s="73" t="s">
        <v>335</v>
      </c>
      <c r="G38" s="74" t="s">
        <v>112</v>
      </c>
      <c r="H38" s="75">
        <v>32</v>
      </c>
      <c r="I38" s="76">
        <v>20</v>
      </c>
      <c r="J38" s="96">
        <f>4+2+2+7+4+1+1+2</f>
        <v>23</v>
      </c>
      <c r="K38" s="77">
        <f>8288.4+1267.86+845.24+13964.6+11418.26+21175.62+1092.81+2207.7</f>
        <v>60260.489999999991</v>
      </c>
      <c r="L38" s="77">
        <f>8288.4+1267.86+845.24+13964.6+11418.26+21175.62+1092.81+2207.7</f>
        <v>60260.489999999991</v>
      </c>
      <c r="M38" s="78">
        <f t="shared" si="1"/>
        <v>0</v>
      </c>
      <c r="N38" s="100">
        <f>4+4+6+1+3+1+3+1+2+1+1</f>
        <v>27</v>
      </c>
      <c r="O38" s="81">
        <f>23915.04+21171.88+6399.1+11460.81+1501.24+2795.71</f>
        <v>67243.78</v>
      </c>
      <c r="P38" s="81">
        <f>23915.04+21171.88+6399.1+11460.81+1501.24+2795.71</f>
        <v>67243.78</v>
      </c>
      <c r="Q38" s="79">
        <f t="shared" si="2"/>
        <v>0</v>
      </c>
    </row>
    <row r="39" spans="1:17" s="13" customFormat="1" x14ac:dyDescent="0.25">
      <c r="A39" s="229"/>
      <c r="B39" s="62" t="s">
        <v>34</v>
      </c>
      <c r="C39" s="181" t="s">
        <v>17</v>
      </c>
      <c r="D39" s="182"/>
      <c r="E39" s="194" t="s">
        <v>35</v>
      </c>
      <c r="F39" s="73" t="s">
        <v>424</v>
      </c>
      <c r="G39" s="235" t="s">
        <v>117</v>
      </c>
      <c r="H39" s="181">
        <v>2</v>
      </c>
      <c r="I39" s="231">
        <v>1</v>
      </c>
      <c r="J39" s="96">
        <v>2</v>
      </c>
      <c r="K39" s="77">
        <v>3842</v>
      </c>
      <c r="L39" s="77">
        <v>3842</v>
      </c>
      <c r="M39" s="78">
        <f t="shared" si="1"/>
        <v>0</v>
      </c>
      <c r="N39" s="100">
        <v>3</v>
      </c>
      <c r="O39" s="224">
        <v>9220.7999999999993</v>
      </c>
      <c r="P39" s="224">
        <v>9220.7999999999993</v>
      </c>
      <c r="Q39" s="232">
        <f t="shared" si="2"/>
        <v>0</v>
      </c>
    </row>
    <row r="40" spans="1:17" s="13" customFormat="1" x14ac:dyDescent="0.25">
      <c r="A40" s="229"/>
      <c r="B40" s="27" t="s">
        <v>36</v>
      </c>
      <c r="C40" s="181" t="s">
        <v>17</v>
      </c>
      <c r="D40" s="182"/>
      <c r="E40" s="194" t="s">
        <v>32</v>
      </c>
      <c r="F40" s="73" t="s">
        <v>336</v>
      </c>
      <c r="G40" s="74" t="s">
        <v>112</v>
      </c>
      <c r="H40" s="75">
        <v>28</v>
      </c>
      <c r="I40" s="76">
        <v>21</v>
      </c>
      <c r="J40" s="96">
        <f>1+3+4+2+2+7+6+2</f>
        <v>27</v>
      </c>
      <c r="K40" s="77">
        <f>2091.97+4201.22+3643.94+998.92+6188.59+7556.35</f>
        <v>24680.989999999998</v>
      </c>
      <c r="L40" s="77">
        <f>2091.97+4201.22+3643.94+998.92+6188.59+7556.35</f>
        <v>24680.989999999998</v>
      </c>
      <c r="M40" s="78">
        <f t="shared" si="1"/>
        <v>0</v>
      </c>
      <c r="N40" s="100">
        <f>4+2+5+1+1+4+1+1</f>
        <v>19</v>
      </c>
      <c r="O40" s="81">
        <f>26828.22+3116.2+14162+4691+13237.22+22342.31+1888.86</f>
        <v>86265.81</v>
      </c>
      <c r="P40" s="81">
        <f>26828.22+3116.2+14162+4691+13237.22+22342.31+1888.86</f>
        <v>86265.81</v>
      </c>
      <c r="Q40" s="79">
        <f t="shared" si="2"/>
        <v>0</v>
      </c>
    </row>
    <row r="41" spans="1:17" s="13" customFormat="1" x14ac:dyDescent="0.25">
      <c r="A41" s="229"/>
      <c r="B41" s="27" t="s">
        <v>38</v>
      </c>
      <c r="C41" s="181" t="s">
        <v>17</v>
      </c>
      <c r="D41" s="182"/>
      <c r="E41" s="183" t="s">
        <v>20</v>
      </c>
      <c r="F41" s="73" t="s">
        <v>338</v>
      </c>
      <c r="G41" s="74" t="s">
        <v>112</v>
      </c>
      <c r="H41" s="75">
        <v>45</v>
      </c>
      <c r="I41" s="76">
        <v>36</v>
      </c>
      <c r="J41" s="96">
        <f>5+9+3+4+4+2+3+3+11+3+4</f>
        <v>51</v>
      </c>
      <c r="K41" s="77">
        <f>4427.07+14262.52+23391.74+11108.38+9141.17+3923.07+23674.29+5445.61</f>
        <v>95373.849999999991</v>
      </c>
      <c r="L41" s="77">
        <f>4427.07+14262.52+23391.74+11108.38+9141.17+3923.07+23674.29+5445.61</f>
        <v>95373.849999999991</v>
      </c>
      <c r="M41" s="78">
        <f t="shared" si="1"/>
        <v>0</v>
      </c>
      <c r="N41" s="100">
        <f>1+14+2+2+2+3+1+1</f>
        <v>26</v>
      </c>
      <c r="O41" s="81">
        <f>34449.99+27363.78+23604.86+16739.26+15240.34+16003.48+4203.85</f>
        <v>137605.56</v>
      </c>
      <c r="P41" s="81">
        <f>34449.99+27363.78+23604.86+16739.26+15240.34+16003.48+4203.85</f>
        <v>137605.56</v>
      </c>
      <c r="Q41" s="79">
        <f t="shared" si="2"/>
        <v>0</v>
      </c>
    </row>
    <row r="42" spans="1:17" s="13" customFormat="1" x14ac:dyDescent="0.25">
      <c r="A42" s="229"/>
      <c r="B42" s="27" t="s">
        <v>38</v>
      </c>
      <c r="C42" s="181" t="s">
        <v>17</v>
      </c>
      <c r="D42" s="182"/>
      <c r="E42" s="183" t="s">
        <v>20</v>
      </c>
      <c r="F42" s="73" t="s">
        <v>268</v>
      </c>
      <c r="G42" s="230" t="s">
        <v>114</v>
      </c>
      <c r="H42" s="181"/>
      <c r="I42" s="231"/>
      <c r="J42" s="190"/>
      <c r="K42" s="77"/>
      <c r="L42" s="77"/>
      <c r="M42" s="78">
        <f t="shared" si="1"/>
        <v>0</v>
      </c>
      <c r="N42" s="100"/>
      <c r="O42" s="224"/>
      <c r="P42" s="224"/>
      <c r="Q42" s="232">
        <f t="shared" si="2"/>
        <v>0</v>
      </c>
    </row>
    <row r="43" spans="1:17" s="13" customFormat="1" x14ac:dyDescent="0.25">
      <c r="A43" s="229"/>
      <c r="B43" s="27" t="s">
        <v>38</v>
      </c>
      <c r="C43" s="181" t="s">
        <v>17</v>
      </c>
      <c r="D43" s="182"/>
      <c r="E43" s="183" t="s">
        <v>18</v>
      </c>
      <c r="F43" s="73" t="s">
        <v>324</v>
      </c>
      <c r="G43" s="230" t="s">
        <v>116</v>
      </c>
      <c r="H43" s="181">
        <v>3</v>
      </c>
      <c r="I43" s="231">
        <v>3</v>
      </c>
      <c r="J43" s="190">
        <v>3</v>
      </c>
      <c r="K43" s="77">
        <v>4098</v>
      </c>
      <c r="L43" s="77">
        <v>4098</v>
      </c>
      <c r="M43" s="78">
        <f t="shared" si="1"/>
        <v>0</v>
      </c>
      <c r="N43" s="100"/>
      <c r="O43" s="224"/>
      <c r="P43" s="224"/>
      <c r="Q43" s="232">
        <f t="shared" si="2"/>
        <v>0</v>
      </c>
    </row>
    <row r="44" spans="1:17" s="13" customFormat="1" x14ac:dyDescent="0.25">
      <c r="A44" s="229"/>
      <c r="B44" s="62" t="s">
        <v>39</v>
      </c>
      <c r="C44" s="181" t="s">
        <v>17</v>
      </c>
      <c r="D44" s="182"/>
      <c r="E44" s="183" t="s">
        <v>20</v>
      </c>
      <c r="F44" s="73" t="s">
        <v>269</v>
      </c>
      <c r="G44" s="230" t="s">
        <v>114</v>
      </c>
      <c r="H44" s="181"/>
      <c r="I44" s="231"/>
      <c r="J44" s="190"/>
      <c r="K44" s="77"/>
      <c r="L44" s="77"/>
      <c r="M44" s="78">
        <f t="shared" si="1"/>
        <v>0</v>
      </c>
      <c r="N44" s="100"/>
      <c r="O44" s="224"/>
      <c r="P44" s="224"/>
      <c r="Q44" s="232">
        <f t="shared" si="2"/>
        <v>0</v>
      </c>
    </row>
    <row r="45" spans="1:17" s="13" customFormat="1" x14ac:dyDescent="0.25">
      <c r="A45" s="229"/>
      <c r="B45" s="27" t="s">
        <v>40</v>
      </c>
      <c r="C45" s="181" t="s">
        <v>17</v>
      </c>
      <c r="D45" s="182"/>
      <c r="E45" s="194" t="s">
        <v>41</v>
      </c>
      <c r="F45" s="73" t="s">
        <v>339</v>
      </c>
      <c r="G45" s="74" t="s">
        <v>112</v>
      </c>
      <c r="H45" s="75">
        <v>27</v>
      </c>
      <c r="I45" s="76">
        <v>21</v>
      </c>
      <c r="J45" s="96">
        <f>1+1+3+9+4+4+3+2+1+1+2+3</f>
        <v>34</v>
      </c>
      <c r="K45" s="77">
        <f>1045.98+12271.86+15658.52+8166.35+6035.99+8024.36+2759.63+3460.61+3962.12+3444.02</f>
        <v>64829.439999999995</v>
      </c>
      <c r="L45" s="77">
        <f>1045.98+12271.86+15658.52+8166.35+6035.99+8024.36+2759.63+3460.61+3962.12+3444.02</f>
        <v>64829.439999999995</v>
      </c>
      <c r="M45" s="78">
        <f t="shared" si="1"/>
        <v>0</v>
      </c>
      <c r="N45" s="100">
        <f>3+13+6+5+4+2+1+1</f>
        <v>35</v>
      </c>
      <c r="O45" s="81">
        <f>17269.31+39990.78+16582.12+23492.44+7068.31+4243.84</f>
        <v>108646.79999999999</v>
      </c>
      <c r="P45" s="81">
        <f>17269.31+39990.78+16582.12+23492.44+7068.31+4243.84</f>
        <v>108646.79999999999</v>
      </c>
      <c r="Q45" s="79">
        <f t="shared" si="2"/>
        <v>0</v>
      </c>
    </row>
    <row r="46" spans="1:17" s="13" customFormat="1" x14ac:dyDescent="0.25">
      <c r="A46" s="229"/>
      <c r="B46" s="27" t="s">
        <v>40</v>
      </c>
      <c r="C46" s="181" t="s">
        <v>17</v>
      </c>
      <c r="D46" s="182"/>
      <c r="E46" s="194" t="s">
        <v>41</v>
      </c>
      <c r="F46" s="73" t="s">
        <v>482</v>
      </c>
      <c r="G46" s="230" t="s">
        <v>114</v>
      </c>
      <c r="H46" s="181"/>
      <c r="I46" s="231"/>
      <c r="J46" s="190"/>
      <c r="K46" s="77"/>
      <c r="L46" s="77"/>
      <c r="M46" s="78">
        <f t="shared" si="1"/>
        <v>0</v>
      </c>
      <c r="N46" s="100">
        <v>1</v>
      </c>
      <c r="O46" s="224">
        <v>3073.6</v>
      </c>
      <c r="P46" s="224">
        <f>3073.6</f>
        <v>3073.6</v>
      </c>
      <c r="Q46" s="232">
        <f t="shared" si="2"/>
        <v>0</v>
      </c>
    </row>
    <row r="47" spans="1:17" s="13" customFormat="1" x14ac:dyDescent="0.25">
      <c r="A47" s="229"/>
      <c r="B47" s="27" t="s">
        <v>148</v>
      </c>
      <c r="C47" s="181" t="s">
        <v>17</v>
      </c>
      <c r="D47" s="182"/>
      <c r="E47" s="183" t="s">
        <v>20</v>
      </c>
      <c r="F47" s="73" t="s">
        <v>340</v>
      </c>
      <c r="G47" s="74" t="s">
        <v>112</v>
      </c>
      <c r="H47" s="75">
        <v>20</v>
      </c>
      <c r="I47" s="82">
        <v>15</v>
      </c>
      <c r="J47" s="96">
        <f>1+2+1+4+4+2+3</f>
        <v>17</v>
      </c>
      <c r="K47" s="77">
        <f>537.88+2110.03+6723.98+8914.21+1204.2+602.1</f>
        <v>20092.399999999998</v>
      </c>
      <c r="L47" s="77">
        <f>537.88+2110.03+6723.98+8914.21+1204.2+602.1</f>
        <v>20092.399999999998</v>
      </c>
      <c r="M47" s="78">
        <f t="shared" si="1"/>
        <v>0</v>
      </c>
      <c r="N47" s="100">
        <f>6+5+3+1+1+1+1</f>
        <v>18</v>
      </c>
      <c r="O47" s="81">
        <f>9370.6+9456.38+8868.69+5367.27+11572.62</f>
        <v>44635.560000000005</v>
      </c>
      <c r="P47" s="81">
        <f>9370.6+9456.38+8868.69+5367.27+11572.62</f>
        <v>44635.560000000005</v>
      </c>
      <c r="Q47" s="79">
        <f t="shared" si="2"/>
        <v>0</v>
      </c>
    </row>
    <row r="48" spans="1:17" s="13" customFormat="1" x14ac:dyDescent="0.25">
      <c r="A48" s="229"/>
      <c r="B48" s="27" t="s">
        <v>148</v>
      </c>
      <c r="C48" s="181" t="s">
        <v>17</v>
      </c>
      <c r="D48" s="182"/>
      <c r="E48" s="194" t="s">
        <v>32</v>
      </c>
      <c r="F48" s="73" t="s">
        <v>425</v>
      </c>
      <c r="G48" s="230" t="s">
        <v>117</v>
      </c>
      <c r="H48" s="181">
        <v>11</v>
      </c>
      <c r="I48" s="231">
        <v>2</v>
      </c>
      <c r="J48" s="96">
        <v>2</v>
      </c>
      <c r="K48" s="77">
        <v>5760.1</v>
      </c>
      <c r="L48" s="77">
        <v>5760.1</v>
      </c>
      <c r="M48" s="78">
        <f t="shared" si="1"/>
        <v>0</v>
      </c>
      <c r="N48" s="100">
        <v>4</v>
      </c>
      <c r="O48" s="224">
        <v>12851.49</v>
      </c>
      <c r="P48" s="224">
        <v>12851.49</v>
      </c>
      <c r="Q48" s="232">
        <f t="shared" si="2"/>
        <v>0</v>
      </c>
    </row>
    <row r="49" spans="1:17" s="13" customFormat="1" x14ac:dyDescent="0.25">
      <c r="A49" s="229"/>
      <c r="B49" s="30" t="s">
        <v>42</v>
      </c>
      <c r="C49" s="181" t="s">
        <v>17</v>
      </c>
      <c r="D49" s="182"/>
      <c r="E49" s="183" t="s">
        <v>23</v>
      </c>
      <c r="F49" s="73" t="s">
        <v>341</v>
      </c>
      <c r="G49" s="74" t="s">
        <v>112</v>
      </c>
      <c r="H49" s="75">
        <v>36</v>
      </c>
      <c r="I49" s="76">
        <v>30</v>
      </c>
      <c r="J49" s="96">
        <f>5+3+5+3+8+3+8+5</f>
        <v>40</v>
      </c>
      <c r="K49" s="77">
        <f>7156.22+3849.11+8154.25+4149.36+15912.38+18649.91</f>
        <v>57871.229999999996</v>
      </c>
      <c r="L49" s="77">
        <f>7156.22+3849.11+8154.25+4149.36+15912.38+18649.91</f>
        <v>57871.229999999996</v>
      </c>
      <c r="M49" s="78">
        <f t="shared" si="1"/>
        <v>0</v>
      </c>
      <c r="N49" s="100">
        <f>4+6+9+2+4+2+2+3+3+2</f>
        <v>37</v>
      </c>
      <c r="O49" s="81">
        <f>5364.2+26170.88+2849.25+18965.6+9565.56+9423.5+18214.56</f>
        <v>90553.549999999988</v>
      </c>
      <c r="P49" s="81">
        <f>5364.2+26170.88+2849.25+18965.6+9565.56+9423.5+18214.56</f>
        <v>90553.549999999988</v>
      </c>
      <c r="Q49" s="79">
        <f t="shared" si="2"/>
        <v>0</v>
      </c>
    </row>
    <row r="50" spans="1:17" s="13" customFormat="1" x14ac:dyDescent="0.25">
      <c r="A50" s="229"/>
      <c r="B50" s="30" t="s">
        <v>42</v>
      </c>
      <c r="C50" s="181" t="s">
        <v>17</v>
      </c>
      <c r="D50" s="182"/>
      <c r="E50" s="183" t="s">
        <v>23</v>
      </c>
      <c r="F50" s="73" t="s">
        <v>437</v>
      </c>
      <c r="G50" s="230" t="s">
        <v>118</v>
      </c>
      <c r="H50" s="181">
        <v>2</v>
      </c>
      <c r="I50" s="231"/>
      <c r="J50" s="96"/>
      <c r="K50" s="77"/>
      <c r="L50" s="77"/>
      <c r="M50" s="78">
        <f t="shared" si="1"/>
        <v>0</v>
      </c>
      <c r="N50" s="100">
        <v>1</v>
      </c>
      <c r="O50" s="224">
        <v>7766.4</v>
      </c>
      <c r="P50" s="224">
        <v>7766.4</v>
      </c>
      <c r="Q50" s="232">
        <f t="shared" si="2"/>
        <v>0</v>
      </c>
    </row>
    <row r="51" spans="1:17" s="13" customFormat="1" x14ac:dyDescent="0.25">
      <c r="A51" s="229"/>
      <c r="B51" s="30" t="s">
        <v>173</v>
      </c>
      <c r="C51" s="181" t="s">
        <v>17</v>
      </c>
      <c r="D51" s="182"/>
      <c r="E51" s="230" t="s">
        <v>118</v>
      </c>
      <c r="F51" s="73" t="s">
        <v>342</v>
      </c>
      <c r="G51" s="74" t="s">
        <v>112</v>
      </c>
      <c r="H51" s="75">
        <v>4</v>
      </c>
      <c r="I51" s="76">
        <v>4</v>
      </c>
      <c r="J51" s="96">
        <f>1+2+1</f>
        <v>4</v>
      </c>
      <c r="K51" s="77">
        <f>6833.76+696.36</f>
        <v>7530.12</v>
      </c>
      <c r="L51" s="77">
        <f>6833.76+696.36</f>
        <v>7530.12</v>
      </c>
      <c r="M51" s="78">
        <f t="shared" si="1"/>
        <v>0</v>
      </c>
      <c r="N51" s="100">
        <f>4+2</f>
        <v>6</v>
      </c>
      <c r="O51" s="81">
        <f>5931.9+4183.92+3158.95</f>
        <v>13274.77</v>
      </c>
      <c r="P51" s="81">
        <f>5931.9+4183.92+3158.95</f>
        <v>13274.77</v>
      </c>
      <c r="Q51" s="79">
        <f t="shared" si="2"/>
        <v>0</v>
      </c>
    </row>
    <row r="52" spans="1:17" s="13" customFormat="1" x14ac:dyDescent="0.25">
      <c r="A52" s="229"/>
      <c r="B52" s="62" t="s">
        <v>143</v>
      </c>
      <c r="C52" s="181" t="s">
        <v>64</v>
      </c>
      <c r="D52" s="182" t="s">
        <v>444</v>
      </c>
      <c r="E52" s="183" t="s">
        <v>20</v>
      </c>
      <c r="F52" s="73" t="s">
        <v>445</v>
      </c>
      <c r="G52" s="230" t="s">
        <v>114</v>
      </c>
      <c r="H52" s="181">
        <v>25</v>
      </c>
      <c r="I52" s="234">
        <v>7</v>
      </c>
      <c r="J52" s="190">
        <v>7</v>
      </c>
      <c r="K52" s="193">
        <v>18650.8</v>
      </c>
      <c r="L52" s="193">
        <v>18650.8</v>
      </c>
      <c r="M52" s="78">
        <f t="shared" si="1"/>
        <v>0</v>
      </c>
      <c r="N52" s="114">
        <v>18</v>
      </c>
      <c r="O52" s="224">
        <v>27390.400000000001</v>
      </c>
      <c r="P52" s="224">
        <v>27390.400000000001</v>
      </c>
      <c r="Q52" s="232">
        <f t="shared" si="2"/>
        <v>0</v>
      </c>
    </row>
    <row r="53" spans="1:17" s="13" customFormat="1" x14ac:dyDescent="0.25">
      <c r="A53" s="229"/>
      <c r="B53" s="30" t="s">
        <v>158</v>
      </c>
      <c r="C53" s="181" t="s">
        <v>17</v>
      </c>
      <c r="D53" s="182"/>
      <c r="E53" s="194" t="s">
        <v>32</v>
      </c>
      <c r="F53" s="73" t="s">
        <v>426</v>
      </c>
      <c r="G53" s="230" t="s">
        <v>117</v>
      </c>
      <c r="H53" s="181">
        <v>12</v>
      </c>
      <c r="I53" s="234">
        <v>5</v>
      </c>
      <c r="J53" s="190">
        <v>6</v>
      </c>
      <c r="K53" s="193">
        <v>10870.84</v>
      </c>
      <c r="L53" s="193">
        <v>10870.84</v>
      </c>
      <c r="M53" s="78">
        <f t="shared" si="1"/>
        <v>0</v>
      </c>
      <c r="N53" s="114">
        <v>5</v>
      </c>
      <c r="O53" s="224">
        <v>16813.7</v>
      </c>
      <c r="P53" s="224">
        <v>16813.7</v>
      </c>
      <c r="Q53" s="232">
        <f t="shared" si="2"/>
        <v>0</v>
      </c>
    </row>
    <row r="54" spans="1:17" s="15" customFormat="1" x14ac:dyDescent="0.25">
      <c r="A54" s="229"/>
      <c r="B54" s="62" t="s">
        <v>43</v>
      </c>
      <c r="C54" s="181" t="s">
        <v>17</v>
      </c>
      <c r="D54" s="182"/>
      <c r="E54" s="183" t="s">
        <v>18</v>
      </c>
      <c r="F54" s="73" t="s">
        <v>344</v>
      </c>
      <c r="G54" s="74" t="s">
        <v>112</v>
      </c>
      <c r="H54" s="75">
        <v>31</v>
      </c>
      <c r="I54" s="76">
        <v>22</v>
      </c>
      <c r="J54" s="96">
        <f>1+2+2+5+2+3+2+3+3+3</f>
        <v>26</v>
      </c>
      <c r="K54" s="77">
        <f>1776.93+926.88+3328.29+3172.19+9832.29+3539.2</f>
        <v>22575.780000000002</v>
      </c>
      <c r="L54" s="77">
        <f>1776.93+926.88+3328.29+3172.19+9832.29+3539.2</f>
        <v>22575.780000000002</v>
      </c>
      <c r="M54" s="78">
        <f t="shared" si="1"/>
        <v>0</v>
      </c>
      <c r="N54" s="100">
        <f>1+5+4+1+1+1+1+1</f>
        <v>15</v>
      </c>
      <c r="O54" s="81">
        <f>1223.8+3810.29+4959.02+10043.87+2769.48+2146.91+11926.24-1465.64</f>
        <v>35413.97</v>
      </c>
      <c r="P54" s="81">
        <f>1223.8+3810.29+4959.02+10043.87+2769.48+2146.91+11926.24-1465.64</f>
        <v>35413.97</v>
      </c>
      <c r="Q54" s="79">
        <f t="shared" si="2"/>
        <v>0</v>
      </c>
    </row>
    <row r="55" spans="1:17" s="15" customFormat="1" ht="30" x14ac:dyDescent="0.25">
      <c r="A55" s="229"/>
      <c r="B55" s="62" t="s">
        <v>43</v>
      </c>
      <c r="C55" s="181" t="s">
        <v>304</v>
      </c>
      <c r="D55" s="182" t="s">
        <v>473</v>
      </c>
      <c r="E55" s="183" t="s">
        <v>18</v>
      </c>
      <c r="F55" s="73" t="s">
        <v>323</v>
      </c>
      <c r="G55" s="271" t="s">
        <v>116</v>
      </c>
      <c r="H55" s="181">
        <v>26</v>
      </c>
      <c r="I55" s="234">
        <v>19</v>
      </c>
      <c r="J55" s="98">
        <v>21</v>
      </c>
      <c r="K55" s="77">
        <v>26931</v>
      </c>
      <c r="L55" s="77">
        <v>26931</v>
      </c>
      <c r="M55" s="78">
        <f t="shared" si="1"/>
        <v>0</v>
      </c>
      <c r="N55" s="114">
        <v>18</v>
      </c>
      <c r="O55" s="224">
        <v>60535</v>
      </c>
      <c r="P55" s="224">
        <v>60535</v>
      </c>
      <c r="Q55" s="232">
        <f t="shared" si="2"/>
        <v>0</v>
      </c>
    </row>
    <row r="56" spans="1:17" s="13" customFormat="1" x14ac:dyDescent="0.25">
      <c r="A56" s="229"/>
      <c r="B56" s="30" t="s">
        <v>44</v>
      </c>
      <c r="C56" s="181" t="s">
        <v>17</v>
      </c>
      <c r="D56" s="182"/>
      <c r="E56" s="183" t="s">
        <v>20</v>
      </c>
      <c r="F56" s="73" t="s">
        <v>345</v>
      </c>
      <c r="G56" s="74" t="s">
        <v>112</v>
      </c>
      <c r="H56" s="75">
        <v>15</v>
      </c>
      <c r="I56" s="76">
        <v>10</v>
      </c>
      <c r="J56" s="96">
        <f>1+1+1+4+2+1+1</f>
        <v>11</v>
      </c>
      <c r="K56" s="77">
        <f>2422.38+1267.86+15410.58+1534.35+708.47</f>
        <v>21343.64</v>
      </c>
      <c r="L56" s="77">
        <f>2422.38+1267.86+15410.58+1534.35+708.47</f>
        <v>21343.64</v>
      </c>
      <c r="M56" s="78">
        <f t="shared" si="1"/>
        <v>0</v>
      </c>
      <c r="N56" s="100">
        <f>1+11</f>
        <v>12</v>
      </c>
      <c r="O56" s="81">
        <f>421.62+4603.39+10559.77+72902.04</f>
        <v>88486.819999999992</v>
      </c>
      <c r="P56" s="81">
        <f>421.62+4603.39+10559.77+72902.04</f>
        <v>88486.819999999992</v>
      </c>
      <c r="Q56" s="79">
        <f t="shared" si="2"/>
        <v>0</v>
      </c>
    </row>
    <row r="57" spans="1:17" s="13" customFormat="1" x14ac:dyDescent="0.25">
      <c r="A57" s="229"/>
      <c r="B57" s="30" t="s">
        <v>44</v>
      </c>
      <c r="C57" s="181" t="s">
        <v>17</v>
      </c>
      <c r="D57" s="182"/>
      <c r="E57" s="183" t="s">
        <v>20</v>
      </c>
      <c r="F57" s="73" t="s">
        <v>483</v>
      </c>
      <c r="G57" s="230" t="s">
        <v>114</v>
      </c>
      <c r="H57" s="181"/>
      <c r="I57" s="231"/>
      <c r="J57" s="190"/>
      <c r="K57" s="77"/>
      <c r="L57" s="77"/>
      <c r="M57" s="78">
        <f t="shared" si="1"/>
        <v>0</v>
      </c>
      <c r="N57" s="100">
        <v>2</v>
      </c>
      <c r="O57" s="224">
        <v>9934.7000000000007</v>
      </c>
      <c r="P57" s="224">
        <v>9934.7000000000007</v>
      </c>
      <c r="Q57" s="232">
        <f t="shared" si="2"/>
        <v>0</v>
      </c>
    </row>
    <row r="58" spans="1:17" s="13" customFormat="1" x14ac:dyDescent="0.25">
      <c r="A58" s="229"/>
      <c r="B58" s="30" t="s">
        <v>492</v>
      </c>
      <c r="C58" s="181" t="s">
        <v>17</v>
      </c>
      <c r="D58" s="182"/>
      <c r="E58" s="183" t="s">
        <v>20</v>
      </c>
      <c r="F58" s="73" t="s">
        <v>499</v>
      </c>
      <c r="G58" s="230" t="s">
        <v>112</v>
      </c>
      <c r="H58" s="181">
        <v>10</v>
      </c>
      <c r="I58" s="231">
        <v>8</v>
      </c>
      <c r="J58" s="190">
        <f>1+8</f>
        <v>9</v>
      </c>
      <c r="K58" s="77">
        <f>1044.98+2096.62</f>
        <v>3141.6</v>
      </c>
      <c r="L58" s="77">
        <f>1044.98+2096.62</f>
        <v>3141.6</v>
      </c>
      <c r="M58" s="78">
        <f t="shared" si="1"/>
        <v>0</v>
      </c>
      <c r="N58" s="100"/>
      <c r="O58" s="224"/>
      <c r="P58" s="224"/>
      <c r="Q58" s="79">
        <f t="shared" si="2"/>
        <v>0</v>
      </c>
    </row>
    <row r="59" spans="1:17" s="13" customFormat="1" x14ac:dyDescent="0.25">
      <c r="A59" s="229"/>
      <c r="B59" s="27" t="s">
        <v>45</v>
      </c>
      <c r="C59" s="181" t="s">
        <v>17</v>
      </c>
      <c r="D59" s="182"/>
      <c r="E59" s="183" t="s">
        <v>20</v>
      </c>
      <c r="F59" s="73" t="s">
        <v>346</v>
      </c>
      <c r="G59" s="74" t="s">
        <v>112</v>
      </c>
      <c r="H59" s="75"/>
      <c r="I59" s="76"/>
      <c r="J59" s="96"/>
      <c r="K59" s="77"/>
      <c r="L59" s="77"/>
      <c r="M59" s="78">
        <f t="shared" si="1"/>
        <v>0</v>
      </c>
      <c r="N59" s="100">
        <f>1</f>
        <v>1</v>
      </c>
      <c r="O59" s="81">
        <f>17995.91+2729.8</f>
        <v>20725.71</v>
      </c>
      <c r="P59" s="81">
        <f>17995.91+2729.8</f>
        <v>20725.71</v>
      </c>
      <c r="Q59" s="79">
        <f t="shared" si="2"/>
        <v>0</v>
      </c>
    </row>
    <row r="60" spans="1:17" s="13" customFormat="1" x14ac:dyDescent="0.25">
      <c r="A60" s="229"/>
      <c r="B60" s="27" t="s">
        <v>45</v>
      </c>
      <c r="C60" s="181" t="s">
        <v>17</v>
      </c>
      <c r="D60" s="182"/>
      <c r="E60" s="183" t="s">
        <v>20</v>
      </c>
      <c r="F60" s="73" t="s">
        <v>484</v>
      </c>
      <c r="G60" s="230" t="s">
        <v>114</v>
      </c>
      <c r="H60" s="181"/>
      <c r="I60" s="231"/>
      <c r="J60" s="190"/>
      <c r="K60" s="77"/>
      <c r="L60" s="77"/>
      <c r="M60" s="78">
        <f t="shared" si="1"/>
        <v>0</v>
      </c>
      <c r="N60" s="100"/>
      <c r="O60" s="224"/>
      <c r="P60" s="224"/>
      <c r="Q60" s="232">
        <f t="shared" si="2"/>
        <v>0</v>
      </c>
    </row>
    <row r="61" spans="1:17" s="15" customFormat="1" x14ac:dyDescent="0.25">
      <c r="A61" s="229"/>
      <c r="B61" s="27" t="s">
        <v>46</v>
      </c>
      <c r="C61" s="181" t="s">
        <v>17</v>
      </c>
      <c r="D61" s="182"/>
      <c r="E61" s="183" t="s">
        <v>20</v>
      </c>
      <c r="F61" s="73" t="s">
        <v>347</v>
      </c>
      <c r="G61" s="74" t="s">
        <v>112</v>
      </c>
      <c r="H61" s="75">
        <v>19</v>
      </c>
      <c r="I61" s="76">
        <v>16</v>
      </c>
      <c r="J61" s="96">
        <f>1+2+3+2+4+1+4+2+1+5+1+1</f>
        <v>27</v>
      </c>
      <c r="K61" s="77">
        <f>1045.98+1068.08+8157.32+1778.85+9152.67+11156.63+11271.63+1490.2+9025.41+10714.36</f>
        <v>64861.12999999999</v>
      </c>
      <c r="L61" s="77">
        <f>1045.98+1068.08+8157.32+1778.85+9152.67+11156.63+11271.63+1490.2+9025.41+10714.36</f>
        <v>64861.12999999999</v>
      </c>
      <c r="M61" s="78">
        <f t="shared" si="1"/>
        <v>0</v>
      </c>
      <c r="N61" s="100">
        <f>4+4+1+1+1+2</f>
        <v>13</v>
      </c>
      <c r="O61" s="81">
        <f>10759.2+10685.34+7362.04+22509.72</f>
        <v>51316.3</v>
      </c>
      <c r="P61" s="81">
        <f>10759.2+10685.34+7362.04+22509.72</f>
        <v>51316.3</v>
      </c>
      <c r="Q61" s="79">
        <f t="shared" si="2"/>
        <v>0</v>
      </c>
    </row>
    <row r="62" spans="1:17" s="15" customFormat="1" x14ac:dyDescent="0.25">
      <c r="A62" s="229"/>
      <c r="B62" s="27" t="s">
        <v>46</v>
      </c>
      <c r="C62" s="181" t="s">
        <v>17</v>
      </c>
      <c r="D62" s="182"/>
      <c r="E62" s="183" t="s">
        <v>20</v>
      </c>
      <c r="F62" s="73" t="s">
        <v>273</v>
      </c>
      <c r="G62" s="230" t="s">
        <v>114</v>
      </c>
      <c r="H62" s="181">
        <v>5</v>
      </c>
      <c r="I62" s="231">
        <v>1</v>
      </c>
      <c r="J62" s="190">
        <v>1</v>
      </c>
      <c r="K62" s="77">
        <v>576.29999999999995</v>
      </c>
      <c r="L62" s="77">
        <v>576.29999999999995</v>
      </c>
      <c r="M62" s="78">
        <f t="shared" si="1"/>
        <v>0</v>
      </c>
      <c r="N62" s="100">
        <v>3</v>
      </c>
      <c r="O62" s="224">
        <v>9356.9</v>
      </c>
      <c r="P62" s="224">
        <v>9356.9</v>
      </c>
      <c r="Q62" s="232">
        <f t="shared" si="2"/>
        <v>0</v>
      </c>
    </row>
    <row r="63" spans="1:17" s="13" customFormat="1" ht="45" x14ac:dyDescent="0.25">
      <c r="A63" s="229"/>
      <c r="B63" s="30" t="s">
        <v>47</v>
      </c>
      <c r="C63" s="181" t="s">
        <v>304</v>
      </c>
      <c r="D63" s="182" t="s">
        <v>474</v>
      </c>
      <c r="E63" s="183" t="s">
        <v>18</v>
      </c>
      <c r="F63" s="73" t="s">
        <v>348</v>
      </c>
      <c r="G63" s="74" t="s">
        <v>112</v>
      </c>
      <c r="H63" s="75">
        <v>52</v>
      </c>
      <c r="I63" s="76">
        <v>40</v>
      </c>
      <c r="J63" s="98">
        <f>1+1+3+21+7+2+5+2+7+15+14+7</f>
        <v>85</v>
      </c>
      <c r="K63" s="77">
        <f>30728.27+19236.99+22614.7+52735.68</f>
        <v>125315.64000000001</v>
      </c>
      <c r="L63" s="77">
        <f>30728.27+19236.99+22614.7+52735.68</f>
        <v>125315.64000000001</v>
      </c>
      <c r="M63" s="78">
        <f t="shared" si="1"/>
        <v>0</v>
      </c>
      <c r="N63" s="100">
        <f>7+3+4+10+6+1+2+1+3+2+5</f>
        <v>44</v>
      </c>
      <c r="O63" s="81">
        <f>8477.51+15159.83+14079.46+15414.2+17995.91+2065.56+1859.53+9543.86+1728.53+14526.84</f>
        <v>100851.23</v>
      </c>
      <c r="P63" s="81">
        <f>8477.51+15159.83+14079.46+15414.2+17995.91+2065.56+1859.53+9543.86+1728.53+14526.84</f>
        <v>100851.23</v>
      </c>
      <c r="Q63" s="79">
        <f t="shared" si="2"/>
        <v>0</v>
      </c>
    </row>
    <row r="64" spans="1:17" s="13" customFormat="1" ht="45" x14ac:dyDescent="0.25">
      <c r="A64" s="229"/>
      <c r="B64" s="62" t="s">
        <v>120</v>
      </c>
      <c r="C64" s="181" t="s">
        <v>304</v>
      </c>
      <c r="D64" s="182" t="s">
        <v>474</v>
      </c>
      <c r="E64" s="183" t="s">
        <v>18</v>
      </c>
      <c r="F64" s="73" t="s">
        <v>334</v>
      </c>
      <c r="G64" s="230" t="s">
        <v>116</v>
      </c>
      <c r="H64" s="181">
        <v>30</v>
      </c>
      <c r="I64" s="234">
        <v>17</v>
      </c>
      <c r="J64" s="98">
        <v>20</v>
      </c>
      <c r="K64" s="77">
        <v>37956</v>
      </c>
      <c r="L64" s="77">
        <v>37956</v>
      </c>
      <c r="M64" s="78">
        <f t="shared" si="1"/>
        <v>0</v>
      </c>
      <c r="N64" s="100">
        <v>15</v>
      </c>
      <c r="O64" s="224">
        <v>60831</v>
      </c>
      <c r="P64" s="224">
        <v>60831</v>
      </c>
      <c r="Q64" s="232">
        <f t="shared" si="2"/>
        <v>0</v>
      </c>
    </row>
    <row r="65" spans="1:17" s="13" customFormat="1" x14ac:dyDescent="0.25">
      <c r="A65" s="229"/>
      <c r="B65" s="30" t="s">
        <v>134</v>
      </c>
      <c r="C65" s="181" t="s">
        <v>17</v>
      </c>
      <c r="D65" s="182"/>
      <c r="E65" s="183" t="s">
        <v>20</v>
      </c>
      <c r="F65" s="73" t="s">
        <v>349</v>
      </c>
      <c r="G65" s="74" t="s">
        <v>112</v>
      </c>
      <c r="H65" s="75">
        <v>21</v>
      </c>
      <c r="I65" s="76">
        <v>21</v>
      </c>
      <c r="J65" s="96">
        <f>1+4+1+1+2+1+1+7+1+1</f>
        <v>20</v>
      </c>
      <c r="K65" s="77">
        <f>7301.48+1473.89+1911.09+1690.48+845.24+6268.51+441.51+1983.45+3361.83+883.11+2668.51+2972.45</f>
        <v>31801.55</v>
      </c>
      <c r="L65" s="77">
        <f>7301.48+1473.89+1911.09+1690.48+845.24+6268.51+441.51+1983.45+3361.83+883.11+2668.51+2972.45</f>
        <v>31801.55</v>
      </c>
      <c r="M65" s="78">
        <f t="shared" si="1"/>
        <v>0</v>
      </c>
      <c r="N65" s="100">
        <f>4+1+1+1+1+1</f>
        <v>9</v>
      </c>
      <c r="O65" s="81">
        <f>5020.05+3215.31+12312.39+4648.82+32425.98+7889.42+3294.46</f>
        <v>68806.430000000008</v>
      </c>
      <c r="P65" s="81">
        <f>5020.05+3215.31+12312.39+4648.82+32425.98+7889.42+3294.46</f>
        <v>68806.430000000008</v>
      </c>
      <c r="Q65" s="79">
        <f t="shared" si="2"/>
        <v>0</v>
      </c>
    </row>
    <row r="66" spans="1:17" s="13" customFormat="1" x14ac:dyDescent="0.25">
      <c r="A66" s="229"/>
      <c r="B66" s="30" t="s">
        <v>134</v>
      </c>
      <c r="C66" s="181" t="s">
        <v>17</v>
      </c>
      <c r="D66" s="182"/>
      <c r="E66" s="183" t="s">
        <v>20</v>
      </c>
      <c r="F66" s="73" t="s">
        <v>456</v>
      </c>
      <c r="G66" s="230" t="s">
        <v>114</v>
      </c>
      <c r="H66" s="181">
        <v>23</v>
      </c>
      <c r="I66" s="231">
        <v>7</v>
      </c>
      <c r="J66" s="190">
        <v>7</v>
      </c>
      <c r="K66" s="77">
        <v>17181.12</v>
      </c>
      <c r="L66" s="77">
        <v>17181.12</v>
      </c>
      <c r="M66" s="78">
        <f t="shared" si="1"/>
        <v>0</v>
      </c>
      <c r="N66" s="100">
        <v>27</v>
      </c>
      <c r="O66" s="224">
        <v>61494.8</v>
      </c>
      <c r="P66" s="224">
        <v>61494.8</v>
      </c>
      <c r="Q66" s="232">
        <f t="shared" si="2"/>
        <v>0</v>
      </c>
    </row>
    <row r="67" spans="1:17" s="13" customFormat="1" x14ac:dyDescent="0.25">
      <c r="A67" s="229"/>
      <c r="B67" s="62" t="s">
        <v>48</v>
      </c>
      <c r="C67" s="181" t="s">
        <v>17</v>
      </c>
      <c r="D67" s="182"/>
      <c r="E67" s="183" t="s">
        <v>20</v>
      </c>
      <c r="F67" s="73" t="s">
        <v>350</v>
      </c>
      <c r="G67" s="74" t="s">
        <v>112</v>
      </c>
      <c r="H67" s="75">
        <v>19</v>
      </c>
      <c r="I67" s="76">
        <v>11</v>
      </c>
      <c r="J67" s="96">
        <f>1+1+2+1+3+2</f>
        <v>10</v>
      </c>
      <c r="K67" s="77">
        <f>4805.96+2585.78+3065.92+2588.55+14407.5+9289.05+3030.73+11469.98</f>
        <v>51243.47</v>
      </c>
      <c r="L67" s="77">
        <f>4805.96+2585.78+3065.92+2588.55+14407.5+9289.05+3030.73+11469.98</f>
        <v>51243.47</v>
      </c>
      <c r="M67" s="78">
        <f t="shared" si="1"/>
        <v>0</v>
      </c>
      <c r="N67" s="100">
        <f>2+1+2+1+3</f>
        <v>9</v>
      </c>
      <c r="O67" s="81">
        <f>23174.33+2535.72+11633.02+6993.42+20756.4</f>
        <v>65092.890000000007</v>
      </c>
      <c r="P67" s="81">
        <f>23174.33+2535.72+11633.02+6993.42+20756.4</f>
        <v>65092.890000000007</v>
      </c>
      <c r="Q67" s="79">
        <f t="shared" si="2"/>
        <v>0</v>
      </c>
    </row>
    <row r="68" spans="1:17" s="13" customFormat="1" x14ac:dyDescent="0.25">
      <c r="A68" s="229"/>
      <c r="B68" s="62" t="s">
        <v>49</v>
      </c>
      <c r="C68" s="181" t="s">
        <v>17</v>
      </c>
      <c r="D68" s="182"/>
      <c r="E68" s="183" t="s">
        <v>50</v>
      </c>
      <c r="F68" s="73" t="s">
        <v>351</v>
      </c>
      <c r="G68" s="74" t="s">
        <v>112</v>
      </c>
      <c r="H68" s="75">
        <v>29</v>
      </c>
      <c r="I68" s="76">
        <v>19</v>
      </c>
      <c r="J68" s="96">
        <f>1+4+8+6+5+1</f>
        <v>25</v>
      </c>
      <c r="K68" s="77">
        <f>525.65+1267.86+6544.72+13939.57+2896.54+9712.48+14471.86+991.75</f>
        <v>50350.43</v>
      </c>
      <c r="L68" s="77">
        <f>525.65+1267.86+6544.72+13939.57+2896.54+9712.48+14471.86+991.75</f>
        <v>50350.43</v>
      </c>
      <c r="M68" s="78">
        <f t="shared" si="1"/>
        <v>0</v>
      </c>
      <c r="N68" s="100">
        <f>5+1+3+1+1</f>
        <v>11</v>
      </c>
      <c r="O68" s="81">
        <f>7374+1806.93+7275.53+4666.9+2684.03+6682.03+10412.84</f>
        <v>40902.259999999995</v>
      </c>
      <c r="P68" s="81">
        <f>7374+1806.93+7275.53+4666.9+2684.03+6682.03+10412.84</f>
        <v>40902.259999999995</v>
      </c>
      <c r="Q68" s="232">
        <f t="shared" si="2"/>
        <v>0</v>
      </c>
    </row>
    <row r="69" spans="1:17" s="13" customFormat="1" x14ac:dyDescent="0.25">
      <c r="A69" s="229"/>
      <c r="B69" s="62" t="s">
        <v>49</v>
      </c>
      <c r="C69" s="181" t="s">
        <v>17</v>
      </c>
      <c r="D69" s="182"/>
      <c r="E69" s="183" t="s">
        <v>50</v>
      </c>
      <c r="F69" s="73" t="s">
        <v>427</v>
      </c>
      <c r="G69" s="230" t="s">
        <v>115</v>
      </c>
      <c r="H69" s="181">
        <v>15</v>
      </c>
      <c r="I69" s="231">
        <v>6</v>
      </c>
      <c r="J69" s="96">
        <v>6</v>
      </c>
      <c r="K69" s="77">
        <v>13535.63</v>
      </c>
      <c r="L69" s="77">
        <v>13535.63</v>
      </c>
      <c r="M69" s="78">
        <f t="shared" si="1"/>
        <v>0</v>
      </c>
      <c r="N69" s="100">
        <v>10</v>
      </c>
      <c r="O69" s="224">
        <v>17660.3</v>
      </c>
      <c r="P69" s="224">
        <v>17660.3</v>
      </c>
      <c r="Q69" s="79">
        <f t="shared" si="2"/>
        <v>0</v>
      </c>
    </row>
    <row r="70" spans="1:17" s="13" customFormat="1" x14ac:dyDescent="0.25">
      <c r="A70" s="229"/>
      <c r="B70" s="27" t="s">
        <v>51</v>
      </c>
      <c r="C70" s="181" t="s">
        <v>17</v>
      </c>
      <c r="D70" s="182"/>
      <c r="E70" s="183" t="s">
        <v>20</v>
      </c>
      <c r="F70" s="73" t="s">
        <v>186</v>
      </c>
      <c r="G70" s="74" t="s">
        <v>112</v>
      </c>
      <c r="H70" s="75"/>
      <c r="I70" s="76"/>
      <c r="J70" s="96"/>
      <c r="K70" s="77"/>
      <c r="L70" s="77"/>
      <c r="M70" s="78">
        <f t="shared" si="1"/>
        <v>0</v>
      </c>
      <c r="N70" s="100">
        <f>1</f>
        <v>1</v>
      </c>
      <c r="O70" s="81">
        <v>2451.87</v>
      </c>
      <c r="P70" s="81">
        <v>2451.87</v>
      </c>
      <c r="Q70" s="232">
        <f t="shared" si="2"/>
        <v>0</v>
      </c>
    </row>
    <row r="71" spans="1:17" s="13" customFormat="1" x14ac:dyDescent="0.25">
      <c r="A71" s="229"/>
      <c r="B71" s="27" t="s">
        <v>51</v>
      </c>
      <c r="C71" s="181" t="s">
        <v>17</v>
      </c>
      <c r="D71" s="182"/>
      <c r="E71" s="183" t="s">
        <v>20</v>
      </c>
      <c r="F71" s="73" t="s">
        <v>276</v>
      </c>
      <c r="G71" s="230" t="s">
        <v>114</v>
      </c>
      <c r="H71" s="181"/>
      <c r="I71" s="231"/>
      <c r="J71" s="190"/>
      <c r="K71" s="77"/>
      <c r="L71" s="77"/>
      <c r="M71" s="78">
        <f t="shared" si="1"/>
        <v>0</v>
      </c>
      <c r="N71" s="100">
        <v>3</v>
      </c>
      <c r="O71" s="224">
        <v>6763.6</v>
      </c>
      <c r="P71" s="224">
        <v>6763.6</v>
      </c>
      <c r="Q71" s="232">
        <f t="shared" si="2"/>
        <v>0</v>
      </c>
    </row>
    <row r="72" spans="1:17" s="13" customFormat="1" x14ac:dyDescent="0.25">
      <c r="A72" s="229"/>
      <c r="B72" s="62" t="s">
        <v>52</v>
      </c>
      <c r="C72" s="181" t="s">
        <v>17</v>
      </c>
      <c r="D72" s="182"/>
      <c r="E72" s="183" t="s">
        <v>20</v>
      </c>
      <c r="F72" s="73" t="s">
        <v>352</v>
      </c>
      <c r="G72" s="74" t="s">
        <v>112</v>
      </c>
      <c r="H72" s="75">
        <v>15</v>
      </c>
      <c r="I72" s="76">
        <v>11</v>
      </c>
      <c r="J72" s="96">
        <f>1+1+1+1+2+3+1+1+1+2</f>
        <v>14</v>
      </c>
      <c r="K72" s="77">
        <f>10714.2+2747.14+2138.07+6709.4+7033.21+883.08+708.47</f>
        <v>30933.57</v>
      </c>
      <c r="L72" s="77">
        <f>10714.2+2747.14+2138.07+6709.4+7033.21+883.08+708.47</f>
        <v>30933.57</v>
      </c>
      <c r="M72" s="78">
        <f t="shared" si="1"/>
        <v>0</v>
      </c>
      <c r="N72" s="100">
        <f>4+3+1+1+2+3+1+1+2</f>
        <v>18</v>
      </c>
      <c r="O72" s="81">
        <f>5977.15+48296.91+7596.86+1061.83+8902.9+6856.31+2935.36+8136.06</f>
        <v>89763.38</v>
      </c>
      <c r="P72" s="81">
        <f>5977.15+48296.91+7596.86+1061.83+8902.9+6856.31+2935.36+8136.06</f>
        <v>89763.38</v>
      </c>
      <c r="Q72" s="232">
        <f t="shared" si="2"/>
        <v>0</v>
      </c>
    </row>
    <row r="73" spans="1:17" s="13" customFormat="1" x14ac:dyDescent="0.25">
      <c r="A73" s="229"/>
      <c r="B73" s="62" t="s">
        <v>52</v>
      </c>
      <c r="C73" s="181" t="s">
        <v>17</v>
      </c>
      <c r="D73" s="182"/>
      <c r="E73" s="183" t="s">
        <v>20</v>
      </c>
      <c r="F73" s="73" t="s">
        <v>457</v>
      </c>
      <c r="G73" s="230" t="s">
        <v>114</v>
      </c>
      <c r="H73" s="181">
        <v>14</v>
      </c>
      <c r="I73" s="231">
        <v>4</v>
      </c>
      <c r="J73" s="190">
        <v>4</v>
      </c>
      <c r="K73" s="77">
        <v>11041.4</v>
      </c>
      <c r="L73" s="77">
        <v>11041.4</v>
      </c>
      <c r="M73" s="78">
        <f t="shared" si="1"/>
        <v>0</v>
      </c>
      <c r="N73" s="100">
        <v>21</v>
      </c>
      <c r="O73" s="264">
        <v>57984.82</v>
      </c>
      <c r="P73" s="264">
        <v>57984.82</v>
      </c>
      <c r="Q73" s="232">
        <f t="shared" si="2"/>
        <v>0</v>
      </c>
    </row>
    <row r="74" spans="1:17" s="13" customFormat="1" x14ac:dyDescent="0.25">
      <c r="A74" s="229"/>
      <c r="B74" s="27" t="s">
        <v>53</v>
      </c>
      <c r="C74" s="181" t="s">
        <v>17</v>
      </c>
      <c r="D74" s="182"/>
      <c r="E74" s="183" t="s">
        <v>20</v>
      </c>
      <c r="F74" s="73" t="s">
        <v>353</v>
      </c>
      <c r="G74" s="74" t="s">
        <v>112</v>
      </c>
      <c r="H74" s="75">
        <v>13</v>
      </c>
      <c r="I74" s="76">
        <v>10</v>
      </c>
      <c r="J74" s="96">
        <f>2+2+2+1+2+1+1</f>
        <v>11</v>
      </c>
      <c r="K74" s="77">
        <f>3655.66+6862.24+2535.72+3550.85+401.4</f>
        <v>17005.87</v>
      </c>
      <c r="L74" s="77">
        <f>3655.66+6862.24+2535.72+3550.85+401.4</f>
        <v>17005.87</v>
      </c>
      <c r="M74" s="78">
        <f t="shared" si="1"/>
        <v>0</v>
      </c>
      <c r="N74" s="100">
        <f>1+2+2+1+1+1</f>
        <v>8</v>
      </c>
      <c r="O74" s="81">
        <f>1743.3+3921.71+422.62+5626.45+37901.04</f>
        <v>49615.12</v>
      </c>
      <c r="P74" s="81">
        <f>1743.3+3921.71+422.62+5626.45+37901.04</f>
        <v>49615.12</v>
      </c>
      <c r="Q74" s="232">
        <f t="shared" si="2"/>
        <v>0</v>
      </c>
    </row>
    <row r="75" spans="1:17" s="13" customFormat="1" x14ac:dyDescent="0.25">
      <c r="A75" s="229"/>
      <c r="B75" s="27" t="s">
        <v>149</v>
      </c>
      <c r="C75" s="181" t="s">
        <v>17</v>
      </c>
      <c r="D75" s="182"/>
      <c r="E75" s="183" t="s">
        <v>383</v>
      </c>
      <c r="F75" s="73" t="s">
        <v>354</v>
      </c>
      <c r="G75" s="74" t="s">
        <v>112</v>
      </c>
      <c r="H75" s="75">
        <v>39</v>
      </c>
      <c r="I75" s="76">
        <v>12</v>
      </c>
      <c r="J75" s="96">
        <f>7+3+3</f>
        <v>13</v>
      </c>
      <c r="K75" s="77">
        <f>7743.07+4386.1+10376.2</f>
        <v>22505.370000000003</v>
      </c>
      <c r="L75" s="77">
        <f>7743.07+4386.1+10376.2</f>
        <v>22505.370000000003</v>
      </c>
      <c r="M75" s="78">
        <f t="shared" ref="M75:M138" si="3">K75-L75</f>
        <v>0</v>
      </c>
      <c r="N75" s="100">
        <f>2+2+2+1</f>
        <v>7</v>
      </c>
      <c r="O75" s="81">
        <f>3676.8+3431.65+6320.35+4068.03</f>
        <v>17496.830000000002</v>
      </c>
      <c r="P75" s="81">
        <f>3676.8+3431.65+6320.35+4068.03</f>
        <v>17496.830000000002</v>
      </c>
      <c r="Q75" s="79">
        <f t="shared" si="2"/>
        <v>0</v>
      </c>
    </row>
    <row r="76" spans="1:17" s="13" customFormat="1" x14ac:dyDescent="0.25">
      <c r="A76" s="229"/>
      <c r="B76" s="27" t="s">
        <v>149</v>
      </c>
      <c r="C76" s="181" t="s">
        <v>17</v>
      </c>
      <c r="D76" s="182"/>
      <c r="E76" s="183" t="s">
        <v>383</v>
      </c>
      <c r="F76" s="73" t="s">
        <v>438</v>
      </c>
      <c r="G76" s="230" t="s">
        <v>118</v>
      </c>
      <c r="H76" s="181">
        <v>16</v>
      </c>
      <c r="I76" s="234">
        <v>1</v>
      </c>
      <c r="J76" s="190">
        <v>1</v>
      </c>
      <c r="K76" s="193">
        <v>576.29999999999995</v>
      </c>
      <c r="L76" s="193">
        <v>576.29999999999995</v>
      </c>
      <c r="M76" s="78">
        <f t="shared" si="3"/>
        <v>0</v>
      </c>
      <c r="N76" s="114">
        <v>7</v>
      </c>
      <c r="O76" s="224">
        <v>9835.52</v>
      </c>
      <c r="P76" s="224">
        <v>9835.52</v>
      </c>
      <c r="Q76" s="232">
        <f t="shared" si="2"/>
        <v>0</v>
      </c>
    </row>
    <row r="77" spans="1:17" s="13" customFormat="1" x14ac:dyDescent="0.25">
      <c r="A77" s="229"/>
      <c r="B77" s="62" t="s">
        <v>107</v>
      </c>
      <c r="C77" s="181" t="s">
        <v>17</v>
      </c>
      <c r="D77" s="182"/>
      <c r="E77" s="194" t="s">
        <v>20</v>
      </c>
      <c r="F77" s="73" t="s">
        <v>355</v>
      </c>
      <c r="G77" s="74" t="s">
        <v>112</v>
      </c>
      <c r="H77" s="75">
        <v>13</v>
      </c>
      <c r="I77" s="76">
        <v>9</v>
      </c>
      <c r="J77" s="96">
        <f>1+3+3+2+1+2</f>
        <v>12</v>
      </c>
      <c r="K77" s="77">
        <f>666.63+7071.2+5333.38+13316.37+23091.24+4686.95+2216.53</f>
        <v>56382.3</v>
      </c>
      <c r="L77" s="77">
        <f>666.63+7071.2+5333.38+13316.37+23091.24+4686.95+2216.53</f>
        <v>56382.3</v>
      </c>
      <c r="M77" s="78">
        <f t="shared" si="3"/>
        <v>0</v>
      </c>
      <c r="N77" s="100">
        <f>2+6+1+1+2</f>
        <v>12</v>
      </c>
      <c r="O77" s="81">
        <f>7612.92+18804.48+9163.33+3260.98+6297.63</f>
        <v>45139.340000000004</v>
      </c>
      <c r="P77" s="81">
        <f>7612.92+18804.48+9163.33+3260.98+6297.63</f>
        <v>45139.340000000004</v>
      </c>
      <c r="Q77" s="79">
        <f t="shared" si="2"/>
        <v>0</v>
      </c>
    </row>
    <row r="78" spans="1:17" s="13" customFormat="1" x14ac:dyDescent="0.25">
      <c r="A78" s="229"/>
      <c r="B78" s="30" t="s">
        <v>54</v>
      </c>
      <c r="C78" s="181" t="s">
        <v>17</v>
      </c>
      <c r="D78" s="182"/>
      <c r="E78" s="194" t="s">
        <v>20</v>
      </c>
      <c r="F78" s="73" t="s">
        <v>356</v>
      </c>
      <c r="G78" s="74" t="s">
        <v>112</v>
      </c>
      <c r="H78" s="75"/>
      <c r="I78" s="76"/>
      <c r="J78" s="96"/>
      <c r="K78" s="77">
        <f>9075.37</f>
        <v>9075.3700000000008</v>
      </c>
      <c r="L78" s="77">
        <f>9075.37</f>
        <v>9075.3700000000008</v>
      </c>
      <c r="M78" s="78">
        <f t="shared" si="3"/>
        <v>0</v>
      </c>
      <c r="N78" s="100">
        <f>4+1+1+2+1</f>
        <v>9</v>
      </c>
      <c r="O78" s="81">
        <f>17895.28+17443.73+5473.41+2994.97</f>
        <v>43807.39</v>
      </c>
      <c r="P78" s="81">
        <f>17895.28+17443.73+5473.41+2994.97</f>
        <v>43807.39</v>
      </c>
      <c r="Q78" s="79">
        <f t="shared" si="2"/>
        <v>0</v>
      </c>
    </row>
    <row r="79" spans="1:17" s="13" customFormat="1" ht="30" x14ac:dyDescent="0.25">
      <c r="A79" s="229"/>
      <c r="B79" s="27" t="s">
        <v>55</v>
      </c>
      <c r="C79" s="181" t="s">
        <v>304</v>
      </c>
      <c r="D79" s="182" t="s">
        <v>387</v>
      </c>
      <c r="E79" s="183" t="s">
        <v>20</v>
      </c>
      <c r="F79" s="73" t="s">
        <v>357</v>
      </c>
      <c r="G79" s="74" t="s">
        <v>112</v>
      </c>
      <c r="H79" s="75">
        <v>23</v>
      </c>
      <c r="I79" s="76">
        <v>17</v>
      </c>
      <c r="J79" s="96">
        <f>3+1+1+2+1+1+1+3+3</f>
        <v>16</v>
      </c>
      <c r="K79" s="77">
        <f>1267.86+6667.8+5756.15+1180.38+4780.37+4352.43+2850.42+2493.42+1404.9</f>
        <v>30753.729999999996</v>
      </c>
      <c r="L79" s="77">
        <f>1267.86+6667.8+5756.15+1180.38+4780.37+4352.43+2850.42+2493.42+1404.9</f>
        <v>30753.729999999996</v>
      </c>
      <c r="M79" s="78">
        <f t="shared" si="3"/>
        <v>0</v>
      </c>
      <c r="N79" s="100">
        <f>2+1+2+2+2+1+2+1</f>
        <v>13</v>
      </c>
      <c r="O79" s="81">
        <f>34854.19+2113.1+6430.67+5463.42+39145.22+2535.72+5132.44+12985.86</f>
        <v>108660.62000000001</v>
      </c>
      <c r="P79" s="81">
        <f>34854.19+2113.1+6430.67+5463.42+39145.22+2535.72+5132.44+12985.86</f>
        <v>108660.62000000001</v>
      </c>
      <c r="Q79" s="232">
        <f t="shared" si="2"/>
        <v>0</v>
      </c>
    </row>
    <row r="80" spans="1:17" s="13" customFormat="1" ht="30" x14ac:dyDescent="0.25">
      <c r="A80" s="229"/>
      <c r="B80" s="62" t="s">
        <v>56</v>
      </c>
      <c r="C80" s="181" t="s">
        <v>17</v>
      </c>
      <c r="D80" s="182" t="s">
        <v>386</v>
      </c>
      <c r="E80" s="183" t="s">
        <v>18</v>
      </c>
      <c r="F80" s="73" t="s">
        <v>358</v>
      </c>
      <c r="G80" s="74" t="s">
        <v>112</v>
      </c>
      <c r="H80" s="75">
        <v>14</v>
      </c>
      <c r="I80" s="76">
        <v>11</v>
      </c>
      <c r="J80" s="96">
        <f>1+1+2+2+5</f>
        <v>11</v>
      </c>
      <c r="K80" s="77">
        <f>678.11+678.11+4865.7+5265.72</f>
        <v>11487.64</v>
      </c>
      <c r="L80" s="77">
        <f>678.11+678.11+4865.7+5265.72</f>
        <v>11487.64</v>
      </c>
      <c r="M80" s="78">
        <f t="shared" si="3"/>
        <v>0</v>
      </c>
      <c r="N80" s="100">
        <f>1</f>
        <v>1</v>
      </c>
      <c r="O80" s="81">
        <f>4395.5</f>
        <v>4395.5</v>
      </c>
      <c r="P80" s="81">
        <f>4395.5</f>
        <v>4395.5</v>
      </c>
      <c r="Q80" s="79">
        <f t="shared" si="2"/>
        <v>0</v>
      </c>
    </row>
    <row r="81" spans="1:17" s="13" customFormat="1" ht="30" x14ac:dyDescent="0.25">
      <c r="A81" s="229"/>
      <c r="B81" s="62" t="s">
        <v>56</v>
      </c>
      <c r="C81" s="181" t="s">
        <v>304</v>
      </c>
      <c r="D81" s="182" t="s">
        <v>386</v>
      </c>
      <c r="E81" s="183" t="s">
        <v>18</v>
      </c>
      <c r="F81" s="73" t="s">
        <v>476</v>
      </c>
      <c r="G81" s="230" t="s">
        <v>113</v>
      </c>
      <c r="H81" s="181">
        <v>13</v>
      </c>
      <c r="I81" s="231">
        <v>9</v>
      </c>
      <c r="J81" s="96">
        <v>9</v>
      </c>
      <c r="K81" s="77">
        <v>15944</v>
      </c>
      <c r="L81" s="77">
        <v>15944</v>
      </c>
      <c r="M81" s="78">
        <f t="shared" si="3"/>
        <v>0</v>
      </c>
      <c r="N81" s="100"/>
      <c r="O81" s="224">
        <v>7612</v>
      </c>
      <c r="P81" s="224">
        <v>7612</v>
      </c>
      <c r="Q81" s="232">
        <f t="shared" ref="Q81:Q145" si="4">O81-P81</f>
        <v>0</v>
      </c>
    </row>
    <row r="82" spans="1:17" s="13" customFormat="1" x14ac:dyDescent="0.25">
      <c r="A82" s="229"/>
      <c r="B82" s="62" t="s">
        <v>156</v>
      </c>
      <c r="C82" s="181" t="s">
        <v>304</v>
      </c>
      <c r="D82" s="182"/>
      <c r="E82" s="183" t="s">
        <v>20</v>
      </c>
      <c r="F82" s="73" t="s">
        <v>359</v>
      </c>
      <c r="G82" s="74" t="s">
        <v>112</v>
      </c>
      <c r="H82" s="75">
        <v>5</v>
      </c>
      <c r="I82" s="76">
        <v>2</v>
      </c>
      <c r="J82" s="96">
        <f>2</f>
        <v>2</v>
      </c>
      <c r="K82" s="77">
        <f>1690.48+993.47</f>
        <v>2683.95</v>
      </c>
      <c r="L82" s="77">
        <f>1690.48+993.47</f>
        <v>2683.95</v>
      </c>
      <c r="M82" s="78">
        <f t="shared" si="3"/>
        <v>0</v>
      </c>
      <c r="N82" s="100">
        <f>3+1+1</f>
        <v>5</v>
      </c>
      <c r="O82" s="81">
        <f>5488.54+2398.37+422.62+1605.6</f>
        <v>9915.130000000001</v>
      </c>
      <c r="P82" s="81">
        <f>5488.54+2398.37+422.62+1605.6</f>
        <v>9915.130000000001</v>
      </c>
      <c r="Q82" s="79">
        <f t="shared" si="4"/>
        <v>0</v>
      </c>
    </row>
    <row r="83" spans="1:17" s="15" customFormat="1" x14ac:dyDescent="0.25">
      <c r="A83" s="229"/>
      <c r="B83" s="62" t="s">
        <v>57</v>
      </c>
      <c r="C83" s="181" t="s">
        <v>17</v>
      </c>
      <c r="D83" s="182"/>
      <c r="E83" s="183" t="s">
        <v>20</v>
      </c>
      <c r="F83" s="73" t="s">
        <v>360</v>
      </c>
      <c r="G83" s="74" t="s">
        <v>112</v>
      </c>
      <c r="H83" s="75">
        <v>8</v>
      </c>
      <c r="I83" s="76">
        <v>6</v>
      </c>
      <c r="J83" s="96">
        <f>2+1+1+2</f>
        <v>6</v>
      </c>
      <c r="K83" s="77">
        <f>806.82+1728.9+422.62+2958.34</f>
        <v>5916.68</v>
      </c>
      <c r="L83" s="77">
        <f>806.82+1728.9+422.62+2958.34</f>
        <v>5916.68</v>
      </c>
      <c r="M83" s="78">
        <f t="shared" si="3"/>
        <v>0</v>
      </c>
      <c r="N83" s="100">
        <f>2+1</f>
        <v>3</v>
      </c>
      <c r="O83" s="81">
        <f>2745.3</f>
        <v>2745.3</v>
      </c>
      <c r="P83" s="81">
        <f>2745.3</f>
        <v>2745.3</v>
      </c>
      <c r="Q83" s="232">
        <f t="shared" si="4"/>
        <v>0</v>
      </c>
    </row>
    <row r="84" spans="1:17" s="15" customFormat="1" x14ac:dyDescent="0.25">
      <c r="A84" s="229"/>
      <c r="B84" s="62" t="s">
        <v>57</v>
      </c>
      <c r="C84" s="181" t="s">
        <v>17</v>
      </c>
      <c r="D84" s="182"/>
      <c r="E84" s="183" t="s">
        <v>20</v>
      </c>
      <c r="F84" s="73" t="s">
        <v>458</v>
      </c>
      <c r="G84" s="230" t="s">
        <v>114</v>
      </c>
      <c r="H84" s="181">
        <v>34</v>
      </c>
      <c r="I84" s="231">
        <v>11</v>
      </c>
      <c r="J84" s="190">
        <v>11</v>
      </c>
      <c r="K84" s="77">
        <v>28057.919999999998</v>
      </c>
      <c r="L84" s="77">
        <v>28057.919999999998</v>
      </c>
      <c r="M84" s="78">
        <f t="shared" si="3"/>
        <v>0</v>
      </c>
      <c r="N84" s="100">
        <v>19</v>
      </c>
      <c r="O84" s="224">
        <v>42687.199999999997</v>
      </c>
      <c r="P84" s="224">
        <v>42687.199999999997</v>
      </c>
      <c r="Q84" s="232">
        <f t="shared" si="4"/>
        <v>0</v>
      </c>
    </row>
    <row r="85" spans="1:17" s="13" customFormat="1" x14ac:dyDescent="0.25">
      <c r="A85" s="229"/>
      <c r="B85" s="62" t="s">
        <v>58</v>
      </c>
      <c r="C85" s="181" t="s">
        <v>17</v>
      </c>
      <c r="D85" s="182"/>
      <c r="E85" s="183" t="s">
        <v>20</v>
      </c>
      <c r="F85" s="73" t="s">
        <v>361</v>
      </c>
      <c r="G85" s="74" t="s">
        <v>112</v>
      </c>
      <c r="H85" s="75">
        <v>9</v>
      </c>
      <c r="I85" s="76">
        <v>7</v>
      </c>
      <c r="J85" s="96">
        <f>1+2+1+1+1+1</f>
        <v>7</v>
      </c>
      <c r="K85" s="77">
        <f>1892.47+3118.94+422.62+1324.62</f>
        <v>6758.65</v>
      </c>
      <c r="L85" s="77">
        <f>1892.47+3118.94+422.62+1324.62</f>
        <v>6758.65</v>
      </c>
      <c r="M85" s="78">
        <f t="shared" si="3"/>
        <v>0</v>
      </c>
      <c r="N85" s="100">
        <f>1+1+3+1</f>
        <v>6</v>
      </c>
      <c r="O85" s="81">
        <f>9196.24+2480.78+2954.11+15214.32</f>
        <v>29845.45</v>
      </c>
      <c r="P85" s="81">
        <f>9196.24+2480.78+2954.11+15214.32</f>
        <v>29845.45</v>
      </c>
      <c r="Q85" s="232">
        <f t="shared" si="4"/>
        <v>0</v>
      </c>
    </row>
    <row r="86" spans="1:17" s="13" customFormat="1" x14ac:dyDescent="0.25">
      <c r="A86" s="229"/>
      <c r="B86" s="62" t="s">
        <v>58</v>
      </c>
      <c r="C86" s="181" t="s">
        <v>17</v>
      </c>
      <c r="D86" s="182"/>
      <c r="E86" s="183" t="s">
        <v>20</v>
      </c>
      <c r="F86" s="73" t="s">
        <v>478</v>
      </c>
      <c r="G86" s="230" t="s">
        <v>114</v>
      </c>
      <c r="H86" s="181">
        <v>15</v>
      </c>
      <c r="I86" s="231">
        <v>3</v>
      </c>
      <c r="J86" s="190">
        <v>3</v>
      </c>
      <c r="K86" s="77">
        <v>3765.16</v>
      </c>
      <c r="L86" s="77">
        <v>3765.16</v>
      </c>
      <c r="M86" s="78">
        <f t="shared" si="3"/>
        <v>0</v>
      </c>
      <c r="N86" s="100">
        <v>21</v>
      </c>
      <c r="O86" s="224">
        <v>54215.77</v>
      </c>
      <c r="P86" s="224">
        <v>54215.77</v>
      </c>
      <c r="Q86" s="232">
        <f t="shared" si="4"/>
        <v>0</v>
      </c>
    </row>
    <row r="87" spans="1:17" s="13" customFormat="1" x14ac:dyDescent="0.25">
      <c r="A87" s="229"/>
      <c r="B87" s="62" t="s">
        <v>59</v>
      </c>
      <c r="C87" s="181" t="s">
        <v>17</v>
      </c>
      <c r="D87" s="182"/>
      <c r="E87" s="183" t="s">
        <v>20</v>
      </c>
      <c r="F87" s="73" t="s">
        <v>362</v>
      </c>
      <c r="G87" s="74" t="s">
        <v>112</v>
      </c>
      <c r="H87" s="75">
        <v>13</v>
      </c>
      <c r="I87" s="76">
        <v>8</v>
      </c>
      <c r="J87" s="96">
        <f>1+1+1+3+1+1</f>
        <v>8</v>
      </c>
      <c r="K87" s="77">
        <f>403.41+1431.16+845.24+998.92+3059.87</f>
        <v>6738.6</v>
      </c>
      <c r="L87" s="77">
        <f>403.41+1431.16+845.24+998.92+3059.87</f>
        <v>6738.6</v>
      </c>
      <c r="M87" s="78">
        <f t="shared" si="3"/>
        <v>0</v>
      </c>
      <c r="N87" s="100">
        <f>1+2+2+1+1+1+1</f>
        <v>9</v>
      </c>
      <c r="O87" s="81">
        <f>6646.05+1267.86+979.71</f>
        <v>8893.619999999999</v>
      </c>
      <c r="P87" s="81">
        <f>2353.23+5561.68+978.71</f>
        <v>8893.619999999999</v>
      </c>
      <c r="Q87" s="232">
        <f t="shared" si="4"/>
        <v>0</v>
      </c>
    </row>
    <row r="88" spans="1:17" s="13" customFormat="1" x14ac:dyDescent="0.25">
      <c r="A88" s="229"/>
      <c r="B88" s="62" t="s">
        <v>59</v>
      </c>
      <c r="C88" s="181" t="s">
        <v>17</v>
      </c>
      <c r="D88" s="182"/>
      <c r="E88" s="183" t="s">
        <v>20</v>
      </c>
      <c r="F88" s="73" t="s">
        <v>128</v>
      </c>
      <c r="G88" s="230" t="s">
        <v>114</v>
      </c>
      <c r="H88" s="181"/>
      <c r="I88" s="231"/>
      <c r="J88" s="190"/>
      <c r="K88" s="77"/>
      <c r="L88" s="77"/>
      <c r="M88" s="78">
        <f t="shared" si="3"/>
        <v>0</v>
      </c>
      <c r="N88" s="100"/>
      <c r="O88" s="224"/>
      <c r="P88" s="224"/>
      <c r="Q88" s="232">
        <f t="shared" si="4"/>
        <v>0</v>
      </c>
    </row>
    <row r="89" spans="1:17" s="13" customFormat="1" x14ac:dyDescent="0.25">
      <c r="A89" s="229"/>
      <c r="B89" s="27" t="s">
        <v>60</v>
      </c>
      <c r="C89" s="181" t="s">
        <v>17</v>
      </c>
      <c r="D89" s="182"/>
      <c r="E89" s="183" t="s">
        <v>20</v>
      </c>
      <c r="F89" s="73" t="s">
        <v>364</v>
      </c>
      <c r="G89" s="74" t="s">
        <v>112</v>
      </c>
      <c r="H89" s="75">
        <v>19</v>
      </c>
      <c r="I89" s="76">
        <v>11</v>
      </c>
      <c r="J89" s="96">
        <f>1+1+1+4+4+2</f>
        <v>13</v>
      </c>
      <c r="K89" s="77">
        <f>634.93+893.27+2930.22+8503.46</f>
        <v>12961.88</v>
      </c>
      <c r="L89" s="77">
        <f>634.93+893.27+2930.22+8503.46</f>
        <v>12961.88</v>
      </c>
      <c r="M89" s="78">
        <f t="shared" si="3"/>
        <v>0</v>
      </c>
      <c r="N89" s="100">
        <f>4+1+3+1+1</f>
        <v>10</v>
      </c>
      <c r="O89" s="81">
        <f>15124.53+2065.75+8492.52+5828.3</f>
        <v>31511.1</v>
      </c>
      <c r="P89" s="81">
        <f>15124.53+2065.75+8492.52+5828.3</f>
        <v>31511.1</v>
      </c>
      <c r="Q89" s="232">
        <f t="shared" si="4"/>
        <v>0</v>
      </c>
    </row>
    <row r="90" spans="1:17" s="13" customFormat="1" x14ac:dyDescent="0.25">
      <c r="A90" s="229"/>
      <c r="B90" s="27" t="s">
        <v>60</v>
      </c>
      <c r="C90" s="181" t="s">
        <v>17</v>
      </c>
      <c r="D90" s="182"/>
      <c r="E90" s="183" t="s">
        <v>20</v>
      </c>
      <c r="F90" s="73" t="s">
        <v>479</v>
      </c>
      <c r="G90" s="230" t="s">
        <v>114</v>
      </c>
      <c r="H90" s="181">
        <v>13</v>
      </c>
      <c r="I90" s="231">
        <v>2</v>
      </c>
      <c r="J90" s="190">
        <v>2</v>
      </c>
      <c r="K90" s="77">
        <v>5186.7</v>
      </c>
      <c r="L90" s="77">
        <v>5186.7</v>
      </c>
      <c r="M90" s="78">
        <f t="shared" si="3"/>
        <v>0</v>
      </c>
      <c r="N90" s="100">
        <v>12</v>
      </c>
      <c r="O90" s="224">
        <v>41221.599999999999</v>
      </c>
      <c r="P90" s="224">
        <v>41221.599999999999</v>
      </c>
      <c r="Q90" s="232">
        <f t="shared" si="4"/>
        <v>0</v>
      </c>
    </row>
    <row r="91" spans="1:17" s="13" customFormat="1" x14ac:dyDescent="0.25">
      <c r="A91" s="229"/>
      <c r="B91" s="27" t="s">
        <v>493</v>
      </c>
      <c r="C91" s="181" t="s">
        <v>17</v>
      </c>
      <c r="D91" s="182"/>
      <c r="E91" s="183" t="s">
        <v>20</v>
      </c>
      <c r="F91" s="73" t="s">
        <v>496</v>
      </c>
      <c r="G91" s="230" t="s">
        <v>112</v>
      </c>
      <c r="H91" s="181">
        <v>13</v>
      </c>
      <c r="I91" s="231">
        <v>11</v>
      </c>
      <c r="J91" s="190">
        <f>3+2+1+3+1+2+1+3</f>
        <v>16</v>
      </c>
      <c r="K91" s="77">
        <f>3387.04+3467.41+1267.86+2218.74+8089.94+1924.71+5638.36</f>
        <v>25994.059999999998</v>
      </c>
      <c r="L91" s="77">
        <f>3387.04+3467.41+1267.86+2218.74+8089.94+1924.71+5638.36</f>
        <v>25994.059999999998</v>
      </c>
      <c r="M91" s="78">
        <f t="shared" si="3"/>
        <v>0</v>
      </c>
      <c r="N91" s="100"/>
      <c r="O91" s="224"/>
      <c r="P91" s="224"/>
      <c r="Q91" s="232">
        <f t="shared" si="4"/>
        <v>0</v>
      </c>
    </row>
    <row r="92" spans="1:17" s="15" customFormat="1" x14ac:dyDescent="0.25">
      <c r="A92" s="229"/>
      <c r="B92" s="27" t="s">
        <v>61</v>
      </c>
      <c r="C92" s="181" t="s">
        <v>17</v>
      </c>
      <c r="D92" s="182"/>
      <c r="E92" s="183" t="s">
        <v>20</v>
      </c>
      <c r="F92" s="73" t="s">
        <v>363</v>
      </c>
      <c r="G92" s="74" t="s">
        <v>112</v>
      </c>
      <c r="H92" s="75"/>
      <c r="I92" s="76"/>
      <c r="J92" s="96"/>
      <c r="K92" s="77"/>
      <c r="L92" s="77"/>
      <c r="M92" s="78">
        <f t="shared" si="3"/>
        <v>0</v>
      </c>
      <c r="N92" s="100"/>
      <c r="O92" s="81"/>
      <c r="P92" s="81"/>
      <c r="Q92" s="232">
        <f t="shared" si="4"/>
        <v>0</v>
      </c>
    </row>
    <row r="93" spans="1:17" s="15" customFormat="1" x14ac:dyDescent="0.25">
      <c r="A93" s="229"/>
      <c r="B93" s="236" t="s">
        <v>306</v>
      </c>
      <c r="C93" s="181" t="s">
        <v>17</v>
      </c>
      <c r="D93" s="182"/>
      <c r="E93" s="183" t="s">
        <v>35</v>
      </c>
      <c r="F93" s="73" t="s">
        <v>365</v>
      </c>
      <c r="G93" s="230" t="s">
        <v>112</v>
      </c>
      <c r="H93" s="181">
        <v>39</v>
      </c>
      <c r="I93" s="231">
        <v>22</v>
      </c>
      <c r="J93" s="190">
        <f>1+2+1+3+3+2+3+1+2+1+3</f>
        <v>22</v>
      </c>
      <c r="K93" s="77">
        <f>1045.98+2658.7+35696.14+4892.46+1024.04+2384.53+10793.24+5320.79+2075.24+1324.62+1192.16+2649.24</f>
        <v>71057.14</v>
      </c>
      <c r="L93" s="77">
        <f>1045.98+2658.7+35696.14+4892.46+1024.04+2384.53+10793.24+5320.79+2075.24+1324.62+1192.16+2649.24</f>
        <v>71057.14</v>
      </c>
      <c r="M93" s="78">
        <f t="shared" si="3"/>
        <v>0</v>
      </c>
      <c r="N93" s="114">
        <f>7+2+2+2+1+1+1</f>
        <v>16</v>
      </c>
      <c r="O93" s="224">
        <f>2313.84+6162.57+2330.32+1690.48+3706.14+3107.65+4960.7</f>
        <v>24271.7</v>
      </c>
      <c r="P93" s="224">
        <f>2313.84+6162.57+2330.32+1690.48+3706.14+3107.65+4960.7</f>
        <v>24271.7</v>
      </c>
      <c r="Q93" s="232">
        <f t="shared" si="4"/>
        <v>0</v>
      </c>
    </row>
    <row r="94" spans="1:17" s="13" customFormat="1" x14ac:dyDescent="0.25">
      <c r="A94" s="229"/>
      <c r="B94" s="62" t="s">
        <v>306</v>
      </c>
      <c r="C94" s="181" t="s">
        <v>17</v>
      </c>
      <c r="D94" s="182"/>
      <c r="E94" s="183" t="s">
        <v>27</v>
      </c>
      <c r="F94" s="73" t="s">
        <v>421</v>
      </c>
      <c r="G94" s="230" t="s">
        <v>117</v>
      </c>
      <c r="H94" s="181">
        <v>5</v>
      </c>
      <c r="I94" s="231"/>
      <c r="J94" s="96"/>
      <c r="K94" s="77"/>
      <c r="L94" s="77"/>
      <c r="M94" s="78">
        <f t="shared" si="3"/>
        <v>0</v>
      </c>
      <c r="N94" s="100"/>
      <c r="O94" s="77"/>
      <c r="P94" s="77"/>
      <c r="Q94" s="79">
        <f>O94-P94</f>
        <v>0</v>
      </c>
    </row>
    <row r="95" spans="1:17" s="13" customFormat="1" x14ac:dyDescent="0.25">
      <c r="A95" s="229"/>
      <c r="B95" s="27" t="s">
        <v>62</v>
      </c>
      <c r="C95" s="181" t="s">
        <v>17</v>
      </c>
      <c r="D95" s="182"/>
      <c r="E95" s="183" t="s">
        <v>35</v>
      </c>
      <c r="F95" s="73" t="s">
        <v>366</v>
      </c>
      <c r="G95" s="74" t="s">
        <v>112</v>
      </c>
      <c r="H95" s="75">
        <v>29</v>
      </c>
      <c r="I95" s="76">
        <v>22</v>
      </c>
      <c r="J95" s="96">
        <f>1+3+1+1+2+4+4+3+3</f>
        <v>22</v>
      </c>
      <c r="K95" s="77">
        <f>3613.4+1872.01+1394.65+3518.32+15902.72+5370.89+2686.97</f>
        <v>34358.959999999999</v>
      </c>
      <c r="L95" s="77">
        <f>3613.4+1872.01+1394.65+3518.32+15902.72+5370.89+2686.97</f>
        <v>34358.959999999999</v>
      </c>
      <c r="M95" s="78">
        <f t="shared" si="3"/>
        <v>0</v>
      </c>
      <c r="N95" s="100">
        <f>6+2+1+2+1+3+1+1</f>
        <v>17</v>
      </c>
      <c r="O95" s="81">
        <f>19511.33+1270.93+3979.74+2500.85+8530.18+845.24+12787.47+17476.07</f>
        <v>66901.81</v>
      </c>
      <c r="P95" s="81">
        <f>19511.33+1270.93+3979.74+2500.85+8530.18+845.24+12787.47+17476.07</f>
        <v>66901.81</v>
      </c>
      <c r="Q95" s="79">
        <f t="shared" si="4"/>
        <v>0</v>
      </c>
    </row>
    <row r="96" spans="1:17" s="13" customFormat="1" x14ac:dyDescent="0.25">
      <c r="A96" s="229"/>
      <c r="B96" s="27" t="s">
        <v>62</v>
      </c>
      <c r="C96" s="181" t="s">
        <v>17</v>
      </c>
      <c r="D96" s="182"/>
      <c r="E96" s="183" t="s">
        <v>35</v>
      </c>
      <c r="F96" s="73" t="s">
        <v>428</v>
      </c>
      <c r="G96" s="230" t="s">
        <v>117</v>
      </c>
      <c r="H96" s="181">
        <v>6</v>
      </c>
      <c r="I96" s="231"/>
      <c r="J96" s="96"/>
      <c r="K96" s="77"/>
      <c r="L96" s="77"/>
      <c r="M96" s="78">
        <f t="shared" si="3"/>
        <v>0</v>
      </c>
      <c r="N96" s="100">
        <v>9</v>
      </c>
      <c r="O96" s="224">
        <v>22788.1</v>
      </c>
      <c r="P96" s="224">
        <v>22788.1</v>
      </c>
      <c r="Q96" s="232">
        <f t="shared" si="4"/>
        <v>0</v>
      </c>
    </row>
    <row r="97" spans="1:17" s="13" customFormat="1" x14ac:dyDescent="0.25">
      <c r="A97" s="229"/>
      <c r="B97" s="27" t="s">
        <v>155</v>
      </c>
      <c r="C97" s="181" t="s">
        <v>17</v>
      </c>
      <c r="D97" s="182"/>
      <c r="E97" s="183" t="s">
        <v>20</v>
      </c>
      <c r="F97" s="73" t="s">
        <v>367</v>
      </c>
      <c r="G97" s="74" t="s">
        <v>112</v>
      </c>
      <c r="H97" s="75">
        <v>13</v>
      </c>
      <c r="I97" s="82">
        <v>9</v>
      </c>
      <c r="J97" s="96">
        <f>1+2+3+1+2+2</f>
        <v>11</v>
      </c>
      <c r="K97" s="77">
        <f>3117.56+2266.78+5307.72+3606.94+1494.21</f>
        <v>15793.210000000003</v>
      </c>
      <c r="L97" s="77">
        <f>3117.56+2266.78+5307.72+3606.94+1494.21</f>
        <v>15793.210000000003</v>
      </c>
      <c r="M97" s="78">
        <f t="shared" si="3"/>
        <v>0</v>
      </c>
      <c r="N97" s="100">
        <f>1+1+1+1</f>
        <v>4</v>
      </c>
      <c r="O97" s="81">
        <f>1798.06+2123.67</f>
        <v>3921.73</v>
      </c>
      <c r="P97" s="81">
        <f>1798.06+2123.67</f>
        <v>3921.73</v>
      </c>
      <c r="Q97" s="232">
        <f t="shared" si="4"/>
        <v>0</v>
      </c>
    </row>
    <row r="98" spans="1:17" s="13" customFormat="1" ht="15.75" x14ac:dyDescent="0.25">
      <c r="A98" s="229"/>
      <c r="B98" s="27" t="s">
        <v>155</v>
      </c>
      <c r="C98" s="181" t="s">
        <v>17</v>
      </c>
      <c r="D98" s="182"/>
      <c r="E98" s="183" t="s">
        <v>20</v>
      </c>
      <c r="F98" s="73" t="s">
        <v>459</v>
      </c>
      <c r="G98" s="230" t="s">
        <v>114</v>
      </c>
      <c r="H98" s="1">
        <v>13</v>
      </c>
      <c r="I98" s="231">
        <v>4</v>
      </c>
      <c r="J98" s="190">
        <v>4</v>
      </c>
      <c r="K98" s="77">
        <v>8816.51</v>
      </c>
      <c r="L98" s="77">
        <v>8816.51</v>
      </c>
      <c r="M98" s="78">
        <f t="shared" si="3"/>
        <v>0</v>
      </c>
      <c r="N98" s="100">
        <v>16</v>
      </c>
      <c r="O98" s="224">
        <v>36413.46</v>
      </c>
      <c r="P98" s="224">
        <v>36413.46</v>
      </c>
      <c r="Q98" s="232">
        <f t="shared" si="4"/>
        <v>0</v>
      </c>
    </row>
    <row r="99" spans="1:17" s="13" customFormat="1" x14ac:dyDescent="0.25">
      <c r="A99" s="229"/>
      <c r="B99" s="30" t="s">
        <v>66</v>
      </c>
      <c r="C99" s="181" t="s">
        <v>17</v>
      </c>
      <c r="D99" s="182"/>
      <c r="E99" s="183" t="s">
        <v>21</v>
      </c>
      <c r="F99" s="73" t="s">
        <v>368</v>
      </c>
      <c r="G99" s="74" t="s">
        <v>112</v>
      </c>
      <c r="H99" s="75">
        <v>33</v>
      </c>
      <c r="I99" s="76">
        <v>27</v>
      </c>
      <c r="J99" s="96">
        <f>1+3+2+3+2+1+2+1+3+7+4+3+2+3</f>
        <v>37</v>
      </c>
      <c r="K99" s="77">
        <f>1045.98+4309.04+3820.12+1872.01+4253.49+3044.79+1191.19+4942.84+9299.2+9796.16+4139.27+2886.87</f>
        <v>50600.960000000014</v>
      </c>
      <c r="L99" s="77">
        <f>1045.98+4309.04+3820.12+1872.01+4253.49+3044.79+1191.19+4942.84+9299.2+9796.16+4139.27+2886.87</f>
        <v>50600.960000000014</v>
      </c>
      <c r="M99" s="78">
        <f t="shared" si="3"/>
        <v>0</v>
      </c>
      <c r="N99" s="100">
        <f>6+3+8+7+1+1+1+2+1+1+1+1+1+1</f>
        <v>35</v>
      </c>
      <c r="O99" s="81">
        <f>11911.17+23136+18060.17+1977.84+2091.97+19535.65+19124.11+3199.71+4430.07+5418.9+2717.24</f>
        <v>111602.83</v>
      </c>
      <c r="P99" s="81">
        <f>11911.17+23136+18060.17+1977.84+2091.97+19535.65+19124.11+3199.71+4430.07+5418.9+2717.24</f>
        <v>111602.83</v>
      </c>
      <c r="Q99" s="232">
        <f t="shared" si="4"/>
        <v>0</v>
      </c>
    </row>
    <row r="100" spans="1:17" s="13" customFormat="1" x14ac:dyDescent="0.25">
      <c r="A100" s="229"/>
      <c r="B100" s="30" t="s">
        <v>66</v>
      </c>
      <c r="C100" s="181" t="s">
        <v>17</v>
      </c>
      <c r="D100" s="182"/>
      <c r="E100" s="183" t="s">
        <v>21</v>
      </c>
      <c r="F100" s="73" t="s">
        <v>439</v>
      </c>
      <c r="G100" s="230" t="s">
        <v>118</v>
      </c>
      <c r="H100" s="181">
        <v>7</v>
      </c>
      <c r="I100" s="231">
        <v>3</v>
      </c>
      <c r="J100" s="96">
        <v>3</v>
      </c>
      <c r="K100" s="77">
        <v>5367.3</v>
      </c>
      <c r="L100" s="77">
        <v>5367.3</v>
      </c>
      <c r="M100" s="78">
        <f t="shared" si="3"/>
        <v>0</v>
      </c>
      <c r="N100" s="100">
        <v>24</v>
      </c>
      <c r="O100" s="224">
        <v>66871.69</v>
      </c>
      <c r="P100" s="224">
        <v>66871.69</v>
      </c>
      <c r="Q100" s="79">
        <f t="shared" si="4"/>
        <v>0</v>
      </c>
    </row>
    <row r="101" spans="1:17" s="13" customFormat="1" x14ac:dyDescent="0.25">
      <c r="A101" s="229"/>
      <c r="B101" s="62" t="s">
        <v>137</v>
      </c>
      <c r="C101" s="181" t="s">
        <v>17</v>
      </c>
      <c r="D101" s="182"/>
      <c r="E101" s="194" t="s">
        <v>35</v>
      </c>
      <c r="F101" s="73" t="s">
        <v>369</v>
      </c>
      <c r="G101" s="74" t="s">
        <v>112</v>
      </c>
      <c r="H101" s="75">
        <v>35</v>
      </c>
      <c r="I101" s="76">
        <v>19</v>
      </c>
      <c r="J101" s="96">
        <f>3+3+1+4+1+3+2+3</f>
        <v>20</v>
      </c>
      <c r="K101" s="77">
        <f>504.26+845.24+3380.96+422.62+2535.72+6256.62+883.08+2649.24</f>
        <v>17477.739999999998</v>
      </c>
      <c r="L101" s="77">
        <f>504.26+845.24+3380.96+422.62+2535.72+6256.62+883.08+2649.24</f>
        <v>17477.739999999998</v>
      </c>
      <c r="M101" s="78">
        <f t="shared" si="3"/>
        <v>0</v>
      </c>
      <c r="N101" s="100">
        <f>5+1+1+2+1</f>
        <v>10</v>
      </c>
      <c r="O101" s="81">
        <f>2617.36+422.62+3852.18+3380.96+422.62</f>
        <v>10695.74</v>
      </c>
      <c r="P101" s="81">
        <f>2617.36+422.62+3852.18+3380.96+422.62</f>
        <v>10695.74</v>
      </c>
      <c r="Q101" s="232">
        <f t="shared" si="4"/>
        <v>0</v>
      </c>
    </row>
    <row r="102" spans="1:17" s="13" customFormat="1" x14ac:dyDescent="0.25">
      <c r="A102" s="229"/>
      <c r="B102" s="62" t="s">
        <v>137</v>
      </c>
      <c r="C102" s="181" t="s">
        <v>17</v>
      </c>
      <c r="D102" s="182"/>
      <c r="E102" s="194" t="s">
        <v>35</v>
      </c>
      <c r="F102" s="73" t="s">
        <v>429</v>
      </c>
      <c r="G102" s="230" t="s">
        <v>117</v>
      </c>
      <c r="H102" s="181">
        <v>12</v>
      </c>
      <c r="I102" s="231">
        <v>2</v>
      </c>
      <c r="J102" s="190">
        <v>2</v>
      </c>
      <c r="K102" s="193">
        <v>4530.1000000000004</v>
      </c>
      <c r="L102" s="193">
        <v>4530.1000000000004</v>
      </c>
      <c r="M102" s="78">
        <f t="shared" si="3"/>
        <v>0</v>
      </c>
      <c r="N102" s="114">
        <v>2</v>
      </c>
      <c r="O102" s="224">
        <v>10565.5</v>
      </c>
      <c r="P102" s="224">
        <v>10565.5</v>
      </c>
      <c r="Q102" s="79">
        <f t="shared" si="4"/>
        <v>0</v>
      </c>
    </row>
    <row r="103" spans="1:17" s="13" customFormat="1" x14ac:dyDescent="0.25">
      <c r="A103" s="229"/>
      <c r="B103" s="30" t="s">
        <v>67</v>
      </c>
      <c r="C103" s="181" t="s">
        <v>17</v>
      </c>
      <c r="D103" s="182"/>
      <c r="E103" s="194" t="s">
        <v>21</v>
      </c>
      <c r="F103" s="73" t="s">
        <v>370</v>
      </c>
      <c r="G103" s="74" t="s">
        <v>112</v>
      </c>
      <c r="H103" s="75">
        <v>38</v>
      </c>
      <c r="I103" s="76">
        <v>26</v>
      </c>
      <c r="J103" s="96">
        <f>2+1+1+2+1+1+2+2+1+2+5+5+2+5</f>
        <v>32</v>
      </c>
      <c r="K103" s="77">
        <f>3319.85+1198.9+864.45+7235.32+1947.89+5377.75+8701.73+3581.7+8737.54+7647.65</f>
        <v>48612.780000000006</v>
      </c>
      <c r="L103" s="77">
        <f>3319.85+1198.9+864.45+7235.32+1947.89+5377.75+8701.73+3581.7+8737.54+7647.65</f>
        <v>48612.780000000006</v>
      </c>
      <c r="M103" s="78">
        <f t="shared" si="3"/>
        <v>0</v>
      </c>
      <c r="N103" s="100">
        <f>4+9+4+4+1+3+1+3+1+1+1+1+1+1</f>
        <v>35</v>
      </c>
      <c r="O103" s="81">
        <f>29696.65+38129.03+13567.9+20687.05+2022.79+8145.77+17250.05+1233.28+5568.04+11106.62</f>
        <v>147407.18</v>
      </c>
      <c r="P103" s="81">
        <f>29696.65+38129.03+13567.9+20687.05+2022.79+8145.77+17250.05+1233.28+5568.04+11106.62</f>
        <v>147407.18</v>
      </c>
      <c r="Q103" s="232">
        <f t="shared" si="4"/>
        <v>0</v>
      </c>
    </row>
    <row r="104" spans="1:17" s="13" customFormat="1" x14ac:dyDescent="0.25">
      <c r="A104" s="229"/>
      <c r="B104" s="30" t="s">
        <v>67</v>
      </c>
      <c r="C104" s="181" t="s">
        <v>17</v>
      </c>
      <c r="D104" s="182"/>
      <c r="E104" s="194" t="s">
        <v>21</v>
      </c>
      <c r="F104" s="73" t="s">
        <v>440</v>
      </c>
      <c r="G104" s="230" t="s">
        <v>118</v>
      </c>
      <c r="H104" s="181">
        <v>15</v>
      </c>
      <c r="I104" s="231">
        <v>2</v>
      </c>
      <c r="J104" s="96">
        <v>2</v>
      </c>
      <c r="K104" s="77">
        <v>5282.54</v>
      </c>
      <c r="L104" s="77">
        <v>5282.54</v>
      </c>
      <c r="M104" s="78">
        <f t="shared" si="3"/>
        <v>0</v>
      </c>
      <c r="N104" s="100">
        <v>20</v>
      </c>
      <c r="O104" s="224">
        <v>66027.179999999993</v>
      </c>
      <c r="P104" s="224">
        <v>66027.179999999993</v>
      </c>
      <c r="Q104" s="79">
        <f t="shared" si="4"/>
        <v>0</v>
      </c>
    </row>
    <row r="105" spans="1:17" s="13" customFormat="1" x14ac:dyDescent="0.25">
      <c r="A105" s="229"/>
      <c r="B105" s="30" t="s">
        <v>68</v>
      </c>
      <c r="C105" s="181" t="s">
        <v>17</v>
      </c>
      <c r="D105" s="182"/>
      <c r="E105" s="194" t="s">
        <v>32</v>
      </c>
      <c r="F105" s="73" t="s">
        <v>371</v>
      </c>
      <c r="G105" s="74" t="s">
        <v>112</v>
      </c>
      <c r="H105" s="75">
        <v>20</v>
      </c>
      <c r="I105" s="76">
        <v>18</v>
      </c>
      <c r="J105" s="96">
        <f>2+1+2+5+5+3+1+2+2</f>
        <v>23</v>
      </c>
      <c r="K105" s="77">
        <f>1128.59+422.62+1152.6+4557.81+10981.59+5362.88+4996.85+4352.15+3073.96+3697.9+1003.5</f>
        <v>40730.450000000004</v>
      </c>
      <c r="L105" s="77">
        <f>1128.59+422.62+1152.6+4557.81+10981.59+5362.88+4996.85+4352.15+3073.96+3697.9+1003.5</f>
        <v>40730.450000000004</v>
      </c>
      <c r="M105" s="78">
        <f t="shared" si="3"/>
        <v>0</v>
      </c>
      <c r="N105" s="100">
        <f>6+5+1+4+2+2+1</f>
        <v>21</v>
      </c>
      <c r="O105" s="81">
        <f>7813.73+8523.5+1452.28+12582.19+18077.76+4987.46+2373.79</f>
        <v>55810.709999999992</v>
      </c>
      <c r="P105" s="81">
        <f>7813.73+8523.5+1452.28+12582.19+18077.76+4987.46+2373.79</f>
        <v>55810.709999999992</v>
      </c>
      <c r="Q105" s="232">
        <f t="shared" si="4"/>
        <v>0</v>
      </c>
    </row>
    <row r="106" spans="1:17" s="13" customFormat="1" x14ac:dyDescent="0.25">
      <c r="A106" s="229"/>
      <c r="B106" s="30" t="s">
        <v>68</v>
      </c>
      <c r="C106" s="181" t="s">
        <v>17</v>
      </c>
      <c r="D106" s="182"/>
      <c r="E106" s="194" t="s">
        <v>32</v>
      </c>
      <c r="F106" s="73" t="s">
        <v>430</v>
      </c>
      <c r="G106" s="235" t="s">
        <v>117</v>
      </c>
      <c r="H106" s="181">
        <v>4</v>
      </c>
      <c r="I106" s="231"/>
      <c r="J106" s="96"/>
      <c r="K106" s="77"/>
      <c r="L106" s="77"/>
      <c r="M106" s="78">
        <f t="shared" si="3"/>
        <v>0</v>
      </c>
      <c r="N106" s="100"/>
      <c r="O106" s="77"/>
      <c r="P106" s="77"/>
      <c r="Q106" s="79">
        <f t="shared" si="4"/>
        <v>0</v>
      </c>
    </row>
    <row r="107" spans="1:17" s="15" customFormat="1" x14ac:dyDescent="0.25">
      <c r="A107" s="229"/>
      <c r="B107" s="27" t="s">
        <v>69</v>
      </c>
      <c r="C107" s="181" t="s">
        <v>17</v>
      </c>
      <c r="D107" s="182"/>
      <c r="E107" s="183" t="s">
        <v>20</v>
      </c>
      <c r="F107" s="73" t="s">
        <v>372</v>
      </c>
      <c r="G107" s="74" t="s">
        <v>112</v>
      </c>
      <c r="H107" s="75">
        <v>8</v>
      </c>
      <c r="I107" s="76">
        <v>5</v>
      </c>
      <c r="J107" s="96">
        <f>1+1+1+1+3</f>
        <v>7</v>
      </c>
      <c r="K107" s="77">
        <f>422.62+17390.69+3114.71+475.45+2326.92</f>
        <v>23730.39</v>
      </c>
      <c r="L107" s="77">
        <f>422.62+17390.69+3114.71+475.45+2326.92</f>
        <v>23730.39</v>
      </c>
      <c r="M107" s="78">
        <f t="shared" si="3"/>
        <v>0</v>
      </c>
      <c r="N107" s="100">
        <f>3+2+1+1+1+1</f>
        <v>9</v>
      </c>
      <c r="O107" s="77">
        <f>7210.31+3647.96+1306.28+1267.86+2697.06</f>
        <v>16129.470000000001</v>
      </c>
      <c r="P107" s="77">
        <f>7210.31+3647.96+1306.28+1267.86+2697.06</f>
        <v>16129.470000000001</v>
      </c>
      <c r="Q107" s="232">
        <f t="shared" si="4"/>
        <v>0</v>
      </c>
    </row>
    <row r="108" spans="1:17" s="15" customFormat="1" x14ac:dyDescent="0.25">
      <c r="A108" s="229"/>
      <c r="B108" s="236" t="s">
        <v>502</v>
      </c>
      <c r="C108" s="181" t="s">
        <v>17</v>
      </c>
      <c r="D108" s="182"/>
      <c r="E108" s="183" t="s">
        <v>20</v>
      </c>
      <c r="F108" s="73" t="s">
        <v>508</v>
      </c>
      <c r="G108" s="74" t="s">
        <v>112</v>
      </c>
      <c r="H108" s="75">
        <v>14</v>
      </c>
      <c r="I108" s="76">
        <v>9</v>
      </c>
      <c r="J108" s="96">
        <f>4+1+4+1</f>
        <v>10</v>
      </c>
      <c r="K108" s="77">
        <f>6145.3+993.47+5403.3</f>
        <v>12542.07</v>
      </c>
      <c r="L108" s="77">
        <f>6145.3+993.47+5403.3</f>
        <v>12542.07</v>
      </c>
      <c r="M108" s="78">
        <f t="shared" si="3"/>
        <v>0</v>
      </c>
      <c r="N108" s="100"/>
      <c r="O108" s="77"/>
      <c r="P108" s="77"/>
      <c r="Q108" s="232">
        <f t="shared" si="4"/>
        <v>0</v>
      </c>
    </row>
    <row r="109" spans="1:17" s="15" customFormat="1" x14ac:dyDescent="0.25">
      <c r="A109" s="229"/>
      <c r="B109" s="236" t="s">
        <v>502</v>
      </c>
      <c r="C109" s="181" t="s">
        <v>17</v>
      </c>
      <c r="D109" s="182"/>
      <c r="E109" s="183" t="s">
        <v>32</v>
      </c>
      <c r="F109" s="73" t="s">
        <v>511</v>
      </c>
      <c r="G109" s="235" t="s">
        <v>117</v>
      </c>
      <c r="H109" s="75">
        <v>5</v>
      </c>
      <c r="I109" s="76"/>
      <c r="J109" s="96"/>
      <c r="K109" s="77"/>
      <c r="L109" s="77"/>
      <c r="M109" s="78">
        <f t="shared" si="3"/>
        <v>0</v>
      </c>
      <c r="N109" s="100"/>
      <c r="O109" s="77"/>
      <c r="P109" s="77"/>
      <c r="Q109" s="232">
        <f t="shared" si="4"/>
        <v>0</v>
      </c>
    </row>
    <row r="110" spans="1:17" s="13" customFormat="1" x14ac:dyDescent="0.25">
      <c r="A110" s="229"/>
      <c r="B110" s="62" t="s">
        <v>70</v>
      </c>
      <c r="C110" s="181" t="s">
        <v>17</v>
      </c>
      <c r="D110" s="182"/>
      <c r="E110" s="183" t="s">
        <v>20</v>
      </c>
      <c r="F110" s="73" t="s">
        <v>373</v>
      </c>
      <c r="G110" s="74" t="s">
        <v>112</v>
      </c>
      <c r="H110" s="75">
        <v>14</v>
      </c>
      <c r="I110" s="76">
        <v>10</v>
      </c>
      <c r="J110" s="96">
        <f>2+2+2+3+1+2</f>
        <v>12</v>
      </c>
      <c r="K110" s="77">
        <f>19498+3011.17+8156.45</f>
        <v>30665.62</v>
      </c>
      <c r="L110" s="77">
        <f>19498+3011.17+8156.45</f>
        <v>30665.62</v>
      </c>
      <c r="M110" s="78">
        <f t="shared" si="3"/>
        <v>0</v>
      </c>
      <c r="N110" s="100">
        <f>2+3+4+2+1</f>
        <v>12</v>
      </c>
      <c r="O110" s="81">
        <f>7606.2+16795.84+3492.18</f>
        <v>27894.22</v>
      </c>
      <c r="P110" s="81">
        <f>7606.2+16795.84+3492.18</f>
        <v>27894.22</v>
      </c>
      <c r="Q110" s="79">
        <f t="shared" si="4"/>
        <v>0</v>
      </c>
    </row>
    <row r="111" spans="1:17" s="13" customFormat="1" x14ac:dyDescent="0.25">
      <c r="A111" s="229"/>
      <c r="B111" s="62" t="s">
        <v>70</v>
      </c>
      <c r="C111" s="181" t="s">
        <v>17</v>
      </c>
      <c r="D111" s="182"/>
      <c r="E111" s="183" t="s">
        <v>20</v>
      </c>
      <c r="F111" s="73" t="s">
        <v>460</v>
      </c>
      <c r="G111" s="230" t="s">
        <v>114</v>
      </c>
      <c r="H111" s="181">
        <v>36</v>
      </c>
      <c r="I111" s="231">
        <v>11</v>
      </c>
      <c r="J111" s="190">
        <v>11</v>
      </c>
      <c r="K111" s="77">
        <v>31822.240000000002</v>
      </c>
      <c r="L111" s="77">
        <v>31822.240000000002</v>
      </c>
      <c r="M111" s="78">
        <f t="shared" si="3"/>
        <v>0</v>
      </c>
      <c r="N111" s="100">
        <v>31</v>
      </c>
      <c r="O111" s="224">
        <v>75536.87</v>
      </c>
      <c r="P111" s="224">
        <v>75536.87</v>
      </c>
      <c r="Q111" s="232">
        <f t="shared" si="4"/>
        <v>0</v>
      </c>
    </row>
    <row r="112" spans="1:17" s="15" customFormat="1" x14ac:dyDescent="0.25">
      <c r="A112" s="229"/>
      <c r="B112" s="62" t="s">
        <v>71</v>
      </c>
      <c r="C112" s="181" t="s">
        <v>17</v>
      </c>
      <c r="D112" s="182"/>
      <c r="E112" s="183" t="s">
        <v>32</v>
      </c>
      <c r="F112" s="73" t="s">
        <v>374</v>
      </c>
      <c r="G112" s="74" t="s">
        <v>112</v>
      </c>
      <c r="H112" s="75">
        <v>22</v>
      </c>
      <c r="I112" s="76">
        <v>17</v>
      </c>
      <c r="J112" s="96">
        <f>3+1+2+1+1+3+3+1+3</f>
        <v>18</v>
      </c>
      <c r="K112" s="77">
        <f>1536.8+461.04+1748.88+633.93+3169.65+2435.83+13203.17+728.54</f>
        <v>23917.840000000004</v>
      </c>
      <c r="L112" s="77">
        <f>1536.8+461.04+1748.88+633.93+3169.65+2435.83+13203.17+728.54</f>
        <v>23917.840000000004</v>
      </c>
      <c r="M112" s="78">
        <f t="shared" si="3"/>
        <v>0</v>
      </c>
      <c r="N112" s="100">
        <f>3+2+1+1+2+1</f>
        <v>10</v>
      </c>
      <c r="O112" s="81">
        <f>9567.93+3616.67+403.41+14275.52+10922.18+12907.41</f>
        <v>51693.119999999995</v>
      </c>
      <c r="P112" s="81">
        <f>9567.93+3616.67+403.41+14275.52+10922.18+12907.41</f>
        <v>51693.119999999995</v>
      </c>
      <c r="Q112" s="79">
        <f t="shared" si="4"/>
        <v>0</v>
      </c>
    </row>
    <row r="113" spans="1:17" s="15" customFormat="1" x14ac:dyDescent="0.25">
      <c r="A113" s="229"/>
      <c r="B113" s="62" t="s">
        <v>71</v>
      </c>
      <c r="C113" s="181" t="s">
        <v>17</v>
      </c>
      <c r="D113" s="182"/>
      <c r="E113" s="183" t="s">
        <v>32</v>
      </c>
      <c r="F113" s="73" t="s">
        <v>431</v>
      </c>
      <c r="G113" s="230" t="s">
        <v>115</v>
      </c>
      <c r="H113" s="181">
        <v>8</v>
      </c>
      <c r="I113" s="231">
        <v>4</v>
      </c>
      <c r="J113" s="96">
        <v>4</v>
      </c>
      <c r="K113" s="237">
        <v>6627.45</v>
      </c>
      <c r="L113" s="237">
        <v>6627.45</v>
      </c>
      <c r="M113" s="78">
        <f t="shared" si="3"/>
        <v>0</v>
      </c>
      <c r="N113" s="114">
        <f>5</f>
        <v>5</v>
      </c>
      <c r="O113" s="77">
        <v>6595.5</v>
      </c>
      <c r="P113" s="77">
        <v>6595.5</v>
      </c>
      <c r="Q113" s="232">
        <f t="shared" si="4"/>
        <v>0</v>
      </c>
    </row>
    <row r="114" spans="1:17" s="13" customFormat="1" x14ac:dyDescent="0.25">
      <c r="A114" s="229"/>
      <c r="B114" s="62" t="s">
        <v>319</v>
      </c>
      <c r="C114" s="181" t="s">
        <v>17</v>
      </c>
      <c r="D114" s="182"/>
      <c r="E114" s="183" t="s">
        <v>20</v>
      </c>
      <c r="F114" s="73" t="s">
        <v>375</v>
      </c>
      <c r="G114" s="74" t="s">
        <v>112</v>
      </c>
      <c r="H114" s="75">
        <v>32</v>
      </c>
      <c r="I114" s="76">
        <v>24</v>
      </c>
      <c r="J114" s="96">
        <f>2+1+4+3+6+2+7+1+2+1+1</f>
        <v>30</v>
      </c>
      <c r="K114" s="77">
        <f>710.77+1523.35+6753.23+7215.52+1437.48+28056.52+6091.99+2561.63+3510.24</f>
        <v>57860.729999999989</v>
      </c>
      <c r="L114" s="77">
        <f>710.77+1523.35+6753.23+7215.52+1437.48+28056.52+6091.99+2561.63+3510.24</f>
        <v>57860.729999999989</v>
      </c>
      <c r="M114" s="78">
        <f t="shared" si="3"/>
        <v>0</v>
      </c>
      <c r="N114" s="100">
        <f>3+1+2+1+2+1</f>
        <v>10</v>
      </c>
      <c r="O114" s="77">
        <f>13419.94+726.71+2846.77+3770.56+4653.31</f>
        <v>25417.290000000005</v>
      </c>
      <c r="P114" s="77">
        <f>13419.94+726.71+2846.77+3770.56+4653.31</f>
        <v>25417.290000000005</v>
      </c>
      <c r="Q114" s="79">
        <f>O114-P114</f>
        <v>0</v>
      </c>
    </row>
    <row r="115" spans="1:17" s="15" customFormat="1" x14ac:dyDescent="0.25">
      <c r="A115" s="229"/>
      <c r="B115" s="62" t="s">
        <v>150</v>
      </c>
      <c r="C115" s="181" t="s">
        <v>17</v>
      </c>
      <c r="D115" s="182"/>
      <c r="E115" s="183" t="s">
        <v>35</v>
      </c>
      <c r="F115" s="73" t="s">
        <v>376</v>
      </c>
      <c r="G115" s="74" t="s">
        <v>112</v>
      </c>
      <c r="H115" s="75">
        <v>31</v>
      </c>
      <c r="I115" s="76">
        <v>15</v>
      </c>
      <c r="J115" s="96">
        <f>1+1+2+2+1+3+1+4</f>
        <v>15</v>
      </c>
      <c r="K115" s="77">
        <f>1343.65+384.2+1690.4+4889.84+2417.43+2791.74</f>
        <v>13517.26</v>
      </c>
      <c r="L115" s="77">
        <f>1343.65+384.2+1690.4+4889.84+2417.43+2791.74</f>
        <v>13517.26</v>
      </c>
      <c r="M115" s="78">
        <f t="shared" si="3"/>
        <v>0</v>
      </c>
      <c r="N115" s="114">
        <f>8+1+1+2+3+1+1+1</f>
        <v>18</v>
      </c>
      <c r="O115" s="77">
        <f>5997.32+3719.39+3054.34+13138.17+6578.46+6198.68</f>
        <v>38686.36</v>
      </c>
      <c r="P115" s="77">
        <f>5997.32+3719.39+3054.34+13138.17+6578.46+6198.68</f>
        <v>38686.36</v>
      </c>
      <c r="Q115" s="79">
        <f t="shared" si="4"/>
        <v>0</v>
      </c>
    </row>
    <row r="116" spans="1:17" s="15" customFormat="1" x14ac:dyDescent="0.25">
      <c r="A116" s="229"/>
      <c r="B116" s="233" t="s">
        <v>150</v>
      </c>
      <c r="C116" s="181" t="s">
        <v>17</v>
      </c>
      <c r="D116" s="182"/>
      <c r="E116" s="183" t="s">
        <v>32</v>
      </c>
      <c r="F116" s="73" t="s">
        <v>487</v>
      </c>
      <c r="G116" s="230" t="s">
        <v>117</v>
      </c>
      <c r="H116" s="181">
        <v>6</v>
      </c>
      <c r="I116" s="231">
        <v>4</v>
      </c>
      <c r="J116" s="96">
        <v>5</v>
      </c>
      <c r="K116" s="77">
        <v>16858.8</v>
      </c>
      <c r="L116" s="77">
        <v>16858.8</v>
      </c>
      <c r="M116" s="78">
        <f t="shared" si="3"/>
        <v>0</v>
      </c>
      <c r="N116" s="100">
        <v>3</v>
      </c>
      <c r="O116" s="77">
        <v>9645.1</v>
      </c>
      <c r="P116" s="77">
        <v>9645.1</v>
      </c>
      <c r="Q116" s="232">
        <f t="shared" si="4"/>
        <v>0</v>
      </c>
    </row>
    <row r="117" spans="1:17" s="13" customFormat="1" x14ac:dyDescent="0.25">
      <c r="A117" s="229"/>
      <c r="B117" s="30" t="s">
        <v>72</v>
      </c>
      <c r="C117" s="181" t="s">
        <v>17</v>
      </c>
      <c r="D117" s="182"/>
      <c r="E117" s="183" t="s">
        <v>21</v>
      </c>
      <c r="F117" s="73" t="s">
        <v>377</v>
      </c>
      <c r="G117" s="74" t="s">
        <v>112</v>
      </c>
      <c r="H117" s="75">
        <v>23</v>
      </c>
      <c r="I117" s="76">
        <v>14</v>
      </c>
      <c r="J117" s="96">
        <f>1+1+1+1+6+2+1+2+3</f>
        <v>18</v>
      </c>
      <c r="K117" s="77">
        <f>633.93+1415.78+1610.18+1394.65+18140.86+2440.63+4140.81</f>
        <v>29776.840000000004</v>
      </c>
      <c r="L117" s="77">
        <f>633.93+1415.78+1610.18+1394.65+18140.86+2440.63+4140.81</f>
        <v>29776.840000000004</v>
      </c>
      <c r="M117" s="78">
        <f t="shared" si="3"/>
        <v>0</v>
      </c>
      <c r="N117" s="100">
        <f>1+3+1+1+1+3+1+3+1+1+2</f>
        <v>18</v>
      </c>
      <c r="O117" s="81">
        <f>1950.74+10237.13+6595.95+3861.21+1348.53+10328.94+50451.86-19567+15859.78</f>
        <v>81067.14</v>
      </c>
      <c r="P117" s="81">
        <f>1950.74+10237.13+6595.95+3861.21+1348.53+10328.94+50451.86-19567+15859.78</f>
        <v>81067.14</v>
      </c>
      <c r="Q117" s="79">
        <f t="shared" si="4"/>
        <v>0</v>
      </c>
    </row>
    <row r="118" spans="1:17" s="13" customFormat="1" x14ac:dyDescent="0.25">
      <c r="A118" s="229"/>
      <c r="B118" s="30" t="s">
        <v>72</v>
      </c>
      <c r="C118" s="181" t="s">
        <v>17</v>
      </c>
      <c r="D118" s="182"/>
      <c r="E118" s="183" t="s">
        <v>21</v>
      </c>
      <c r="F118" s="73" t="s">
        <v>441</v>
      </c>
      <c r="G118" s="230" t="s">
        <v>118</v>
      </c>
      <c r="H118" s="181">
        <v>7</v>
      </c>
      <c r="I118" s="231">
        <v>1</v>
      </c>
      <c r="J118" s="96">
        <v>1</v>
      </c>
      <c r="K118" s="77">
        <v>1728.9</v>
      </c>
      <c r="L118" s="77">
        <v>1728.9</v>
      </c>
      <c r="M118" s="78">
        <f t="shared" si="3"/>
        <v>0</v>
      </c>
      <c r="N118" s="100">
        <v>20</v>
      </c>
      <c r="O118" s="224">
        <v>46633.58</v>
      </c>
      <c r="P118" s="224">
        <v>46633.58</v>
      </c>
      <c r="Q118" s="232">
        <f t="shared" si="4"/>
        <v>0</v>
      </c>
    </row>
    <row r="119" spans="1:17" s="15" customFormat="1" x14ac:dyDescent="0.25">
      <c r="A119" s="229"/>
      <c r="B119" s="30" t="s">
        <v>73</v>
      </c>
      <c r="C119" s="181" t="s">
        <v>17</v>
      </c>
      <c r="D119" s="182"/>
      <c r="E119" s="183" t="s">
        <v>74</v>
      </c>
      <c r="F119" s="73" t="s">
        <v>378</v>
      </c>
      <c r="G119" s="74" t="s">
        <v>112</v>
      </c>
      <c r="H119" s="75">
        <v>33</v>
      </c>
      <c r="I119" s="76">
        <v>28</v>
      </c>
      <c r="J119" s="96">
        <f>9+8+2+2+10+1+6+5</f>
        <v>43</v>
      </c>
      <c r="K119" s="77">
        <f>6305.33+12574.83+14899.84+13657.06+15923.24</f>
        <v>63360.299999999996</v>
      </c>
      <c r="L119" s="77">
        <f>6305.33+12574.83+14899.84+13657.06+15923.24</f>
        <v>63360.299999999996</v>
      </c>
      <c r="M119" s="78">
        <f t="shared" si="3"/>
        <v>0</v>
      </c>
      <c r="N119" s="100">
        <f>5+3+3+1+1+2</f>
        <v>15</v>
      </c>
      <c r="O119" s="81">
        <f>5416.39+9506.99+12269.39+7610.68+1928.68</f>
        <v>36732.129999999997</v>
      </c>
      <c r="P119" s="81">
        <f>5416.39+9506.99+12269.39+7610.68+1928.68</f>
        <v>36732.129999999997</v>
      </c>
      <c r="Q119" s="79">
        <f t="shared" si="4"/>
        <v>0</v>
      </c>
    </row>
    <row r="120" spans="1:17" s="15" customFormat="1" x14ac:dyDescent="0.25">
      <c r="A120" s="229"/>
      <c r="B120" s="30" t="s">
        <v>73</v>
      </c>
      <c r="C120" s="181" t="s">
        <v>17</v>
      </c>
      <c r="D120" s="182"/>
      <c r="E120" s="183" t="s">
        <v>74</v>
      </c>
      <c r="F120" s="73" t="s">
        <v>282</v>
      </c>
      <c r="G120" s="230" t="s">
        <v>114</v>
      </c>
      <c r="H120" s="181"/>
      <c r="I120" s="231"/>
      <c r="J120" s="190"/>
      <c r="K120" s="77"/>
      <c r="L120" s="77"/>
      <c r="M120" s="78">
        <f t="shared" si="3"/>
        <v>0</v>
      </c>
      <c r="N120" s="100">
        <v>1</v>
      </c>
      <c r="O120" s="224">
        <v>1728.9</v>
      </c>
      <c r="P120" s="224">
        <v>1728.9</v>
      </c>
      <c r="Q120" s="232">
        <f t="shared" si="4"/>
        <v>0</v>
      </c>
    </row>
    <row r="121" spans="1:17" s="13" customFormat="1" x14ac:dyDescent="0.25">
      <c r="A121" s="229"/>
      <c r="B121" s="30" t="s">
        <v>135</v>
      </c>
      <c r="C121" s="181" t="s">
        <v>17</v>
      </c>
      <c r="D121" s="182"/>
      <c r="E121" s="194" t="s">
        <v>35</v>
      </c>
      <c r="F121" s="73" t="s">
        <v>379</v>
      </c>
      <c r="G121" s="74" t="s">
        <v>112</v>
      </c>
      <c r="H121" s="75">
        <v>33</v>
      </c>
      <c r="I121" s="76">
        <v>23</v>
      </c>
      <c r="J121" s="96">
        <f>1+6+5+3+3+5+1</f>
        <v>24</v>
      </c>
      <c r="K121" s="77">
        <f>697.32+4374.12+5747.44+4426.94+15712.05+4176.57</f>
        <v>35134.44</v>
      </c>
      <c r="L121" s="77">
        <f>697.32+4374.12+5747.44+4426.94+15712.05+4176.57</f>
        <v>35134.44</v>
      </c>
      <c r="M121" s="78">
        <f t="shared" si="3"/>
        <v>0</v>
      </c>
      <c r="N121" s="100">
        <f>2+5+1+2+2+2</f>
        <v>14</v>
      </c>
      <c r="O121" s="81">
        <f>6432.89+2283.68+4932.13</f>
        <v>13648.7</v>
      </c>
      <c r="P121" s="81">
        <f>6432.89+2283.68+4932.13</f>
        <v>13648.7</v>
      </c>
      <c r="Q121" s="232">
        <f t="shared" si="4"/>
        <v>0</v>
      </c>
    </row>
    <row r="122" spans="1:17" s="13" customFormat="1" x14ac:dyDescent="0.25">
      <c r="A122" s="229"/>
      <c r="B122" s="30" t="s">
        <v>135</v>
      </c>
      <c r="C122" s="181" t="s">
        <v>17</v>
      </c>
      <c r="D122" s="182"/>
      <c r="E122" s="194" t="s">
        <v>35</v>
      </c>
      <c r="F122" s="73" t="s">
        <v>432</v>
      </c>
      <c r="G122" s="230" t="s">
        <v>115</v>
      </c>
      <c r="H122" s="181">
        <v>2</v>
      </c>
      <c r="I122" s="231"/>
      <c r="J122" s="96"/>
      <c r="K122" s="77"/>
      <c r="L122" s="77"/>
      <c r="M122" s="78">
        <f t="shared" si="3"/>
        <v>0</v>
      </c>
      <c r="N122" s="100">
        <v>1</v>
      </c>
      <c r="O122" s="224">
        <v>2689.4</v>
      </c>
      <c r="P122" s="224">
        <v>2689.4</v>
      </c>
      <c r="Q122" s="79">
        <f t="shared" si="4"/>
        <v>0</v>
      </c>
    </row>
    <row r="123" spans="1:17" s="13" customFormat="1" x14ac:dyDescent="0.25">
      <c r="A123" s="229"/>
      <c r="B123" s="30" t="s">
        <v>145</v>
      </c>
      <c r="C123" s="181" t="s">
        <v>17</v>
      </c>
      <c r="D123" s="182"/>
      <c r="E123" s="194" t="s">
        <v>20</v>
      </c>
      <c r="F123" s="73" t="s">
        <v>380</v>
      </c>
      <c r="G123" s="74" t="s">
        <v>112</v>
      </c>
      <c r="H123" s="75">
        <v>16</v>
      </c>
      <c r="I123" s="82">
        <v>13</v>
      </c>
      <c r="J123" s="96">
        <f>2+1+1+2+2+5+3+2+3</f>
        <v>21</v>
      </c>
      <c r="K123" s="77">
        <f>5169.72+1100+538.84+4293.82+3949.22+3361.76+5643.1+4037.33+4704.3</f>
        <v>32798.090000000004</v>
      </c>
      <c r="L123" s="77">
        <f>5169.72+1100+538.84+4293.82+3949.22+3361.76+5643.1+4037.33+4704.3</f>
        <v>32798.090000000004</v>
      </c>
      <c r="M123" s="78">
        <f t="shared" si="3"/>
        <v>0</v>
      </c>
      <c r="N123" s="100">
        <f>1+1+2+1+2+1</f>
        <v>8</v>
      </c>
      <c r="O123" s="81">
        <f>5120.23+3915.15+1114.12+14002.49+7111.04</f>
        <v>31263.03</v>
      </c>
      <c r="P123" s="81">
        <f>5120.23+3915.15+1114.12+14002.49+7111.04</f>
        <v>31263.03</v>
      </c>
      <c r="Q123" s="232">
        <f t="shared" si="4"/>
        <v>0</v>
      </c>
    </row>
    <row r="124" spans="1:17" s="13" customFormat="1" x14ac:dyDescent="0.25">
      <c r="A124" s="229"/>
      <c r="B124" s="30" t="s">
        <v>145</v>
      </c>
      <c r="C124" s="181" t="s">
        <v>17</v>
      </c>
      <c r="D124" s="182"/>
      <c r="E124" s="194" t="s">
        <v>20</v>
      </c>
      <c r="F124" s="73" t="s">
        <v>461</v>
      </c>
      <c r="G124" s="230" t="s">
        <v>114</v>
      </c>
      <c r="H124" s="181">
        <v>5</v>
      </c>
      <c r="I124" s="231">
        <v>1</v>
      </c>
      <c r="J124" s="190">
        <v>1</v>
      </c>
      <c r="K124" s="77">
        <v>1921</v>
      </c>
      <c r="L124" s="77">
        <v>1921</v>
      </c>
      <c r="M124" s="78">
        <f t="shared" si="3"/>
        <v>0</v>
      </c>
      <c r="N124" s="100">
        <v>10</v>
      </c>
      <c r="O124" s="224">
        <v>22933.25</v>
      </c>
      <c r="P124" s="224">
        <v>22933.25</v>
      </c>
      <c r="Q124" s="232">
        <f t="shared" si="4"/>
        <v>0</v>
      </c>
    </row>
    <row r="125" spans="1:17" s="13" customFormat="1" x14ac:dyDescent="0.25">
      <c r="A125" s="229"/>
      <c r="B125" s="62" t="s">
        <v>76</v>
      </c>
      <c r="C125" s="181" t="s">
        <v>17</v>
      </c>
      <c r="D125" s="182"/>
      <c r="E125" s="183" t="s">
        <v>20</v>
      </c>
      <c r="F125" s="73" t="s">
        <v>381</v>
      </c>
      <c r="G125" s="74" t="s">
        <v>112</v>
      </c>
      <c r="H125" s="75">
        <v>25</v>
      </c>
      <c r="I125" s="76">
        <v>19</v>
      </c>
      <c r="J125" s="96">
        <f>1+6+3+1+3+1+2+2+2+1+1</f>
        <v>23</v>
      </c>
      <c r="K125" s="77">
        <f>6556.06+2806.39+2697.06+1267.86+11775.51+1557.35+2113.1+4117.36+1673.84+1724.01</f>
        <v>36288.539999999994</v>
      </c>
      <c r="L125" s="77">
        <f>6556.06+2806.39+2697.06+1267.86+11775.51+1557.35+2113.1+4117.36+1673.84+1724.01</f>
        <v>36288.539999999994</v>
      </c>
      <c r="M125" s="78">
        <f t="shared" si="3"/>
        <v>0</v>
      </c>
      <c r="N125" s="100">
        <f>5+6+2+1+1+1+1+2+2</f>
        <v>21</v>
      </c>
      <c r="O125" s="81">
        <f>11527.9+19846.52+1011.91+9641+2451.87+10072.83+11307.66+2243.83+6181.56+5655.45</f>
        <v>79940.53</v>
      </c>
      <c r="P125" s="81">
        <f>11527.9+19846.52+1011.91+9641+2451.87+10072.83+11307.66+2243.83+6181.56+5655.45</f>
        <v>79940.53</v>
      </c>
      <c r="Q125" s="232">
        <f t="shared" si="4"/>
        <v>0</v>
      </c>
    </row>
    <row r="126" spans="1:17" s="13" customFormat="1" x14ac:dyDescent="0.25">
      <c r="A126" s="229"/>
      <c r="B126" s="62" t="s">
        <v>76</v>
      </c>
      <c r="C126" s="181" t="s">
        <v>17</v>
      </c>
      <c r="D126" s="182"/>
      <c r="E126" s="183" t="s">
        <v>20</v>
      </c>
      <c r="F126" s="73" t="s">
        <v>462</v>
      </c>
      <c r="G126" s="230" t="s">
        <v>114</v>
      </c>
      <c r="H126" s="181">
        <v>14</v>
      </c>
      <c r="I126" s="231">
        <v>2</v>
      </c>
      <c r="J126" s="190">
        <v>2</v>
      </c>
      <c r="K126" s="77">
        <v>4722.2</v>
      </c>
      <c r="L126" s="77">
        <v>4722.2</v>
      </c>
      <c r="M126" s="78">
        <f t="shared" si="3"/>
        <v>0</v>
      </c>
      <c r="N126" s="100">
        <v>9</v>
      </c>
      <c r="O126" s="224">
        <v>30007.39</v>
      </c>
      <c r="P126" s="224">
        <v>30007.39</v>
      </c>
      <c r="Q126" s="232">
        <f t="shared" si="4"/>
        <v>0</v>
      </c>
    </row>
    <row r="127" spans="1:17" s="13" customFormat="1" x14ac:dyDescent="0.25">
      <c r="A127" s="229"/>
      <c r="B127" s="30" t="s">
        <v>77</v>
      </c>
      <c r="C127" s="181" t="s">
        <v>17</v>
      </c>
      <c r="D127" s="182"/>
      <c r="E127" s="183" t="s">
        <v>32</v>
      </c>
      <c r="F127" s="73" t="s">
        <v>388</v>
      </c>
      <c r="G127" s="74" t="s">
        <v>112</v>
      </c>
      <c r="H127" s="75">
        <v>21</v>
      </c>
      <c r="I127" s="76">
        <v>12</v>
      </c>
      <c r="J127" s="96">
        <f>2+2+2+6+1+1+1</f>
        <v>15</v>
      </c>
      <c r="K127" s="77">
        <f>2440.63+1507.02+2101.48+13625.7+1324.62+2083.47</f>
        <v>23082.920000000002</v>
      </c>
      <c r="L127" s="77">
        <v>23082.920000000002</v>
      </c>
      <c r="M127" s="78">
        <f t="shared" si="3"/>
        <v>0</v>
      </c>
      <c r="N127" s="100">
        <f>5+2+3+3+1+1</f>
        <v>15</v>
      </c>
      <c r="O127" s="81">
        <f>11716.73+6848.82+4046.18+11166.34+8845.95</f>
        <v>42624.020000000004</v>
      </c>
      <c r="P127" s="81">
        <f>11716.73+6848.82+4046.18+11166.34+8845.95</f>
        <v>42624.020000000004</v>
      </c>
      <c r="Q127" s="232">
        <f t="shared" si="4"/>
        <v>0</v>
      </c>
    </row>
    <row r="128" spans="1:17" s="13" customFormat="1" x14ac:dyDescent="0.25">
      <c r="A128" s="229"/>
      <c r="B128" s="30" t="s">
        <v>77</v>
      </c>
      <c r="C128" s="181" t="s">
        <v>17</v>
      </c>
      <c r="D128" s="182"/>
      <c r="E128" s="183" t="s">
        <v>32</v>
      </c>
      <c r="F128" s="73" t="s">
        <v>433</v>
      </c>
      <c r="G128" s="230" t="s">
        <v>117</v>
      </c>
      <c r="H128" s="181">
        <v>3</v>
      </c>
      <c r="I128" s="231">
        <v>1</v>
      </c>
      <c r="J128" s="96">
        <v>1</v>
      </c>
      <c r="K128" s="77">
        <v>1921</v>
      </c>
      <c r="L128" s="77">
        <v>1921</v>
      </c>
      <c r="M128" s="78">
        <f t="shared" si="3"/>
        <v>0</v>
      </c>
      <c r="N128" s="100">
        <v>6</v>
      </c>
      <c r="O128" s="224">
        <v>18164.11</v>
      </c>
      <c r="P128" s="224">
        <v>18164.11</v>
      </c>
      <c r="Q128" s="79">
        <f t="shared" si="4"/>
        <v>0</v>
      </c>
    </row>
    <row r="129" spans="1:17" s="13" customFormat="1" x14ac:dyDescent="0.25">
      <c r="A129" s="229"/>
      <c r="B129" s="30" t="s">
        <v>321</v>
      </c>
      <c r="C129" s="181" t="s">
        <v>17</v>
      </c>
      <c r="D129" s="182"/>
      <c r="E129" s="183" t="s">
        <v>21</v>
      </c>
      <c r="F129" s="73" t="s">
        <v>489</v>
      </c>
      <c r="G129" s="230" t="s">
        <v>112</v>
      </c>
      <c r="H129" s="181">
        <v>6</v>
      </c>
      <c r="I129" s="231">
        <v>2</v>
      </c>
      <c r="J129" s="96">
        <f>1+1</f>
        <v>2</v>
      </c>
      <c r="K129" s="77">
        <f>2547.89+1766.16</f>
        <v>4314.05</v>
      </c>
      <c r="L129" s="77">
        <f>2547.89+1766.16</f>
        <v>4314.05</v>
      </c>
      <c r="M129" s="78">
        <f t="shared" si="3"/>
        <v>0</v>
      </c>
      <c r="N129" s="100"/>
      <c r="O129" s="224"/>
      <c r="P129" s="224"/>
      <c r="Q129" s="79">
        <f t="shared" si="4"/>
        <v>0</v>
      </c>
    </row>
    <row r="130" spans="1:17" s="13" customFormat="1" ht="30" x14ac:dyDescent="0.25">
      <c r="A130" s="229"/>
      <c r="B130" s="62" t="s">
        <v>79</v>
      </c>
      <c r="C130" s="181" t="s">
        <v>304</v>
      </c>
      <c r="D130" s="182" t="s">
        <v>385</v>
      </c>
      <c r="E130" s="183" t="s">
        <v>18</v>
      </c>
      <c r="F130" s="73" t="s">
        <v>389</v>
      </c>
      <c r="G130" s="74" t="s">
        <v>112</v>
      </c>
      <c r="H130" s="75">
        <v>19</v>
      </c>
      <c r="I130" s="76">
        <v>17</v>
      </c>
      <c r="J130" s="96">
        <f>2+5+2+3+2+2+5</f>
        <v>21</v>
      </c>
      <c r="K130" s="77">
        <f>2091.97+3190.2+5703.08+6368.88+4029.68+4560.06</f>
        <v>25943.870000000003</v>
      </c>
      <c r="L130" s="77">
        <f>2091.97+3190.2+5703.08+6368.88+4029.68+4560.06</f>
        <v>25943.870000000003</v>
      </c>
      <c r="M130" s="78">
        <f t="shared" si="3"/>
        <v>0</v>
      </c>
      <c r="N130" s="100">
        <f>2+2+1+2+1+1+3+1</f>
        <v>13</v>
      </c>
      <c r="O130" s="81">
        <f>1547.4+4166.12+7835.61+1675.01+4717.63+6039.62+18829.39+23135.63</f>
        <v>67946.41</v>
      </c>
      <c r="P130" s="81">
        <f>1547.4+4166.12+7835.61+1675.01+4717.63+6039.62+18829.39+23135.63</f>
        <v>67946.41</v>
      </c>
      <c r="Q130" s="232">
        <f t="shared" si="4"/>
        <v>0</v>
      </c>
    </row>
    <row r="131" spans="1:17" s="13" customFormat="1" ht="30" x14ac:dyDescent="0.25">
      <c r="A131" s="229"/>
      <c r="B131" s="62" t="s">
        <v>79</v>
      </c>
      <c r="C131" s="181" t="s">
        <v>304</v>
      </c>
      <c r="D131" s="182" t="s">
        <v>475</v>
      </c>
      <c r="E131" s="183" t="s">
        <v>18</v>
      </c>
      <c r="F131" s="73" t="s">
        <v>329</v>
      </c>
      <c r="G131" s="271" t="s">
        <v>116</v>
      </c>
      <c r="H131" s="181">
        <v>42</v>
      </c>
      <c r="I131" s="234">
        <v>30</v>
      </c>
      <c r="J131" s="98">
        <v>34</v>
      </c>
      <c r="K131" s="224">
        <v>76112</v>
      </c>
      <c r="L131" s="224">
        <v>76112</v>
      </c>
      <c r="M131" s="78">
        <f t="shared" si="3"/>
        <v>0</v>
      </c>
      <c r="N131" s="100">
        <v>15</v>
      </c>
      <c r="O131" s="224">
        <v>56311</v>
      </c>
      <c r="P131" s="224">
        <v>56311</v>
      </c>
      <c r="Q131" s="79">
        <f t="shared" si="4"/>
        <v>0</v>
      </c>
    </row>
    <row r="132" spans="1:17" s="13" customFormat="1" x14ac:dyDescent="0.25">
      <c r="A132" s="229"/>
      <c r="B132" s="62" t="s">
        <v>151</v>
      </c>
      <c r="C132" s="181" t="s">
        <v>17</v>
      </c>
      <c r="D132" s="182"/>
      <c r="E132" s="183" t="s">
        <v>32</v>
      </c>
      <c r="F132" s="73" t="s">
        <v>390</v>
      </c>
      <c r="G132" s="74" t="s">
        <v>112</v>
      </c>
      <c r="H132" s="75">
        <v>59</v>
      </c>
      <c r="I132" s="82">
        <v>50</v>
      </c>
      <c r="J132" s="96">
        <f>1+3+3+5+3+9+4+6+3+2+6+5+3+8+4</f>
        <v>65</v>
      </c>
      <c r="K132" s="81">
        <f>2317+4640.19+5864.19+10765+12519.53+4514.35+14486.46+3421.94+27163.56+5180.87+3460.57</f>
        <v>94333.66</v>
      </c>
      <c r="L132" s="81">
        <f>2317+4640.19+5864.19+10765+12519.53+4514.35+14486.46+3421.94+27163.56+5180.87+3460.57</f>
        <v>94333.66</v>
      </c>
      <c r="M132" s="78">
        <f t="shared" si="3"/>
        <v>0</v>
      </c>
      <c r="N132" s="100">
        <f>9+3+5+1+4+4+1+2</f>
        <v>29</v>
      </c>
      <c r="O132" s="81">
        <f>10726.94+18822.65+5703.53+12846.53+1320.36+4050.1+22728.38</f>
        <v>76198.490000000005</v>
      </c>
      <c r="P132" s="81">
        <f>10726.94+18822.65+5703.53+12846.53+1320.36+4050.1+22728.38</f>
        <v>76198.490000000005</v>
      </c>
      <c r="Q132" s="232">
        <f t="shared" si="4"/>
        <v>0</v>
      </c>
    </row>
    <row r="133" spans="1:17" s="13" customFormat="1" x14ac:dyDescent="0.25">
      <c r="A133" s="229"/>
      <c r="B133" s="62" t="s">
        <v>151</v>
      </c>
      <c r="C133" s="181" t="s">
        <v>17</v>
      </c>
      <c r="D133" s="182"/>
      <c r="E133" s="183" t="s">
        <v>32</v>
      </c>
      <c r="F133" s="73" t="s">
        <v>434</v>
      </c>
      <c r="G133" s="230" t="s">
        <v>117</v>
      </c>
      <c r="H133" s="181">
        <v>12</v>
      </c>
      <c r="I133" s="231">
        <v>3</v>
      </c>
      <c r="J133" s="96">
        <v>3</v>
      </c>
      <c r="K133" s="77">
        <v>3411.9</v>
      </c>
      <c r="L133" s="77">
        <v>3411.9</v>
      </c>
      <c r="M133" s="78">
        <f t="shared" si="3"/>
        <v>0</v>
      </c>
      <c r="N133" s="100">
        <v>13</v>
      </c>
      <c r="O133" s="224">
        <v>24537.7</v>
      </c>
      <c r="P133" s="224">
        <v>24537.7</v>
      </c>
      <c r="Q133" s="79">
        <f t="shared" si="4"/>
        <v>0</v>
      </c>
    </row>
    <row r="134" spans="1:17" s="13" customFormat="1" x14ac:dyDescent="0.25">
      <c r="A134" s="229"/>
      <c r="B134" s="62" t="s">
        <v>80</v>
      </c>
      <c r="C134" s="181" t="s">
        <v>17</v>
      </c>
      <c r="D134" s="182"/>
      <c r="E134" s="183" t="s">
        <v>81</v>
      </c>
      <c r="F134" s="73" t="s">
        <v>417</v>
      </c>
      <c r="G134" s="74" t="s">
        <v>112</v>
      </c>
      <c r="H134" s="75"/>
      <c r="I134" s="76"/>
      <c r="J134" s="96"/>
      <c r="K134" s="77">
        <f>749.19+8649.27</f>
        <v>9398.4600000000009</v>
      </c>
      <c r="L134" s="77">
        <f>749.19+8649.27</f>
        <v>9398.4600000000009</v>
      </c>
      <c r="M134" s="78">
        <f t="shared" si="3"/>
        <v>0</v>
      </c>
      <c r="N134" s="100">
        <f>2+2</f>
        <v>4</v>
      </c>
      <c r="O134" s="81">
        <f>3040.94+9398.46</f>
        <v>12439.4</v>
      </c>
      <c r="P134" s="81">
        <f>3040.94+9398.46</f>
        <v>12439.4</v>
      </c>
      <c r="Q134" s="232">
        <f t="shared" si="4"/>
        <v>0</v>
      </c>
    </row>
    <row r="135" spans="1:17" s="13" customFormat="1" x14ac:dyDescent="0.25">
      <c r="A135" s="229"/>
      <c r="B135" s="62" t="s">
        <v>80</v>
      </c>
      <c r="C135" s="181" t="s">
        <v>17</v>
      </c>
      <c r="D135" s="182"/>
      <c r="E135" s="183" t="s">
        <v>81</v>
      </c>
      <c r="F135" s="73" t="s">
        <v>285</v>
      </c>
      <c r="G135" s="230" t="s">
        <v>114</v>
      </c>
      <c r="H135" s="181"/>
      <c r="I135" s="231"/>
      <c r="J135" s="190"/>
      <c r="K135" s="77"/>
      <c r="L135" s="77"/>
      <c r="M135" s="78">
        <f t="shared" si="3"/>
        <v>0</v>
      </c>
      <c r="N135" s="100">
        <v>23</v>
      </c>
      <c r="O135" s="224">
        <v>58735.99</v>
      </c>
      <c r="P135" s="224">
        <v>58735.99</v>
      </c>
      <c r="Q135" s="232">
        <f t="shared" si="4"/>
        <v>0</v>
      </c>
    </row>
    <row r="136" spans="1:17" s="13" customFormat="1" x14ac:dyDescent="0.25">
      <c r="A136" s="229"/>
      <c r="B136" s="30" t="s">
        <v>82</v>
      </c>
      <c r="C136" s="181" t="s">
        <v>17</v>
      </c>
      <c r="D136" s="182"/>
      <c r="E136" s="183" t="s">
        <v>20</v>
      </c>
      <c r="F136" s="73" t="s">
        <v>394</v>
      </c>
      <c r="G136" s="74" t="s">
        <v>112</v>
      </c>
      <c r="H136" s="75">
        <v>14</v>
      </c>
      <c r="I136" s="76">
        <v>11</v>
      </c>
      <c r="J136" s="96">
        <f>4+3+2+2+1+1</f>
        <v>13</v>
      </c>
      <c r="K136" s="77">
        <v>20254</v>
      </c>
      <c r="L136" s="77">
        <v>20254</v>
      </c>
      <c r="M136" s="78">
        <f t="shared" si="3"/>
        <v>0</v>
      </c>
      <c r="N136" s="100">
        <f>3+5+1+1+1</f>
        <v>11</v>
      </c>
      <c r="O136" s="81">
        <f>5975.84+23579.15+1426.34</f>
        <v>30981.33</v>
      </c>
      <c r="P136" s="81">
        <f>5975.84+23579.15+1426.34</f>
        <v>30981.33</v>
      </c>
      <c r="Q136" s="232">
        <f t="shared" si="4"/>
        <v>0</v>
      </c>
    </row>
    <row r="137" spans="1:17" s="13" customFormat="1" x14ac:dyDescent="0.25">
      <c r="A137" s="229"/>
      <c r="B137" s="30" t="s">
        <v>82</v>
      </c>
      <c r="C137" s="181" t="s">
        <v>17</v>
      </c>
      <c r="D137" s="182"/>
      <c r="E137" s="183" t="s">
        <v>20</v>
      </c>
      <c r="F137" s="73" t="s">
        <v>463</v>
      </c>
      <c r="G137" s="230" t="s">
        <v>114</v>
      </c>
      <c r="H137" s="181">
        <v>19</v>
      </c>
      <c r="I137" s="231">
        <v>5</v>
      </c>
      <c r="J137" s="190">
        <v>5</v>
      </c>
      <c r="K137" s="77">
        <v>11385.5</v>
      </c>
      <c r="L137" s="77">
        <v>11385.5</v>
      </c>
      <c r="M137" s="78">
        <f t="shared" si="3"/>
        <v>0</v>
      </c>
      <c r="N137" s="100">
        <v>14</v>
      </c>
      <c r="O137" s="224">
        <v>48620.71</v>
      </c>
      <c r="P137" s="224">
        <v>48620.71</v>
      </c>
      <c r="Q137" s="232">
        <f t="shared" si="4"/>
        <v>0</v>
      </c>
    </row>
    <row r="138" spans="1:17" s="13" customFormat="1" x14ac:dyDescent="0.25">
      <c r="A138" s="229"/>
      <c r="B138" s="30" t="s">
        <v>309</v>
      </c>
      <c r="C138" s="181" t="s">
        <v>17</v>
      </c>
      <c r="D138" s="182"/>
      <c r="E138" s="183" t="s">
        <v>20</v>
      </c>
      <c r="F138" s="73" t="s">
        <v>391</v>
      </c>
      <c r="G138" s="230" t="s">
        <v>112</v>
      </c>
      <c r="H138" s="181">
        <v>15</v>
      </c>
      <c r="I138" s="231">
        <v>10</v>
      </c>
      <c r="J138" s="190">
        <f>1+5+2+1+1+1</f>
        <v>11</v>
      </c>
      <c r="K138" s="77">
        <f>3606.1+3402.77+2649.24+993.47+441.54</f>
        <v>11093.12</v>
      </c>
      <c r="L138" s="77">
        <f>3606.1+3402.77+2649.24+993.47+441.54</f>
        <v>11093.12</v>
      </c>
      <c r="M138" s="78">
        <f t="shared" si="3"/>
        <v>0</v>
      </c>
      <c r="N138" s="100">
        <f>1+5+1+3</f>
        <v>10</v>
      </c>
      <c r="O138" s="224">
        <f>3088.97+13147.65+1267.86+5955.71</f>
        <v>23460.19</v>
      </c>
      <c r="P138" s="224">
        <f>3088.97+13147.65+1267.86+5955.71</f>
        <v>23460.19</v>
      </c>
      <c r="Q138" s="232">
        <f t="shared" si="4"/>
        <v>0</v>
      </c>
    </row>
    <row r="139" spans="1:17" s="13" customFormat="1" x14ac:dyDescent="0.25">
      <c r="A139" s="229"/>
      <c r="B139" s="30" t="s">
        <v>152</v>
      </c>
      <c r="C139" s="181" t="s">
        <v>17</v>
      </c>
      <c r="D139" s="182"/>
      <c r="E139" s="183" t="s">
        <v>35</v>
      </c>
      <c r="F139" s="73" t="s">
        <v>392</v>
      </c>
      <c r="G139" s="74" t="s">
        <v>112</v>
      </c>
      <c r="H139" s="75">
        <v>7</v>
      </c>
      <c r="I139" s="76">
        <v>6</v>
      </c>
      <c r="J139" s="96">
        <f>1+1+2+1+1+1+2</f>
        <v>9</v>
      </c>
      <c r="K139" s="77">
        <f>403.41+845.24+2113.1+2649.24</f>
        <v>6010.99</v>
      </c>
      <c r="L139" s="77">
        <f>403.41+845.24+2113.1+2649.24</f>
        <v>6010.99</v>
      </c>
      <c r="M139" s="78">
        <f t="shared" ref="M139:M189" si="5">K139-L139</f>
        <v>0</v>
      </c>
      <c r="N139" s="100">
        <f>2+2+2+1+1+1+2</f>
        <v>11</v>
      </c>
      <c r="O139" s="81">
        <f>1690.48+3050.26+3661.61+4648.82+1267.86+1690.48+9282.42+4052.53</f>
        <v>29344.46</v>
      </c>
      <c r="P139" s="81">
        <f>1690.48+3050.26+3661.61+4648.82+1267.86+1690.48+9282.42+4052.53</f>
        <v>29344.46</v>
      </c>
      <c r="Q139" s="232">
        <f t="shared" si="4"/>
        <v>0</v>
      </c>
    </row>
    <row r="140" spans="1:17" s="13" customFormat="1" x14ac:dyDescent="0.25">
      <c r="A140" s="229"/>
      <c r="B140" s="30" t="s">
        <v>83</v>
      </c>
      <c r="C140" s="181" t="s">
        <v>17</v>
      </c>
      <c r="D140" s="182"/>
      <c r="E140" s="183" t="s">
        <v>20</v>
      </c>
      <c r="F140" s="73" t="s">
        <v>393</v>
      </c>
      <c r="G140" s="74" t="s">
        <v>112</v>
      </c>
      <c r="H140" s="75">
        <v>13</v>
      </c>
      <c r="I140" s="76">
        <v>8</v>
      </c>
      <c r="J140" s="96">
        <f>1+1+2+1+1+1+1+1</f>
        <v>9</v>
      </c>
      <c r="K140" s="77">
        <f>768.4+2535.72+845.24+14407.5+883.08</f>
        <v>19439.940000000002</v>
      </c>
      <c r="L140" s="77">
        <f>768.4+2535.72+845.24+14407.5+883.08</f>
        <v>19439.940000000002</v>
      </c>
      <c r="M140" s="78">
        <f t="shared" si="5"/>
        <v>0</v>
      </c>
      <c r="N140" s="100">
        <f>1+2+1+1+1+2</f>
        <v>8</v>
      </c>
      <c r="O140" s="81">
        <f>5837.09+1922.92+4288.54+1686.25</f>
        <v>13734.8</v>
      </c>
      <c r="P140" s="81">
        <f>5837.09+1922.92+4288.54+1686.25</f>
        <v>13734.8</v>
      </c>
      <c r="Q140" s="232">
        <f t="shared" si="4"/>
        <v>0</v>
      </c>
    </row>
    <row r="141" spans="1:17" s="13" customFormat="1" x14ac:dyDescent="0.25">
      <c r="A141" s="229"/>
      <c r="B141" s="30" t="s">
        <v>83</v>
      </c>
      <c r="C141" s="181" t="s">
        <v>17</v>
      </c>
      <c r="D141" s="182"/>
      <c r="E141" s="183" t="s">
        <v>20</v>
      </c>
      <c r="F141" s="73" t="s">
        <v>464</v>
      </c>
      <c r="G141" s="230" t="s">
        <v>114</v>
      </c>
      <c r="H141" s="181">
        <v>30</v>
      </c>
      <c r="I141" s="231">
        <v>12</v>
      </c>
      <c r="J141" s="190">
        <v>12</v>
      </c>
      <c r="K141" s="77">
        <v>33226.89</v>
      </c>
      <c r="L141" s="77">
        <v>33226.89</v>
      </c>
      <c r="M141" s="78">
        <f t="shared" si="5"/>
        <v>0</v>
      </c>
      <c r="N141" s="100">
        <v>28</v>
      </c>
      <c r="O141" s="224">
        <v>106750.62</v>
      </c>
      <c r="P141" s="224">
        <v>106750.62</v>
      </c>
      <c r="Q141" s="232">
        <f t="shared" si="4"/>
        <v>0</v>
      </c>
    </row>
    <row r="142" spans="1:17" s="13" customFormat="1" ht="45" x14ac:dyDescent="0.25">
      <c r="A142" s="229"/>
      <c r="B142" s="30" t="s">
        <v>85</v>
      </c>
      <c r="C142" s="181" t="s">
        <v>304</v>
      </c>
      <c r="D142" s="182" t="s">
        <v>415</v>
      </c>
      <c r="E142" s="183" t="s">
        <v>20</v>
      </c>
      <c r="F142" s="73" t="s">
        <v>395</v>
      </c>
      <c r="G142" s="74" t="s">
        <v>112</v>
      </c>
      <c r="H142" s="75">
        <v>20</v>
      </c>
      <c r="I142" s="76">
        <v>9</v>
      </c>
      <c r="J142" s="98">
        <f>2+1+1+1</f>
        <v>5</v>
      </c>
      <c r="K142" s="77">
        <f>4800.58+2591.84+7239.38</f>
        <v>14631.8</v>
      </c>
      <c r="L142" s="77">
        <f>4800.58+2591.84+7239.38</f>
        <v>14631.8</v>
      </c>
      <c r="M142" s="78">
        <f t="shared" si="5"/>
        <v>0</v>
      </c>
      <c r="N142" s="100">
        <f>2+1+2</f>
        <v>5</v>
      </c>
      <c r="O142" s="81">
        <f>3917.73+8936.21+5669.37+31185.72+18292.46</f>
        <v>68001.489999999991</v>
      </c>
      <c r="P142" s="81">
        <f>3917.73+8936.21+5669.37+31185.72+18292.46</f>
        <v>68001.489999999991</v>
      </c>
      <c r="Q142" s="79">
        <f t="shared" si="4"/>
        <v>0</v>
      </c>
    </row>
    <row r="143" spans="1:17" s="13" customFormat="1" x14ac:dyDescent="0.25">
      <c r="A143" s="229"/>
      <c r="B143" s="27" t="s">
        <v>86</v>
      </c>
      <c r="C143" s="181" t="s">
        <v>17</v>
      </c>
      <c r="D143" s="182"/>
      <c r="E143" s="194" t="s">
        <v>20</v>
      </c>
      <c r="F143" s="73" t="s">
        <v>396</v>
      </c>
      <c r="G143" s="74" t="s">
        <v>112</v>
      </c>
      <c r="H143" s="75">
        <v>22</v>
      </c>
      <c r="I143" s="76">
        <v>18</v>
      </c>
      <c r="J143" s="96">
        <f>1+3+1+7+2+2+5+5</f>
        <v>26</v>
      </c>
      <c r="K143" s="77">
        <f>950.9+5134.06+2091.97+528.03+8954.46+5719.74+9578.1</f>
        <v>32957.259999999995</v>
      </c>
      <c r="L143" s="77">
        <f>950.9+5134.06+2091.97+528.03+8954.46+5719.74+9578.1</f>
        <v>32957.259999999995</v>
      </c>
      <c r="M143" s="78">
        <f t="shared" si="5"/>
        <v>0</v>
      </c>
      <c r="N143" s="100">
        <f>15+4+2+1+2+2</f>
        <v>26</v>
      </c>
      <c r="O143" s="81">
        <f>30236.61+18366.75+8887.09+1077.68+8961.95</f>
        <v>67530.080000000002</v>
      </c>
      <c r="P143" s="81">
        <f>30236.61+18366.75+8887.09+1077.68+8961.95</f>
        <v>67530.080000000002</v>
      </c>
      <c r="Q143" s="232">
        <f t="shared" si="4"/>
        <v>0</v>
      </c>
    </row>
    <row r="144" spans="1:17" s="13" customFormat="1" x14ac:dyDescent="0.25">
      <c r="A144" s="229"/>
      <c r="B144" s="27" t="s">
        <v>86</v>
      </c>
      <c r="C144" s="181" t="s">
        <v>17</v>
      </c>
      <c r="D144" s="182"/>
      <c r="E144" s="194" t="s">
        <v>20</v>
      </c>
      <c r="F144" s="73" t="s">
        <v>465</v>
      </c>
      <c r="G144" s="230" t="s">
        <v>114</v>
      </c>
      <c r="H144" s="181">
        <v>9</v>
      </c>
      <c r="I144" s="231">
        <v>2</v>
      </c>
      <c r="J144" s="190">
        <v>2</v>
      </c>
      <c r="K144" s="77">
        <v>3933.72</v>
      </c>
      <c r="L144" s="77">
        <v>3933.72</v>
      </c>
      <c r="M144" s="78">
        <f t="shared" si="5"/>
        <v>0</v>
      </c>
      <c r="N144" s="100">
        <v>9</v>
      </c>
      <c r="O144" s="224">
        <v>20829.13</v>
      </c>
      <c r="P144" s="224">
        <v>20829.13</v>
      </c>
      <c r="Q144" s="232">
        <f t="shared" si="4"/>
        <v>0</v>
      </c>
    </row>
    <row r="145" spans="1:17" s="13" customFormat="1" x14ac:dyDescent="0.25">
      <c r="A145" s="229"/>
      <c r="B145" s="62" t="s">
        <v>312</v>
      </c>
      <c r="C145" s="181" t="s">
        <v>17</v>
      </c>
      <c r="D145" s="182"/>
      <c r="E145" s="194" t="s">
        <v>20</v>
      </c>
      <c r="F145" s="73" t="s">
        <v>320</v>
      </c>
      <c r="G145" s="74" t="s">
        <v>112</v>
      </c>
      <c r="H145" s="75">
        <v>21</v>
      </c>
      <c r="I145" s="76">
        <v>13</v>
      </c>
      <c r="J145" s="96">
        <f>1+1+1+2+3+4</f>
        <v>12</v>
      </c>
      <c r="K145" s="77">
        <f>3319.49+845.24+4965.79+4415.4</f>
        <v>13545.92</v>
      </c>
      <c r="L145" s="77">
        <f>3319.49+845.24+4965.79+4415.4</f>
        <v>13545.92</v>
      </c>
      <c r="M145" s="78">
        <f t="shared" si="5"/>
        <v>0</v>
      </c>
      <c r="N145" s="100">
        <f>5+6+1+1</f>
        <v>13</v>
      </c>
      <c r="O145" s="81">
        <f>4226.2+6627.45+4360.59+6336.1</f>
        <v>21550.34</v>
      </c>
      <c r="P145" s="81">
        <f>4226.2+6627.45+4360.59+6336.1</f>
        <v>21550.34</v>
      </c>
      <c r="Q145" s="232">
        <f t="shared" si="4"/>
        <v>0</v>
      </c>
    </row>
    <row r="146" spans="1:17" s="13" customFormat="1" x14ac:dyDescent="0.25">
      <c r="A146" s="229"/>
      <c r="B146" s="62" t="s">
        <v>494</v>
      </c>
      <c r="C146" s="181" t="s">
        <v>17</v>
      </c>
      <c r="D146" s="182"/>
      <c r="E146" s="194" t="s">
        <v>20</v>
      </c>
      <c r="F146" s="73" t="s">
        <v>497</v>
      </c>
      <c r="G146" s="74" t="s">
        <v>112</v>
      </c>
      <c r="H146" s="75">
        <v>13</v>
      </c>
      <c r="I146" s="76">
        <v>9</v>
      </c>
      <c r="J146" s="96">
        <f>1+1+1+1+2+1+2</f>
        <v>9</v>
      </c>
      <c r="K146" s="77">
        <f>3379+5494.06+576.3+2417.43+3057.66+2384.32</f>
        <v>17308.77</v>
      </c>
      <c r="L146" s="77">
        <f>3379+5494.06+576.3+2417.43+3057.66+2384.32</f>
        <v>17308.77</v>
      </c>
      <c r="M146" s="78">
        <f t="shared" si="5"/>
        <v>0</v>
      </c>
      <c r="N146" s="100"/>
      <c r="O146" s="81"/>
      <c r="P146" s="81"/>
      <c r="Q146" s="232">
        <f t="shared" ref="Q146:Q190" si="6">O146-P146</f>
        <v>0</v>
      </c>
    </row>
    <row r="147" spans="1:17" s="13" customFormat="1" x14ac:dyDescent="0.25">
      <c r="A147" s="229"/>
      <c r="B147" s="62" t="s">
        <v>494</v>
      </c>
      <c r="C147" s="181" t="s">
        <v>17</v>
      </c>
      <c r="D147" s="182"/>
      <c r="E147" s="194" t="s">
        <v>20</v>
      </c>
      <c r="F147" s="73" t="s">
        <v>507</v>
      </c>
      <c r="G147" s="74" t="s">
        <v>114</v>
      </c>
      <c r="H147" s="75">
        <v>35</v>
      </c>
      <c r="I147" s="76">
        <v>6</v>
      </c>
      <c r="J147" s="96">
        <v>6</v>
      </c>
      <c r="K147" s="77">
        <v>14361.56</v>
      </c>
      <c r="L147" s="77">
        <v>14361.56</v>
      </c>
      <c r="M147" s="78">
        <f t="shared" si="5"/>
        <v>0</v>
      </c>
      <c r="N147" s="100"/>
      <c r="O147" s="81"/>
      <c r="P147" s="81"/>
      <c r="Q147" s="232">
        <f t="shared" si="6"/>
        <v>0</v>
      </c>
    </row>
    <row r="148" spans="1:17" s="13" customFormat="1" x14ac:dyDescent="0.25">
      <c r="A148" s="229"/>
      <c r="B148" s="30" t="s">
        <v>88</v>
      </c>
      <c r="C148" s="181" t="s">
        <v>17</v>
      </c>
      <c r="D148" s="182"/>
      <c r="E148" s="183" t="s">
        <v>89</v>
      </c>
      <c r="F148" s="73" t="s">
        <v>397</v>
      </c>
      <c r="G148" s="74" t="s">
        <v>112</v>
      </c>
      <c r="H148" s="75">
        <v>23</v>
      </c>
      <c r="I148" s="76">
        <v>12</v>
      </c>
      <c r="J148" s="96">
        <f>1+3+1+2+4+1</f>
        <v>12</v>
      </c>
      <c r="K148" s="77">
        <f>4226.2+2394.91+6485.1+556.71+4126.31+9704.16+1282.67+1282.67</f>
        <v>30058.729999999996</v>
      </c>
      <c r="L148" s="77">
        <f>4226.2+2394.91+6485.1+556.71+4126.31+9704.16+1282.67+1282.67</f>
        <v>30058.729999999996</v>
      </c>
      <c r="M148" s="78">
        <f t="shared" si="5"/>
        <v>0</v>
      </c>
      <c r="N148" s="100">
        <f>4+1+3+1+2+2+1+1+2</f>
        <v>17</v>
      </c>
      <c r="O148" s="81">
        <f>11967.83+2831.55+10544.37+9418.99+3799.13+1798.04+2548.4-12193.52+4083.77</f>
        <v>34798.559999999998</v>
      </c>
      <c r="P148" s="81">
        <f>11967.83+2831.55+10544.37+9418.99+3799.13+1798.04+2548.4-12193.52+4083.77</f>
        <v>34798.559999999998</v>
      </c>
      <c r="Q148" s="79">
        <f t="shared" si="6"/>
        <v>0</v>
      </c>
    </row>
    <row r="149" spans="1:17" s="13" customFormat="1" x14ac:dyDescent="0.25">
      <c r="A149" s="229"/>
      <c r="B149" s="30" t="s">
        <v>88</v>
      </c>
      <c r="C149" s="181" t="s">
        <v>17</v>
      </c>
      <c r="D149" s="182"/>
      <c r="E149" s="183" t="s">
        <v>89</v>
      </c>
      <c r="F149" s="73" t="s">
        <v>442</v>
      </c>
      <c r="G149" s="230" t="s">
        <v>118</v>
      </c>
      <c r="H149" s="181">
        <v>7</v>
      </c>
      <c r="I149" s="231">
        <v>1</v>
      </c>
      <c r="J149" s="96">
        <v>1</v>
      </c>
      <c r="K149" s="77"/>
      <c r="L149" s="77"/>
      <c r="M149" s="78">
        <f t="shared" si="5"/>
        <v>0</v>
      </c>
      <c r="N149" s="100">
        <v>3</v>
      </c>
      <c r="O149" s="224">
        <v>11020.82</v>
      </c>
      <c r="P149" s="224">
        <v>11020.82</v>
      </c>
      <c r="Q149" s="232">
        <f t="shared" si="6"/>
        <v>0</v>
      </c>
    </row>
    <row r="150" spans="1:17" s="13" customFormat="1" x14ac:dyDescent="0.25">
      <c r="A150" s="229"/>
      <c r="B150" s="30" t="s">
        <v>88</v>
      </c>
      <c r="C150" s="181" t="s">
        <v>17</v>
      </c>
      <c r="D150" s="182"/>
      <c r="E150" s="194" t="s">
        <v>505</v>
      </c>
      <c r="F150" s="73" t="s">
        <v>506</v>
      </c>
      <c r="G150" s="230" t="s">
        <v>114</v>
      </c>
      <c r="H150" s="181">
        <v>6</v>
      </c>
      <c r="I150" s="231">
        <v>2</v>
      </c>
      <c r="J150" s="96">
        <v>2</v>
      </c>
      <c r="K150" s="77">
        <v>6559.74</v>
      </c>
      <c r="L150" s="77">
        <v>6559.74</v>
      </c>
      <c r="M150" s="78">
        <f t="shared" si="5"/>
        <v>0</v>
      </c>
      <c r="N150" s="100"/>
      <c r="O150" s="224"/>
      <c r="P150" s="224"/>
      <c r="Q150" s="232">
        <f t="shared" si="6"/>
        <v>0</v>
      </c>
    </row>
    <row r="151" spans="1:17" s="13" customFormat="1" x14ac:dyDescent="0.25">
      <c r="A151" s="229"/>
      <c r="B151" s="30" t="s">
        <v>90</v>
      </c>
      <c r="C151" s="181" t="s">
        <v>17</v>
      </c>
      <c r="D151" s="182"/>
      <c r="E151" s="194" t="s">
        <v>20</v>
      </c>
      <c r="F151" s="73" t="s">
        <v>398</v>
      </c>
      <c r="G151" s="74" t="s">
        <v>112</v>
      </c>
      <c r="H151" s="75">
        <v>13</v>
      </c>
      <c r="I151" s="76">
        <v>7</v>
      </c>
      <c r="J151" s="96">
        <f>1+1+1+4</f>
        <v>7</v>
      </c>
      <c r="K151" s="77">
        <f>422.62+4662.44+7580.13+2408.4</f>
        <v>15073.589999999998</v>
      </c>
      <c r="L151" s="77">
        <f>422.62+4662.44+7580.13+2408.4</f>
        <v>15073.589999999998</v>
      </c>
      <c r="M151" s="78">
        <f t="shared" si="5"/>
        <v>0</v>
      </c>
      <c r="N151" s="100">
        <f>1+1+1+1+2</f>
        <v>6</v>
      </c>
      <c r="O151" s="81">
        <f>2122.67+787.61+15453.48+6194.26+37549.5</f>
        <v>62107.519999999997</v>
      </c>
      <c r="P151" s="81">
        <f>2122.67+787.61+15453.48+6194.26+37549.5</f>
        <v>62107.519999999997</v>
      </c>
      <c r="Q151" s="79">
        <f t="shared" si="6"/>
        <v>0</v>
      </c>
    </row>
    <row r="152" spans="1:17" s="13" customFormat="1" x14ac:dyDescent="0.25">
      <c r="A152" s="229"/>
      <c r="B152" s="30" t="s">
        <v>90</v>
      </c>
      <c r="C152" s="181" t="s">
        <v>17</v>
      </c>
      <c r="D152" s="182"/>
      <c r="E152" s="194" t="s">
        <v>20</v>
      </c>
      <c r="F152" s="73" t="s">
        <v>466</v>
      </c>
      <c r="G152" s="230" t="s">
        <v>114</v>
      </c>
      <c r="H152" s="181">
        <v>18</v>
      </c>
      <c r="I152" s="231">
        <v>8</v>
      </c>
      <c r="J152" s="190">
        <v>8</v>
      </c>
      <c r="K152" s="77">
        <v>18496.560000000001</v>
      </c>
      <c r="L152" s="77">
        <v>18496.560000000001</v>
      </c>
      <c r="M152" s="78">
        <f t="shared" si="5"/>
        <v>0</v>
      </c>
      <c r="N152" s="100">
        <v>28</v>
      </c>
      <c r="O152" s="224">
        <v>115855.1</v>
      </c>
      <c r="P152" s="224">
        <v>115855.1</v>
      </c>
      <c r="Q152" s="232">
        <f t="shared" si="6"/>
        <v>0</v>
      </c>
    </row>
    <row r="153" spans="1:17" s="13" customFormat="1" x14ac:dyDescent="0.25">
      <c r="A153" s="229"/>
      <c r="B153" s="30" t="s">
        <v>91</v>
      </c>
      <c r="C153" s="181" t="s">
        <v>17</v>
      </c>
      <c r="D153" s="182"/>
      <c r="E153" s="194" t="s">
        <v>20</v>
      </c>
      <c r="F153" s="73" t="s">
        <v>399</v>
      </c>
      <c r="G153" s="74" t="s">
        <v>112</v>
      </c>
      <c r="H153" s="75"/>
      <c r="I153" s="76"/>
      <c r="J153" s="96"/>
      <c r="K153" s="77"/>
      <c r="L153" s="77"/>
      <c r="M153" s="78">
        <f t="shared" si="5"/>
        <v>0</v>
      </c>
      <c r="N153" s="100"/>
      <c r="O153" s="81"/>
      <c r="P153" s="81"/>
      <c r="Q153" s="79">
        <f t="shared" si="6"/>
        <v>0</v>
      </c>
    </row>
    <row r="154" spans="1:17" s="13" customFormat="1" x14ac:dyDescent="0.25">
      <c r="A154" s="229"/>
      <c r="B154" s="62" t="s">
        <v>138</v>
      </c>
      <c r="C154" s="181" t="s">
        <v>17</v>
      </c>
      <c r="D154" s="182"/>
      <c r="E154" s="194" t="s">
        <v>20</v>
      </c>
      <c r="F154" s="73" t="s">
        <v>467</v>
      </c>
      <c r="G154" s="230" t="s">
        <v>114</v>
      </c>
      <c r="H154" s="181">
        <v>18</v>
      </c>
      <c r="I154" s="231">
        <v>3</v>
      </c>
      <c r="J154" s="190">
        <v>3</v>
      </c>
      <c r="K154" s="193">
        <v>5542.2</v>
      </c>
      <c r="L154" s="193">
        <v>5542.2</v>
      </c>
      <c r="M154" s="78">
        <f t="shared" si="5"/>
        <v>0</v>
      </c>
      <c r="N154" s="114">
        <v>7</v>
      </c>
      <c r="O154" s="224">
        <v>16429.099999999999</v>
      </c>
      <c r="P154" s="224">
        <v>16429.099999999999</v>
      </c>
      <c r="Q154" s="232">
        <f t="shared" si="6"/>
        <v>0</v>
      </c>
    </row>
    <row r="155" spans="1:17" s="13" customFormat="1" x14ac:dyDescent="0.25">
      <c r="A155" s="229"/>
      <c r="B155" s="62" t="s">
        <v>138</v>
      </c>
      <c r="C155" s="181" t="s">
        <v>17</v>
      </c>
      <c r="D155" s="182"/>
      <c r="E155" s="194" t="s">
        <v>20</v>
      </c>
      <c r="F155" s="73" t="s">
        <v>400</v>
      </c>
      <c r="G155" s="74" t="s">
        <v>112</v>
      </c>
      <c r="H155" s="75">
        <v>12</v>
      </c>
      <c r="I155" s="82">
        <v>8</v>
      </c>
      <c r="J155" s="96">
        <f>3+1+1+2+2</f>
        <v>9</v>
      </c>
      <c r="K155" s="77">
        <f>2224.52+9639.33+3232.07+1625.67+1324.62</f>
        <v>18046.21</v>
      </c>
      <c r="L155" s="77">
        <f>2224.52+9639.33+3232.07+1625.67+1324.62</f>
        <v>18046.21</v>
      </c>
      <c r="M155" s="78">
        <f t="shared" si="5"/>
        <v>0</v>
      </c>
      <c r="N155" s="100">
        <f>5+4+2</f>
        <v>11</v>
      </c>
      <c r="O155" s="81">
        <f>8995.87+8641.99+5740.02</f>
        <v>23377.88</v>
      </c>
      <c r="P155" s="81">
        <f>8995.87+8641.99+5740.02</f>
        <v>23377.88</v>
      </c>
      <c r="Q155" s="79">
        <f t="shared" si="6"/>
        <v>0</v>
      </c>
    </row>
    <row r="156" spans="1:17" s="13" customFormat="1" x14ac:dyDescent="0.25">
      <c r="A156" s="229"/>
      <c r="B156" s="62" t="s">
        <v>157</v>
      </c>
      <c r="C156" s="181" t="s">
        <v>17</v>
      </c>
      <c r="D156" s="182"/>
      <c r="E156" s="194" t="s">
        <v>20</v>
      </c>
      <c r="F156" s="73" t="s">
        <v>401</v>
      </c>
      <c r="G156" s="74" t="s">
        <v>112</v>
      </c>
      <c r="H156" s="75">
        <v>15</v>
      </c>
      <c r="I156" s="82"/>
      <c r="J156" s="96"/>
      <c r="K156" s="77"/>
      <c r="L156" s="77"/>
      <c r="M156" s="78">
        <f t="shared" si="5"/>
        <v>0</v>
      </c>
      <c r="N156" s="100"/>
      <c r="O156" s="81"/>
      <c r="P156" s="81"/>
      <c r="Q156" s="232">
        <f t="shared" si="6"/>
        <v>0</v>
      </c>
    </row>
    <row r="157" spans="1:17" s="13" customFormat="1" x14ac:dyDescent="0.25">
      <c r="A157" s="229"/>
      <c r="B157" s="62" t="s">
        <v>515</v>
      </c>
      <c r="C157" s="181"/>
      <c r="D157" s="182"/>
      <c r="E157" s="194" t="s">
        <v>20</v>
      </c>
      <c r="F157" s="73"/>
      <c r="G157" s="74" t="s">
        <v>112</v>
      </c>
      <c r="H157" s="75">
        <v>5</v>
      </c>
      <c r="I157" s="82">
        <v>1</v>
      </c>
      <c r="J157" s="96">
        <f>1</f>
        <v>1</v>
      </c>
      <c r="K157" s="77"/>
      <c r="L157" s="77"/>
      <c r="M157" s="78">
        <f t="shared" si="5"/>
        <v>0</v>
      </c>
      <c r="N157" s="100"/>
      <c r="O157" s="81"/>
      <c r="P157" s="81"/>
      <c r="Q157" s="232"/>
    </row>
    <row r="158" spans="1:17" s="15" customFormat="1" x14ac:dyDescent="0.25">
      <c r="A158" s="229"/>
      <c r="B158" s="62" t="s">
        <v>92</v>
      </c>
      <c r="C158" s="181" t="s">
        <v>17</v>
      </c>
      <c r="D158" s="182"/>
      <c r="E158" s="194" t="s">
        <v>20</v>
      </c>
      <c r="F158" s="73" t="s">
        <v>402</v>
      </c>
      <c r="G158" s="74" t="s">
        <v>112</v>
      </c>
      <c r="H158" s="75">
        <v>13</v>
      </c>
      <c r="I158" s="76">
        <v>12</v>
      </c>
      <c r="J158" s="96">
        <f>1+2+5+2+2</f>
        <v>12</v>
      </c>
      <c r="K158" s="77">
        <f>1951.74+1335.1+2996.76+883.08</f>
        <v>7166.68</v>
      </c>
      <c r="L158" s="77">
        <f>1951.74+1335.1+2996.76+883.08</f>
        <v>7166.68</v>
      </c>
      <c r="M158" s="78">
        <f t="shared" si="5"/>
        <v>0</v>
      </c>
      <c r="N158" s="100">
        <f>4+1+1</f>
        <v>6</v>
      </c>
      <c r="O158" s="81">
        <f>12624.74+2697.06+1225.93</f>
        <v>16547.73</v>
      </c>
      <c r="P158" s="81">
        <f>12624.74+2697.06+1225.93</f>
        <v>16547.73</v>
      </c>
      <c r="Q158" s="232">
        <f t="shared" si="6"/>
        <v>0</v>
      </c>
    </row>
    <row r="159" spans="1:17" s="15" customFormat="1" x14ac:dyDescent="0.25">
      <c r="A159" s="229"/>
      <c r="B159" s="62" t="s">
        <v>92</v>
      </c>
      <c r="C159" s="181" t="s">
        <v>17</v>
      </c>
      <c r="D159" s="182"/>
      <c r="E159" s="194" t="s">
        <v>20</v>
      </c>
      <c r="F159" s="73" t="s">
        <v>129</v>
      </c>
      <c r="G159" s="230" t="s">
        <v>114</v>
      </c>
      <c r="H159" s="181"/>
      <c r="I159" s="231"/>
      <c r="J159" s="190"/>
      <c r="K159" s="77"/>
      <c r="L159" s="77"/>
      <c r="M159" s="78">
        <f t="shared" si="5"/>
        <v>0</v>
      </c>
      <c r="N159" s="114"/>
      <c r="O159" s="224"/>
      <c r="P159" s="224"/>
      <c r="Q159" s="232">
        <f t="shared" si="6"/>
        <v>0</v>
      </c>
    </row>
    <row r="160" spans="1:17" s="13" customFormat="1" x14ac:dyDescent="0.25">
      <c r="A160" s="229"/>
      <c r="B160" s="30" t="s">
        <v>93</v>
      </c>
      <c r="C160" s="181" t="s">
        <v>17</v>
      </c>
      <c r="D160" s="182"/>
      <c r="E160" s="183" t="s">
        <v>94</v>
      </c>
      <c r="F160" s="73" t="s">
        <v>403</v>
      </c>
      <c r="G160" s="74" t="s">
        <v>112</v>
      </c>
      <c r="H160" s="75">
        <v>7</v>
      </c>
      <c r="I160" s="76">
        <v>2</v>
      </c>
      <c r="J160" s="96">
        <f>2</f>
        <v>2</v>
      </c>
      <c r="K160" s="77">
        <f>2336.84</f>
        <v>2336.84</v>
      </c>
      <c r="L160" s="77">
        <f>2336.84</f>
        <v>2336.84</v>
      </c>
      <c r="M160" s="78">
        <f t="shared" si="5"/>
        <v>0</v>
      </c>
      <c r="N160" s="100">
        <f>3+8</f>
        <v>11</v>
      </c>
      <c r="O160" s="81">
        <f>20117.75</f>
        <v>20117.75</v>
      </c>
      <c r="P160" s="81">
        <f>20117.75</f>
        <v>20117.75</v>
      </c>
      <c r="Q160" s="232">
        <f t="shared" si="6"/>
        <v>0</v>
      </c>
    </row>
    <row r="161" spans="1:17" s="13" customFormat="1" x14ac:dyDescent="0.25">
      <c r="A161" s="229"/>
      <c r="B161" s="30" t="s">
        <v>93</v>
      </c>
      <c r="C161" s="181" t="s">
        <v>17</v>
      </c>
      <c r="D161" s="182"/>
      <c r="E161" s="183" t="s">
        <v>94</v>
      </c>
      <c r="F161" s="73" t="s">
        <v>130</v>
      </c>
      <c r="G161" s="230" t="s">
        <v>114</v>
      </c>
      <c r="H161" s="181"/>
      <c r="I161" s="231"/>
      <c r="J161" s="190"/>
      <c r="K161" s="77"/>
      <c r="L161" s="77"/>
      <c r="M161" s="78">
        <f t="shared" si="5"/>
        <v>0</v>
      </c>
      <c r="N161" s="100"/>
      <c r="O161" s="224"/>
      <c r="P161" s="224"/>
      <c r="Q161" s="232">
        <f t="shared" si="6"/>
        <v>0</v>
      </c>
    </row>
    <row r="162" spans="1:17" s="13" customFormat="1" x14ac:dyDescent="0.25">
      <c r="A162" s="229"/>
      <c r="B162" s="30" t="s">
        <v>93</v>
      </c>
      <c r="C162" s="181" t="s">
        <v>17</v>
      </c>
      <c r="D162" s="182"/>
      <c r="E162" s="183" t="s">
        <v>94</v>
      </c>
      <c r="F162" s="73" t="s">
        <v>240</v>
      </c>
      <c r="G162" s="230" t="s">
        <v>118</v>
      </c>
      <c r="H162" s="181"/>
      <c r="I162" s="231"/>
      <c r="J162" s="96"/>
      <c r="K162" s="77"/>
      <c r="L162" s="77"/>
      <c r="M162" s="78">
        <f t="shared" si="5"/>
        <v>0</v>
      </c>
      <c r="N162" s="100"/>
      <c r="O162" s="224"/>
      <c r="P162" s="224"/>
      <c r="Q162" s="232">
        <f t="shared" si="6"/>
        <v>0</v>
      </c>
    </row>
    <row r="163" spans="1:17" s="13" customFormat="1" x14ac:dyDescent="0.25">
      <c r="A163" s="229"/>
      <c r="B163" s="30" t="s">
        <v>95</v>
      </c>
      <c r="C163" s="181" t="s">
        <v>17</v>
      </c>
      <c r="D163" s="182"/>
      <c r="E163" s="194" t="s">
        <v>20</v>
      </c>
      <c r="F163" s="73" t="s">
        <v>404</v>
      </c>
      <c r="G163" s="74" t="s">
        <v>112</v>
      </c>
      <c r="H163" s="75">
        <v>19</v>
      </c>
      <c r="I163" s="76">
        <v>11</v>
      </c>
      <c r="J163" s="96">
        <f>1+4+4+5+2+1</f>
        <v>17</v>
      </c>
      <c r="K163" s="77">
        <f>1061.35+5770.05+5238.9+6606.04</f>
        <v>18676.34</v>
      </c>
      <c r="L163" s="77">
        <f>1061.35+5770.05+5238.9+6606.04</f>
        <v>18676.34</v>
      </c>
      <c r="M163" s="78">
        <f t="shared" si="5"/>
        <v>0</v>
      </c>
      <c r="N163" s="100">
        <f>1+6+1+4+1+1+1</f>
        <v>15</v>
      </c>
      <c r="O163" s="81">
        <f>11603.82+7559.28+6777.29+24757.02</f>
        <v>50697.41</v>
      </c>
      <c r="P163" s="81">
        <f>11603.82+7559.28+6777.29+24757.02</f>
        <v>50697.41</v>
      </c>
      <c r="Q163" s="79">
        <f t="shared" si="6"/>
        <v>0</v>
      </c>
    </row>
    <row r="164" spans="1:17" s="13" customFormat="1" x14ac:dyDescent="0.25">
      <c r="A164" s="229"/>
      <c r="B164" s="30" t="s">
        <v>95</v>
      </c>
      <c r="C164" s="181" t="s">
        <v>17</v>
      </c>
      <c r="D164" s="182"/>
      <c r="E164" s="194" t="s">
        <v>20</v>
      </c>
      <c r="F164" s="73" t="s">
        <v>291</v>
      </c>
      <c r="G164" s="230" t="s">
        <v>114</v>
      </c>
      <c r="H164" s="181">
        <v>9</v>
      </c>
      <c r="I164" s="231">
        <v>2</v>
      </c>
      <c r="J164" s="190">
        <v>2</v>
      </c>
      <c r="K164" s="77">
        <v>2356.8000000000002</v>
      </c>
      <c r="L164" s="77">
        <v>2356.8000000000002</v>
      </c>
      <c r="M164" s="78">
        <f t="shared" si="5"/>
        <v>0</v>
      </c>
      <c r="N164" s="100">
        <v>12</v>
      </c>
      <c r="O164" s="224">
        <v>29189.15</v>
      </c>
      <c r="P164" s="224">
        <v>29189.15</v>
      </c>
      <c r="Q164" s="232">
        <f t="shared" si="6"/>
        <v>0</v>
      </c>
    </row>
    <row r="165" spans="1:17" s="13" customFormat="1" x14ac:dyDescent="0.25">
      <c r="A165" s="229"/>
      <c r="B165" s="30" t="s">
        <v>96</v>
      </c>
      <c r="C165" s="181" t="s">
        <v>17</v>
      </c>
      <c r="D165" s="182"/>
      <c r="E165" s="194" t="s">
        <v>97</v>
      </c>
      <c r="F165" s="73" t="s">
        <v>405</v>
      </c>
      <c r="G165" s="74" t="s">
        <v>112</v>
      </c>
      <c r="H165" s="75">
        <v>1</v>
      </c>
      <c r="I165" s="76">
        <v>1</v>
      </c>
      <c r="J165" s="96">
        <f>2</f>
        <v>2</v>
      </c>
      <c r="K165" s="77"/>
      <c r="L165" s="77"/>
      <c r="M165" s="78">
        <f t="shared" si="5"/>
        <v>0</v>
      </c>
      <c r="N165" s="103">
        <f>1+2+1</f>
        <v>4</v>
      </c>
      <c r="O165" s="77">
        <f>1742.31+9358.48</f>
        <v>11100.789999999999</v>
      </c>
      <c r="P165" s="77">
        <f>1742.31+9358.48</f>
        <v>11100.789999999999</v>
      </c>
      <c r="Q165" s="79">
        <f t="shared" si="6"/>
        <v>0</v>
      </c>
    </row>
    <row r="166" spans="1:17" s="13" customFormat="1" x14ac:dyDescent="0.25">
      <c r="A166" s="229"/>
      <c r="B166" s="30" t="s">
        <v>96</v>
      </c>
      <c r="C166" s="181" t="s">
        <v>17</v>
      </c>
      <c r="D166" s="182"/>
      <c r="E166" s="194" t="s">
        <v>97</v>
      </c>
      <c r="F166" s="73" t="s">
        <v>468</v>
      </c>
      <c r="G166" s="230" t="s">
        <v>114</v>
      </c>
      <c r="H166" s="181">
        <v>1</v>
      </c>
      <c r="I166" s="231">
        <v>1</v>
      </c>
      <c r="J166" s="190">
        <v>1</v>
      </c>
      <c r="K166" s="77"/>
      <c r="L166" s="77"/>
      <c r="M166" s="78">
        <f t="shared" si="5"/>
        <v>0</v>
      </c>
      <c r="N166" s="100">
        <v>6</v>
      </c>
      <c r="O166" s="224">
        <v>11285.7</v>
      </c>
      <c r="P166" s="224">
        <v>11285.7</v>
      </c>
      <c r="Q166" s="232">
        <f t="shared" si="6"/>
        <v>0</v>
      </c>
    </row>
    <row r="167" spans="1:17" s="13" customFormat="1" x14ac:dyDescent="0.25">
      <c r="A167" s="229"/>
      <c r="B167" s="30" t="s">
        <v>98</v>
      </c>
      <c r="C167" s="181" t="s">
        <v>17</v>
      </c>
      <c r="D167" s="182"/>
      <c r="E167" s="194" t="s">
        <v>35</v>
      </c>
      <c r="F167" s="73" t="s">
        <v>406</v>
      </c>
      <c r="G167" s="74" t="s">
        <v>112</v>
      </c>
      <c r="H167" s="75">
        <v>40</v>
      </c>
      <c r="I167" s="76">
        <v>26</v>
      </c>
      <c r="J167" s="96">
        <f>1+2+1+1+4+4+1+2+1+5</f>
        <v>22</v>
      </c>
      <c r="K167" s="77">
        <f>845.24+1764.25+8353.03+1298.98+7610.68+13826.64+2752.31+9720.26+116979.76-2616.91+4851.2+993.47+3498.2</f>
        <v>169877.11000000002</v>
      </c>
      <c r="L167" s="77">
        <f>845.24+1764.25+8353.03+1298.98+7610.68+13826.64+2752.31+9720.26+116979.76-2616.91+4851.2+993.47+3498.2</f>
        <v>169877.11000000002</v>
      </c>
      <c r="M167" s="78">
        <f t="shared" si="5"/>
        <v>0</v>
      </c>
      <c r="N167" s="100">
        <f>9+1+1+4+2+1+2+4+2+1+1</f>
        <v>28</v>
      </c>
      <c r="O167" s="81">
        <f>76864.27+883.08+47501.34+5480.06</f>
        <v>130728.75</v>
      </c>
      <c r="P167" s="81">
        <f>76864.27+883.08+47501.34+5480.06</f>
        <v>130728.75</v>
      </c>
      <c r="Q167" s="79">
        <f t="shared" si="6"/>
        <v>0</v>
      </c>
    </row>
    <row r="168" spans="1:17" s="13" customFormat="1" x14ac:dyDescent="0.25">
      <c r="A168" s="229"/>
      <c r="B168" s="30" t="s">
        <v>98</v>
      </c>
      <c r="C168" s="181" t="s">
        <v>17</v>
      </c>
      <c r="D168" s="182"/>
      <c r="E168" s="194" t="s">
        <v>35</v>
      </c>
      <c r="F168" s="73" t="s">
        <v>435</v>
      </c>
      <c r="G168" s="235" t="s">
        <v>117</v>
      </c>
      <c r="H168" s="181">
        <v>6</v>
      </c>
      <c r="I168" s="231">
        <v>2</v>
      </c>
      <c r="J168" s="96">
        <v>2</v>
      </c>
      <c r="K168" s="77">
        <v>2486.83</v>
      </c>
      <c r="L168" s="77">
        <v>2486.83</v>
      </c>
      <c r="M168" s="78">
        <f t="shared" si="5"/>
        <v>0</v>
      </c>
      <c r="N168" s="100">
        <v>5</v>
      </c>
      <c r="O168" s="77">
        <v>18950.45</v>
      </c>
      <c r="P168" s="77">
        <v>18950.45</v>
      </c>
      <c r="Q168" s="232">
        <f t="shared" si="6"/>
        <v>0</v>
      </c>
    </row>
    <row r="169" spans="1:17" s="13" customFormat="1" x14ac:dyDescent="0.25">
      <c r="A169" s="229"/>
      <c r="B169" s="30" t="s">
        <v>488</v>
      </c>
      <c r="C169" s="181" t="s">
        <v>17</v>
      </c>
      <c r="D169" s="182"/>
      <c r="E169" s="194" t="s">
        <v>97</v>
      </c>
      <c r="F169" s="73" t="s">
        <v>498</v>
      </c>
      <c r="G169" s="235" t="s">
        <v>112</v>
      </c>
      <c r="H169" s="181">
        <v>16</v>
      </c>
      <c r="I169" s="231">
        <v>11</v>
      </c>
      <c r="J169" s="96">
        <f>4+1+1+2+3</f>
        <v>11</v>
      </c>
      <c r="K169" s="77">
        <f>1535.8+576.3+802.8</f>
        <v>2914.8999999999996</v>
      </c>
      <c r="L169" s="77">
        <f>1535.8+576.3+802.8</f>
        <v>2914.8999999999996</v>
      </c>
      <c r="M169" s="78">
        <f t="shared" si="5"/>
        <v>0</v>
      </c>
      <c r="N169" s="100"/>
      <c r="O169" s="77"/>
      <c r="P169" s="77"/>
      <c r="Q169" s="232"/>
    </row>
    <row r="170" spans="1:17" s="15" customFormat="1" x14ac:dyDescent="0.25">
      <c r="A170" s="229"/>
      <c r="B170" s="30" t="s">
        <v>99</v>
      </c>
      <c r="C170" s="181" t="s">
        <v>17</v>
      </c>
      <c r="D170" s="182"/>
      <c r="E170" s="183" t="s">
        <v>32</v>
      </c>
      <c r="F170" s="73" t="s">
        <v>418</v>
      </c>
      <c r="G170" s="74" t="s">
        <v>112</v>
      </c>
      <c r="H170" s="75"/>
      <c r="I170" s="76"/>
      <c r="J170" s="96"/>
      <c r="K170" s="77"/>
      <c r="L170" s="77"/>
      <c r="M170" s="78">
        <f t="shared" si="5"/>
        <v>0</v>
      </c>
      <c r="N170" s="100"/>
      <c r="O170" s="81"/>
      <c r="P170" s="81"/>
      <c r="Q170" s="79">
        <f t="shared" si="6"/>
        <v>0</v>
      </c>
    </row>
    <row r="171" spans="1:17" s="15" customFormat="1" x14ac:dyDescent="0.25">
      <c r="A171" s="229"/>
      <c r="B171" s="30" t="s">
        <v>99</v>
      </c>
      <c r="C171" s="181" t="s">
        <v>17</v>
      </c>
      <c r="D171" s="182"/>
      <c r="E171" s="183" t="s">
        <v>32</v>
      </c>
      <c r="F171" s="73" t="s">
        <v>423</v>
      </c>
      <c r="G171" s="235" t="s">
        <v>117</v>
      </c>
      <c r="H171" s="181"/>
      <c r="I171" s="231"/>
      <c r="J171" s="190"/>
      <c r="K171" s="77"/>
      <c r="L171" s="77"/>
      <c r="M171" s="78">
        <f t="shared" si="5"/>
        <v>0</v>
      </c>
      <c r="N171" s="114"/>
      <c r="O171" s="77"/>
      <c r="P171" s="77"/>
      <c r="Q171" s="232">
        <f t="shared" si="6"/>
        <v>0</v>
      </c>
    </row>
    <row r="172" spans="1:17" s="15" customFormat="1" ht="30" x14ac:dyDescent="0.25">
      <c r="A172" s="229"/>
      <c r="B172" s="30" t="s">
        <v>144</v>
      </c>
      <c r="C172" s="181" t="s">
        <v>304</v>
      </c>
      <c r="D172" s="182" t="s">
        <v>313</v>
      </c>
      <c r="E172" s="194" t="s">
        <v>97</v>
      </c>
      <c r="F172" s="73" t="s">
        <v>407</v>
      </c>
      <c r="G172" s="66" t="s">
        <v>112</v>
      </c>
      <c r="H172" s="75">
        <v>21</v>
      </c>
      <c r="I172" s="76">
        <v>21</v>
      </c>
      <c r="J172" s="98">
        <f>2+2+1+3+1+1+5+2+1+4+2+4</f>
        <v>28</v>
      </c>
      <c r="K172" s="77">
        <f>950.9+1449.39+2272.32+2785.92+5112.01+6655.23+3700.19+4208.95</f>
        <v>27134.91</v>
      </c>
      <c r="L172" s="77">
        <f>950.9+1449.39+2272.32+2785.92+5112.01+6655.23+3700.19+4208.95</f>
        <v>27134.91</v>
      </c>
      <c r="M172" s="78">
        <f t="shared" si="5"/>
        <v>0</v>
      </c>
      <c r="N172" s="100">
        <f>3+2+1+1+1+1+1</f>
        <v>10</v>
      </c>
      <c r="O172" s="77">
        <f>5020.57+5566.06+2694.94+845.24+2460.18</f>
        <v>16586.990000000002</v>
      </c>
      <c r="P172" s="77">
        <f>5020.57+5566.06+2694.94+845.24+2460.18</f>
        <v>16586.990000000002</v>
      </c>
      <c r="Q172" s="79">
        <f t="shared" si="6"/>
        <v>0</v>
      </c>
    </row>
    <row r="173" spans="1:17" s="15" customFormat="1" x14ac:dyDescent="0.25">
      <c r="A173" s="229"/>
      <c r="B173" s="30" t="s">
        <v>488</v>
      </c>
      <c r="C173" s="181"/>
      <c r="D173" s="182"/>
      <c r="E173" s="194"/>
      <c r="F173" s="73" t="s">
        <v>509</v>
      </c>
      <c r="G173" s="66" t="s">
        <v>114</v>
      </c>
      <c r="H173" s="75">
        <v>25</v>
      </c>
      <c r="I173" s="76">
        <v>9</v>
      </c>
      <c r="J173" s="98">
        <v>9</v>
      </c>
      <c r="K173" s="77">
        <v>18735.73</v>
      </c>
      <c r="L173" s="77">
        <v>18735.73</v>
      </c>
      <c r="M173" s="78">
        <f t="shared" si="5"/>
        <v>0</v>
      </c>
      <c r="N173" s="100"/>
      <c r="O173" s="77"/>
      <c r="P173" s="77"/>
      <c r="Q173" s="232">
        <f t="shared" si="6"/>
        <v>0</v>
      </c>
    </row>
    <row r="174" spans="1:17" s="15" customFormat="1" x14ac:dyDescent="0.25">
      <c r="A174" s="229"/>
      <c r="B174" s="30" t="s">
        <v>514</v>
      </c>
      <c r="C174" s="181"/>
      <c r="D174" s="182"/>
      <c r="E174" s="194" t="s">
        <v>18</v>
      </c>
      <c r="F174" s="73"/>
      <c r="G174" s="66" t="s">
        <v>116</v>
      </c>
      <c r="H174" s="75">
        <v>5</v>
      </c>
      <c r="I174" s="76">
        <v>1</v>
      </c>
      <c r="J174" s="98">
        <v>1</v>
      </c>
      <c r="K174" s="77">
        <v>1764.13</v>
      </c>
      <c r="L174" s="77">
        <v>1764.13</v>
      </c>
      <c r="M174" s="78">
        <f t="shared" si="5"/>
        <v>0</v>
      </c>
      <c r="N174" s="100"/>
      <c r="O174" s="77"/>
      <c r="P174" s="77"/>
      <c r="Q174" s="232"/>
    </row>
    <row r="175" spans="1:17" s="15" customFormat="1" x14ac:dyDescent="0.25">
      <c r="A175" s="229"/>
      <c r="B175" s="30" t="s">
        <v>488</v>
      </c>
      <c r="C175" s="181"/>
      <c r="D175" s="182"/>
      <c r="E175" s="194"/>
      <c r="F175" s="73" t="s">
        <v>512</v>
      </c>
      <c r="G175" s="66" t="s">
        <v>116</v>
      </c>
      <c r="H175" s="75">
        <v>12</v>
      </c>
      <c r="I175" s="76">
        <v>7</v>
      </c>
      <c r="J175" s="98">
        <v>7</v>
      </c>
      <c r="K175" s="77">
        <v>12080</v>
      </c>
      <c r="L175" s="77">
        <v>12080</v>
      </c>
      <c r="M175" s="78">
        <f t="shared" si="5"/>
        <v>0</v>
      </c>
      <c r="N175" s="100"/>
      <c r="O175" s="77"/>
      <c r="P175" s="77"/>
      <c r="Q175" s="79"/>
    </row>
    <row r="176" spans="1:17" s="15" customFormat="1" ht="30" x14ac:dyDescent="0.25">
      <c r="A176" s="229"/>
      <c r="B176" s="238" t="s">
        <v>144</v>
      </c>
      <c r="C176" s="181" t="s">
        <v>446</v>
      </c>
      <c r="D176" s="182" t="s">
        <v>313</v>
      </c>
      <c r="E176" s="183" t="s">
        <v>20</v>
      </c>
      <c r="F176" s="73" t="s">
        <v>485</v>
      </c>
      <c r="G176" s="235" t="s">
        <v>114</v>
      </c>
      <c r="H176" s="181">
        <v>35</v>
      </c>
      <c r="I176" s="234">
        <v>14</v>
      </c>
      <c r="J176" s="202">
        <v>14</v>
      </c>
      <c r="K176" s="77">
        <v>38512.93</v>
      </c>
      <c r="L176" s="77">
        <v>38512.93</v>
      </c>
      <c r="M176" s="78">
        <f t="shared" si="5"/>
        <v>0</v>
      </c>
      <c r="N176" s="100">
        <v>21</v>
      </c>
      <c r="O176" s="224">
        <v>53276.800000000003</v>
      </c>
      <c r="P176" s="224">
        <v>53276.800000000003</v>
      </c>
      <c r="Q176" s="232">
        <f t="shared" ref="Q176" si="7">O176-P176</f>
        <v>0</v>
      </c>
    </row>
    <row r="177" spans="1:17" s="21" customFormat="1" ht="45" x14ac:dyDescent="0.25">
      <c r="A177" s="181"/>
      <c r="B177" s="30" t="s">
        <v>100</v>
      </c>
      <c r="C177" s="181" t="s">
        <v>304</v>
      </c>
      <c r="D177" s="182" t="s">
        <v>416</v>
      </c>
      <c r="E177" s="194" t="s">
        <v>20</v>
      </c>
      <c r="F177" s="73" t="s">
        <v>408</v>
      </c>
      <c r="G177" s="27" t="s">
        <v>112</v>
      </c>
      <c r="H177" s="75">
        <v>29</v>
      </c>
      <c r="I177" s="76">
        <v>20</v>
      </c>
      <c r="J177" s="98">
        <f>5+1+4+6+4+2</f>
        <v>22</v>
      </c>
      <c r="K177" s="86">
        <f>6524.55+600.31+19349.45+15377.18</f>
        <v>41851.490000000005</v>
      </c>
      <c r="L177" s="86">
        <f>6524.55+600.31+19349.45+15377.18</f>
        <v>41851.490000000005</v>
      </c>
      <c r="M177" s="78">
        <f t="shared" si="5"/>
        <v>0</v>
      </c>
      <c r="N177" s="100">
        <f>1+3+2+3+1+1</f>
        <v>11</v>
      </c>
      <c r="O177" s="87">
        <f>10770.58+2113.01+3508.24+19305.88+22849.19</f>
        <v>58546.900000000009</v>
      </c>
      <c r="P177" s="87">
        <f>10770.58+2113.01+3508.24+19305.88+22849.19</f>
        <v>58546.900000000009</v>
      </c>
      <c r="Q177" s="79">
        <f t="shared" si="6"/>
        <v>0</v>
      </c>
    </row>
    <row r="178" spans="1:17" s="21" customFormat="1" ht="60" x14ac:dyDescent="0.25">
      <c r="A178" s="181"/>
      <c r="B178" s="30" t="s">
        <v>100</v>
      </c>
      <c r="C178" s="203" t="s">
        <v>125</v>
      </c>
      <c r="D178" s="182" t="s">
        <v>126</v>
      </c>
      <c r="E178" s="194" t="s">
        <v>20</v>
      </c>
      <c r="F178" s="73" t="s">
        <v>486</v>
      </c>
      <c r="G178" s="236" t="s">
        <v>114</v>
      </c>
      <c r="H178" s="181">
        <v>10</v>
      </c>
      <c r="I178" s="234">
        <v>2</v>
      </c>
      <c r="J178" s="202">
        <v>2</v>
      </c>
      <c r="K178" s="86">
        <v>5699.6</v>
      </c>
      <c r="L178" s="86">
        <v>5699.6</v>
      </c>
      <c r="M178" s="78">
        <f t="shared" si="5"/>
        <v>0</v>
      </c>
      <c r="N178" s="100"/>
      <c r="O178" s="239">
        <v>71568.429999999993</v>
      </c>
      <c r="P178" s="239">
        <v>71568.429999999993</v>
      </c>
      <c r="Q178" s="232">
        <f t="shared" si="6"/>
        <v>0</v>
      </c>
    </row>
    <row r="179" spans="1:17" s="13" customFormat="1" x14ac:dyDescent="0.25">
      <c r="A179" s="229"/>
      <c r="B179" s="62" t="s">
        <v>101</v>
      </c>
      <c r="C179" s="181" t="s">
        <v>17</v>
      </c>
      <c r="D179" s="182"/>
      <c r="E179" s="194" t="s">
        <v>20</v>
      </c>
      <c r="F179" s="73" t="s">
        <v>409</v>
      </c>
      <c r="G179" s="74" t="s">
        <v>112</v>
      </c>
      <c r="H179" s="75">
        <v>15</v>
      </c>
      <c r="I179" s="76">
        <v>8</v>
      </c>
      <c r="J179" s="96">
        <f>1+5+1+1+2+2+1</f>
        <v>13</v>
      </c>
      <c r="K179" s="77">
        <v>9863.65</v>
      </c>
      <c r="L179" s="77">
        <v>9863.65</v>
      </c>
      <c r="M179" s="78">
        <f t="shared" si="5"/>
        <v>0</v>
      </c>
      <c r="N179" s="100">
        <f>5+2+1+1+1</f>
        <v>10</v>
      </c>
      <c r="O179" s="81">
        <f>6288.07+3061.62+3426.18+12951.18</f>
        <v>25727.05</v>
      </c>
      <c r="P179" s="81">
        <f>6288.07+3061.62+3426.18+12951.18</f>
        <v>25727.05</v>
      </c>
      <c r="Q179" s="79">
        <f t="shared" si="6"/>
        <v>0</v>
      </c>
    </row>
    <row r="180" spans="1:17" s="13" customFormat="1" x14ac:dyDescent="0.25">
      <c r="A180" s="229"/>
      <c r="B180" s="62" t="s">
        <v>146</v>
      </c>
      <c r="C180" s="181" t="s">
        <v>17</v>
      </c>
      <c r="D180" s="182"/>
      <c r="E180" s="194" t="s">
        <v>20</v>
      </c>
      <c r="F180" s="73" t="s">
        <v>410</v>
      </c>
      <c r="G180" s="74" t="s">
        <v>112</v>
      </c>
      <c r="H180" s="75">
        <v>15</v>
      </c>
      <c r="I180" s="76">
        <v>12</v>
      </c>
      <c r="J180" s="96">
        <f>4+1+1+2+1+2+1+1</f>
        <v>13</v>
      </c>
      <c r="K180" s="77">
        <f>4610.77+1568.98+1854.88+422.62+1334.13+2599.07+5262.18+1092.81</f>
        <v>18745.440000000002</v>
      </c>
      <c r="L180" s="77">
        <f>4610.77+1568.98+1854.88+422.62+1334.13+2599.07+5262.18+1092.81</f>
        <v>18745.440000000002</v>
      </c>
      <c r="M180" s="78">
        <f t="shared" si="5"/>
        <v>0</v>
      </c>
      <c r="N180" s="100">
        <f>5+1+1+2+1+1</f>
        <v>11</v>
      </c>
      <c r="O180" s="81">
        <f>13579.06+1287.07+2636.18+26196.83</f>
        <v>43699.14</v>
      </c>
      <c r="P180" s="81">
        <f>13579.06+1287.07+2636.18+26196.83</f>
        <v>43699.14</v>
      </c>
      <c r="Q180" s="232">
        <f t="shared" si="6"/>
        <v>0</v>
      </c>
    </row>
    <row r="181" spans="1:17" s="13" customFormat="1" x14ac:dyDescent="0.25">
      <c r="A181" s="229"/>
      <c r="B181" s="62" t="s">
        <v>146</v>
      </c>
      <c r="C181" s="181" t="s">
        <v>17</v>
      </c>
      <c r="D181" s="182"/>
      <c r="E181" s="183" t="s">
        <v>21</v>
      </c>
      <c r="F181" s="73" t="s">
        <v>443</v>
      </c>
      <c r="G181" s="230" t="s">
        <v>118</v>
      </c>
      <c r="H181" s="181">
        <v>14</v>
      </c>
      <c r="I181" s="234">
        <v>3</v>
      </c>
      <c r="J181" s="190">
        <v>3</v>
      </c>
      <c r="K181" s="193">
        <v>1754.7</v>
      </c>
      <c r="L181" s="193">
        <v>1754.7</v>
      </c>
      <c r="M181" s="78">
        <f t="shared" si="5"/>
        <v>0</v>
      </c>
      <c r="N181" s="114">
        <v>5</v>
      </c>
      <c r="O181" s="224">
        <v>5349.99</v>
      </c>
      <c r="P181" s="224">
        <v>5349.99</v>
      </c>
      <c r="Q181" s="79">
        <f t="shared" si="6"/>
        <v>0</v>
      </c>
    </row>
    <row r="182" spans="1:17" s="13" customFormat="1" x14ac:dyDescent="0.25">
      <c r="A182" s="229"/>
      <c r="B182" s="27" t="s">
        <v>102</v>
      </c>
      <c r="C182" s="181" t="s">
        <v>17</v>
      </c>
      <c r="D182" s="182"/>
      <c r="E182" s="194" t="s">
        <v>20</v>
      </c>
      <c r="F182" s="73" t="s">
        <v>411</v>
      </c>
      <c r="G182" s="74" t="s">
        <v>112</v>
      </c>
      <c r="H182" s="75">
        <v>14</v>
      </c>
      <c r="I182" s="76">
        <v>11</v>
      </c>
      <c r="J182" s="96">
        <f>1+1+2+1+2+1+3</f>
        <v>11</v>
      </c>
      <c r="K182" s="77">
        <f>845.24+845.24+1690.48+1394.65+2689.38+1324.62</f>
        <v>8789.61</v>
      </c>
      <c r="L182" s="77">
        <f>845.24+845.24+1690.48+1394.65+2689.38+1324.62</f>
        <v>8789.61</v>
      </c>
      <c r="M182" s="78">
        <f t="shared" si="5"/>
        <v>0</v>
      </c>
      <c r="N182" s="100">
        <f>3+1+1+1</f>
        <v>6</v>
      </c>
      <c r="O182" s="81">
        <f>7808.21+30833.77-12193.52+9963.17+5385.9</f>
        <v>41797.530000000006</v>
      </c>
      <c r="P182" s="81">
        <f>7808.21+30833.77-12193.52+9963.17+5385.9</f>
        <v>41797.530000000006</v>
      </c>
      <c r="Q182" s="232">
        <f t="shared" si="6"/>
        <v>0</v>
      </c>
    </row>
    <row r="183" spans="1:17" s="13" customFormat="1" x14ac:dyDescent="0.25">
      <c r="A183" s="229"/>
      <c r="B183" s="27" t="s">
        <v>102</v>
      </c>
      <c r="C183" s="181" t="s">
        <v>17</v>
      </c>
      <c r="D183" s="182"/>
      <c r="E183" s="194" t="s">
        <v>20</v>
      </c>
      <c r="F183" s="73" t="s">
        <v>469</v>
      </c>
      <c r="G183" s="230" t="s">
        <v>114</v>
      </c>
      <c r="H183" s="181">
        <v>10</v>
      </c>
      <c r="I183" s="231">
        <v>3</v>
      </c>
      <c r="J183" s="190">
        <v>3</v>
      </c>
      <c r="K183" s="77">
        <v>1267.8599999999999</v>
      </c>
      <c r="L183" s="77">
        <v>1267.8599999999999</v>
      </c>
      <c r="M183" s="78">
        <f t="shared" si="5"/>
        <v>0</v>
      </c>
      <c r="N183" s="100">
        <v>8</v>
      </c>
      <c r="O183" s="224">
        <v>31700.42</v>
      </c>
      <c r="P183" s="224">
        <v>31700.42</v>
      </c>
      <c r="Q183" s="232">
        <f t="shared" si="6"/>
        <v>0</v>
      </c>
    </row>
    <row r="184" spans="1:17" s="13" customFormat="1" x14ac:dyDescent="0.25">
      <c r="A184" s="229"/>
      <c r="B184" s="27" t="s">
        <v>103</v>
      </c>
      <c r="C184" s="181" t="s">
        <v>17</v>
      </c>
      <c r="D184" s="182"/>
      <c r="E184" s="183" t="s">
        <v>20</v>
      </c>
      <c r="F184" s="73" t="s">
        <v>412</v>
      </c>
      <c r="G184" s="74" t="s">
        <v>112</v>
      </c>
      <c r="H184" s="75">
        <v>15</v>
      </c>
      <c r="I184" s="76">
        <v>10</v>
      </c>
      <c r="J184" s="96">
        <f>4+1+2+3+1</f>
        <v>11</v>
      </c>
      <c r="K184" s="77">
        <f>16248.67+1092.81+2003.49+401.4</f>
        <v>19746.370000000003</v>
      </c>
      <c r="L184" s="77">
        <f>16248.67+1092.81+2003.49+401.4</f>
        <v>19746.370000000003</v>
      </c>
      <c r="M184" s="78">
        <f t="shared" si="5"/>
        <v>0</v>
      </c>
      <c r="N184" s="100">
        <f>7+2+1+1+2+1</f>
        <v>14</v>
      </c>
      <c r="O184" s="77">
        <f>20193.14+7541.5+685.38</f>
        <v>28420.02</v>
      </c>
      <c r="P184" s="77">
        <f>20193.14+7541.5+685.38</f>
        <v>28420.02</v>
      </c>
      <c r="Q184" s="232">
        <f t="shared" si="6"/>
        <v>0</v>
      </c>
    </row>
    <row r="185" spans="1:17" s="13" customFormat="1" x14ac:dyDescent="0.25">
      <c r="A185" s="229"/>
      <c r="B185" s="27" t="s">
        <v>103</v>
      </c>
      <c r="C185" s="181" t="s">
        <v>17</v>
      </c>
      <c r="D185" s="182"/>
      <c r="E185" s="183" t="s">
        <v>20</v>
      </c>
      <c r="F185" s="73" t="s">
        <v>470</v>
      </c>
      <c r="G185" s="230" t="s">
        <v>114</v>
      </c>
      <c r="H185" s="181">
        <v>14</v>
      </c>
      <c r="I185" s="231">
        <v>3</v>
      </c>
      <c r="J185" s="190">
        <v>3</v>
      </c>
      <c r="K185" s="77">
        <v>4940.1000000000004</v>
      </c>
      <c r="L185" s="77">
        <v>4940.1000000000004</v>
      </c>
      <c r="M185" s="78">
        <f t="shared" si="5"/>
        <v>0</v>
      </c>
      <c r="N185" s="100">
        <v>4</v>
      </c>
      <c r="O185" s="224">
        <v>10434.89</v>
      </c>
      <c r="P185" s="224">
        <v>10434.89</v>
      </c>
      <c r="Q185" s="232">
        <f t="shared" si="6"/>
        <v>0</v>
      </c>
    </row>
    <row r="186" spans="1:17" s="15" customFormat="1" x14ac:dyDescent="0.25">
      <c r="A186" s="229"/>
      <c r="B186" s="27" t="s">
        <v>104</v>
      </c>
      <c r="C186" s="181" t="s">
        <v>17</v>
      </c>
      <c r="D186" s="182"/>
      <c r="E186" s="183" t="s">
        <v>20</v>
      </c>
      <c r="F186" s="73" t="s">
        <v>413</v>
      </c>
      <c r="G186" s="74" t="s">
        <v>112</v>
      </c>
      <c r="H186" s="75">
        <v>18</v>
      </c>
      <c r="I186" s="76">
        <v>13</v>
      </c>
      <c r="J186" s="96">
        <f>3+1+2+4+1+1+1</f>
        <v>13</v>
      </c>
      <c r="K186" s="77">
        <f>5112.82+422.64+8302.14+1605.5+1092.81</f>
        <v>16535.91</v>
      </c>
      <c r="L186" s="77">
        <f>5112.82+422.64+8302.14+1605.5+1092.81</f>
        <v>16535.91</v>
      </c>
      <c r="M186" s="78">
        <f t="shared" si="5"/>
        <v>0</v>
      </c>
      <c r="N186" s="100">
        <f>4+1+1+2+1</f>
        <v>9</v>
      </c>
      <c r="O186" s="81">
        <f>7087.22+3426.18+3496.22</f>
        <v>14009.619999999999</v>
      </c>
      <c r="P186" s="81">
        <f>7087.22+3426.18+3496.22</f>
        <v>14009.619999999999</v>
      </c>
      <c r="Q186" s="232">
        <f t="shared" si="6"/>
        <v>0</v>
      </c>
    </row>
    <row r="187" spans="1:17" s="15" customFormat="1" x14ac:dyDescent="0.25">
      <c r="A187" s="229"/>
      <c r="B187" s="27" t="s">
        <v>104</v>
      </c>
      <c r="C187" s="181" t="s">
        <v>17</v>
      </c>
      <c r="D187" s="182"/>
      <c r="E187" s="183" t="s">
        <v>20</v>
      </c>
      <c r="F187" s="73" t="s">
        <v>471</v>
      </c>
      <c r="G187" s="230" t="s">
        <v>114</v>
      </c>
      <c r="H187" s="181">
        <v>40</v>
      </c>
      <c r="I187" s="231">
        <v>8</v>
      </c>
      <c r="J187" s="190">
        <v>8</v>
      </c>
      <c r="K187" s="77">
        <v>23685.91</v>
      </c>
      <c r="L187" s="77">
        <v>23685.91</v>
      </c>
      <c r="M187" s="78">
        <f t="shared" si="5"/>
        <v>0</v>
      </c>
      <c r="N187" s="114">
        <v>18</v>
      </c>
      <c r="O187" s="224">
        <v>40887.050000000003</v>
      </c>
      <c r="P187" s="224">
        <v>40887.050000000003</v>
      </c>
      <c r="Q187" s="232">
        <f t="shared" si="6"/>
        <v>0</v>
      </c>
    </row>
    <row r="188" spans="1:17" s="13" customFormat="1" x14ac:dyDescent="0.25">
      <c r="A188" s="229"/>
      <c r="B188" s="30" t="s">
        <v>26</v>
      </c>
      <c r="C188" s="181" t="s">
        <v>17</v>
      </c>
      <c r="D188" s="182"/>
      <c r="E188" s="183" t="s">
        <v>32</v>
      </c>
      <c r="F188" s="73" t="s">
        <v>246</v>
      </c>
      <c r="G188" s="74" t="s">
        <v>117</v>
      </c>
      <c r="H188" s="75"/>
      <c r="I188" s="76"/>
      <c r="J188" s="96"/>
      <c r="K188" s="77"/>
      <c r="L188" s="77"/>
      <c r="M188" s="78">
        <f t="shared" si="5"/>
        <v>0</v>
      </c>
      <c r="N188" s="100">
        <v>5</v>
      </c>
      <c r="O188" s="81">
        <v>7808.15</v>
      </c>
      <c r="P188" s="81">
        <v>7808.15</v>
      </c>
      <c r="Q188" s="232">
        <f t="shared" si="6"/>
        <v>0</v>
      </c>
    </row>
    <row r="189" spans="1:17" s="13" customFormat="1" x14ac:dyDescent="0.25">
      <c r="A189" s="229"/>
      <c r="B189" s="62" t="s">
        <v>106</v>
      </c>
      <c r="C189" s="181" t="s">
        <v>17</v>
      </c>
      <c r="D189" s="205"/>
      <c r="E189" s="194" t="s">
        <v>20</v>
      </c>
      <c r="F189" s="73" t="s">
        <v>414</v>
      </c>
      <c r="G189" s="74" t="s">
        <v>112</v>
      </c>
      <c r="H189" s="75">
        <v>14</v>
      </c>
      <c r="I189" s="76">
        <v>6</v>
      </c>
      <c r="J189" s="96">
        <f>1+4+2</f>
        <v>7</v>
      </c>
      <c r="K189" s="77">
        <v>4901.5</v>
      </c>
      <c r="L189" s="77">
        <v>4901.5</v>
      </c>
      <c r="M189" s="78">
        <f t="shared" si="5"/>
        <v>0</v>
      </c>
      <c r="N189" s="100">
        <f>3+1</f>
        <v>4</v>
      </c>
      <c r="O189" s="81">
        <v>49473.81</v>
      </c>
      <c r="P189" s="81">
        <v>49473.81</v>
      </c>
      <c r="Q189" s="232">
        <f t="shared" si="6"/>
        <v>0</v>
      </c>
    </row>
    <row r="190" spans="1:17" x14ac:dyDescent="0.25">
      <c r="A190" s="275"/>
      <c r="B190" s="66"/>
      <c r="C190" s="276"/>
      <c r="D190" s="235"/>
      <c r="E190" s="235"/>
      <c r="F190" s="73"/>
      <c r="G190" s="235" t="s">
        <v>131</v>
      </c>
      <c r="H190" s="240">
        <f>SUM(H10:H189)</f>
        <v>2763</v>
      </c>
      <c r="I190" s="280">
        <f>SUM(I10:I189)</f>
        <v>1554</v>
      </c>
      <c r="J190" s="208">
        <f>SUM(J10:J189)</f>
        <v>1866</v>
      </c>
      <c r="K190" s="209">
        <f>SUM(K10:K189)</f>
        <v>3295308.3450000002</v>
      </c>
      <c r="L190" s="209">
        <f>SUM(L10:L189)</f>
        <v>3295308.3450000002</v>
      </c>
      <c r="M190" s="210">
        <f>K190-L190</f>
        <v>0</v>
      </c>
      <c r="N190" s="208">
        <f>SUM(N10:N189)</f>
        <v>1797</v>
      </c>
      <c r="O190" s="241">
        <f>SUM(O10:O189)</f>
        <v>5704854.7200000016</v>
      </c>
      <c r="P190" s="241">
        <f>SUM(P10:P189)</f>
        <v>5704854.7200000016</v>
      </c>
      <c r="Q190" s="79">
        <f t="shared" si="6"/>
        <v>0</v>
      </c>
    </row>
    <row r="191" spans="1:17" x14ac:dyDescent="0.25">
      <c r="K191" s="91" t="s">
        <v>305</v>
      </c>
    </row>
    <row r="192" spans="1:17" ht="45" x14ac:dyDescent="0.25">
      <c r="B192" s="89" t="s">
        <v>316</v>
      </c>
      <c r="F192" s="104" t="s">
        <v>317</v>
      </c>
      <c r="M192" s="142"/>
      <c r="N192" s="277"/>
      <c r="O192" s="278"/>
      <c r="P192" s="279"/>
      <c r="Q192" s="133"/>
    </row>
    <row r="193" spans="2:17" x14ac:dyDescent="0.25"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216"/>
      <c r="N193" s="6"/>
      <c r="O193" s="6"/>
      <c r="P193" s="6"/>
      <c r="Q193" s="6"/>
    </row>
    <row r="194" spans="2:17" x14ac:dyDescent="0.25">
      <c r="M194" s="216"/>
    </row>
    <row r="195" spans="2:17" x14ac:dyDescent="0.25">
      <c r="M195" s="216"/>
    </row>
    <row r="196" spans="2:17" x14ac:dyDescent="0.25">
      <c r="M196" s="216"/>
    </row>
    <row r="197" spans="2:17" x14ac:dyDescent="0.25">
      <c r="M197" s="216"/>
    </row>
  </sheetData>
  <mergeCells count="7">
    <mergeCell ref="O1:Q1"/>
    <mergeCell ref="A3:Q3"/>
    <mergeCell ref="A4:Q4"/>
    <mergeCell ref="A5:Q5"/>
    <mergeCell ref="B7:G7"/>
    <mergeCell ref="H7:M7"/>
    <mergeCell ref="N7:Q7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86"/>
  <sheetViews>
    <sheetView workbookViewId="0">
      <selection sqref="A1:XFD1048576"/>
    </sheetView>
  </sheetViews>
  <sheetFormatPr defaultRowHeight="15" x14ac:dyDescent="0.25"/>
  <cols>
    <col min="1" max="1" width="7.28515625" style="6" customWidth="1"/>
    <col min="2" max="2" width="37.5703125" style="88" customWidth="1"/>
    <col min="3" max="3" width="6.5703125" style="19" hidden="1" customWidth="1"/>
    <col min="4" max="4" width="16.28515625" style="19" hidden="1" customWidth="1"/>
    <col min="5" max="5" width="19" style="19" hidden="1" customWidth="1"/>
    <col min="6" max="6" width="31" style="89" customWidth="1"/>
    <col min="7" max="7" width="22.7109375" style="89" customWidth="1"/>
    <col min="8" max="9" width="10.7109375" style="90" customWidth="1"/>
    <col min="10" max="10" width="8.42578125" style="99" customWidth="1"/>
    <col min="11" max="13" width="15.7109375" style="91" customWidth="1"/>
    <col min="14" max="14" width="10.7109375" style="99" customWidth="1"/>
    <col min="15" max="16" width="15.7109375" style="92" customWidth="1"/>
    <col min="17" max="17" width="18.28515625" style="92" customWidth="1"/>
    <col min="18" max="19" width="9.42578125" style="6" customWidth="1"/>
    <col min="20" max="21" width="9.140625" style="6" customWidth="1"/>
    <col min="22" max="16384" width="9.140625" style="6"/>
  </cols>
  <sheetData>
    <row r="1" spans="1:17" s="105" customFormat="1" x14ac:dyDescent="0.25">
      <c r="B1" s="60"/>
      <c r="C1" s="4"/>
      <c r="D1" s="4"/>
      <c r="E1" s="4"/>
      <c r="F1" s="63"/>
      <c r="G1" s="63"/>
      <c r="H1" s="64"/>
      <c r="I1" s="64"/>
      <c r="J1" s="93"/>
      <c r="K1" s="65"/>
      <c r="L1" s="65"/>
      <c r="M1" s="65"/>
      <c r="N1" s="93"/>
      <c r="O1" s="362" t="s">
        <v>15</v>
      </c>
      <c r="P1" s="362"/>
      <c r="Q1" s="362"/>
    </row>
    <row r="2" spans="1:17" s="105" customFormat="1" x14ac:dyDescent="0.25">
      <c r="A2" s="7"/>
      <c r="B2" s="116"/>
      <c r="C2" s="107"/>
      <c r="D2" s="107"/>
      <c r="E2" s="107"/>
      <c r="F2" s="66"/>
      <c r="G2" s="66"/>
      <c r="H2" s="115"/>
      <c r="I2" s="115"/>
      <c r="J2" s="94"/>
      <c r="K2" s="67"/>
      <c r="L2" s="67"/>
      <c r="M2" s="67"/>
      <c r="N2" s="94"/>
      <c r="O2" s="68"/>
      <c r="P2" s="68"/>
      <c r="Q2" s="68"/>
    </row>
    <row r="3" spans="1:17" s="105" customFormat="1" x14ac:dyDescent="0.25">
      <c r="A3" s="363" t="s">
        <v>318</v>
      </c>
      <c r="B3" s="364"/>
      <c r="C3" s="363"/>
      <c r="D3" s="363"/>
      <c r="E3" s="363"/>
      <c r="F3" s="364"/>
      <c r="G3" s="364"/>
      <c r="H3" s="365"/>
      <c r="I3" s="366"/>
      <c r="J3" s="367"/>
      <c r="K3" s="364"/>
      <c r="L3" s="364"/>
      <c r="M3" s="364"/>
      <c r="N3" s="364"/>
      <c r="O3" s="364"/>
      <c r="P3" s="364"/>
      <c r="Q3" s="364"/>
    </row>
    <row r="4" spans="1:17" s="105" customFormat="1" x14ac:dyDescent="0.25">
      <c r="A4" s="368">
        <v>43493</v>
      </c>
      <c r="B4" s="369"/>
      <c r="C4" s="370"/>
      <c r="D4" s="370"/>
      <c r="E4" s="370"/>
      <c r="F4" s="369"/>
      <c r="G4" s="369"/>
      <c r="H4" s="371"/>
      <c r="I4" s="372"/>
      <c r="J4" s="373"/>
      <c r="K4" s="369"/>
      <c r="L4" s="369"/>
      <c r="M4" s="369"/>
      <c r="N4" s="369"/>
      <c r="O4" s="369"/>
      <c r="P4" s="369"/>
      <c r="Q4" s="369"/>
    </row>
    <row r="5" spans="1:17" s="105" customFormat="1" x14ac:dyDescent="0.25">
      <c r="A5" s="374" t="s">
        <v>14</v>
      </c>
      <c r="B5" s="367"/>
      <c r="C5" s="374"/>
      <c r="D5" s="374"/>
      <c r="E5" s="374"/>
      <c r="F5" s="367"/>
      <c r="G5" s="367"/>
      <c r="H5" s="366"/>
      <c r="I5" s="366"/>
      <c r="J5" s="367"/>
      <c r="K5" s="367"/>
      <c r="L5" s="367"/>
      <c r="M5" s="367"/>
      <c r="N5" s="367"/>
      <c r="O5" s="367"/>
      <c r="P5" s="367"/>
      <c r="Q5" s="367"/>
    </row>
    <row r="6" spans="1:17" s="105" customFormat="1" x14ac:dyDescent="0.25">
      <c r="A6" s="7"/>
      <c r="B6" s="116"/>
      <c r="C6" s="107"/>
      <c r="D6" s="107"/>
      <c r="E6" s="107"/>
      <c r="F6" s="66"/>
      <c r="G6" s="66"/>
      <c r="H6" s="115"/>
      <c r="I6" s="115"/>
      <c r="J6" s="94"/>
      <c r="K6" s="67"/>
      <c r="L6" s="67"/>
      <c r="M6" s="67"/>
      <c r="N6" s="94"/>
      <c r="O6" s="68"/>
      <c r="P6" s="68"/>
      <c r="Q6" s="68"/>
    </row>
    <row r="7" spans="1:17" x14ac:dyDescent="0.25">
      <c r="A7" s="5" t="s">
        <v>0</v>
      </c>
      <c r="B7" s="364" t="s">
        <v>10</v>
      </c>
      <c r="C7" s="375"/>
      <c r="D7" s="375"/>
      <c r="E7" s="375"/>
      <c r="F7" s="364"/>
      <c r="G7" s="364"/>
      <c r="H7" s="365" t="s">
        <v>136</v>
      </c>
      <c r="I7" s="366"/>
      <c r="J7" s="367"/>
      <c r="K7" s="364"/>
      <c r="L7" s="364"/>
      <c r="M7" s="364"/>
      <c r="N7" s="364" t="s">
        <v>132</v>
      </c>
      <c r="O7" s="364"/>
      <c r="P7" s="364"/>
      <c r="Q7" s="364"/>
    </row>
    <row r="8" spans="1:17" ht="240" x14ac:dyDescent="0.25">
      <c r="A8" s="5"/>
      <c r="B8" s="116" t="s">
        <v>4</v>
      </c>
      <c r="C8" s="107" t="s">
        <v>1</v>
      </c>
      <c r="D8" s="107" t="s">
        <v>3</v>
      </c>
      <c r="E8" s="107" t="s">
        <v>2</v>
      </c>
      <c r="F8" s="116" t="s">
        <v>6</v>
      </c>
      <c r="G8" s="66" t="s">
        <v>5</v>
      </c>
      <c r="H8" s="116" t="s">
        <v>7</v>
      </c>
      <c r="I8" s="116" t="s">
        <v>8</v>
      </c>
      <c r="J8" s="94" t="s">
        <v>9</v>
      </c>
      <c r="K8" s="67" t="s">
        <v>11</v>
      </c>
      <c r="L8" s="67" t="s">
        <v>12</v>
      </c>
      <c r="M8" s="67" t="s">
        <v>13</v>
      </c>
      <c r="N8" s="94" t="s">
        <v>9</v>
      </c>
      <c r="O8" s="68" t="s">
        <v>11</v>
      </c>
      <c r="P8" s="68" t="s">
        <v>12</v>
      </c>
      <c r="Q8" s="68" t="s">
        <v>13</v>
      </c>
    </row>
    <row r="9" spans="1:17" x14ac:dyDescent="0.25">
      <c r="A9" s="9">
        <v>1</v>
      </c>
      <c r="B9" s="61">
        <f>A9+1</f>
        <v>2</v>
      </c>
      <c r="C9" s="9">
        <f t="shared" ref="C9:Q9" si="0">B9+1</f>
        <v>3</v>
      </c>
      <c r="D9" s="9">
        <f t="shared" si="0"/>
        <v>4</v>
      </c>
      <c r="E9" s="9">
        <f t="shared" si="0"/>
        <v>5</v>
      </c>
      <c r="F9" s="69">
        <f t="shared" si="0"/>
        <v>6</v>
      </c>
      <c r="G9" s="69">
        <f t="shared" si="0"/>
        <v>7</v>
      </c>
      <c r="H9" s="70">
        <f t="shared" si="0"/>
        <v>8</v>
      </c>
      <c r="I9" s="70">
        <f t="shared" si="0"/>
        <v>9</v>
      </c>
      <c r="J9" s="95">
        <f t="shared" si="0"/>
        <v>10</v>
      </c>
      <c r="K9" s="71">
        <f t="shared" si="0"/>
        <v>11</v>
      </c>
      <c r="L9" s="71">
        <f t="shared" si="0"/>
        <v>12</v>
      </c>
      <c r="M9" s="71">
        <f t="shared" si="0"/>
        <v>13</v>
      </c>
      <c r="N9" s="95">
        <f t="shared" si="0"/>
        <v>14</v>
      </c>
      <c r="O9" s="72">
        <f t="shared" si="0"/>
        <v>15</v>
      </c>
      <c r="P9" s="72">
        <f t="shared" si="0"/>
        <v>16</v>
      </c>
      <c r="Q9" s="72">
        <f t="shared" si="0"/>
        <v>17</v>
      </c>
    </row>
    <row r="10" spans="1:17" s="13" customFormat="1" ht="24" x14ac:dyDescent="0.25">
      <c r="A10" s="10"/>
      <c r="B10" s="62" t="s">
        <v>16</v>
      </c>
      <c r="C10" s="1" t="s">
        <v>304</v>
      </c>
      <c r="D10" s="18" t="s">
        <v>315</v>
      </c>
      <c r="E10" s="3" t="s">
        <v>18</v>
      </c>
      <c r="F10" s="73" t="s">
        <v>322</v>
      </c>
      <c r="G10" s="74" t="s">
        <v>112</v>
      </c>
      <c r="H10" s="75">
        <v>1</v>
      </c>
      <c r="I10" s="76"/>
      <c r="J10" s="96"/>
      <c r="K10" s="77"/>
      <c r="L10" s="77"/>
      <c r="M10" s="78">
        <f>K10-L10</f>
        <v>0</v>
      </c>
      <c r="N10" s="100"/>
      <c r="O10" s="77"/>
      <c r="P10" s="77"/>
      <c r="Q10" s="79">
        <f>O10-P10</f>
        <v>0</v>
      </c>
    </row>
    <row r="11" spans="1:17" s="13" customFormat="1" ht="15.75" x14ac:dyDescent="0.25">
      <c r="A11" s="10">
        <v>2</v>
      </c>
      <c r="B11" s="22" t="s">
        <v>16</v>
      </c>
      <c r="C11" s="1" t="s">
        <v>17</v>
      </c>
      <c r="D11" s="2"/>
      <c r="E11" s="3" t="s">
        <v>18</v>
      </c>
      <c r="F11" s="73" t="s">
        <v>241</v>
      </c>
      <c r="G11" s="11" t="s">
        <v>116</v>
      </c>
      <c r="H11" s="1">
        <v>2</v>
      </c>
      <c r="I11" s="49"/>
      <c r="J11" s="46"/>
      <c r="K11" s="31"/>
      <c r="L11" s="31"/>
      <c r="M11" s="38">
        <f t="shared" ref="M11:M82" si="1">K11-L11</f>
        <v>0</v>
      </c>
      <c r="N11" s="41"/>
      <c r="O11" s="31"/>
      <c r="P11" s="31"/>
      <c r="Q11" s="12">
        <f t="shared" ref="Q11:Q75" si="2">O11-P11</f>
        <v>0</v>
      </c>
    </row>
    <row r="12" spans="1:17" s="15" customFormat="1" ht="15.75" x14ac:dyDescent="0.25">
      <c r="A12" s="14"/>
      <c r="B12" s="80" t="s">
        <v>19</v>
      </c>
      <c r="C12" s="1" t="s">
        <v>17</v>
      </c>
      <c r="D12" s="2"/>
      <c r="E12" s="3" t="s">
        <v>20</v>
      </c>
      <c r="F12" s="73" t="s">
        <v>323</v>
      </c>
      <c r="G12" s="74" t="s">
        <v>112</v>
      </c>
      <c r="H12" s="75">
        <v>4</v>
      </c>
      <c r="I12" s="76"/>
      <c r="J12" s="96"/>
      <c r="K12" s="77"/>
      <c r="L12" s="77"/>
      <c r="M12" s="78">
        <f t="shared" si="1"/>
        <v>0</v>
      </c>
      <c r="N12" s="100"/>
      <c r="O12" s="81"/>
      <c r="P12" s="81"/>
      <c r="Q12" s="79">
        <f t="shared" si="2"/>
        <v>0</v>
      </c>
    </row>
    <row r="13" spans="1:17" s="15" customFormat="1" ht="15.75" x14ac:dyDescent="0.25">
      <c r="A13" s="14">
        <v>2</v>
      </c>
      <c r="B13" s="23" t="s">
        <v>19</v>
      </c>
      <c r="C13" s="1" t="s">
        <v>17</v>
      </c>
      <c r="D13" s="2"/>
      <c r="E13" s="3" t="s">
        <v>20</v>
      </c>
      <c r="F13" s="73" t="s">
        <v>451</v>
      </c>
      <c r="G13" s="11" t="s">
        <v>114</v>
      </c>
      <c r="H13" s="1"/>
      <c r="I13" s="49"/>
      <c r="J13" s="51"/>
      <c r="K13" s="40"/>
      <c r="L13" s="40"/>
      <c r="M13" s="38">
        <f t="shared" si="1"/>
        <v>0</v>
      </c>
      <c r="N13" s="42"/>
      <c r="O13" s="31"/>
      <c r="P13" s="31"/>
      <c r="Q13" s="12">
        <f t="shared" si="2"/>
        <v>0</v>
      </c>
    </row>
    <row r="14" spans="1:17" s="15" customFormat="1" ht="15.75" x14ac:dyDescent="0.25">
      <c r="A14" s="14"/>
      <c r="B14" s="62" t="s">
        <v>153</v>
      </c>
      <c r="C14" s="1" t="s">
        <v>17</v>
      </c>
      <c r="D14" s="2"/>
      <c r="E14" s="3" t="s">
        <v>20</v>
      </c>
      <c r="F14" s="73" t="s">
        <v>324</v>
      </c>
      <c r="G14" s="74" t="s">
        <v>112</v>
      </c>
      <c r="H14" s="75">
        <v>1</v>
      </c>
      <c r="I14" s="82"/>
      <c r="J14" s="96"/>
      <c r="K14" s="77"/>
      <c r="L14" s="77"/>
      <c r="M14" s="78">
        <f t="shared" si="1"/>
        <v>0</v>
      </c>
      <c r="N14" s="114">
        <f>1</f>
        <v>1</v>
      </c>
      <c r="O14" s="81">
        <f>422.62</f>
        <v>422.62</v>
      </c>
      <c r="P14" s="81"/>
      <c r="Q14" s="79">
        <f t="shared" si="2"/>
        <v>422.62</v>
      </c>
    </row>
    <row r="15" spans="1:17" s="15" customFormat="1" ht="15.75" x14ac:dyDescent="0.25">
      <c r="A15" s="14"/>
      <c r="B15" s="50" t="s">
        <v>153</v>
      </c>
      <c r="C15" s="1"/>
      <c r="D15" s="2"/>
      <c r="E15" s="3" t="s">
        <v>20</v>
      </c>
      <c r="F15" s="73" t="s">
        <v>452</v>
      </c>
      <c r="G15" s="11" t="s">
        <v>114</v>
      </c>
      <c r="H15" s="1"/>
      <c r="I15" s="49"/>
      <c r="J15" s="51"/>
      <c r="K15" s="40"/>
      <c r="L15" s="40"/>
      <c r="M15" s="38">
        <f t="shared" si="1"/>
        <v>0</v>
      </c>
      <c r="N15" s="42"/>
      <c r="O15" s="31"/>
      <c r="P15" s="31"/>
      <c r="Q15" s="12">
        <f t="shared" si="2"/>
        <v>0</v>
      </c>
    </row>
    <row r="16" spans="1:17" s="13" customFormat="1" ht="15.75" x14ac:dyDescent="0.25">
      <c r="A16" s="10"/>
      <c r="B16" s="30" t="s">
        <v>22</v>
      </c>
      <c r="C16" s="1" t="s">
        <v>17</v>
      </c>
      <c r="D16" s="2"/>
      <c r="E16" s="3" t="s">
        <v>23</v>
      </c>
      <c r="F16" s="73" t="s">
        <v>325</v>
      </c>
      <c r="G16" s="74" t="s">
        <v>112</v>
      </c>
      <c r="H16" s="75"/>
      <c r="I16" s="76"/>
      <c r="J16" s="96"/>
      <c r="K16" s="77"/>
      <c r="L16" s="77"/>
      <c r="M16" s="78">
        <f t="shared" si="1"/>
        <v>0</v>
      </c>
      <c r="N16" s="100"/>
      <c r="O16" s="81"/>
      <c r="P16" s="81"/>
      <c r="Q16" s="79">
        <f t="shared" si="2"/>
        <v>0</v>
      </c>
    </row>
    <row r="17" spans="1:17" s="13" customFormat="1" ht="15.75" x14ac:dyDescent="0.25">
      <c r="A17" s="10"/>
      <c r="B17" s="24" t="s">
        <v>154</v>
      </c>
      <c r="C17" s="1" t="s">
        <v>17</v>
      </c>
      <c r="D17" s="2"/>
      <c r="E17" s="3" t="s">
        <v>20</v>
      </c>
      <c r="F17" s="73" t="s">
        <v>453</v>
      </c>
      <c r="G17" s="11" t="s">
        <v>114</v>
      </c>
      <c r="H17" s="1">
        <v>1</v>
      </c>
      <c r="I17" s="47"/>
      <c r="J17" s="51"/>
      <c r="K17" s="37"/>
      <c r="L17" s="37"/>
      <c r="M17" s="38">
        <f t="shared" si="1"/>
        <v>0</v>
      </c>
      <c r="N17" s="39"/>
      <c r="O17" s="31"/>
      <c r="P17" s="31"/>
      <c r="Q17" s="12">
        <f t="shared" si="2"/>
        <v>0</v>
      </c>
    </row>
    <row r="18" spans="1:17" s="13" customFormat="1" ht="15.75" x14ac:dyDescent="0.25">
      <c r="A18" s="10"/>
      <c r="B18" s="30" t="s">
        <v>154</v>
      </c>
      <c r="C18" s="1" t="s">
        <v>17</v>
      </c>
      <c r="D18" s="2"/>
      <c r="E18" s="3" t="s">
        <v>20</v>
      </c>
      <c r="F18" s="73" t="s">
        <v>326</v>
      </c>
      <c r="G18" s="74" t="s">
        <v>112</v>
      </c>
      <c r="H18" s="75">
        <v>4</v>
      </c>
      <c r="I18" s="76">
        <v>1</v>
      </c>
      <c r="J18" s="96">
        <f>1</f>
        <v>1</v>
      </c>
      <c r="K18" s="77"/>
      <c r="L18" s="77"/>
      <c r="M18" s="78">
        <f t="shared" si="1"/>
        <v>0</v>
      </c>
      <c r="N18" s="100">
        <f>6+3</f>
        <v>9</v>
      </c>
      <c r="O18" s="81">
        <v>6681.33</v>
      </c>
      <c r="P18" s="81"/>
      <c r="Q18" s="79">
        <f t="shared" si="2"/>
        <v>6681.33</v>
      </c>
    </row>
    <row r="19" spans="1:17" s="13" customFormat="1" ht="15.75" x14ac:dyDescent="0.25">
      <c r="A19" s="10"/>
      <c r="B19" s="62" t="s">
        <v>24</v>
      </c>
      <c r="C19" s="1" t="s">
        <v>17</v>
      </c>
      <c r="D19" s="2"/>
      <c r="E19" s="3" t="s">
        <v>20</v>
      </c>
      <c r="F19" s="73" t="s">
        <v>327</v>
      </c>
      <c r="G19" s="74" t="s">
        <v>112</v>
      </c>
      <c r="H19" s="75"/>
      <c r="I19" s="76"/>
      <c r="J19" s="96"/>
      <c r="K19" s="77"/>
      <c r="L19" s="77"/>
      <c r="M19" s="38">
        <f t="shared" si="1"/>
        <v>0</v>
      </c>
      <c r="N19" s="100"/>
      <c r="O19" s="81"/>
      <c r="P19" s="81"/>
      <c r="Q19" s="12">
        <f t="shared" si="2"/>
        <v>0</v>
      </c>
    </row>
    <row r="20" spans="1:17" s="13" customFormat="1" ht="15.75" x14ac:dyDescent="0.25">
      <c r="A20" s="10">
        <v>1</v>
      </c>
      <c r="B20" s="22" t="s">
        <v>24</v>
      </c>
      <c r="C20" s="1" t="s">
        <v>17</v>
      </c>
      <c r="D20" s="2"/>
      <c r="E20" s="3" t="s">
        <v>20</v>
      </c>
      <c r="F20" s="73" t="s">
        <v>454</v>
      </c>
      <c r="G20" s="11" t="s">
        <v>114</v>
      </c>
      <c r="H20" s="1">
        <v>3</v>
      </c>
      <c r="I20" s="49"/>
      <c r="J20" s="51"/>
      <c r="K20" s="40"/>
      <c r="L20" s="40"/>
      <c r="M20" s="78">
        <f t="shared" si="1"/>
        <v>0</v>
      </c>
      <c r="N20" s="41"/>
      <c r="O20" s="31"/>
      <c r="P20" s="31"/>
      <c r="Q20" s="79">
        <f t="shared" si="2"/>
        <v>0</v>
      </c>
    </row>
    <row r="21" spans="1:17" s="13" customFormat="1" ht="15.75" x14ac:dyDescent="0.25">
      <c r="A21" s="10"/>
      <c r="B21" s="62" t="s">
        <v>25</v>
      </c>
      <c r="C21" s="1" t="s">
        <v>17</v>
      </c>
      <c r="D21" s="2"/>
      <c r="E21" s="3" t="s">
        <v>20</v>
      </c>
      <c r="F21" s="73" t="s">
        <v>328</v>
      </c>
      <c r="G21" s="74" t="s">
        <v>112</v>
      </c>
      <c r="H21" s="75">
        <v>1</v>
      </c>
      <c r="I21" s="76"/>
      <c r="J21" s="96"/>
      <c r="K21" s="77"/>
      <c r="L21" s="77"/>
      <c r="M21" s="38">
        <f t="shared" si="1"/>
        <v>0</v>
      </c>
      <c r="N21" s="100"/>
      <c r="O21" s="81"/>
      <c r="P21" s="81"/>
      <c r="Q21" s="12">
        <f t="shared" si="2"/>
        <v>0</v>
      </c>
    </row>
    <row r="22" spans="1:17" s="13" customFormat="1" ht="15.75" x14ac:dyDescent="0.25">
      <c r="A22" s="10"/>
      <c r="B22" s="22" t="s">
        <v>25</v>
      </c>
      <c r="C22" s="1" t="s">
        <v>17</v>
      </c>
      <c r="D22" s="2"/>
      <c r="E22" s="3" t="s">
        <v>20</v>
      </c>
      <c r="F22" s="73" t="s">
        <v>455</v>
      </c>
      <c r="G22" s="11" t="s">
        <v>114</v>
      </c>
      <c r="H22" s="1"/>
      <c r="I22" s="49"/>
      <c r="J22" s="51"/>
      <c r="K22" s="40"/>
      <c r="L22" s="40"/>
      <c r="M22" s="78">
        <f t="shared" si="1"/>
        <v>0</v>
      </c>
      <c r="N22" s="41"/>
      <c r="O22" s="31"/>
      <c r="P22" s="31"/>
      <c r="Q22" s="79">
        <f t="shared" si="2"/>
        <v>0</v>
      </c>
    </row>
    <row r="23" spans="1:17" s="13" customFormat="1" ht="15.75" x14ac:dyDescent="0.25">
      <c r="A23" s="10"/>
      <c r="B23" s="62" t="s">
        <v>26</v>
      </c>
      <c r="C23" s="1" t="s">
        <v>17</v>
      </c>
      <c r="D23" s="2"/>
      <c r="E23" s="3" t="s">
        <v>27</v>
      </c>
      <c r="F23" s="73" t="s">
        <v>329</v>
      </c>
      <c r="G23" s="74" t="s">
        <v>112</v>
      </c>
      <c r="H23" s="75"/>
      <c r="I23" s="76"/>
      <c r="J23" s="96"/>
      <c r="K23" s="77"/>
      <c r="L23" s="77"/>
      <c r="M23" s="38">
        <f t="shared" si="1"/>
        <v>0</v>
      </c>
      <c r="N23" s="100">
        <f>6</f>
        <v>6</v>
      </c>
      <c r="O23" s="81">
        <f>17838.53</f>
        <v>17838.53</v>
      </c>
      <c r="P23" s="81"/>
      <c r="Q23" s="12">
        <f t="shared" si="2"/>
        <v>17838.53</v>
      </c>
    </row>
    <row r="24" spans="1:17" s="13" customFormat="1" ht="15.75" x14ac:dyDescent="0.25">
      <c r="A24" s="10"/>
      <c r="B24" s="22" t="s">
        <v>306</v>
      </c>
      <c r="C24" s="1" t="s">
        <v>17</v>
      </c>
      <c r="D24" s="2"/>
      <c r="E24" s="3" t="s">
        <v>27</v>
      </c>
      <c r="F24" s="73" t="s">
        <v>421</v>
      </c>
      <c r="G24" s="11" t="s">
        <v>117</v>
      </c>
      <c r="H24" s="1"/>
      <c r="I24" s="49"/>
      <c r="J24" s="46"/>
      <c r="K24" s="40"/>
      <c r="L24" s="40"/>
      <c r="M24" s="78">
        <f t="shared" si="1"/>
        <v>0</v>
      </c>
      <c r="N24" s="41">
        <f>3</f>
        <v>3</v>
      </c>
      <c r="O24" s="40"/>
      <c r="P24" s="40"/>
      <c r="Q24" s="79">
        <f>O24-P24</f>
        <v>0</v>
      </c>
    </row>
    <row r="25" spans="1:17" s="15" customFormat="1" ht="15.75" x14ac:dyDescent="0.25">
      <c r="A25" s="14"/>
      <c r="B25" s="80" t="s">
        <v>28</v>
      </c>
      <c r="C25" s="1" t="s">
        <v>17</v>
      </c>
      <c r="D25" s="2"/>
      <c r="E25" s="17" t="s">
        <v>29</v>
      </c>
      <c r="F25" s="73" t="s">
        <v>330</v>
      </c>
      <c r="G25" s="74" t="s">
        <v>112</v>
      </c>
      <c r="H25" s="75"/>
      <c r="I25" s="76"/>
      <c r="J25" s="96"/>
      <c r="K25" s="77"/>
      <c r="L25" s="77"/>
      <c r="M25" s="38">
        <f t="shared" si="1"/>
        <v>0</v>
      </c>
      <c r="N25" s="100">
        <f>3</f>
        <v>3</v>
      </c>
      <c r="O25" s="81"/>
      <c r="P25" s="81"/>
      <c r="Q25" s="12">
        <f t="shared" si="2"/>
        <v>0</v>
      </c>
    </row>
    <row r="26" spans="1:17" s="15" customFormat="1" ht="15.75" x14ac:dyDescent="0.25">
      <c r="A26" s="14"/>
      <c r="B26" s="23" t="s">
        <v>28</v>
      </c>
      <c r="C26" s="1" t="s">
        <v>17</v>
      </c>
      <c r="D26" s="2"/>
      <c r="E26" s="17" t="s">
        <v>29</v>
      </c>
      <c r="F26" s="73" t="s">
        <v>420</v>
      </c>
      <c r="G26" s="8" t="s">
        <v>117</v>
      </c>
      <c r="H26" s="1">
        <v>1</v>
      </c>
      <c r="I26" s="48"/>
      <c r="J26" s="45"/>
      <c r="K26" s="40"/>
      <c r="L26" s="40"/>
      <c r="M26" s="78">
        <f t="shared" si="1"/>
        <v>0</v>
      </c>
      <c r="N26" s="42"/>
      <c r="O26" s="31"/>
      <c r="P26" s="31"/>
      <c r="Q26" s="79">
        <f t="shared" si="2"/>
        <v>0</v>
      </c>
    </row>
    <row r="27" spans="1:17" s="13" customFormat="1" ht="15.75" x14ac:dyDescent="0.25">
      <c r="A27" s="10"/>
      <c r="B27" s="27" t="s">
        <v>30</v>
      </c>
      <c r="C27" s="1" t="s">
        <v>17</v>
      </c>
      <c r="D27" s="2"/>
      <c r="E27" s="17" t="s">
        <v>21</v>
      </c>
      <c r="F27" s="73" t="s">
        <v>333</v>
      </c>
      <c r="G27" s="74" t="s">
        <v>112</v>
      </c>
      <c r="H27" s="75">
        <v>4</v>
      </c>
      <c r="I27" s="76"/>
      <c r="J27" s="96"/>
      <c r="K27" s="77"/>
      <c r="L27" s="77"/>
      <c r="M27" s="38">
        <f t="shared" si="1"/>
        <v>0</v>
      </c>
      <c r="N27" s="100"/>
      <c r="O27" s="81"/>
      <c r="P27" s="81"/>
      <c r="Q27" s="12">
        <f t="shared" si="2"/>
        <v>0</v>
      </c>
    </row>
    <row r="28" spans="1:17" s="13" customFormat="1" ht="15.75" x14ac:dyDescent="0.25">
      <c r="A28" s="10"/>
      <c r="B28" s="30" t="s">
        <v>31</v>
      </c>
      <c r="C28" s="1" t="s">
        <v>17</v>
      </c>
      <c r="D28" s="2"/>
      <c r="E28" s="3" t="s">
        <v>32</v>
      </c>
      <c r="F28" s="73" t="s">
        <v>331</v>
      </c>
      <c r="G28" s="74" t="s">
        <v>112</v>
      </c>
      <c r="H28" s="75">
        <v>1</v>
      </c>
      <c r="I28" s="76"/>
      <c r="J28" s="96"/>
      <c r="K28" s="77"/>
      <c r="L28" s="77"/>
      <c r="M28" s="78">
        <f t="shared" si="1"/>
        <v>0</v>
      </c>
      <c r="N28" s="100">
        <f>1</f>
        <v>1</v>
      </c>
      <c r="O28" s="81">
        <f>2299.8</f>
        <v>2299.8000000000002</v>
      </c>
      <c r="P28" s="81"/>
      <c r="Q28" s="79">
        <f t="shared" si="2"/>
        <v>2299.8000000000002</v>
      </c>
    </row>
    <row r="29" spans="1:17" s="13" customFormat="1" ht="15.75" x14ac:dyDescent="0.25">
      <c r="A29" s="10"/>
      <c r="B29" s="24" t="s">
        <v>31</v>
      </c>
      <c r="C29" s="1" t="s">
        <v>17</v>
      </c>
      <c r="D29" s="2"/>
      <c r="E29" s="3" t="s">
        <v>32</v>
      </c>
      <c r="F29" s="73" t="s">
        <v>422</v>
      </c>
      <c r="G29" s="8" t="s">
        <v>117</v>
      </c>
      <c r="H29" s="1">
        <v>3</v>
      </c>
      <c r="I29" s="49"/>
      <c r="J29" s="46"/>
      <c r="K29" s="40"/>
      <c r="L29" s="40"/>
      <c r="M29" s="38">
        <f t="shared" si="1"/>
        <v>0</v>
      </c>
      <c r="N29" s="41">
        <f>5</f>
        <v>5</v>
      </c>
      <c r="O29" s="40"/>
      <c r="P29" s="40"/>
      <c r="Q29" s="12">
        <f t="shared" si="2"/>
        <v>0</v>
      </c>
    </row>
    <row r="30" spans="1:17" s="15" customFormat="1" ht="15.75" x14ac:dyDescent="0.25">
      <c r="A30" s="14"/>
      <c r="B30" s="80" t="s">
        <v>33</v>
      </c>
      <c r="C30" s="1" t="s">
        <v>17</v>
      </c>
      <c r="D30" s="2"/>
      <c r="E30" s="3" t="s">
        <v>20</v>
      </c>
      <c r="F30" s="73" t="s">
        <v>332</v>
      </c>
      <c r="G30" s="74" t="s">
        <v>112</v>
      </c>
      <c r="H30" s="75">
        <v>1</v>
      </c>
      <c r="I30" s="76"/>
      <c r="J30" s="96"/>
      <c r="K30" s="77"/>
      <c r="L30" s="77"/>
      <c r="M30" s="78">
        <f t="shared" si="1"/>
        <v>0</v>
      </c>
      <c r="N30" s="100">
        <f>2</f>
        <v>2</v>
      </c>
      <c r="O30" s="81">
        <v>1613.64</v>
      </c>
      <c r="P30" s="81"/>
      <c r="Q30" s="79">
        <f t="shared" si="2"/>
        <v>1613.64</v>
      </c>
    </row>
    <row r="31" spans="1:17" s="15" customFormat="1" ht="15.75" x14ac:dyDescent="0.25">
      <c r="A31" s="14"/>
      <c r="B31" s="23" t="s">
        <v>33</v>
      </c>
      <c r="C31" s="1" t="s">
        <v>17</v>
      </c>
      <c r="D31" s="2"/>
      <c r="E31" s="3" t="s">
        <v>20</v>
      </c>
      <c r="F31" s="73" t="s">
        <v>448</v>
      </c>
      <c r="G31" s="11" t="s">
        <v>114</v>
      </c>
      <c r="H31" s="1"/>
      <c r="I31" s="49"/>
      <c r="J31" s="51"/>
      <c r="K31" s="40"/>
      <c r="L31" s="40"/>
      <c r="M31" s="38">
        <f t="shared" si="1"/>
        <v>0</v>
      </c>
      <c r="N31" s="42"/>
      <c r="O31" s="31"/>
      <c r="P31" s="31"/>
      <c r="Q31" s="12">
        <f t="shared" si="2"/>
        <v>0</v>
      </c>
    </row>
    <row r="32" spans="1:17" s="15" customFormat="1" ht="15.75" x14ac:dyDescent="0.25">
      <c r="A32" s="14"/>
      <c r="B32" s="62" t="s">
        <v>147</v>
      </c>
      <c r="C32" s="1" t="s">
        <v>17</v>
      </c>
      <c r="D32" s="2"/>
      <c r="E32" s="3" t="s">
        <v>29</v>
      </c>
      <c r="F32" s="73" t="s">
        <v>334</v>
      </c>
      <c r="G32" s="74" t="s">
        <v>112</v>
      </c>
      <c r="H32" s="75">
        <v>1</v>
      </c>
      <c r="I32" s="102"/>
      <c r="J32" s="97"/>
      <c r="K32" s="77"/>
      <c r="L32" s="77"/>
      <c r="M32" s="78">
        <f t="shared" si="1"/>
        <v>0</v>
      </c>
      <c r="N32" s="114">
        <f>1</f>
        <v>1</v>
      </c>
      <c r="O32" s="81">
        <f>1394.65</f>
        <v>1394.65</v>
      </c>
      <c r="P32" s="81"/>
      <c r="Q32" s="79">
        <f t="shared" si="2"/>
        <v>1394.65</v>
      </c>
    </row>
    <row r="33" spans="1:17" s="15" customFormat="1" ht="15.75" x14ac:dyDescent="0.25">
      <c r="A33" s="14"/>
      <c r="B33" s="50" t="s">
        <v>147</v>
      </c>
      <c r="C33" s="1" t="s">
        <v>17</v>
      </c>
      <c r="D33" s="2"/>
      <c r="E33" s="3" t="s">
        <v>29</v>
      </c>
      <c r="F33" s="73" t="s">
        <v>423</v>
      </c>
      <c r="G33" s="11" t="s">
        <v>117</v>
      </c>
      <c r="H33" s="1">
        <v>1</v>
      </c>
      <c r="I33" s="48"/>
      <c r="J33" s="45"/>
      <c r="K33" s="40"/>
      <c r="L33" s="40"/>
      <c r="M33" s="38">
        <f t="shared" si="1"/>
        <v>0</v>
      </c>
      <c r="N33" s="42">
        <f>2</f>
        <v>2</v>
      </c>
      <c r="O33" s="31"/>
      <c r="P33" s="31"/>
      <c r="Q33" s="12">
        <f t="shared" si="2"/>
        <v>0</v>
      </c>
    </row>
    <row r="34" spans="1:17" s="13" customFormat="1" ht="15.75" x14ac:dyDescent="0.25">
      <c r="A34" s="10"/>
      <c r="B34" s="62" t="s">
        <v>34</v>
      </c>
      <c r="C34" s="1" t="s">
        <v>17</v>
      </c>
      <c r="D34" s="2"/>
      <c r="E34" s="17" t="s">
        <v>35</v>
      </c>
      <c r="F34" s="73" t="s">
        <v>335</v>
      </c>
      <c r="G34" s="74" t="s">
        <v>112</v>
      </c>
      <c r="H34" s="75">
        <v>3</v>
      </c>
      <c r="I34" s="76"/>
      <c r="J34" s="96"/>
      <c r="K34" s="77"/>
      <c r="L34" s="77"/>
      <c r="M34" s="78">
        <f t="shared" si="1"/>
        <v>0</v>
      </c>
      <c r="N34" s="100">
        <f>4+4</f>
        <v>8</v>
      </c>
      <c r="O34" s="81">
        <f>23915.04</f>
        <v>23915.040000000001</v>
      </c>
      <c r="P34" s="81"/>
      <c r="Q34" s="79">
        <f t="shared" si="2"/>
        <v>23915.040000000001</v>
      </c>
    </row>
    <row r="35" spans="1:17" s="13" customFormat="1" ht="15.75" x14ac:dyDescent="0.25">
      <c r="A35" s="10"/>
      <c r="B35" s="22" t="s">
        <v>34</v>
      </c>
      <c r="C35" s="1" t="s">
        <v>17</v>
      </c>
      <c r="D35" s="2"/>
      <c r="E35" s="17" t="s">
        <v>35</v>
      </c>
      <c r="F35" s="73" t="s">
        <v>424</v>
      </c>
      <c r="G35" s="8" t="s">
        <v>117</v>
      </c>
      <c r="H35" s="1">
        <v>1</v>
      </c>
      <c r="I35" s="49"/>
      <c r="J35" s="46"/>
      <c r="K35" s="40"/>
      <c r="L35" s="40"/>
      <c r="M35" s="38">
        <f t="shared" si="1"/>
        <v>0</v>
      </c>
      <c r="N35" s="41">
        <f>1</f>
        <v>1</v>
      </c>
      <c r="O35" s="31"/>
      <c r="P35" s="31"/>
      <c r="Q35" s="12">
        <f t="shared" si="2"/>
        <v>0</v>
      </c>
    </row>
    <row r="36" spans="1:17" s="13" customFormat="1" ht="15.75" x14ac:dyDescent="0.25">
      <c r="A36" s="10"/>
      <c r="B36" s="27" t="s">
        <v>36</v>
      </c>
      <c r="C36" s="1" t="s">
        <v>17</v>
      </c>
      <c r="D36" s="2"/>
      <c r="E36" s="17" t="s">
        <v>32</v>
      </c>
      <c r="F36" s="73" t="s">
        <v>336</v>
      </c>
      <c r="G36" s="74" t="s">
        <v>112</v>
      </c>
      <c r="H36" s="75"/>
      <c r="I36" s="76"/>
      <c r="J36" s="96"/>
      <c r="K36" s="77"/>
      <c r="L36" s="77"/>
      <c r="M36" s="78">
        <f t="shared" si="1"/>
        <v>0</v>
      </c>
      <c r="N36" s="100">
        <f>4</f>
        <v>4</v>
      </c>
      <c r="O36" s="81">
        <f>8144.95</f>
        <v>8144.95</v>
      </c>
      <c r="P36" s="81"/>
      <c r="Q36" s="79">
        <f t="shared" si="2"/>
        <v>8144.95</v>
      </c>
    </row>
    <row r="37" spans="1:17" s="13" customFormat="1" ht="15.75" x14ac:dyDescent="0.25">
      <c r="A37" s="10"/>
      <c r="B37" s="62" t="s">
        <v>37</v>
      </c>
      <c r="C37" s="1" t="s">
        <v>17</v>
      </c>
      <c r="D37" s="2"/>
      <c r="E37" s="3" t="s">
        <v>21</v>
      </c>
      <c r="F37" s="73" t="s">
        <v>337</v>
      </c>
      <c r="G37" s="74" t="s">
        <v>112</v>
      </c>
      <c r="H37" s="75"/>
      <c r="I37" s="76"/>
      <c r="J37" s="96"/>
      <c r="K37" s="77"/>
      <c r="L37" s="77"/>
      <c r="M37" s="38">
        <f t="shared" si="1"/>
        <v>0</v>
      </c>
      <c r="N37" s="100"/>
      <c r="O37" s="81"/>
      <c r="P37" s="81"/>
      <c r="Q37" s="12">
        <f t="shared" si="2"/>
        <v>0</v>
      </c>
    </row>
    <row r="38" spans="1:17" s="13" customFormat="1" ht="15.75" x14ac:dyDescent="0.25">
      <c r="A38" s="10"/>
      <c r="B38" s="27" t="s">
        <v>38</v>
      </c>
      <c r="C38" s="1" t="s">
        <v>17</v>
      </c>
      <c r="D38" s="2"/>
      <c r="E38" s="3" t="s">
        <v>20</v>
      </c>
      <c r="F38" s="73" t="s">
        <v>338</v>
      </c>
      <c r="G38" s="74" t="s">
        <v>112</v>
      </c>
      <c r="H38" s="75">
        <v>2</v>
      </c>
      <c r="I38" s="76"/>
      <c r="J38" s="96"/>
      <c r="K38" s="77"/>
      <c r="L38" s="77"/>
      <c r="M38" s="78">
        <f t="shared" si="1"/>
        <v>0</v>
      </c>
      <c r="N38" s="100">
        <f>1</f>
        <v>1</v>
      </c>
      <c r="O38" s="81">
        <f>34449.99</f>
        <v>34449.99</v>
      </c>
      <c r="P38" s="81">
        <f>34449.99</f>
        <v>34449.99</v>
      </c>
      <c r="Q38" s="79">
        <f t="shared" si="2"/>
        <v>0</v>
      </c>
    </row>
    <row r="39" spans="1:17" s="13" customFormat="1" ht="15.75" x14ac:dyDescent="0.25">
      <c r="A39" s="10"/>
      <c r="B39" s="25" t="s">
        <v>38</v>
      </c>
      <c r="C39" s="1" t="s">
        <v>17</v>
      </c>
      <c r="D39" s="2"/>
      <c r="E39" s="3" t="s">
        <v>20</v>
      </c>
      <c r="F39" s="73" t="s">
        <v>268</v>
      </c>
      <c r="G39" s="11" t="s">
        <v>114</v>
      </c>
      <c r="H39" s="1"/>
      <c r="I39" s="49"/>
      <c r="J39" s="51"/>
      <c r="K39" s="40"/>
      <c r="L39" s="40"/>
      <c r="M39" s="38">
        <f t="shared" si="1"/>
        <v>0</v>
      </c>
      <c r="N39" s="41"/>
      <c r="O39" s="31"/>
      <c r="P39" s="31"/>
      <c r="Q39" s="12">
        <f t="shared" si="2"/>
        <v>0</v>
      </c>
    </row>
    <row r="40" spans="1:17" s="13" customFormat="1" ht="15.75" x14ac:dyDescent="0.25">
      <c r="A40" s="10"/>
      <c r="B40" s="22" t="s">
        <v>39</v>
      </c>
      <c r="C40" s="1" t="s">
        <v>17</v>
      </c>
      <c r="D40" s="2"/>
      <c r="E40" s="3" t="s">
        <v>20</v>
      </c>
      <c r="F40" s="73" t="s">
        <v>269</v>
      </c>
      <c r="G40" s="11" t="s">
        <v>114</v>
      </c>
      <c r="H40" s="1"/>
      <c r="I40" s="49"/>
      <c r="J40" s="51"/>
      <c r="K40" s="40"/>
      <c r="L40" s="40"/>
      <c r="M40" s="38">
        <f t="shared" si="1"/>
        <v>0</v>
      </c>
      <c r="N40" s="41"/>
      <c r="O40" s="31"/>
      <c r="P40" s="31"/>
      <c r="Q40" s="12">
        <f t="shared" si="2"/>
        <v>0</v>
      </c>
    </row>
    <row r="41" spans="1:17" s="13" customFormat="1" ht="15.75" x14ac:dyDescent="0.25">
      <c r="A41" s="10"/>
      <c r="B41" s="27" t="s">
        <v>40</v>
      </c>
      <c r="C41" s="1" t="s">
        <v>17</v>
      </c>
      <c r="D41" s="2"/>
      <c r="E41" s="17" t="s">
        <v>41</v>
      </c>
      <c r="F41" s="73" t="s">
        <v>339</v>
      </c>
      <c r="G41" s="74" t="s">
        <v>112</v>
      </c>
      <c r="H41" s="75">
        <v>3</v>
      </c>
      <c r="I41" s="76"/>
      <c r="J41" s="96"/>
      <c r="K41" s="77"/>
      <c r="L41" s="77"/>
      <c r="M41" s="78">
        <f t="shared" si="1"/>
        <v>0</v>
      </c>
      <c r="N41" s="100">
        <f>3</f>
        <v>3</v>
      </c>
      <c r="O41" s="81">
        <f>17269.31</f>
        <v>17269.310000000001</v>
      </c>
      <c r="P41" s="81">
        <f>17269.31</f>
        <v>17269.310000000001</v>
      </c>
      <c r="Q41" s="79">
        <f t="shared" si="2"/>
        <v>0</v>
      </c>
    </row>
    <row r="42" spans="1:17" s="13" customFormat="1" ht="15.75" x14ac:dyDescent="0.25">
      <c r="A42" s="10"/>
      <c r="B42" s="25" t="s">
        <v>40</v>
      </c>
      <c r="C42" s="1" t="s">
        <v>17</v>
      </c>
      <c r="D42" s="2"/>
      <c r="E42" s="17" t="s">
        <v>41</v>
      </c>
      <c r="F42" s="73" t="s">
        <v>270</v>
      </c>
      <c r="G42" s="11" t="s">
        <v>114</v>
      </c>
      <c r="H42" s="1"/>
      <c r="I42" s="49"/>
      <c r="J42" s="51"/>
      <c r="K42" s="40"/>
      <c r="L42" s="40"/>
      <c r="M42" s="38">
        <f t="shared" si="1"/>
        <v>0</v>
      </c>
      <c r="N42" s="41"/>
      <c r="O42" s="31"/>
      <c r="P42" s="31"/>
      <c r="Q42" s="12">
        <f t="shared" si="2"/>
        <v>0</v>
      </c>
    </row>
    <row r="43" spans="1:17" s="13" customFormat="1" ht="15.75" x14ac:dyDescent="0.25">
      <c r="A43" s="10"/>
      <c r="B43" s="27" t="s">
        <v>148</v>
      </c>
      <c r="C43" s="1" t="s">
        <v>17</v>
      </c>
      <c r="D43" s="2"/>
      <c r="E43" s="3" t="s">
        <v>20</v>
      </c>
      <c r="F43" s="73" t="s">
        <v>340</v>
      </c>
      <c r="G43" s="74" t="s">
        <v>112</v>
      </c>
      <c r="H43" s="75">
        <v>2</v>
      </c>
      <c r="I43" s="82"/>
      <c r="J43" s="96"/>
      <c r="K43" s="77"/>
      <c r="L43" s="77"/>
      <c r="M43" s="78">
        <f t="shared" si="1"/>
        <v>0</v>
      </c>
      <c r="N43" s="100">
        <f>6</f>
        <v>6</v>
      </c>
      <c r="O43" s="81">
        <f>9370.6</f>
        <v>9370.6</v>
      </c>
      <c r="P43" s="81"/>
      <c r="Q43" s="79">
        <f t="shared" si="2"/>
        <v>9370.6</v>
      </c>
    </row>
    <row r="44" spans="1:17" s="13" customFormat="1" ht="15.75" x14ac:dyDescent="0.25">
      <c r="A44" s="10"/>
      <c r="B44" s="25" t="s">
        <v>148</v>
      </c>
      <c r="C44" s="1" t="s">
        <v>17</v>
      </c>
      <c r="D44" s="2"/>
      <c r="E44" s="17" t="s">
        <v>32</v>
      </c>
      <c r="F44" s="73" t="s">
        <v>425</v>
      </c>
      <c r="G44" s="11" t="s">
        <v>117</v>
      </c>
      <c r="H44" s="1"/>
      <c r="I44" s="49"/>
      <c r="J44" s="46"/>
      <c r="K44" s="40"/>
      <c r="L44" s="40"/>
      <c r="M44" s="38">
        <f t="shared" si="1"/>
        <v>0</v>
      </c>
      <c r="N44" s="41">
        <f>1</f>
        <v>1</v>
      </c>
      <c r="O44" s="31"/>
      <c r="P44" s="31"/>
      <c r="Q44" s="12">
        <f t="shared" si="2"/>
        <v>0</v>
      </c>
    </row>
    <row r="45" spans="1:17" s="13" customFormat="1" ht="15.75" x14ac:dyDescent="0.25">
      <c r="A45" s="10"/>
      <c r="B45" s="30" t="s">
        <v>42</v>
      </c>
      <c r="C45" s="1" t="s">
        <v>17</v>
      </c>
      <c r="D45" s="2"/>
      <c r="E45" s="3" t="s">
        <v>23</v>
      </c>
      <c r="F45" s="73" t="s">
        <v>341</v>
      </c>
      <c r="G45" s="74" t="s">
        <v>112</v>
      </c>
      <c r="H45" s="75">
        <v>5</v>
      </c>
      <c r="I45" s="76"/>
      <c r="J45" s="96"/>
      <c r="K45" s="77"/>
      <c r="L45" s="77"/>
      <c r="M45" s="78">
        <f t="shared" si="1"/>
        <v>0</v>
      </c>
      <c r="N45" s="100">
        <f>4</f>
        <v>4</v>
      </c>
      <c r="O45" s="81">
        <f>5364.2</f>
        <v>5364.2</v>
      </c>
      <c r="P45" s="81"/>
      <c r="Q45" s="79">
        <f t="shared" si="2"/>
        <v>5364.2</v>
      </c>
    </row>
    <row r="46" spans="1:17" s="13" customFormat="1" ht="15.75" x14ac:dyDescent="0.25">
      <c r="A46" s="10"/>
      <c r="B46" s="24" t="s">
        <v>42</v>
      </c>
      <c r="C46" s="1" t="s">
        <v>17</v>
      </c>
      <c r="D46" s="2"/>
      <c r="E46" s="3" t="s">
        <v>23</v>
      </c>
      <c r="F46" s="73" t="s">
        <v>437</v>
      </c>
      <c r="G46" s="11" t="s">
        <v>118</v>
      </c>
      <c r="H46" s="1"/>
      <c r="I46" s="49"/>
      <c r="J46" s="46"/>
      <c r="K46" s="40"/>
      <c r="L46" s="40"/>
      <c r="M46" s="38">
        <f t="shared" si="1"/>
        <v>0</v>
      </c>
      <c r="N46" s="41"/>
      <c r="O46" s="31"/>
      <c r="P46" s="31"/>
      <c r="Q46" s="12">
        <f t="shared" si="2"/>
        <v>0</v>
      </c>
    </row>
    <row r="47" spans="1:17" s="13" customFormat="1" ht="15.75" x14ac:dyDescent="0.25">
      <c r="A47" s="10"/>
      <c r="B47" s="30" t="s">
        <v>173</v>
      </c>
      <c r="C47" s="1" t="s">
        <v>17</v>
      </c>
      <c r="D47" s="2"/>
      <c r="E47" s="11" t="s">
        <v>118</v>
      </c>
      <c r="F47" s="73" t="s">
        <v>342</v>
      </c>
      <c r="G47" s="74" t="s">
        <v>112</v>
      </c>
      <c r="H47" s="75">
        <v>3</v>
      </c>
      <c r="I47" s="76">
        <v>1</v>
      </c>
      <c r="J47" s="96">
        <f>1</f>
        <v>1</v>
      </c>
      <c r="K47" s="77"/>
      <c r="L47" s="77"/>
      <c r="M47" s="78">
        <f t="shared" si="1"/>
        <v>0</v>
      </c>
      <c r="N47" s="100">
        <f>4</f>
        <v>4</v>
      </c>
      <c r="O47" s="81">
        <f>5931.9</f>
        <v>5931.9</v>
      </c>
      <c r="P47" s="81"/>
      <c r="Q47" s="79">
        <f t="shared" si="2"/>
        <v>5931.9</v>
      </c>
    </row>
    <row r="48" spans="1:17" s="13" customFormat="1" ht="15.75" x14ac:dyDescent="0.25">
      <c r="A48" s="10"/>
      <c r="B48" s="62" t="s">
        <v>108</v>
      </c>
      <c r="C48" s="1" t="s">
        <v>17</v>
      </c>
      <c r="D48" s="2"/>
      <c r="E48" s="17" t="s">
        <v>74</v>
      </c>
      <c r="F48" s="73" t="s">
        <v>343</v>
      </c>
      <c r="G48" s="74" t="s">
        <v>112</v>
      </c>
      <c r="H48" s="75"/>
      <c r="I48" s="76"/>
      <c r="J48" s="96"/>
      <c r="K48" s="77"/>
      <c r="L48" s="77"/>
      <c r="M48" s="38">
        <f t="shared" si="1"/>
        <v>0</v>
      </c>
      <c r="N48" s="100"/>
      <c r="O48" s="81"/>
      <c r="P48" s="81"/>
      <c r="Q48" s="12">
        <f t="shared" si="2"/>
        <v>0</v>
      </c>
    </row>
    <row r="49" spans="1:17" s="13" customFormat="1" ht="15.75" x14ac:dyDescent="0.25">
      <c r="A49" s="10"/>
      <c r="B49" s="22" t="s">
        <v>143</v>
      </c>
      <c r="C49" s="1" t="s">
        <v>64</v>
      </c>
      <c r="D49" s="2" t="s">
        <v>444</v>
      </c>
      <c r="E49" s="3" t="s">
        <v>20</v>
      </c>
      <c r="F49" s="73" t="s">
        <v>445</v>
      </c>
      <c r="G49" s="11" t="s">
        <v>114</v>
      </c>
      <c r="H49" s="1">
        <v>3</v>
      </c>
      <c r="I49" s="47"/>
      <c r="J49" s="51"/>
      <c r="K49" s="37"/>
      <c r="L49" s="37"/>
      <c r="M49" s="78">
        <f t="shared" si="1"/>
        <v>0</v>
      </c>
      <c r="N49" s="39"/>
      <c r="O49" s="31"/>
      <c r="P49" s="31"/>
      <c r="Q49" s="79">
        <f t="shared" si="2"/>
        <v>0</v>
      </c>
    </row>
    <row r="50" spans="1:17" s="13" customFormat="1" ht="15.75" x14ac:dyDescent="0.25">
      <c r="A50" s="10"/>
      <c r="B50" s="24" t="s">
        <v>158</v>
      </c>
      <c r="C50" s="1" t="s">
        <v>17</v>
      </c>
      <c r="D50" s="2"/>
      <c r="E50" s="17" t="s">
        <v>32</v>
      </c>
      <c r="F50" s="73" t="s">
        <v>426</v>
      </c>
      <c r="G50" s="11" t="s">
        <v>117</v>
      </c>
      <c r="H50" s="1">
        <v>3</v>
      </c>
      <c r="I50" s="47"/>
      <c r="J50" s="51"/>
      <c r="K50" s="37"/>
      <c r="L50" s="37"/>
      <c r="M50" s="38">
        <f t="shared" si="1"/>
        <v>0</v>
      </c>
      <c r="N50" s="39">
        <f>2</f>
        <v>2</v>
      </c>
      <c r="O50" s="31"/>
      <c r="P50" s="31"/>
      <c r="Q50" s="12">
        <f t="shared" si="2"/>
        <v>0</v>
      </c>
    </row>
    <row r="51" spans="1:17" s="15" customFormat="1" ht="15.75" x14ac:dyDescent="0.25">
      <c r="A51" s="14"/>
      <c r="B51" s="80" t="s">
        <v>43</v>
      </c>
      <c r="C51" s="1" t="s">
        <v>17</v>
      </c>
      <c r="D51" s="2"/>
      <c r="E51" s="3" t="s">
        <v>18</v>
      </c>
      <c r="F51" s="73" t="s">
        <v>344</v>
      </c>
      <c r="G51" s="74" t="s">
        <v>112</v>
      </c>
      <c r="H51" s="75">
        <v>3</v>
      </c>
      <c r="I51" s="76"/>
      <c r="J51" s="96"/>
      <c r="K51" s="77"/>
      <c r="L51" s="77"/>
      <c r="M51" s="78">
        <f t="shared" si="1"/>
        <v>0</v>
      </c>
      <c r="N51" s="100">
        <f>1</f>
        <v>1</v>
      </c>
      <c r="O51" s="81">
        <f>1223.8</f>
        <v>1223.8</v>
      </c>
      <c r="P51" s="81"/>
      <c r="Q51" s="79">
        <f t="shared" si="2"/>
        <v>1223.8</v>
      </c>
    </row>
    <row r="52" spans="1:17" s="15" customFormat="1" ht="15.75" x14ac:dyDescent="0.25">
      <c r="A52" s="14"/>
      <c r="B52" s="22" t="s">
        <v>43</v>
      </c>
      <c r="C52" s="1" t="s">
        <v>17</v>
      </c>
      <c r="D52" s="2"/>
      <c r="E52" s="3" t="s">
        <v>18</v>
      </c>
      <c r="F52" s="73" t="s">
        <v>242</v>
      </c>
      <c r="G52" s="11" t="s">
        <v>113</v>
      </c>
      <c r="H52" s="1">
        <v>1</v>
      </c>
      <c r="I52" s="48"/>
      <c r="J52" s="45"/>
      <c r="K52" s="40"/>
      <c r="L52" s="40"/>
      <c r="M52" s="38">
        <f t="shared" si="1"/>
        <v>0</v>
      </c>
      <c r="N52" s="39"/>
      <c r="O52" s="31"/>
      <c r="P52" s="31"/>
      <c r="Q52" s="12">
        <f t="shared" si="2"/>
        <v>0</v>
      </c>
    </row>
    <row r="53" spans="1:17" s="13" customFormat="1" ht="15.75" x14ac:dyDescent="0.25">
      <c r="A53" s="10"/>
      <c r="B53" s="30" t="s">
        <v>44</v>
      </c>
      <c r="C53" s="1" t="s">
        <v>17</v>
      </c>
      <c r="D53" s="2"/>
      <c r="E53" s="3" t="s">
        <v>20</v>
      </c>
      <c r="F53" s="73" t="s">
        <v>345</v>
      </c>
      <c r="G53" s="74" t="s">
        <v>112</v>
      </c>
      <c r="H53" s="75">
        <v>4</v>
      </c>
      <c r="I53" s="76">
        <v>1</v>
      </c>
      <c r="J53" s="96">
        <f>1</f>
        <v>1</v>
      </c>
      <c r="K53" s="77"/>
      <c r="L53" s="77"/>
      <c r="M53" s="78">
        <f t="shared" si="1"/>
        <v>0</v>
      </c>
      <c r="N53" s="100"/>
      <c r="O53" s="81"/>
      <c r="P53" s="81"/>
      <c r="Q53" s="79">
        <f t="shared" si="2"/>
        <v>0</v>
      </c>
    </row>
    <row r="54" spans="1:17" s="13" customFormat="1" ht="15.75" x14ac:dyDescent="0.25">
      <c r="A54" s="10"/>
      <c r="B54" s="24" t="s">
        <v>44</v>
      </c>
      <c r="C54" s="1" t="s">
        <v>17</v>
      </c>
      <c r="D54" s="2"/>
      <c r="E54" s="3" t="s">
        <v>20</v>
      </c>
      <c r="F54" s="73" t="s">
        <v>271</v>
      </c>
      <c r="G54" s="11" t="s">
        <v>114</v>
      </c>
      <c r="H54" s="1"/>
      <c r="I54" s="49"/>
      <c r="J54" s="51"/>
      <c r="K54" s="40"/>
      <c r="L54" s="40"/>
      <c r="M54" s="78">
        <f t="shared" si="1"/>
        <v>0</v>
      </c>
      <c r="N54" s="41"/>
      <c r="O54" s="31"/>
      <c r="P54" s="31"/>
      <c r="Q54" s="12">
        <f t="shared" si="2"/>
        <v>0</v>
      </c>
    </row>
    <row r="55" spans="1:17" s="13" customFormat="1" ht="15.75" x14ac:dyDescent="0.25">
      <c r="A55" s="10"/>
      <c r="B55" s="27" t="s">
        <v>45</v>
      </c>
      <c r="C55" s="1" t="s">
        <v>17</v>
      </c>
      <c r="D55" s="2"/>
      <c r="E55" s="3" t="s">
        <v>20</v>
      </c>
      <c r="F55" s="73" t="s">
        <v>346</v>
      </c>
      <c r="G55" s="74" t="s">
        <v>112</v>
      </c>
      <c r="H55" s="75"/>
      <c r="I55" s="76"/>
      <c r="J55" s="96"/>
      <c r="K55" s="77"/>
      <c r="L55" s="77"/>
      <c r="M55" s="38">
        <f t="shared" si="1"/>
        <v>0</v>
      </c>
      <c r="N55" s="100"/>
      <c r="O55" s="81"/>
      <c r="P55" s="81"/>
      <c r="Q55" s="79">
        <f t="shared" si="2"/>
        <v>0</v>
      </c>
    </row>
    <row r="56" spans="1:17" s="13" customFormat="1" ht="15.75" x14ac:dyDescent="0.25">
      <c r="A56" s="10"/>
      <c r="B56" s="25" t="s">
        <v>45</v>
      </c>
      <c r="C56" s="1" t="s">
        <v>17</v>
      </c>
      <c r="D56" s="2"/>
      <c r="E56" s="3" t="s">
        <v>20</v>
      </c>
      <c r="F56" s="73" t="s">
        <v>449</v>
      </c>
      <c r="G56" s="11" t="s">
        <v>114</v>
      </c>
      <c r="H56" s="1"/>
      <c r="I56" s="49"/>
      <c r="J56" s="51"/>
      <c r="K56" s="40"/>
      <c r="L56" s="40"/>
      <c r="M56" s="78">
        <f t="shared" si="1"/>
        <v>0</v>
      </c>
      <c r="N56" s="41"/>
      <c r="O56" s="31"/>
      <c r="P56" s="31"/>
      <c r="Q56" s="12">
        <f t="shared" si="2"/>
        <v>0</v>
      </c>
    </row>
    <row r="57" spans="1:17" s="15" customFormat="1" ht="15.75" x14ac:dyDescent="0.25">
      <c r="A57" s="14"/>
      <c r="B57" s="28" t="s">
        <v>46</v>
      </c>
      <c r="C57" s="1" t="s">
        <v>17</v>
      </c>
      <c r="D57" s="2"/>
      <c r="E57" s="3" t="s">
        <v>20</v>
      </c>
      <c r="F57" s="73" t="s">
        <v>347</v>
      </c>
      <c r="G57" s="74" t="s">
        <v>112</v>
      </c>
      <c r="H57" s="75">
        <v>1</v>
      </c>
      <c r="I57" s="76"/>
      <c r="J57" s="96"/>
      <c r="K57" s="77"/>
      <c r="L57" s="77"/>
      <c r="M57" s="38">
        <f t="shared" si="1"/>
        <v>0</v>
      </c>
      <c r="N57" s="100"/>
      <c r="O57" s="81"/>
      <c r="P57" s="81"/>
      <c r="Q57" s="79">
        <f t="shared" si="2"/>
        <v>0</v>
      </c>
    </row>
    <row r="58" spans="1:17" s="15" customFormat="1" ht="15.75" x14ac:dyDescent="0.25">
      <c r="A58" s="14"/>
      <c r="B58" s="26" t="s">
        <v>46</v>
      </c>
      <c r="C58" s="1" t="s">
        <v>17</v>
      </c>
      <c r="D58" s="2"/>
      <c r="E58" s="3" t="s">
        <v>20</v>
      </c>
      <c r="F58" s="73" t="s">
        <v>273</v>
      </c>
      <c r="G58" s="11" t="s">
        <v>114</v>
      </c>
      <c r="H58" s="1"/>
      <c r="I58" s="49"/>
      <c r="J58" s="51"/>
      <c r="K58" s="40"/>
      <c r="L58" s="40"/>
      <c r="M58" s="78">
        <f t="shared" si="1"/>
        <v>0</v>
      </c>
      <c r="N58" s="42"/>
      <c r="O58" s="31"/>
      <c r="P58" s="31"/>
      <c r="Q58" s="12">
        <f t="shared" si="2"/>
        <v>0</v>
      </c>
    </row>
    <row r="59" spans="1:17" s="13" customFormat="1" ht="36" x14ac:dyDescent="0.25">
      <c r="A59" s="10"/>
      <c r="B59" s="30" t="s">
        <v>47</v>
      </c>
      <c r="C59" s="1" t="s">
        <v>304</v>
      </c>
      <c r="D59" s="18" t="s">
        <v>384</v>
      </c>
      <c r="E59" s="3" t="s">
        <v>18</v>
      </c>
      <c r="F59" s="73" t="s">
        <v>348</v>
      </c>
      <c r="G59" s="74" t="s">
        <v>112</v>
      </c>
      <c r="H59" s="75">
        <v>4</v>
      </c>
      <c r="I59" s="76"/>
      <c r="J59" s="96"/>
      <c r="K59" s="77"/>
      <c r="L59" s="77"/>
      <c r="M59" s="38">
        <f t="shared" si="1"/>
        <v>0</v>
      </c>
      <c r="N59" s="100">
        <f>7</f>
        <v>7</v>
      </c>
      <c r="O59" s="81">
        <f>8477.51</f>
        <v>8477.51</v>
      </c>
      <c r="P59" s="81"/>
      <c r="Q59" s="79">
        <f t="shared" si="2"/>
        <v>8477.51</v>
      </c>
    </row>
    <row r="60" spans="1:17" s="13" customFormat="1" ht="15.75" x14ac:dyDescent="0.25">
      <c r="A60" s="10"/>
      <c r="B60" s="22" t="s">
        <v>120</v>
      </c>
      <c r="C60" s="1" t="s">
        <v>17</v>
      </c>
      <c r="D60" s="2"/>
      <c r="E60" s="3" t="s">
        <v>18</v>
      </c>
      <c r="F60" s="73" t="s">
        <v>243</v>
      </c>
      <c r="G60" s="11" t="s">
        <v>116</v>
      </c>
      <c r="H60" s="1">
        <v>5</v>
      </c>
      <c r="I60" s="49"/>
      <c r="J60" s="46"/>
      <c r="K60" s="40"/>
      <c r="L60" s="40"/>
      <c r="M60" s="78">
        <f t="shared" si="1"/>
        <v>0</v>
      </c>
      <c r="N60" s="41"/>
      <c r="O60" s="31"/>
      <c r="P60" s="31"/>
      <c r="Q60" s="12">
        <f t="shared" si="2"/>
        <v>0</v>
      </c>
    </row>
    <row r="61" spans="1:17" s="13" customFormat="1" ht="15.75" x14ac:dyDescent="0.25">
      <c r="A61" s="10"/>
      <c r="B61" s="30" t="s">
        <v>134</v>
      </c>
      <c r="C61" s="1" t="s">
        <v>17</v>
      </c>
      <c r="D61" s="2"/>
      <c r="E61" s="3" t="s">
        <v>20</v>
      </c>
      <c r="F61" s="73" t="s">
        <v>349</v>
      </c>
      <c r="G61" s="74" t="s">
        <v>112</v>
      </c>
      <c r="H61" s="75">
        <v>1</v>
      </c>
      <c r="I61" s="76"/>
      <c r="J61" s="96"/>
      <c r="K61" s="77"/>
      <c r="L61" s="77"/>
      <c r="M61" s="38">
        <f t="shared" si="1"/>
        <v>0</v>
      </c>
      <c r="N61" s="100"/>
      <c r="O61" s="81"/>
      <c r="P61" s="81"/>
      <c r="Q61" s="79">
        <f t="shared" si="2"/>
        <v>0</v>
      </c>
    </row>
    <row r="62" spans="1:17" s="13" customFormat="1" ht="15.75" x14ac:dyDescent="0.25">
      <c r="A62" s="10"/>
      <c r="B62" s="24" t="s">
        <v>134</v>
      </c>
      <c r="C62" s="1" t="s">
        <v>17</v>
      </c>
      <c r="D62" s="2"/>
      <c r="E62" s="3" t="s">
        <v>20</v>
      </c>
      <c r="F62" s="73" t="s">
        <v>456</v>
      </c>
      <c r="G62" s="11" t="s">
        <v>114</v>
      </c>
      <c r="H62" s="1">
        <v>3</v>
      </c>
      <c r="I62" s="49"/>
      <c r="J62" s="51"/>
      <c r="K62" s="40"/>
      <c r="L62" s="40"/>
      <c r="M62" s="78">
        <f t="shared" si="1"/>
        <v>0</v>
      </c>
      <c r="N62" s="41"/>
      <c r="O62" s="31"/>
      <c r="P62" s="31"/>
      <c r="Q62" s="12">
        <f t="shared" si="2"/>
        <v>0</v>
      </c>
    </row>
    <row r="63" spans="1:17" s="13" customFormat="1" ht="15.75" x14ac:dyDescent="0.25">
      <c r="A63" s="10"/>
      <c r="B63" s="62" t="s">
        <v>48</v>
      </c>
      <c r="C63" s="1" t="s">
        <v>17</v>
      </c>
      <c r="D63" s="2"/>
      <c r="E63" s="3" t="s">
        <v>20</v>
      </c>
      <c r="F63" s="73" t="s">
        <v>350</v>
      </c>
      <c r="G63" s="74" t="s">
        <v>112</v>
      </c>
      <c r="H63" s="75">
        <v>3</v>
      </c>
      <c r="I63" s="76">
        <v>1</v>
      </c>
      <c r="J63" s="96">
        <f>1</f>
        <v>1</v>
      </c>
      <c r="K63" s="77"/>
      <c r="L63" s="77"/>
      <c r="M63" s="38">
        <f t="shared" si="1"/>
        <v>0</v>
      </c>
      <c r="N63" s="100">
        <f>2</f>
        <v>2</v>
      </c>
      <c r="O63" s="81"/>
      <c r="P63" s="81"/>
      <c r="Q63" s="79">
        <f t="shared" si="2"/>
        <v>0</v>
      </c>
    </row>
    <row r="64" spans="1:17" s="13" customFormat="1" ht="15.75" x14ac:dyDescent="0.25">
      <c r="A64" s="10"/>
      <c r="B64" s="62" t="s">
        <v>49</v>
      </c>
      <c r="C64" s="1" t="s">
        <v>17</v>
      </c>
      <c r="D64" s="2"/>
      <c r="E64" s="3" t="s">
        <v>50</v>
      </c>
      <c r="F64" s="73" t="s">
        <v>351</v>
      </c>
      <c r="G64" s="74" t="s">
        <v>112</v>
      </c>
      <c r="H64" s="75">
        <v>2</v>
      </c>
      <c r="I64" s="76"/>
      <c r="J64" s="96"/>
      <c r="K64" s="77"/>
      <c r="L64" s="77"/>
      <c r="M64" s="78">
        <f t="shared" si="1"/>
        <v>0</v>
      </c>
      <c r="N64" s="100">
        <f>5</f>
        <v>5</v>
      </c>
      <c r="O64" s="81">
        <f>7374</f>
        <v>7374</v>
      </c>
      <c r="P64" s="81"/>
      <c r="Q64" s="12">
        <f t="shared" si="2"/>
        <v>7374</v>
      </c>
    </row>
    <row r="65" spans="1:17" s="13" customFormat="1" ht="15.75" x14ac:dyDescent="0.25">
      <c r="A65" s="10"/>
      <c r="B65" s="22" t="s">
        <v>49</v>
      </c>
      <c r="C65" s="1" t="s">
        <v>17</v>
      </c>
      <c r="D65" s="2"/>
      <c r="E65" s="3" t="s">
        <v>50</v>
      </c>
      <c r="F65" s="73" t="s">
        <v>427</v>
      </c>
      <c r="G65" s="11" t="s">
        <v>115</v>
      </c>
      <c r="H65" s="1"/>
      <c r="I65" s="49"/>
      <c r="J65" s="46"/>
      <c r="K65" s="40"/>
      <c r="L65" s="40"/>
      <c r="M65" s="38">
        <f t="shared" si="1"/>
        <v>0</v>
      </c>
      <c r="N65" s="41">
        <f>6</f>
        <v>6</v>
      </c>
      <c r="O65" s="31"/>
      <c r="P65" s="31"/>
      <c r="Q65" s="79">
        <f t="shared" si="2"/>
        <v>0</v>
      </c>
    </row>
    <row r="66" spans="1:17" s="13" customFormat="1" ht="15.75" x14ac:dyDescent="0.25">
      <c r="A66" s="10"/>
      <c r="B66" s="27" t="s">
        <v>51</v>
      </c>
      <c r="C66" s="1" t="s">
        <v>17</v>
      </c>
      <c r="D66" s="2"/>
      <c r="E66" s="3" t="s">
        <v>20</v>
      </c>
      <c r="F66" s="73" t="s">
        <v>186</v>
      </c>
      <c r="G66" s="74" t="s">
        <v>112</v>
      </c>
      <c r="H66" s="75"/>
      <c r="I66" s="76"/>
      <c r="J66" s="96"/>
      <c r="K66" s="77"/>
      <c r="L66" s="77"/>
      <c r="M66" s="78">
        <f t="shared" si="1"/>
        <v>0</v>
      </c>
      <c r="N66" s="100"/>
      <c r="O66" s="81"/>
      <c r="P66" s="81"/>
      <c r="Q66" s="12">
        <f t="shared" si="2"/>
        <v>0</v>
      </c>
    </row>
    <row r="67" spans="1:17" s="13" customFormat="1" ht="15.75" x14ac:dyDescent="0.25">
      <c r="A67" s="10"/>
      <c r="B67" s="27" t="s">
        <v>51</v>
      </c>
      <c r="C67" s="1" t="s">
        <v>17</v>
      </c>
      <c r="D67" s="2"/>
      <c r="E67" s="3" t="s">
        <v>20</v>
      </c>
      <c r="F67" s="73" t="s">
        <v>276</v>
      </c>
      <c r="G67" s="11" t="s">
        <v>114</v>
      </c>
      <c r="H67" s="1"/>
      <c r="I67" s="49"/>
      <c r="J67" s="51"/>
      <c r="K67" s="40"/>
      <c r="L67" s="40"/>
      <c r="M67" s="38">
        <f t="shared" si="1"/>
        <v>0</v>
      </c>
      <c r="N67" s="41"/>
      <c r="O67" s="31"/>
      <c r="P67" s="31"/>
      <c r="Q67" s="79">
        <f t="shared" si="2"/>
        <v>0</v>
      </c>
    </row>
    <row r="68" spans="1:17" s="13" customFormat="1" ht="15.75" x14ac:dyDescent="0.25">
      <c r="A68" s="10"/>
      <c r="B68" s="62" t="s">
        <v>52</v>
      </c>
      <c r="C68" s="1" t="s">
        <v>17</v>
      </c>
      <c r="D68" s="2"/>
      <c r="E68" s="3" t="s">
        <v>20</v>
      </c>
      <c r="F68" s="73" t="s">
        <v>352</v>
      </c>
      <c r="G68" s="74" t="s">
        <v>112</v>
      </c>
      <c r="H68" s="75">
        <v>2</v>
      </c>
      <c r="I68" s="76"/>
      <c r="J68" s="96"/>
      <c r="K68" s="77"/>
      <c r="L68" s="77"/>
      <c r="M68" s="78">
        <f t="shared" si="1"/>
        <v>0</v>
      </c>
      <c r="N68" s="100">
        <f>4</f>
        <v>4</v>
      </c>
      <c r="O68" s="81">
        <f>48296.91</f>
        <v>48296.91</v>
      </c>
      <c r="P68" s="81"/>
      <c r="Q68" s="12">
        <f t="shared" si="2"/>
        <v>48296.91</v>
      </c>
    </row>
    <row r="69" spans="1:17" s="13" customFormat="1" ht="15.75" x14ac:dyDescent="0.25">
      <c r="A69" s="10"/>
      <c r="B69" s="22" t="s">
        <v>52</v>
      </c>
      <c r="C69" s="1" t="s">
        <v>17</v>
      </c>
      <c r="D69" s="2"/>
      <c r="E69" s="3" t="s">
        <v>20</v>
      </c>
      <c r="F69" s="73" t="s">
        <v>457</v>
      </c>
      <c r="G69" s="11" t="s">
        <v>114</v>
      </c>
      <c r="H69" s="1">
        <v>1</v>
      </c>
      <c r="I69" s="49"/>
      <c r="J69" s="51"/>
      <c r="K69" s="40"/>
      <c r="L69" s="40"/>
      <c r="M69" s="38">
        <f t="shared" si="1"/>
        <v>0</v>
      </c>
      <c r="N69" s="41"/>
      <c r="O69" s="31"/>
      <c r="P69" s="31"/>
      <c r="Q69" s="79">
        <f t="shared" si="2"/>
        <v>0</v>
      </c>
    </row>
    <row r="70" spans="1:17" s="13" customFormat="1" ht="15.75" x14ac:dyDescent="0.25">
      <c r="A70" s="10"/>
      <c r="B70" s="27" t="s">
        <v>53</v>
      </c>
      <c r="C70" s="1" t="s">
        <v>17</v>
      </c>
      <c r="D70" s="2"/>
      <c r="E70" s="3" t="s">
        <v>20</v>
      </c>
      <c r="F70" s="73" t="s">
        <v>353</v>
      </c>
      <c r="G70" s="74" t="s">
        <v>112</v>
      </c>
      <c r="H70" s="75"/>
      <c r="I70" s="76"/>
      <c r="J70" s="96"/>
      <c r="K70" s="77"/>
      <c r="L70" s="77"/>
      <c r="M70" s="78">
        <f>K70-L70</f>
        <v>0</v>
      </c>
      <c r="N70" s="100">
        <f>1</f>
        <v>1</v>
      </c>
      <c r="O70" s="81">
        <f>422.62</f>
        <v>422.62</v>
      </c>
      <c r="P70" s="81">
        <f>422.62</f>
        <v>422.62</v>
      </c>
      <c r="Q70" s="12">
        <f t="shared" si="2"/>
        <v>0</v>
      </c>
    </row>
    <row r="71" spans="1:17" s="13" customFormat="1" ht="15.75" x14ac:dyDescent="0.25">
      <c r="A71" s="10"/>
      <c r="B71" s="27" t="s">
        <v>149</v>
      </c>
      <c r="C71" s="1" t="s">
        <v>17</v>
      </c>
      <c r="D71" s="2"/>
      <c r="E71" s="3" t="s">
        <v>383</v>
      </c>
      <c r="F71" s="73" t="s">
        <v>354</v>
      </c>
      <c r="G71" s="74" t="s">
        <v>112</v>
      </c>
      <c r="H71" s="75">
        <v>2</v>
      </c>
      <c r="I71" s="76"/>
      <c r="J71" s="96"/>
      <c r="K71" s="77"/>
      <c r="L71" s="77"/>
      <c r="M71" s="38">
        <f t="shared" si="1"/>
        <v>0</v>
      </c>
      <c r="N71" s="100"/>
      <c r="O71" s="81"/>
      <c r="P71" s="81"/>
      <c r="Q71" s="79">
        <f t="shared" si="2"/>
        <v>0</v>
      </c>
    </row>
    <row r="72" spans="1:17" s="13" customFormat="1" ht="15.75" x14ac:dyDescent="0.25">
      <c r="A72" s="10"/>
      <c r="B72" s="25" t="s">
        <v>149</v>
      </c>
      <c r="C72" s="1" t="s">
        <v>17</v>
      </c>
      <c r="D72" s="2"/>
      <c r="E72" s="3" t="s">
        <v>383</v>
      </c>
      <c r="F72" s="73" t="s">
        <v>438</v>
      </c>
      <c r="G72" s="11" t="s">
        <v>118</v>
      </c>
      <c r="H72" s="1"/>
      <c r="I72" s="47"/>
      <c r="J72" s="51"/>
      <c r="K72" s="37"/>
      <c r="L72" s="37"/>
      <c r="M72" s="78">
        <f t="shared" si="1"/>
        <v>0</v>
      </c>
      <c r="N72" s="39">
        <v>1</v>
      </c>
      <c r="O72" s="31"/>
      <c r="P72" s="31"/>
      <c r="Q72" s="12">
        <f t="shared" si="2"/>
        <v>0</v>
      </c>
    </row>
    <row r="73" spans="1:17" s="13" customFormat="1" ht="15.75" x14ac:dyDescent="0.25">
      <c r="A73" s="10"/>
      <c r="B73" s="62" t="s">
        <v>107</v>
      </c>
      <c r="C73" s="1" t="s">
        <v>17</v>
      </c>
      <c r="D73" s="2"/>
      <c r="E73" s="17" t="s">
        <v>20</v>
      </c>
      <c r="F73" s="73" t="s">
        <v>355</v>
      </c>
      <c r="G73" s="74" t="s">
        <v>112</v>
      </c>
      <c r="H73" s="75">
        <v>1</v>
      </c>
      <c r="I73" s="76"/>
      <c r="J73" s="96"/>
      <c r="K73" s="77"/>
      <c r="L73" s="77"/>
      <c r="M73" s="38">
        <f t="shared" si="1"/>
        <v>0</v>
      </c>
      <c r="N73" s="100">
        <f>2</f>
        <v>2</v>
      </c>
      <c r="O73" s="81">
        <f>7612.92</f>
        <v>7612.92</v>
      </c>
      <c r="P73" s="81"/>
      <c r="Q73" s="79">
        <f t="shared" si="2"/>
        <v>7612.92</v>
      </c>
    </row>
    <row r="74" spans="1:17" s="13" customFormat="1" ht="15.75" x14ac:dyDescent="0.25">
      <c r="A74" s="10"/>
      <c r="B74" s="22" t="s">
        <v>107</v>
      </c>
      <c r="C74" s="1" t="s">
        <v>17</v>
      </c>
      <c r="D74" s="2"/>
      <c r="E74" s="17" t="s">
        <v>20</v>
      </c>
      <c r="F74" s="73" t="s">
        <v>133</v>
      </c>
      <c r="G74" s="11" t="s">
        <v>114</v>
      </c>
      <c r="H74" s="1"/>
      <c r="I74" s="49"/>
      <c r="J74" s="51"/>
      <c r="K74" s="40"/>
      <c r="L74" s="40"/>
      <c r="M74" s="78">
        <f t="shared" si="1"/>
        <v>0</v>
      </c>
      <c r="N74" s="41"/>
      <c r="O74" s="31"/>
      <c r="P74" s="31"/>
      <c r="Q74" s="12">
        <f t="shared" si="2"/>
        <v>0</v>
      </c>
    </row>
    <row r="75" spans="1:17" s="13" customFormat="1" ht="15.75" x14ac:dyDescent="0.25">
      <c r="A75" s="10"/>
      <c r="B75" s="30" t="s">
        <v>54</v>
      </c>
      <c r="C75" s="1" t="s">
        <v>17</v>
      </c>
      <c r="D75" s="2"/>
      <c r="E75" s="17" t="s">
        <v>20</v>
      </c>
      <c r="F75" s="73" t="s">
        <v>356</v>
      </c>
      <c r="G75" s="74" t="s">
        <v>112</v>
      </c>
      <c r="H75" s="75"/>
      <c r="I75" s="76"/>
      <c r="J75" s="96"/>
      <c r="K75" s="77"/>
      <c r="L75" s="77"/>
      <c r="M75" s="38">
        <f t="shared" si="1"/>
        <v>0</v>
      </c>
      <c r="N75" s="100"/>
      <c r="O75" s="81"/>
      <c r="P75" s="81"/>
      <c r="Q75" s="79">
        <f t="shared" si="2"/>
        <v>0</v>
      </c>
    </row>
    <row r="76" spans="1:17" s="13" customFormat="1" ht="24" x14ac:dyDescent="0.25">
      <c r="A76" s="10"/>
      <c r="B76" s="27" t="s">
        <v>55</v>
      </c>
      <c r="C76" s="1" t="s">
        <v>304</v>
      </c>
      <c r="D76" s="18" t="s">
        <v>387</v>
      </c>
      <c r="E76" s="3" t="s">
        <v>20</v>
      </c>
      <c r="F76" s="73" t="s">
        <v>357</v>
      </c>
      <c r="G76" s="74" t="s">
        <v>112</v>
      </c>
      <c r="H76" s="75">
        <v>2</v>
      </c>
      <c r="I76" s="76"/>
      <c r="J76" s="96"/>
      <c r="K76" s="77"/>
      <c r="L76" s="77"/>
      <c r="M76" s="78">
        <f t="shared" si="1"/>
        <v>0</v>
      </c>
      <c r="N76" s="100">
        <f>2+1</f>
        <v>3</v>
      </c>
      <c r="O76" s="81">
        <f>34854.19</f>
        <v>34854.19</v>
      </c>
      <c r="P76" s="81">
        <f>34854.19</f>
        <v>34854.19</v>
      </c>
      <c r="Q76" s="12">
        <f t="shared" ref="Q76:Q143" si="3">O76-P76</f>
        <v>0</v>
      </c>
    </row>
    <row r="77" spans="1:17" s="13" customFormat="1" ht="24" x14ac:dyDescent="0.25">
      <c r="A77" s="10"/>
      <c r="B77" s="62" t="s">
        <v>56</v>
      </c>
      <c r="C77" s="1" t="s">
        <v>17</v>
      </c>
      <c r="D77" s="18" t="s">
        <v>386</v>
      </c>
      <c r="E77" s="3" t="s">
        <v>18</v>
      </c>
      <c r="F77" s="73" t="s">
        <v>358</v>
      </c>
      <c r="G77" s="74" t="s">
        <v>112</v>
      </c>
      <c r="H77" s="75"/>
      <c r="I77" s="76"/>
      <c r="J77" s="96"/>
      <c r="K77" s="77"/>
      <c r="L77" s="77"/>
      <c r="M77" s="38">
        <f t="shared" si="1"/>
        <v>0</v>
      </c>
      <c r="N77" s="100"/>
      <c r="O77" s="81"/>
      <c r="P77" s="81"/>
      <c r="Q77" s="79">
        <f t="shared" si="3"/>
        <v>0</v>
      </c>
    </row>
    <row r="78" spans="1:17" s="13" customFormat="1" ht="15.75" x14ac:dyDescent="0.25">
      <c r="A78" s="10"/>
      <c r="B78" s="22" t="s">
        <v>56</v>
      </c>
      <c r="C78" s="1" t="s">
        <v>17</v>
      </c>
      <c r="D78" s="2"/>
      <c r="E78" s="3" t="s">
        <v>18</v>
      </c>
      <c r="F78" s="73" t="s">
        <v>244</v>
      </c>
      <c r="G78" s="11" t="s">
        <v>113</v>
      </c>
      <c r="H78" s="1">
        <v>1</v>
      </c>
      <c r="I78" s="49"/>
      <c r="J78" s="46"/>
      <c r="K78" s="40"/>
      <c r="L78" s="40"/>
      <c r="M78" s="78">
        <f t="shared" si="1"/>
        <v>0</v>
      </c>
      <c r="N78" s="41"/>
      <c r="O78" s="31"/>
      <c r="P78" s="31"/>
      <c r="Q78" s="12">
        <f t="shared" si="3"/>
        <v>0</v>
      </c>
    </row>
    <row r="79" spans="1:17" s="13" customFormat="1" ht="15.75" x14ac:dyDescent="0.25">
      <c r="A79" s="10"/>
      <c r="B79" s="62" t="s">
        <v>156</v>
      </c>
      <c r="C79" s="1" t="s">
        <v>304</v>
      </c>
      <c r="D79" s="2"/>
      <c r="E79" s="3" t="s">
        <v>20</v>
      </c>
      <c r="F79" s="73" t="s">
        <v>359</v>
      </c>
      <c r="G79" s="74" t="s">
        <v>112</v>
      </c>
      <c r="H79" s="75">
        <v>1</v>
      </c>
      <c r="I79" s="76"/>
      <c r="J79" s="96"/>
      <c r="K79" s="77"/>
      <c r="L79" s="77"/>
      <c r="M79" s="38">
        <f t="shared" si="1"/>
        <v>0</v>
      </c>
      <c r="N79" s="100">
        <f>3</f>
        <v>3</v>
      </c>
      <c r="O79" s="81"/>
      <c r="P79" s="81"/>
      <c r="Q79" s="79">
        <f t="shared" si="3"/>
        <v>0</v>
      </c>
    </row>
    <row r="80" spans="1:17" s="15" customFormat="1" ht="15.75" x14ac:dyDescent="0.25">
      <c r="A80" s="14"/>
      <c r="B80" s="80" t="s">
        <v>57</v>
      </c>
      <c r="C80" s="1" t="s">
        <v>17</v>
      </c>
      <c r="D80" s="2"/>
      <c r="E80" s="3" t="s">
        <v>20</v>
      </c>
      <c r="F80" s="73" t="s">
        <v>360</v>
      </c>
      <c r="G80" s="74" t="s">
        <v>112</v>
      </c>
      <c r="H80" s="75">
        <v>1</v>
      </c>
      <c r="I80" s="76"/>
      <c r="J80" s="96"/>
      <c r="K80" s="77"/>
      <c r="L80" s="77"/>
      <c r="M80" s="78">
        <f t="shared" si="1"/>
        <v>0</v>
      </c>
      <c r="N80" s="100"/>
      <c r="O80" s="81"/>
      <c r="P80" s="81"/>
      <c r="Q80" s="12">
        <f t="shared" si="3"/>
        <v>0</v>
      </c>
    </row>
    <row r="81" spans="1:17" s="15" customFormat="1" ht="15.75" x14ac:dyDescent="0.25">
      <c r="A81" s="14"/>
      <c r="B81" s="23" t="s">
        <v>57</v>
      </c>
      <c r="C81" s="1" t="s">
        <v>17</v>
      </c>
      <c r="D81" s="2"/>
      <c r="E81" s="3" t="s">
        <v>20</v>
      </c>
      <c r="F81" s="73" t="s">
        <v>458</v>
      </c>
      <c r="G81" s="11" t="s">
        <v>114</v>
      </c>
      <c r="H81" s="1">
        <v>2</v>
      </c>
      <c r="I81" s="49"/>
      <c r="J81" s="51"/>
      <c r="K81" s="40"/>
      <c r="L81" s="40"/>
      <c r="M81" s="38">
        <f t="shared" si="1"/>
        <v>0</v>
      </c>
      <c r="N81" s="42"/>
      <c r="O81" s="31"/>
      <c r="P81" s="31"/>
      <c r="Q81" s="79">
        <f t="shared" si="3"/>
        <v>0</v>
      </c>
    </row>
    <row r="82" spans="1:17" s="13" customFormat="1" ht="15.75" x14ac:dyDescent="0.25">
      <c r="A82" s="10"/>
      <c r="B82" s="62" t="s">
        <v>58</v>
      </c>
      <c r="C82" s="1" t="s">
        <v>17</v>
      </c>
      <c r="D82" s="2"/>
      <c r="E82" s="3" t="s">
        <v>20</v>
      </c>
      <c r="F82" s="73" t="s">
        <v>361</v>
      </c>
      <c r="G82" s="74" t="s">
        <v>112</v>
      </c>
      <c r="H82" s="75">
        <v>1</v>
      </c>
      <c r="I82" s="76"/>
      <c r="J82" s="96"/>
      <c r="K82" s="77"/>
      <c r="L82" s="77"/>
      <c r="M82" s="78">
        <f t="shared" si="1"/>
        <v>0</v>
      </c>
      <c r="N82" s="100">
        <f>1</f>
        <v>1</v>
      </c>
      <c r="O82" s="81">
        <f>9196.24</f>
        <v>9196.24</v>
      </c>
      <c r="P82" s="81"/>
      <c r="Q82" s="12">
        <f t="shared" si="3"/>
        <v>9196.24</v>
      </c>
    </row>
    <row r="83" spans="1:17" s="13" customFormat="1" ht="15.75" x14ac:dyDescent="0.25">
      <c r="A83" s="10"/>
      <c r="B83" s="22" t="s">
        <v>58</v>
      </c>
      <c r="C83" s="1" t="s">
        <v>17</v>
      </c>
      <c r="D83" s="2"/>
      <c r="E83" s="3" t="s">
        <v>20</v>
      </c>
      <c r="F83" s="73" t="s">
        <v>279</v>
      </c>
      <c r="G83" s="11" t="s">
        <v>114</v>
      </c>
      <c r="H83" s="1"/>
      <c r="I83" s="49"/>
      <c r="J83" s="51"/>
      <c r="K83" s="40"/>
      <c r="L83" s="40"/>
      <c r="M83" s="38">
        <f t="shared" ref="M83:M152" si="4">K83-L83</f>
        <v>0</v>
      </c>
      <c r="N83" s="41"/>
      <c r="O83" s="31"/>
      <c r="P83" s="31"/>
      <c r="Q83" s="79">
        <f t="shared" si="3"/>
        <v>0</v>
      </c>
    </row>
    <row r="84" spans="1:17" s="13" customFormat="1" ht="15.75" x14ac:dyDescent="0.25">
      <c r="A84" s="10"/>
      <c r="B84" s="62" t="s">
        <v>59</v>
      </c>
      <c r="C84" s="1" t="s">
        <v>17</v>
      </c>
      <c r="D84" s="2"/>
      <c r="E84" s="3" t="s">
        <v>20</v>
      </c>
      <c r="F84" s="73" t="s">
        <v>362</v>
      </c>
      <c r="G84" s="74" t="s">
        <v>112</v>
      </c>
      <c r="H84" s="75">
        <v>2</v>
      </c>
      <c r="I84" s="76"/>
      <c r="J84" s="96"/>
      <c r="K84" s="77"/>
      <c r="L84" s="77"/>
      <c r="M84" s="78">
        <f t="shared" si="4"/>
        <v>0</v>
      </c>
      <c r="N84" s="100">
        <f>1</f>
        <v>1</v>
      </c>
      <c r="O84" s="81"/>
      <c r="P84" s="81"/>
      <c r="Q84" s="12">
        <f t="shared" si="3"/>
        <v>0</v>
      </c>
    </row>
    <row r="85" spans="1:17" s="13" customFormat="1" ht="15.75" x14ac:dyDescent="0.25">
      <c r="A85" s="10"/>
      <c r="B85" s="22" t="s">
        <v>59</v>
      </c>
      <c r="C85" s="1" t="s">
        <v>17</v>
      </c>
      <c r="D85" s="2"/>
      <c r="E85" s="3" t="s">
        <v>20</v>
      </c>
      <c r="F85" s="73" t="s">
        <v>128</v>
      </c>
      <c r="G85" s="11" t="s">
        <v>114</v>
      </c>
      <c r="H85" s="1"/>
      <c r="I85" s="49"/>
      <c r="J85" s="51"/>
      <c r="K85" s="40"/>
      <c r="L85" s="40"/>
      <c r="M85" s="38">
        <f t="shared" si="4"/>
        <v>0</v>
      </c>
      <c r="N85" s="41"/>
      <c r="O85" s="31"/>
      <c r="P85" s="31"/>
      <c r="Q85" s="79">
        <f t="shared" si="3"/>
        <v>0</v>
      </c>
    </row>
    <row r="86" spans="1:17" s="13" customFormat="1" ht="15.75" x14ac:dyDescent="0.25">
      <c r="A86" s="10"/>
      <c r="B86" s="27" t="s">
        <v>60</v>
      </c>
      <c r="C86" s="1" t="s">
        <v>17</v>
      </c>
      <c r="D86" s="2"/>
      <c r="E86" s="3" t="s">
        <v>20</v>
      </c>
      <c r="F86" s="73" t="s">
        <v>364</v>
      </c>
      <c r="G86" s="74" t="s">
        <v>112</v>
      </c>
      <c r="H86" s="75">
        <v>1</v>
      </c>
      <c r="I86" s="76"/>
      <c r="J86" s="96"/>
      <c r="K86" s="77"/>
      <c r="L86" s="77"/>
      <c r="M86" s="78">
        <f t="shared" si="4"/>
        <v>0</v>
      </c>
      <c r="N86" s="100"/>
      <c r="O86" s="81"/>
      <c r="P86" s="81"/>
      <c r="Q86" s="12">
        <f t="shared" si="3"/>
        <v>0</v>
      </c>
    </row>
    <row r="87" spans="1:17" s="13" customFormat="1" ht="15.75" x14ac:dyDescent="0.25">
      <c r="A87" s="10"/>
      <c r="B87" s="25" t="s">
        <v>60</v>
      </c>
      <c r="C87" s="1" t="s">
        <v>17</v>
      </c>
      <c r="D87" s="2"/>
      <c r="E87" s="3" t="s">
        <v>20</v>
      </c>
      <c r="F87" s="73" t="s">
        <v>280</v>
      </c>
      <c r="G87" s="11" t="s">
        <v>114</v>
      </c>
      <c r="H87" s="1">
        <v>1</v>
      </c>
      <c r="I87" s="49"/>
      <c r="J87" s="51"/>
      <c r="K87" s="40"/>
      <c r="L87" s="40"/>
      <c r="M87" s="38">
        <f t="shared" si="4"/>
        <v>0</v>
      </c>
      <c r="N87" s="41"/>
      <c r="O87" s="31"/>
      <c r="P87" s="31"/>
      <c r="Q87" s="79">
        <f t="shared" si="3"/>
        <v>0</v>
      </c>
    </row>
    <row r="88" spans="1:17" s="15" customFormat="1" ht="15.75" x14ac:dyDescent="0.25">
      <c r="A88" s="14"/>
      <c r="B88" s="28" t="s">
        <v>61</v>
      </c>
      <c r="C88" s="1" t="s">
        <v>17</v>
      </c>
      <c r="D88" s="2"/>
      <c r="E88" s="3" t="s">
        <v>20</v>
      </c>
      <c r="F88" s="73" t="s">
        <v>363</v>
      </c>
      <c r="G88" s="74" t="s">
        <v>112</v>
      </c>
      <c r="H88" s="75"/>
      <c r="I88" s="76"/>
      <c r="J88" s="96"/>
      <c r="K88" s="77"/>
      <c r="L88" s="77"/>
      <c r="M88" s="78">
        <f t="shared" si="4"/>
        <v>0</v>
      </c>
      <c r="N88" s="100"/>
      <c r="O88" s="81"/>
      <c r="P88" s="81"/>
      <c r="Q88" s="12">
        <f t="shared" si="3"/>
        <v>0</v>
      </c>
    </row>
    <row r="89" spans="1:17" s="15" customFormat="1" ht="15.75" x14ac:dyDescent="0.25">
      <c r="A89" s="14"/>
      <c r="B89" s="26" t="s">
        <v>61</v>
      </c>
      <c r="C89" s="1" t="s">
        <v>17</v>
      </c>
      <c r="D89" s="2"/>
      <c r="E89" s="3" t="s">
        <v>20</v>
      </c>
      <c r="F89" s="73" t="s">
        <v>121</v>
      </c>
      <c r="G89" s="11" t="s">
        <v>114</v>
      </c>
      <c r="H89" s="1"/>
      <c r="I89" s="49"/>
      <c r="J89" s="51"/>
      <c r="K89" s="40"/>
      <c r="L89" s="40"/>
      <c r="M89" s="38">
        <f t="shared" si="4"/>
        <v>0</v>
      </c>
      <c r="N89" s="42"/>
      <c r="O89" s="31"/>
      <c r="P89" s="31"/>
      <c r="Q89" s="79">
        <f t="shared" si="3"/>
        <v>0</v>
      </c>
    </row>
    <row r="90" spans="1:17" s="15" customFormat="1" ht="15.75" x14ac:dyDescent="0.25">
      <c r="A90" s="14"/>
      <c r="B90" s="20" t="s">
        <v>306</v>
      </c>
      <c r="C90" s="1" t="s">
        <v>17</v>
      </c>
      <c r="D90" s="2"/>
      <c r="E90" s="3" t="s">
        <v>35</v>
      </c>
      <c r="F90" s="73" t="s">
        <v>365</v>
      </c>
      <c r="G90" s="11" t="s">
        <v>112</v>
      </c>
      <c r="H90" s="1">
        <v>5</v>
      </c>
      <c r="I90" s="58">
        <v>1</v>
      </c>
      <c r="J90" s="51">
        <f>1</f>
        <v>1</v>
      </c>
      <c r="K90" s="40"/>
      <c r="L90" s="40"/>
      <c r="M90" s="78">
        <f t="shared" si="4"/>
        <v>0</v>
      </c>
      <c r="N90" s="39">
        <f>7+2</f>
        <v>9</v>
      </c>
      <c r="O90" s="31">
        <f>2313.84</f>
        <v>2313.84</v>
      </c>
      <c r="P90" s="31"/>
      <c r="Q90" s="12">
        <f t="shared" si="3"/>
        <v>2313.84</v>
      </c>
    </row>
    <row r="91" spans="1:17" s="13" customFormat="1" ht="15.75" x14ac:dyDescent="0.25">
      <c r="A91" s="10"/>
      <c r="B91" s="27" t="s">
        <v>62</v>
      </c>
      <c r="C91" s="1" t="s">
        <v>17</v>
      </c>
      <c r="D91" s="2"/>
      <c r="E91" s="3" t="s">
        <v>35</v>
      </c>
      <c r="F91" s="73" t="s">
        <v>366</v>
      </c>
      <c r="G91" s="74" t="s">
        <v>112</v>
      </c>
      <c r="H91" s="75">
        <v>3</v>
      </c>
      <c r="I91" s="76"/>
      <c r="J91" s="96"/>
      <c r="K91" s="77"/>
      <c r="L91" s="77"/>
      <c r="M91" s="38">
        <f t="shared" si="4"/>
        <v>0</v>
      </c>
      <c r="N91" s="100">
        <f>6</f>
        <v>6</v>
      </c>
      <c r="O91" s="81"/>
      <c r="P91" s="81"/>
      <c r="Q91" s="79">
        <f t="shared" si="3"/>
        <v>0</v>
      </c>
    </row>
    <row r="92" spans="1:17" s="13" customFormat="1" ht="15.75" x14ac:dyDescent="0.25">
      <c r="A92" s="10"/>
      <c r="B92" s="25" t="s">
        <v>62</v>
      </c>
      <c r="C92" s="1" t="s">
        <v>17</v>
      </c>
      <c r="D92" s="2"/>
      <c r="E92" s="3" t="s">
        <v>35</v>
      </c>
      <c r="F92" s="73" t="s">
        <v>428</v>
      </c>
      <c r="G92" s="11" t="s">
        <v>117</v>
      </c>
      <c r="H92" s="1"/>
      <c r="I92" s="49"/>
      <c r="J92" s="46"/>
      <c r="K92" s="40"/>
      <c r="L92" s="40"/>
      <c r="M92" s="78">
        <f t="shared" si="4"/>
        <v>0</v>
      </c>
      <c r="N92" s="41">
        <f>7</f>
        <v>7</v>
      </c>
      <c r="O92" s="31"/>
      <c r="P92" s="31"/>
      <c r="Q92" s="12">
        <f t="shared" si="3"/>
        <v>0</v>
      </c>
    </row>
    <row r="93" spans="1:17" s="13" customFormat="1" ht="15.75" x14ac:dyDescent="0.25">
      <c r="A93" s="10"/>
      <c r="B93" s="25" t="s">
        <v>63</v>
      </c>
      <c r="C93" s="1" t="s">
        <v>64</v>
      </c>
      <c r="D93" s="10" t="s">
        <v>65</v>
      </c>
      <c r="E93" s="3" t="s">
        <v>20</v>
      </c>
      <c r="F93" s="73" t="s">
        <v>450</v>
      </c>
      <c r="G93" s="11" t="s">
        <v>114</v>
      </c>
      <c r="H93" s="1"/>
      <c r="I93" s="49"/>
      <c r="J93" s="51"/>
      <c r="K93" s="40"/>
      <c r="L93" s="40"/>
      <c r="M93" s="38">
        <f t="shared" si="4"/>
        <v>0</v>
      </c>
      <c r="N93" s="41"/>
      <c r="O93" s="31"/>
      <c r="P93" s="31"/>
      <c r="Q93" s="79">
        <f t="shared" si="3"/>
        <v>0</v>
      </c>
    </row>
    <row r="94" spans="1:17" s="13" customFormat="1" ht="15.75" x14ac:dyDescent="0.25">
      <c r="A94" s="10"/>
      <c r="B94" s="27" t="s">
        <v>155</v>
      </c>
      <c r="C94" s="1" t="s">
        <v>17</v>
      </c>
      <c r="D94" s="10"/>
      <c r="E94" s="3" t="s">
        <v>20</v>
      </c>
      <c r="F94" s="73" t="s">
        <v>367</v>
      </c>
      <c r="G94" s="74" t="s">
        <v>112</v>
      </c>
      <c r="H94" s="75">
        <v>2</v>
      </c>
      <c r="I94" s="82"/>
      <c r="J94" s="96"/>
      <c r="K94" s="77"/>
      <c r="L94" s="77"/>
      <c r="M94" s="78">
        <f t="shared" si="4"/>
        <v>0</v>
      </c>
      <c r="N94" s="100"/>
      <c r="O94" s="81"/>
      <c r="P94" s="81"/>
      <c r="Q94" s="12">
        <f t="shared" si="3"/>
        <v>0</v>
      </c>
    </row>
    <row r="95" spans="1:17" s="13" customFormat="1" ht="15.75" x14ac:dyDescent="0.25">
      <c r="A95" s="10"/>
      <c r="B95" s="25" t="s">
        <v>155</v>
      </c>
      <c r="C95" s="1" t="s">
        <v>17</v>
      </c>
      <c r="D95" s="10"/>
      <c r="E95" s="3" t="s">
        <v>20</v>
      </c>
      <c r="F95" s="73" t="s">
        <v>459</v>
      </c>
      <c r="G95" s="11" t="s">
        <v>114</v>
      </c>
      <c r="H95" s="1">
        <v>3</v>
      </c>
      <c r="I95" s="49"/>
      <c r="J95" s="51"/>
      <c r="K95" s="40"/>
      <c r="L95" s="40"/>
      <c r="M95" s="38">
        <f t="shared" si="4"/>
        <v>0</v>
      </c>
      <c r="N95" s="41"/>
      <c r="O95" s="31"/>
      <c r="P95" s="31"/>
      <c r="Q95" s="79">
        <f t="shared" si="3"/>
        <v>0</v>
      </c>
    </row>
    <row r="96" spans="1:17" s="13" customFormat="1" ht="15.75" x14ac:dyDescent="0.25">
      <c r="A96" s="10"/>
      <c r="B96" s="30" t="s">
        <v>66</v>
      </c>
      <c r="C96" s="1" t="s">
        <v>17</v>
      </c>
      <c r="D96" s="2"/>
      <c r="E96" s="3" t="s">
        <v>21</v>
      </c>
      <c r="F96" s="73" t="s">
        <v>368</v>
      </c>
      <c r="G96" s="74" t="s">
        <v>112</v>
      </c>
      <c r="H96" s="75">
        <v>2</v>
      </c>
      <c r="I96" s="76"/>
      <c r="J96" s="96"/>
      <c r="K96" s="77"/>
      <c r="L96" s="77"/>
      <c r="M96" s="78">
        <f t="shared" si="4"/>
        <v>0</v>
      </c>
      <c r="N96" s="100">
        <f>6</f>
        <v>6</v>
      </c>
      <c r="O96" s="81">
        <f>11911.17</f>
        <v>11911.17</v>
      </c>
      <c r="P96" s="81"/>
      <c r="Q96" s="12">
        <f t="shared" si="3"/>
        <v>11911.17</v>
      </c>
    </row>
    <row r="97" spans="1:19" s="13" customFormat="1" ht="15.75" x14ac:dyDescent="0.25">
      <c r="A97" s="10"/>
      <c r="B97" s="24" t="s">
        <v>66</v>
      </c>
      <c r="C97" s="1" t="s">
        <v>17</v>
      </c>
      <c r="D97" s="2"/>
      <c r="E97" s="3" t="s">
        <v>21</v>
      </c>
      <c r="F97" s="73" t="s">
        <v>439</v>
      </c>
      <c r="G97" s="11" t="s">
        <v>118</v>
      </c>
      <c r="H97" s="1"/>
      <c r="I97" s="49"/>
      <c r="J97" s="46"/>
      <c r="K97" s="40"/>
      <c r="L97" s="40"/>
      <c r="M97" s="38">
        <f t="shared" si="4"/>
        <v>0</v>
      </c>
      <c r="N97" s="41">
        <v>1</v>
      </c>
      <c r="O97" s="31"/>
      <c r="P97" s="31"/>
      <c r="Q97" s="79">
        <f t="shared" si="3"/>
        <v>0</v>
      </c>
    </row>
    <row r="98" spans="1:19" s="13" customFormat="1" ht="15.75" x14ac:dyDescent="0.25">
      <c r="A98" s="10"/>
      <c r="B98" s="62" t="s">
        <v>137</v>
      </c>
      <c r="C98" s="1" t="s">
        <v>17</v>
      </c>
      <c r="D98" s="2"/>
      <c r="E98" s="17" t="s">
        <v>35</v>
      </c>
      <c r="F98" s="73" t="s">
        <v>369</v>
      </c>
      <c r="G98" s="74" t="s">
        <v>112</v>
      </c>
      <c r="H98" s="75">
        <v>2</v>
      </c>
      <c r="I98" s="76"/>
      <c r="J98" s="96"/>
      <c r="K98" s="77"/>
      <c r="L98" s="77"/>
      <c r="M98" s="78">
        <f t="shared" si="4"/>
        <v>0</v>
      </c>
      <c r="N98" s="100">
        <f>5+1</f>
        <v>6</v>
      </c>
      <c r="O98" s="81">
        <f>2617.36</f>
        <v>2617.36</v>
      </c>
      <c r="P98" s="81"/>
      <c r="Q98" s="12">
        <f t="shared" si="3"/>
        <v>2617.36</v>
      </c>
    </row>
    <row r="99" spans="1:19" s="13" customFormat="1" ht="15.75" x14ac:dyDescent="0.25">
      <c r="A99" s="10"/>
      <c r="B99" s="22" t="s">
        <v>137</v>
      </c>
      <c r="C99" s="1" t="s">
        <v>17</v>
      </c>
      <c r="D99" s="2"/>
      <c r="E99" s="17" t="s">
        <v>35</v>
      </c>
      <c r="F99" s="73" t="s">
        <v>429</v>
      </c>
      <c r="G99" s="11" t="s">
        <v>117</v>
      </c>
      <c r="H99" s="1"/>
      <c r="I99" s="49"/>
      <c r="J99" s="51"/>
      <c r="K99" s="37"/>
      <c r="L99" s="37"/>
      <c r="M99" s="78">
        <f t="shared" si="4"/>
        <v>0</v>
      </c>
      <c r="N99" s="39"/>
      <c r="O99" s="31"/>
      <c r="P99" s="31"/>
      <c r="Q99" s="79">
        <f t="shared" si="3"/>
        <v>0</v>
      </c>
    </row>
    <row r="100" spans="1:19" s="13" customFormat="1" ht="15.75" x14ac:dyDescent="0.25">
      <c r="A100" s="10"/>
      <c r="B100" s="30" t="s">
        <v>67</v>
      </c>
      <c r="C100" s="1" t="s">
        <v>17</v>
      </c>
      <c r="D100" s="2"/>
      <c r="E100" s="17" t="s">
        <v>21</v>
      </c>
      <c r="F100" s="73" t="s">
        <v>370</v>
      </c>
      <c r="G100" s="74" t="s">
        <v>112</v>
      </c>
      <c r="H100" s="75">
        <v>2</v>
      </c>
      <c r="I100" s="76"/>
      <c r="J100" s="96"/>
      <c r="K100" s="77"/>
      <c r="L100" s="77"/>
      <c r="M100" s="38">
        <f t="shared" si="4"/>
        <v>0</v>
      </c>
      <c r="N100" s="100">
        <f>4</f>
        <v>4</v>
      </c>
      <c r="O100" s="81">
        <v>29696.65</v>
      </c>
      <c r="P100" s="81"/>
      <c r="Q100" s="12">
        <f t="shared" si="3"/>
        <v>29696.65</v>
      </c>
    </row>
    <row r="101" spans="1:19" s="13" customFormat="1" ht="15.75" x14ac:dyDescent="0.25">
      <c r="A101" s="10"/>
      <c r="B101" s="24" t="s">
        <v>67</v>
      </c>
      <c r="C101" s="1" t="s">
        <v>17</v>
      </c>
      <c r="D101" s="2"/>
      <c r="E101" s="17" t="s">
        <v>21</v>
      </c>
      <c r="F101" s="73" t="s">
        <v>440</v>
      </c>
      <c r="G101" s="11" t="s">
        <v>118</v>
      </c>
      <c r="H101" s="1">
        <v>1</v>
      </c>
      <c r="I101" s="49"/>
      <c r="J101" s="46"/>
      <c r="K101" s="40"/>
      <c r="L101" s="40"/>
      <c r="M101" s="78">
        <f t="shared" si="4"/>
        <v>0</v>
      </c>
      <c r="N101" s="41">
        <v>2</v>
      </c>
      <c r="O101" s="31"/>
      <c r="P101" s="31"/>
      <c r="Q101" s="79">
        <f t="shared" si="3"/>
        <v>0</v>
      </c>
    </row>
    <row r="102" spans="1:19" s="13" customFormat="1" ht="15.75" x14ac:dyDescent="0.25">
      <c r="A102" s="10"/>
      <c r="B102" s="30" t="s">
        <v>68</v>
      </c>
      <c r="C102" s="1" t="s">
        <v>17</v>
      </c>
      <c r="D102" s="2"/>
      <c r="E102" s="17" t="s">
        <v>32</v>
      </c>
      <c r="F102" s="73" t="s">
        <v>371</v>
      </c>
      <c r="G102" s="74" t="s">
        <v>112</v>
      </c>
      <c r="H102" s="75">
        <v>2</v>
      </c>
      <c r="I102" s="76"/>
      <c r="J102" s="96"/>
      <c r="K102" s="77"/>
      <c r="L102" s="77"/>
      <c r="M102" s="38">
        <f t="shared" si="4"/>
        <v>0</v>
      </c>
      <c r="N102" s="100">
        <f>6</f>
        <v>6</v>
      </c>
      <c r="O102" s="81">
        <f>7813.73</f>
        <v>7813.73</v>
      </c>
      <c r="P102" s="81"/>
      <c r="Q102" s="12">
        <f t="shared" si="3"/>
        <v>7813.73</v>
      </c>
    </row>
    <row r="103" spans="1:19" s="13" customFormat="1" ht="15.75" x14ac:dyDescent="0.25">
      <c r="A103" s="10"/>
      <c r="B103" s="24" t="s">
        <v>68</v>
      </c>
      <c r="C103" s="1" t="s">
        <v>17</v>
      </c>
      <c r="D103" s="2"/>
      <c r="E103" s="17" t="s">
        <v>32</v>
      </c>
      <c r="F103" s="73" t="s">
        <v>430</v>
      </c>
      <c r="G103" s="8" t="s">
        <v>117</v>
      </c>
      <c r="H103" s="1"/>
      <c r="I103" s="49"/>
      <c r="J103" s="46"/>
      <c r="K103" s="40"/>
      <c r="L103" s="40"/>
      <c r="M103" s="78">
        <f t="shared" si="4"/>
        <v>0</v>
      </c>
      <c r="N103" s="41"/>
      <c r="O103" s="40"/>
      <c r="P103" s="40"/>
      <c r="Q103" s="79">
        <f t="shared" si="3"/>
        <v>0</v>
      </c>
    </row>
    <row r="104" spans="1:19" s="15" customFormat="1" ht="15.75" x14ac:dyDescent="0.25">
      <c r="A104" s="14"/>
      <c r="B104" s="28" t="s">
        <v>69</v>
      </c>
      <c r="C104" s="1" t="s">
        <v>17</v>
      </c>
      <c r="D104" s="2"/>
      <c r="E104" s="3" t="s">
        <v>20</v>
      </c>
      <c r="F104" s="73" t="s">
        <v>372</v>
      </c>
      <c r="G104" s="74" t="s">
        <v>112</v>
      </c>
      <c r="H104" s="75"/>
      <c r="I104" s="76"/>
      <c r="J104" s="96"/>
      <c r="K104" s="77"/>
      <c r="L104" s="77"/>
      <c r="M104" s="38">
        <f t="shared" si="4"/>
        <v>0</v>
      </c>
      <c r="N104" s="100">
        <f>3+2</f>
        <v>5</v>
      </c>
      <c r="O104" s="77">
        <v>7210.31</v>
      </c>
      <c r="P104" s="77"/>
      <c r="Q104" s="12">
        <f t="shared" si="3"/>
        <v>7210.31</v>
      </c>
    </row>
    <row r="105" spans="1:19" s="13" customFormat="1" ht="15.75" x14ac:dyDescent="0.25">
      <c r="A105" s="10"/>
      <c r="B105" s="62" t="s">
        <v>70</v>
      </c>
      <c r="C105" s="1" t="s">
        <v>17</v>
      </c>
      <c r="D105" s="2"/>
      <c r="E105" s="3" t="s">
        <v>20</v>
      </c>
      <c r="F105" s="73" t="s">
        <v>373</v>
      </c>
      <c r="G105" s="74" t="s">
        <v>112</v>
      </c>
      <c r="H105" s="75">
        <v>1</v>
      </c>
      <c r="I105" s="76"/>
      <c r="J105" s="96"/>
      <c r="K105" s="77"/>
      <c r="L105" s="77"/>
      <c r="M105" s="78">
        <f t="shared" si="4"/>
        <v>0</v>
      </c>
      <c r="N105" s="100">
        <f>2</f>
        <v>2</v>
      </c>
      <c r="O105" s="81">
        <v>3534.95</v>
      </c>
      <c r="P105" s="81"/>
      <c r="Q105" s="79">
        <f t="shared" si="3"/>
        <v>3534.95</v>
      </c>
      <c r="R105" s="35"/>
    </row>
    <row r="106" spans="1:19" s="13" customFormat="1" ht="15.75" x14ac:dyDescent="0.25">
      <c r="A106" s="10"/>
      <c r="B106" s="22" t="s">
        <v>70</v>
      </c>
      <c r="C106" s="1" t="s">
        <v>17</v>
      </c>
      <c r="D106" s="2"/>
      <c r="E106" s="3" t="s">
        <v>20</v>
      </c>
      <c r="F106" s="73" t="s">
        <v>460</v>
      </c>
      <c r="G106" s="11" t="s">
        <v>114</v>
      </c>
      <c r="H106" s="1">
        <v>4</v>
      </c>
      <c r="I106" s="49"/>
      <c r="J106" s="51"/>
      <c r="K106" s="40"/>
      <c r="L106" s="40"/>
      <c r="M106" s="38">
        <f t="shared" si="4"/>
        <v>0</v>
      </c>
      <c r="N106" s="41"/>
      <c r="O106" s="31"/>
      <c r="P106" s="31"/>
      <c r="Q106" s="12">
        <f t="shared" si="3"/>
        <v>0</v>
      </c>
    </row>
    <row r="107" spans="1:19" s="15" customFormat="1" ht="15.75" x14ac:dyDescent="0.25">
      <c r="A107" s="14"/>
      <c r="B107" s="80" t="s">
        <v>71</v>
      </c>
      <c r="C107" s="1" t="s">
        <v>17</v>
      </c>
      <c r="D107" s="2"/>
      <c r="E107" s="3" t="s">
        <v>32</v>
      </c>
      <c r="F107" s="73" t="s">
        <v>374</v>
      </c>
      <c r="G107" s="74" t="s">
        <v>112</v>
      </c>
      <c r="H107" s="75">
        <v>3</v>
      </c>
      <c r="I107" s="76"/>
      <c r="J107" s="96"/>
      <c r="K107" s="77"/>
      <c r="L107" s="77"/>
      <c r="M107" s="78">
        <f t="shared" si="4"/>
        <v>0</v>
      </c>
      <c r="N107" s="100">
        <f>3</f>
        <v>3</v>
      </c>
      <c r="O107" s="81">
        <f>9567.93</f>
        <v>9567.93</v>
      </c>
      <c r="P107" s="81"/>
      <c r="Q107" s="79">
        <f t="shared" si="3"/>
        <v>9567.93</v>
      </c>
      <c r="R107" s="36"/>
      <c r="S107" s="36"/>
    </row>
    <row r="108" spans="1:19" s="15" customFormat="1" ht="15.75" x14ac:dyDescent="0.25">
      <c r="A108" s="14"/>
      <c r="B108" s="23" t="s">
        <v>71</v>
      </c>
      <c r="C108" s="1" t="s">
        <v>17</v>
      </c>
      <c r="D108" s="2"/>
      <c r="E108" s="3" t="s">
        <v>32</v>
      </c>
      <c r="F108" s="73" t="s">
        <v>431</v>
      </c>
      <c r="G108" s="11" t="s">
        <v>115</v>
      </c>
      <c r="H108" s="1">
        <v>1</v>
      </c>
      <c r="I108" s="48"/>
      <c r="J108" s="45"/>
      <c r="K108" s="40"/>
      <c r="L108" s="40"/>
      <c r="M108" s="38">
        <f t="shared" si="4"/>
        <v>0</v>
      </c>
      <c r="N108" s="39">
        <f>5</f>
        <v>5</v>
      </c>
      <c r="O108" s="40"/>
      <c r="P108" s="40"/>
      <c r="Q108" s="12">
        <f t="shared" si="3"/>
        <v>0</v>
      </c>
    </row>
    <row r="109" spans="1:19" s="13" customFormat="1" ht="15.75" x14ac:dyDescent="0.25">
      <c r="A109" s="10"/>
      <c r="B109" s="62" t="s">
        <v>319</v>
      </c>
      <c r="C109" s="1" t="s">
        <v>17</v>
      </c>
      <c r="D109" s="2"/>
      <c r="E109" s="3" t="s">
        <v>20</v>
      </c>
      <c r="F109" s="73" t="s">
        <v>375</v>
      </c>
      <c r="G109" s="74" t="s">
        <v>112</v>
      </c>
      <c r="H109" s="75">
        <v>3</v>
      </c>
      <c r="I109" s="76">
        <v>2</v>
      </c>
      <c r="J109" s="96">
        <f>2</f>
        <v>2</v>
      </c>
      <c r="K109" s="77"/>
      <c r="L109" s="77"/>
      <c r="M109" s="78">
        <f>K109-L109</f>
        <v>0</v>
      </c>
      <c r="N109" s="100">
        <f>3+1</f>
        <v>4</v>
      </c>
      <c r="O109" s="77">
        <f>13419.94</f>
        <v>13419.94</v>
      </c>
      <c r="P109" s="77">
        <f>13419.94</f>
        <v>13419.94</v>
      </c>
      <c r="Q109" s="79">
        <f>O109-P109</f>
        <v>0</v>
      </c>
    </row>
    <row r="110" spans="1:19" s="15" customFormat="1" ht="15.75" x14ac:dyDescent="0.25">
      <c r="A110" s="14"/>
      <c r="B110" s="62" t="s">
        <v>150</v>
      </c>
      <c r="C110" s="1" t="s">
        <v>17</v>
      </c>
      <c r="D110" s="2"/>
      <c r="E110" s="3" t="s">
        <v>35</v>
      </c>
      <c r="F110" s="73" t="s">
        <v>376</v>
      </c>
      <c r="G110" s="74" t="s">
        <v>112</v>
      </c>
      <c r="H110" s="75">
        <v>1</v>
      </c>
      <c r="I110" s="76"/>
      <c r="J110" s="97"/>
      <c r="K110" s="77"/>
      <c r="L110" s="77"/>
      <c r="M110" s="78">
        <f t="shared" si="4"/>
        <v>0</v>
      </c>
      <c r="N110" s="114">
        <f>8+1</f>
        <v>9</v>
      </c>
      <c r="O110" s="77">
        <f>5997.32</f>
        <v>5997.32</v>
      </c>
      <c r="P110" s="81"/>
      <c r="Q110" s="79">
        <f t="shared" si="3"/>
        <v>5997.32</v>
      </c>
    </row>
    <row r="111" spans="1:19" s="15" customFormat="1" ht="15.75" x14ac:dyDescent="0.25">
      <c r="A111" s="14"/>
      <c r="B111" s="50" t="s">
        <v>150</v>
      </c>
      <c r="C111" s="1"/>
      <c r="D111" s="2"/>
      <c r="E111" s="3"/>
      <c r="F111" s="73"/>
      <c r="G111" s="11" t="s">
        <v>117</v>
      </c>
      <c r="H111" s="1"/>
      <c r="I111" s="48"/>
      <c r="J111" s="45"/>
      <c r="K111" s="40"/>
      <c r="L111" s="37"/>
      <c r="M111" s="38">
        <f t="shared" si="4"/>
        <v>0</v>
      </c>
      <c r="N111" s="42"/>
      <c r="O111" s="40"/>
      <c r="P111" s="40"/>
      <c r="Q111" s="12">
        <f t="shared" si="3"/>
        <v>0</v>
      </c>
    </row>
    <row r="112" spans="1:19" s="13" customFormat="1" ht="15.75" x14ac:dyDescent="0.25">
      <c r="A112" s="10"/>
      <c r="B112" s="30" t="s">
        <v>72</v>
      </c>
      <c r="C112" s="1" t="s">
        <v>17</v>
      </c>
      <c r="D112" s="2"/>
      <c r="E112" s="3" t="s">
        <v>21</v>
      </c>
      <c r="F112" s="73" t="s">
        <v>377</v>
      </c>
      <c r="G112" s="74" t="s">
        <v>112</v>
      </c>
      <c r="H112" s="75">
        <v>1</v>
      </c>
      <c r="I112" s="76"/>
      <c r="J112" s="96"/>
      <c r="K112" s="77"/>
      <c r="L112" s="77"/>
      <c r="M112" s="78">
        <f t="shared" si="4"/>
        <v>0</v>
      </c>
      <c r="N112" s="100">
        <f>1</f>
        <v>1</v>
      </c>
      <c r="O112" s="81">
        <f>1950.74</f>
        <v>1950.74</v>
      </c>
      <c r="P112" s="81"/>
      <c r="Q112" s="79">
        <f t="shared" si="3"/>
        <v>1950.74</v>
      </c>
    </row>
    <row r="113" spans="1:17" s="13" customFormat="1" ht="15.75" x14ac:dyDescent="0.25">
      <c r="A113" s="10"/>
      <c r="B113" s="24" t="s">
        <v>72</v>
      </c>
      <c r="C113" s="1" t="s">
        <v>17</v>
      </c>
      <c r="D113" s="2"/>
      <c r="E113" s="3" t="s">
        <v>21</v>
      </c>
      <c r="F113" s="73" t="s">
        <v>441</v>
      </c>
      <c r="G113" s="11" t="s">
        <v>118</v>
      </c>
      <c r="H113" s="1"/>
      <c r="I113" s="49"/>
      <c r="J113" s="46"/>
      <c r="K113" s="40"/>
      <c r="L113" s="40"/>
      <c r="M113" s="38">
        <f t="shared" si="4"/>
        <v>0</v>
      </c>
      <c r="N113" s="41">
        <v>1</v>
      </c>
      <c r="O113" s="31"/>
      <c r="P113" s="31"/>
      <c r="Q113" s="12">
        <f t="shared" si="3"/>
        <v>0</v>
      </c>
    </row>
    <row r="114" spans="1:17" s="15" customFormat="1" ht="15.75" x14ac:dyDescent="0.25">
      <c r="A114" s="14"/>
      <c r="B114" s="84" t="s">
        <v>73</v>
      </c>
      <c r="C114" s="1" t="s">
        <v>17</v>
      </c>
      <c r="D114" s="2"/>
      <c r="E114" s="3" t="s">
        <v>74</v>
      </c>
      <c r="F114" s="73" t="s">
        <v>378</v>
      </c>
      <c r="G114" s="74" t="s">
        <v>112</v>
      </c>
      <c r="H114" s="75">
        <v>4</v>
      </c>
      <c r="I114" s="76"/>
      <c r="J114" s="96"/>
      <c r="K114" s="77"/>
      <c r="L114" s="77"/>
      <c r="M114" s="78">
        <f t="shared" si="4"/>
        <v>0</v>
      </c>
      <c r="N114" s="100"/>
      <c r="O114" s="81"/>
      <c r="P114" s="81"/>
      <c r="Q114" s="79">
        <f t="shared" si="3"/>
        <v>0</v>
      </c>
    </row>
    <row r="115" spans="1:17" s="15" customFormat="1" ht="15.75" x14ac:dyDescent="0.25">
      <c r="A115" s="14"/>
      <c r="B115" s="29" t="s">
        <v>73</v>
      </c>
      <c r="C115" s="1" t="s">
        <v>17</v>
      </c>
      <c r="D115" s="2"/>
      <c r="E115" s="3" t="s">
        <v>74</v>
      </c>
      <c r="F115" s="73" t="s">
        <v>282</v>
      </c>
      <c r="G115" s="11" t="s">
        <v>114</v>
      </c>
      <c r="H115" s="1"/>
      <c r="I115" s="49"/>
      <c r="J115" s="51"/>
      <c r="K115" s="40"/>
      <c r="L115" s="40"/>
      <c r="M115" s="38">
        <f t="shared" si="4"/>
        <v>0</v>
      </c>
      <c r="N115" s="42"/>
      <c r="O115" s="31"/>
      <c r="P115" s="31"/>
      <c r="Q115" s="12">
        <f t="shared" si="3"/>
        <v>0</v>
      </c>
    </row>
    <row r="116" spans="1:17" s="13" customFormat="1" ht="15.75" x14ac:dyDescent="0.25">
      <c r="A116" s="10"/>
      <c r="B116" s="24" t="s">
        <v>75</v>
      </c>
      <c r="C116" s="1" t="s">
        <v>17</v>
      </c>
      <c r="D116" s="10"/>
      <c r="E116" s="3" t="s">
        <v>20</v>
      </c>
      <c r="F116" s="73" t="s">
        <v>123</v>
      </c>
      <c r="G116" s="11" t="s">
        <v>114</v>
      </c>
      <c r="H116" s="1"/>
      <c r="I116" s="49"/>
      <c r="J116" s="51"/>
      <c r="K116" s="40"/>
      <c r="L116" s="40"/>
      <c r="M116" s="78">
        <f t="shared" si="4"/>
        <v>0</v>
      </c>
      <c r="N116" s="41"/>
      <c r="O116" s="31"/>
      <c r="P116" s="31"/>
      <c r="Q116" s="79">
        <f t="shared" si="3"/>
        <v>0</v>
      </c>
    </row>
    <row r="117" spans="1:17" s="13" customFormat="1" ht="15.75" x14ac:dyDescent="0.25">
      <c r="A117" s="10"/>
      <c r="B117" s="30" t="s">
        <v>135</v>
      </c>
      <c r="C117" s="1" t="s">
        <v>17</v>
      </c>
      <c r="D117" s="2"/>
      <c r="E117" s="17" t="s">
        <v>35</v>
      </c>
      <c r="F117" s="73" t="s">
        <v>379</v>
      </c>
      <c r="G117" s="74" t="s">
        <v>112</v>
      </c>
      <c r="H117" s="75">
        <v>2</v>
      </c>
      <c r="I117" s="76"/>
      <c r="J117" s="96"/>
      <c r="K117" s="77"/>
      <c r="L117" s="77"/>
      <c r="M117" s="38">
        <f t="shared" si="4"/>
        <v>0</v>
      </c>
      <c r="N117" s="100">
        <f>2+5+1</f>
        <v>8</v>
      </c>
      <c r="O117" s="81"/>
      <c r="P117" s="81"/>
      <c r="Q117" s="12">
        <f t="shared" si="3"/>
        <v>0</v>
      </c>
    </row>
    <row r="118" spans="1:17" s="13" customFormat="1" ht="15.75" x14ac:dyDescent="0.25">
      <c r="A118" s="10"/>
      <c r="B118" s="24" t="s">
        <v>135</v>
      </c>
      <c r="C118" s="1" t="s">
        <v>17</v>
      </c>
      <c r="D118" s="2"/>
      <c r="E118" s="17" t="s">
        <v>35</v>
      </c>
      <c r="F118" s="73" t="s">
        <v>432</v>
      </c>
      <c r="G118" s="11" t="s">
        <v>115</v>
      </c>
      <c r="H118" s="1"/>
      <c r="I118" s="49"/>
      <c r="J118" s="46"/>
      <c r="K118" s="40"/>
      <c r="L118" s="40"/>
      <c r="M118" s="78">
        <f t="shared" si="4"/>
        <v>0</v>
      </c>
      <c r="N118" s="41"/>
      <c r="O118" s="31"/>
      <c r="P118" s="31"/>
      <c r="Q118" s="79">
        <f t="shared" si="3"/>
        <v>0</v>
      </c>
    </row>
    <row r="119" spans="1:17" s="13" customFormat="1" ht="15.75" x14ac:dyDescent="0.25">
      <c r="A119" s="10"/>
      <c r="B119" s="30" t="s">
        <v>145</v>
      </c>
      <c r="C119" s="1" t="s">
        <v>17</v>
      </c>
      <c r="D119" s="2"/>
      <c r="E119" s="17" t="s">
        <v>20</v>
      </c>
      <c r="F119" s="73" t="s">
        <v>380</v>
      </c>
      <c r="G119" s="74" t="s">
        <v>112</v>
      </c>
      <c r="H119" s="75">
        <v>1</v>
      </c>
      <c r="I119" s="82"/>
      <c r="J119" s="96"/>
      <c r="K119" s="77"/>
      <c r="L119" s="77"/>
      <c r="M119" s="38">
        <f t="shared" si="4"/>
        <v>0</v>
      </c>
      <c r="N119" s="100">
        <f>1</f>
        <v>1</v>
      </c>
      <c r="O119" s="81">
        <f>5120.23</f>
        <v>5120.2299999999996</v>
      </c>
      <c r="P119" s="81"/>
      <c r="Q119" s="12">
        <f t="shared" si="3"/>
        <v>5120.2299999999996</v>
      </c>
    </row>
    <row r="120" spans="1:17" s="13" customFormat="1" ht="15.75" x14ac:dyDescent="0.25">
      <c r="A120" s="10"/>
      <c r="B120" s="24" t="s">
        <v>145</v>
      </c>
      <c r="C120" s="1" t="s">
        <v>17</v>
      </c>
      <c r="D120" s="2"/>
      <c r="E120" s="17" t="s">
        <v>20</v>
      </c>
      <c r="F120" s="73" t="s">
        <v>461</v>
      </c>
      <c r="G120" s="11" t="s">
        <v>114</v>
      </c>
      <c r="H120" s="1"/>
      <c r="I120" s="49"/>
      <c r="J120" s="51"/>
      <c r="K120" s="40"/>
      <c r="L120" s="40"/>
      <c r="M120" s="78">
        <f t="shared" si="4"/>
        <v>0</v>
      </c>
      <c r="N120" s="41"/>
      <c r="O120" s="31"/>
      <c r="P120" s="31"/>
      <c r="Q120" s="79">
        <f t="shared" si="3"/>
        <v>0</v>
      </c>
    </row>
    <row r="121" spans="1:17" s="13" customFormat="1" ht="15.75" x14ac:dyDescent="0.25">
      <c r="A121" s="10"/>
      <c r="B121" s="62" t="s">
        <v>76</v>
      </c>
      <c r="C121" s="1" t="s">
        <v>17</v>
      </c>
      <c r="D121" s="2"/>
      <c r="E121" s="3" t="s">
        <v>20</v>
      </c>
      <c r="F121" s="73" t="s">
        <v>381</v>
      </c>
      <c r="G121" s="74" t="s">
        <v>112</v>
      </c>
      <c r="H121" s="75">
        <v>6</v>
      </c>
      <c r="I121" s="76">
        <v>1</v>
      </c>
      <c r="J121" s="96">
        <f>1</f>
        <v>1</v>
      </c>
      <c r="K121" s="77"/>
      <c r="L121" s="77"/>
      <c r="M121" s="38">
        <f t="shared" si="4"/>
        <v>0</v>
      </c>
      <c r="N121" s="100">
        <f>5</f>
        <v>5</v>
      </c>
      <c r="O121" s="81"/>
      <c r="P121" s="81"/>
      <c r="Q121" s="12">
        <f t="shared" si="3"/>
        <v>0</v>
      </c>
    </row>
    <row r="122" spans="1:17" s="13" customFormat="1" ht="15.75" x14ac:dyDescent="0.25">
      <c r="A122" s="10"/>
      <c r="B122" s="22" t="s">
        <v>76</v>
      </c>
      <c r="C122" s="1" t="s">
        <v>17</v>
      </c>
      <c r="D122" s="2"/>
      <c r="E122" s="3" t="s">
        <v>20</v>
      </c>
      <c r="F122" s="73" t="s">
        <v>462</v>
      </c>
      <c r="G122" s="11" t="s">
        <v>114</v>
      </c>
      <c r="H122" s="1"/>
      <c r="I122" s="49"/>
      <c r="J122" s="51"/>
      <c r="K122" s="40"/>
      <c r="L122" s="40"/>
      <c r="M122" s="78">
        <f t="shared" si="4"/>
        <v>0</v>
      </c>
      <c r="N122" s="41"/>
      <c r="O122" s="31"/>
      <c r="P122" s="31"/>
      <c r="Q122" s="79">
        <f t="shared" si="3"/>
        <v>0</v>
      </c>
    </row>
    <row r="123" spans="1:17" s="13" customFormat="1" ht="15.75" x14ac:dyDescent="0.25">
      <c r="A123" s="10"/>
      <c r="B123" s="30" t="s">
        <v>77</v>
      </c>
      <c r="C123" s="1" t="s">
        <v>17</v>
      </c>
      <c r="D123" s="2"/>
      <c r="E123" s="3" t="s">
        <v>32</v>
      </c>
      <c r="F123" s="73" t="s">
        <v>388</v>
      </c>
      <c r="G123" s="74" t="s">
        <v>112</v>
      </c>
      <c r="H123" s="75">
        <v>1</v>
      </c>
      <c r="I123" s="76"/>
      <c r="J123" s="96"/>
      <c r="K123" s="77"/>
      <c r="L123" s="77"/>
      <c r="M123" s="38">
        <f t="shared" si="4"/>
        <v>0</v>
      </c>
      <c r="N123" s="100">
        <f>5</f>
        <v>5</v>
      </c>
      <c r="O123" s="81">
        <f>11716.73</f>
        <v>11716.73</v>
      </c>
      <c r="P123" s="81"/>
      <c r="Q123" s="12">
        <f t="shared" si="3"/>
        <v>11716.73</v>
      </c>
    </row>
    <row r="124" spans="1:17" s="13" customFormat="1" ht="15.75" x14ac:dyDescent="0.25">
      <c r="A124" s="10"/>
      <c r="B124" s="24" t="s">
        <v>77</v>
      </c>
      <c r="C124" s="1" t="s">
        <v>17</v>
      </c>
      <c r="D124" s="2"/>
      <c r="E124" s="3" t="s">
        <v>32</v>
      </c>
      <c r="F124" s="73" t="s">
        <v>433</v>
      </c>
      <c r="G124" s="11" t="s">
        <v>117</v>
      </c>
      <c r="H124" s="1"/>
      <c r="I124" s="49"/>
      <c r="J124" s="46"/>
      <c r="K124" s="40"/>
      <c r="L124" s="40"/>
      <c r="M124" s="78">
        <f t="shared" si="4"/>
        <v>0</v>
      </c>
      <c r="N124" s="41">
        <f>4</f>
        <v>4</v>
      </c>
      <c r="O124" s="31"/>
      <c r="P124" s="31"/>
      <c r="Q124" s="79">
        <f t="shared" si="3"/>
        <v>0</v>
      </c>
    </row>
    <row r="125" spans="1:17" s="13" customFormat="1" ht="15.75" x14ac:dyDescent="0.25">
      <c r="A125" s="10"/>
      <c r="B125" s="24" t="s">
        <v>321</v>
      </c>
      <c r="C125" s="1" t="s">
        <v>17</v>
      </c>
      <c r="D125" s="2"/>
      <c r="E125" s="3" t="s">
        <v>21</v>
      </c>
      <c r="F125" s="73" t="s">
        <v>382</v>
      </c>
      <c r="G125" s="11" t="s">
        <v>112</v>
      </c>
      <c r="H125" s="1">
        <v>1</v>
      </c>
      <c r="I125" s="49"/>
      <c r="J125" s="46"/>
      <c r="K125" s="40"/>
      <c r="L125" s="40"/>
      <c r="M125" s="78"/>
      <c r="N125" s="41"/>
      <c r="O125" s="31"/>
      <c r="P125" s="31"/>
      <c r="Q125" s="79"/>
    </row>
    <row r="126" spans="1:17" s="13" customFormat="1" ht="24" x14ac:dyDescent="0.25">
      <c r="A126" s="10"/>
      <c r="B126" s="62" t="s">
        <v>79</v>
      </c>
      <c r="C126" s="1" t="s">
        <v>304</v>
      </c>
      <c r="D126" s="18" t="s">
        <v>385</v>
      </c>
      <c r="E126" s="3" t="s">
        <v>18</v>
      </c>
      <c r="F126" s="73" t="s">
        <v>389</v>
      </c>
      <c r="G126" s="74" t="s">
        <v>112</v>
      </c>
      <c r="H126" s="75">
        <v>1</v>
      </c>
      <c r="I126" s="76"/>
      <c r="J126" s="96"/>
      <c r="K126" s="77"/>
      <c r="L126" s="77"/>
      <c r="M126" s="38">
        <f t="shared" si="4"/>
        <v>0</v>
      </c>
      <c r="N126" s="100"/>
      <c r="O126" s="81"/>
      <c r="P126" s="81"/>
      <c r="Q126" s="12">
        <f t="shared" si="3"/>
        <v>0</v>
      </c>
    </row>
    <row r="127" spans="1:17" s="13" customFormat="1" ht="15.75" x14ac:dyDescent="0.25">
      <c r="A127" s="10"/>
      <c r="B127" s="22" t="s">
        <v>79</v>
      </c>
      <c r="C127" s="1" t="s">
        <v>17</v>
      </c>
      <c r="D127" s="2"/>
      <c r="E127" s="3" t="s">
        <v>18</v>
      </c>
      <c r="F127" s="73" t="s">
        <v>245</v>
      </c>
      <c r="G127" s="11" t="s">
        <v>113</v>
      </c>
      <c r="H127" s="1">
        <v>1</v>
      </c>
      <c r="I127" s="49"/>
      <c r="J127" s="46"/>
      <c r="K127" s="31"/>
      <c r="L127" s="31"/>
      <c r="M127" s="78">
        <f t="shared" si="4"/>
        <v>0</v>
      </c>
      <c r="N127" s="41"/>
      <c r="O127" s="31"/>
      <c r="P127" s="31"/>
      <c r="Q127" s="79">
        <f t="shared" si="3"/>
        <v>0</v>
      </c>
    </row>
    <row r="128" spans="1:17" s="13" customFormat="1" ht="15.75" x14ac:dyDescent="0.25">
      <c r="A128" s="10"/>
      <c r="B128" s="62" t="s">
        <v>151</v>
      </c>
      <c r="C128" s="1" t="s">
        <v>17</v>
      </c>
      <c r="D128" s="2"/>
      <c r="E128" s="3" t="s">
        <v>32</v>
      </c>
      <c r="F128" s="73" t="s">
        <v>390</v>
      </c>
      <c r="G128" s="74" t="s">
        <v>112</v>
      </c>
      <c r="H128" s="75">
        <v>3</v>
      </c>
      <c r="I128" s="82"/>
      <c r="J128" s="96"/>
      <c r="K128" s="81"/>
      <c r="L128" s="81"/>
      <c r="M128" s="38">
        <f t="shared" si="4"/>
        <v>0</v>
      </c>
      <c r="N128" s="100">
        <f>9</f>
        <v>9</v>
      </c>
      <c r="O128" s="81">
        <f>10726.94</f>
        <v>10726.94</v>
      </c>
      <c r="P128" s="81"/>
      <c r="Q128" s="12">
        <f t="shared" si="3"/>
        <v>10726.94</v>
      </c>
    </row>
    <row r="129" spans="1:17" s="13" customFormat="1" ht="15.75" x14ac:dyDescent="0.25">
      <c r="A129" s="10"/>
      <c r="B129" s="22" t="s">
        <v>151</v>
      </c>
      <c r="C129" s="1" t="s">
        <v>17</v>
      </c>
      <c r="D129" s="2"/>
      <c r="E129" s="3" t="s">
        <v>32</v>
      </c>
      <c r="F129" s="73" t="s">
        <v>434</v>
      </c>
      <c r="G129" s="11" t="s">
        <v>117</v>
      </c>
      <c r="H129" s="1">
        <v>4</v>
      </c>
      <c r="I129" s="49"/>
      <c r="J129" s="46"/>
      <c r="K129" s="40"/>
      <c r="L129" s="40"/>
      <c r="M129" s="78">
        <f t="shared" si="4"/>
        <v>0</v>
      </c>
      <c r="N129" s="41">
        <f>7</f>
        <v>7</v>
      </c>
      <c r="O129" s="31"/>
      <c r="P129" s="31"/>
      <c r="Q129" s="79">
        <f t="shared" si="3"/>
        <v>0</v>
      </c>
    </row>
    <row r="130" spans="1:17" s="13" customFormat="1" ht="15.75" x14ac:dyDescent="0.25">
      <c r="A130" s="10"/>
      <c r="B130" s="62" t="s">
        <v>80</v>
      </c>
      <c r="C130" s="1" t="s">
        <v>17</v>
      </c>
      <c r="D130" s="2"/>
      <c r="E130" s="3" t="s">
        <v>81</v>
      </c>
      <c r="F130" s="73" t="s">
        <v>417</v>
      </c>
      <c r="G130" s="74" t="s">
        <v>112</v>
      </c>
      <c r="H130" s="75"/>
      <c r="I130" s="76"/>
      <c r="J130" s="96"/>
      <c r="K130" s="77"/>
      <c r="L130" s="77"/>
      <c r="M130" s="38">
        <f t="shared" si="4"/>
        <v>0</v>
      </c>
      <c r="N130" s="100"/>
      <c r="O130" s="81"/>
      <c r="P130" s="81"/>
      <c r="Q130" s="12">
        <f t="shared" si="3"/>
        <v>0</v>
      </c>
    </row>
    <row r="131" spans="1:17" s="13" customFormat="1" ht="15.75" x14ac:dyDescent="0.25">
      <c r="A131" s="10"/>
      <c r="B131" s="22" t="s">
        <v>80</v>
      </c>
      <c r="C131" s="1" t="s">
        <v>17</v>
      </c>
      <c r="D131" s="2"/>
      <c r="E131" s="3" t="s">
        <v>81</v>
      </c>
      <c r="F131" s="73" t="s">
        <v>285</v>
      </c>
      <c r="G131" s="11" t="s">
        <v>114</v>
      </c>
      <c r="H131" s="1"/>
      <c r="I131" s="49"/>
      <c r="J131" s="51"/>
      <c r="K131" s="40"/>
      <c r="L131" s="40"/>
      <c r="M131" s="78">
        <f t="shared" si="4"/>
        <v>0</v>
      </c>
      <c r="N131" s="41"/>
      <c r="O131" s="31"/>
      <c r="P131" s="31"/>
      <c r="Q131" s="79">
        <f t="shared" si="3"/>
        <v>0</v>
      </c>
    </row>
    <row r="132" spans="1:17" s="13" customFormat="1" ht="15.75" x14ac:dyDescent="0.25">
      <c r="A132" s="10"/>
      <c r="B132" s="30" t="s">
        <v>82</v>
      </c>
      <c r="C132" s="1" t="s">
        <v>17</v>
      </c>
      <c r="D132" s="2"/>
      <c r="E132" s="3" t="s">
        <v>20</v>
      </c>
      <c r="F132" s="73" t="s">
        <v>394</v>
      </c>
      <c r="G132" s="74" t="s">
        <v>112</v>
      </c>
      <c r="H132" s="75">
        <v>1</v>
      </c>
      <c r="I132" s="76"/>
      <c r="J132" s="96"/>
      <c r="K132" s="77"/>
      <c r="L132" s="77"/>
      <c r="M132" s="38">
        <f t="shared" si="4"/>
        <v>0</v>
      </c>
      <c r="N132" s="100">
        <f>3</f>
        <v>3</v>
      </c>
      <c r="O132" s="81">
        <f>5975.84</f>
        <v>5975.84</v>
      </c>
      <c r="P132" s="81"/>
      <c r="Q132" s="12">
        <f t="shared" si="3"/>
        <v>5975.84</v>
      </c>
    </row>
    <row r="133" spans="1:17" s="13" customFormat="1" ht="15.75" x14ac:dyDescent="0.25">
      <c r="A133" s="10"/>
      <c r="B133" s="24" t="s">
        <v>82</v>
      </c>
      <c r="C133" s="1" t="s">
        <v>17</v>
      </c>
      <c r="D133" s="2"/>
      <c r="E133" s="3" t="s">
        <v>20</v>
      </c>
      <c r="F133" s="73" t="s">
        <v>463</v>
      </c>
      <c r="G133" s="11" t="s">
        <v>114</v>
      </c>
      <c r="H133" s="1">
        <v>1</v>
      </c>
      <c r="I133" s="49"/>
      <c r="J133" s="51"/>
      <c r="K133" s="40"/>
      <c r="L133" s="40"/>
      <c r="M133" s="78">
        <f t="shared" si="4"/>
        <v>0</v>
      </c>
      <c r="N133" s="41"/>
      <c r="O133" s="31"/>
      <c r="P133" s="31"/>
      <c r="Q133" s="79">
        <f t="shared" si="3"/>
        <v>0</v>
      </c>
    </row>
    <row r="134" spans="1:17" s="13" customFormat="1" ht="15.75" x14ac:dyDescent="0.25">
      <c r="A134" s="10"/>
      <c r="B134" s="24" t="s">
        <v>309</v>
      </c>
      <c r="C134" s="1"/>
      <c r="D134" s="2"/>
      <c r="E134" s="3" t="s">
        <v>20</v>
      </c>
      <c r="F134" s="73" t="s">
        <v>391</v>
      </c>
      <c r="G134" s="11" t="s">
        <v>112</v>
      </c>
      <c r="H134" s="1">
        <v>2</v>
      </c>
      <c r="I134" s="58"/>
      <c r="J134" s="51"/>
      <c r="K134" s="40"/>
      <c r="L134" s="40"/>
      <c r="M134" s="38">
        <f t="shared" si="4"/>
        <v>0</v>
      </c>
      <c r="N134" s="41">
        <f>1</f>
        <v>1</v>
      </c>
      <c r="O134" s="31">
        <f>3088.97</f>
        <v>3088.97</v>
      </c>
      <c r="P134" s="31"/>
      <c r="Q134" s="79"/>
    </row>
    <row r="135" spans="1:17" s="13" customFormat="1" ht="15.75" x14ac:dyDescent="0.25">
      <c r="A135" s="10"/>
      <c r="B135" s="30" t="s">
        <v>152</v>
      </c>
      <c r="C135" s="1" t="s">
        <v>17</v>
      </c>
      <c r="D135" s="2"/>
      <c r="E135" s="3" t="s">
        <v>35</v>
      </c>
      <c r="F135" s="73" t="s">
        <v>392</v>
      </c>
      <c r="G135" s="74" t="s">
        <v>112</v>
      </c>
      <c r="H135" s="75">
        <v>1</v>
      </c>
      <c r="I135" s="76"/>
      <c r="J135" s="96"/>
      <c r="K135" s="77"/>
      <c r="L135" s="77"/>
      <c r="M135" s="38">
        <f t="shared" si="4"/>
        <v>0</v>
      </c>
      <c r="N135" s="100">
        <f>2</f>
        <v>2</v>
      </c>
      <c r="O135" s="81">
        <f>1690.48</f>
        <v>1690.48</v>
      </c>
      <c r="P135" s="81"/>
      <c r="Q135" s="12">
        <f t="shared" si="3"/>
        <v>1690.48</v>
      </c>
    </row>
    <row r="136" spans="1:17" s="13" customFormat="1" ht="15.75" x14ac:dyDescent="0.25">
      <c r="A136" s="10"/>
      <c r="B136" s="24" t="s">
        <v>152</v>
      </c>
      <c r="C136" s="1" t="s">
        <v>17</v>
      </c>
      <c r="D136" s="2"/>
      <c r="E136" s="3" t="s">
        <v>32</v>
      </c>
      <c r="F136" s="73"/>
      <c r="G136" s="11" t="s">
        <v>117</v>
      </c>
      <c r="H136" s="1"/>
      <c r="I136" s="49"/>
      <c r="J136" s="46"/>
      <c r="K136" s="40"/>
      <c r="L136" s="40"/>
      <c r="M136" s="78">
        <f t="shared" si="4"/>
        <v>0</v>
      </c>
      <c r="N136" s="41"/>
      <c r="O136" s="31"/>
      <c r="P136" s="31"/>
      <c r="Q136" s="79">
        <f t="shared" si="3"/>
        <v>0</v>
      </c>
    </row>
    <row r="137" spans="1:17" s="13" customFormat="1" ht="15.75" x14ac:dyDescent="0.25">
      <c r="A137" s="10"/>
      <c r="B137" s="30" t="s">
        <v>83</v>
      </c>
      <c r="C137" s="1" t="s">
        <v>17</v>
      </c>
      <c r="D137" s="2"/>
      <c r="E137" s="3" t="s">
        <v>20</v>
      </c>
      <c r="F137" s="73" t="s">
        <v>393</v>
      </c>
      <c r="G137" s="74" t="s">
        <v>112</v>
      </c>
      <c r="H137" s="75">
        <v>3</v>
      </c>
      <c r="I137" s="76"/>
      <c r="J137" s="96"/>
      <c r="K137" s="77"/>
      <c r="L137" s="77"/>
      <c r="M137" s="38">
        <f t="shared" si="4"/>
        <v>0</v>
      </c>
      <c r="N137" s="100"/>
      <c r="O137" s="81"/>
      <c r="P137" s="81"/>
      <c r="Q137" s="12">
        <f t="shared" si="3"/>
        <v>0</v>
      </c>
    </row>
    <row r="138" spans="1:17" s="13" customFormat="1" ht="15.75" x14ac:dyDescent="0.25">
      <c r="A138" s="10"/>
      <c r="B138" s="24" t="s">
        <v>83</v>
      </c>
      <c r="C138" s="1" t="s">
        <v>17</v>
      </c>
      <c r="D138" s="2"/>
      <c r="E138" s="3" t="s">
        <v>20</v>
      </c>
      <c r="F138" s="73" t="s">
        <v>464</v>
      </c>
      <c r="G138" s="11" t="s">
        <v>114</v>
      </c>
      <c r="H138" s="1">
        <v>1</v>
      </c>
      <c r="I138" s="49"/>
      <c r="J138" s="51"/>
      <c r="K138" s="40"/>
      <c r="L138" s="40"/>
      <c r="M138" s="78">
        <f t="shared" si="4"/>
        <v>0</v>
      </c>
      <c r="N138" s="41"/>
      <c r="O138" s="31"/>
      <c r="P138" s="31"/>
      <c r="Q138" s="79">
        <f t="shared" si="3"/>
        <v>0</v>
      </c>
    </row>
    <row r="139" spans="1:17" s="13" customFormat="1" ht="15.75" x14ac:dyDescent="0.25">
      <c r="A139" s="10"/>
      <c r="B139" s="24" t="s">
        <v>310</v>
      </c>
      <c r="C139" s="1"/>
      <c r="D139" s="2"/>
      <c r="E139" s="3" t="s">
        <v>20</v>
      </c>
      <c r="F139" s="73"/>
      <c r="G139" s="11" t="s">
        <v>114</v>
      </c>
      <c r="H139" s="1"/>
      <c r="I139" s="49"/>
      <c r="J139" s="51"/>
      <c r="K139" s="40"/>
      <c r="L139" s="40"/>
      <c r="M139" s="78"/>
      <c r="N139" s="41"/>
      <c r="O139" s="31"/>
      <c r="P139" s="31"/>
      <c r="Q139" s="79"/>
    </row>
    <row r="140" spans="1:17" s="13" customFormat="1" ht="15.75" x14ac:dyDescent="0.25">
      <c r="A140" s="10"/>
      <c r="B140" s="30" t="s">
        <v>84</v>
      </c>
      <c r="C140" s="1"/>
      <c r="D140" s="2"/>
      <c r="E140" s="3" t="s">
        <v>20</v>
      </c>
      <c r="F140" s="73" t="s">
        <v>287</v>
      </c>
      <c r="G140" s="11" t="s">
        <v>114</v>
      </c>
      <c r="H140" s="1"/>
      <c r="I140" s="49"/>
      <c r="J140" s="51"/>
      <c r="K140" s="40"/>
      <c r="L140" s="40"/>
      <c r="M140" s="38">
        <f t="shared" si="4"/>
        <v>0</v>
      </c>
      <c r="N140" s="41"/>
      <c r="O140" s="31"/>
      <c r="P140" s="31"/>
      <c r="Q140" s="12">
        <f t="shared" si="3"/>
        <v>0</v>
      </c>
    </row>
    <row r="141" spans="1:17" s="13" customFormat="1" ht="24" x14ac:dyDescent="0.25">
      <c r="A141" s="10"/>
      <c r="B141" s="30" t="s">
        <v>85</v>
      </c>
      <c r="C141" s="1" t="s">
        <v>304</v>
      </c>
      <c r="D141" s="18" t="s">
        <v>415</v>
      </c>
      <c r="E141" s="3" t="s">
        <v>20</v>
      </c>
      <c r="F141" s="73" t="s">
        <v>395</v>
      </c>
      <c r="G141" s="74" t="s">
        <v>112</v>
      </c>
      <c r="H141" s="75"/>
      <c r="I141" s="76"/>
      <c r="J141" s="96"/>
      <c r="K141" s="77"/>
      <c r="L141" s="77"/>
      <c r="M141" s="38">
        <f t="shared" si="4"/>
        <v>0</v>
      </c>
      <c r="N141" s="100"/>
      <c r="O141" s="81"/>
      <c r="P141" s="81"/>
      <c r="Q141" s="79">
        <f t="shared" si="3"/>
        <v>0</v>
      </c>
    </row>
    <row r="142" spans="1:17" s="13" customFormat="1" ht="15.75" x14ac:dyDescent="0.25">
      <c r="A142" s="10"/>
      <c r="B142" s="27" t="s">
        <v>86</v>
      </c>
      <c r="C142" s="1" t="s">
        <v>17</v>
      </c>
      <c r="D142" s="2"/>
      <c r="E142" s="17" t="s">
        <v>20</v>
      </c>
      <c r="F142" s="73" t="s">
        <v>396</v>
      </c>
      <c r="G142" s="74" t="s">
        <v>112</v>
      </c>
      <c r="H142" s="75">
        <v>2</v>
      </c>
      <c r="I142" s="76">
        <v>1</v>
      </c>
      <c r="J142" s="96">
        <f>1</f>
        <v>1</v>
      </c>
      <c r="K142" s="77"/>
      <c r="L142" s="77"/>
      <c r="M142" s="38">
        <f t="shared" si="4"/>
        <v>0</v>
      </c>
      <c r="N142" s="100">
        <f>15+4</f>
        <v>19</v>
      </c>
      <c r="O142" s="81">
        <f>30236.61</f>
        <v>30236.61</v>
      </c>
      <c r="P142" s="81"/>
      <c r="Q142" s="12">
        <f t="shared" si="3"/>
        <v>30236.61</v>
      </c>
    </row>
    <row r="143" spans="1:17" s="13" customFormat="1" ht="15.75" x14ac:dyDescent="0.25">
      <c r="A143" s="10"/>
      <c r="B143" s="25" t="s">
        <v>86</v>
      </c>
      <c r="C143" s="1" t="s">
        <v>17</v>
      </c>
      <c r="D143" s="2"/>
      <c r="E143" s="17" t="s">
        <v>20</v>
      </c>
      <c r="F143" s="73" t="s">
        <v>465</v>
      </c>
      <c r="G143" s="11" t="s">
        <v>114</v>
      </c>
      <c r="H143" s="1"/>
      <c r="I143" s="49"/>
      <c r="J143" s="51"/>
      <c r="K143" s="40"/>
      <c r="L143" s="40"/>
      <c r="M143" s="78">
        <f t="shared" si="4"/>
        <v>0</v>
      </c>
      <c r="N143" s="41"/>
      <c r="O143" s="31"/>
      <c r="P143" s="31"/>
      <c r="Q143" s="79">
        <f t="shared" si="3"/>
        <v>0</v>
      </c>
    </row>
    <row r="144" spans="1:17" s="13" customFormat="1" ht="15.75" x14ac:dyDescent="0.25">
      <c r="A144" s="10"/>
      <c r="B144" s="62" t="s">
        <v>87</v>
      </c>
      <c r="C144" s="1" t="s">
        <v>17</v>
      </c>
      <c r="D144" s="2"/>
      <c r="E144" s="17" t="s">
        <v>78</v>
      </c>
      <c r="F144" s="73" t="s">
        <v>142</v>
      </c>
      <c r="G144" s="74" t="s">
        <v>112</v>
      </c>
      <c r="H144" s="75"/>
      <c r="I144" s="76"/>
      <c r="J144" s="96"/>
      <c r="K144" s="77"/>
      <c r="L144" s="77"/>
      <c r="M144" s="38">
        <f t="shared" si="4"/>
        <v>0</v>
      </c>
      <c r="N144" s="100"/>
      <c r="O144" s="81"/>
      <c r="P144" s="81"/>
      <c r="Q144" s="12">
        <f t="shared" ref="Q144:Q184" si="5">O144-P144</f>
        <v>0</v>
      </c>
    </row>
    <row r="145" spans="1:17" s="13" customFormat="1" ht="15.75" x14ac:dyDescent="0.25">
      <c r="A145" s="10"/>
      <c r="B145" s="62" t="s">
        <v>312</v>
      </c>
      <c r="C145" s="1" t="s">
        <v>17</v>
      </c>
      <c r="D145" s="2"/>
      <c r="E145" s="17" t="s">
        <v>20</v>
      </c>
      <c r="F145" s="73" t="s">
        <v>320</v>
      </c>
      <c r="G145" s="74" t="s">
        <v>112</v>
      </c>
      <c r="H145" s="75">
        <v>3</v>
      </c>
      <c r="I145" s="76"/>
      <c r="J145" s="96"/>
      <c r="K145" s="77"/>
      <c r="L145" s="77"/>
      <c r="M145" s="38"/>
      <c r="N145" s="100">
        <f>5</f>
        <v>5</v>
      </c>
      <c r="O145" s="81">
        <f>4226.2</f>
        <v>4226.2</v>
      </c>
      <c r="P145" s="81"/>
      <c r="Q145" s="12"/>
    </row>
    <row r="146" spans="1:17" s="13" customFormat="1" ht="15.75" x14ac:dyDescent="0.25">
      <c r="A146" s="10"/>
      <c r="B146" s="30" t="s">
        <v>88</v>
      </c>
      <c r="C146" s="1" t="s">
        <v>17</v>
      </c>
      <c r="D146" s="2"/>
      <c r="E146" s="3" t="s">
        <v>89</v>
      </c>
      <c r="F146" s="73" t="s">
        <v>397</v>
      </c>
      <c r="G146" s="74" t="s">
        <v>112</v>
      </c>
      <c r="H146" s="75"/>
      <c r="I146" s="76"/>
      <c r="J146" s="96"/>
      <c r="K146" s="77"/>
      <c r="L146" s="77"/>
      <c r="M146" s="38">
        <f t="shared" si="4"/>
        <v>0</v>
      </c>
      <c r="N146" s="100">
        <f>4+1</f>
        <v>5</v>
      </c>
      <c r="O146" s="81">
        <f>11967.83</f>
        <v>11967.83</v>
      </c>
      <c r="P146" s="81"/>
      <c r="Q146" s="79">
        <f t="shared" si="5"/>
        <v>11967.83</v>
      </c>
    </row>
    <row r="147" spans="1:17" s="13" customFormat="1" ht="15.75" x14ac:dyDescent="0.25">
      <c r="A147" s="10"/>
      <c r="B147" s="24" t="s">
        <v>88</v>
      </c>
      <c r="C147" s="1" t="s">
        <v>17</v>
      </c>
      <c r="D147" s="2"/>
      <c r="E147" s="3" t="s">
        <v>89</v>
      </c>
      <c r="F147" s="73" t="s">
        <v>442</v>
      </c>
      <c r="G147" s="11" t="s">
        <v>118</v>
      </c>
      <c r="H147" s="1"/>
      <c r="I147" s="49"/>
      <c r="J147" s="46"/>
      <c r="K147" s="40"/>
      <c r="L147" s="40"/>
      <c r="M147" s="38">
        <f t="shared" si="4"/>
        <v>0</v>
      </c>
      <c r="N147" s="41">
        <v>1</v>
      </c>
      <c r="O147" s="31"/>
      <c r="P147" s="31"/>
      <c r="Q147" s="12">
        <f t="shared" si="5"/>
        <v>0</v>
      </c>
    </row>
    <row r="148" spans="1:17" s="13" customFormat="1" ht="15.75" x14ac:dyDescent="0.25">
      <c r="A148" s="10"/>
      <c r="B148" s="30" t="s">
        <v>90</v>
      </c>
      <c r="C148" s="1" t="s">
        <v>17</v>
      </c>
      <c r="D148" s="2"/>
      <c r="E148" s="17" t="s">
        <v>20</v>
      </c>
      <c r="F148" s="73" t="s">
        <v>398</v>
      </c>
      <c r="G148" s="74" t="s">
        <v>112</v>
      </c>
      <c r="H148" s="75">
        <v>1</v>
      </c>
      <c r="I148" s="76"/>
      <c r="J148" s="96"/>
      <c r="K148" s="77"/>
      <c r="L148" s="77"/>
      <c r="M148" s="38">
        <f t="shared" si="4"/>
        <v>0</v>
      </c>
      <c r="N148" s="100"/>
      <c r="O148" s="81"/>
      <c r="P148" s="81"/>
      <c r="Q148" s="79">
        <f t="shared" si="5"/>
        <v>0</v>
      </c>
    </row>
    <row r="149" spans="1:17" s="13" customFormat="1" ht="15.75" x14ac:dyDescent="0.25">
      <c r="A149" s="10"/>
      <c r="B149" s="24" t="s">
        <v>90</v>
      </c>
      <c r="C149" s="1" t="s">
        <v>17</v>
      </c>
      <c r="D149" s="2"/>
      <c r="E149" s="17" t="s">
        <v>20</v>
      </c>
      <c r="F149" s="73" t="s">
        <v>466</v>
      </c>
      <c r="G149" s="11" t="s">
        <v>114</v>
      </c>
      <c r="H149" s="1">
        <v>1</v>
      </c>
      <c r="I149" s="49"/>
      <c r="J149" s="51"/>
      <c r="K149" s="40"/>
      <c r="L149" s="40"/>
      <c r="M149" s="78">
        <f t="shared" si="4"/>
        <v>0</v>
      </c>
      <c r="N149" s="41"/>
      <c r="O149" s="31"/>
      <c r="P149" s="31"/>
      <c r="Q149" s="12">
        <f t="shared" si="5"/>
        <v>0</v>
      </c>
    </row>
    <row r="150" spans="1:17" s="13" customFormat="1" ht="15.75" x14ac:dyDescent="0.25">
      <c r="A150" s="10"/>
      <c r="B150" s="30" t="s">
        <v>91</v>
      </c>
      <c r="C150" s="1" t="s">
        <v>17</v>
      </c>
      <c r="D150" s="2"/>
      <c r="E150" s="17" t="s">
        <v>20</v>
      </c>
      <c r="F150" s="73" t="s">
        <v>399</v>
      </c>
      <c r="G150" s="74" t="s">
        <v>112</v>
      </c>
      <c r="H150" s="75"/>
      <c r="I150" s="76"/>
      <c r="J150" s="96"/>
      <c r="K150" s="77"/>
      <c r="L150" s="77"/>
      <c r="M150" s="38">
        <f t="shared" si="4"/>
        <v>0</v>
      </c>
      <c r="N150" s="100"/>
      <c r="O150" s="81"/>
      <c r="P150" s="81"/>
      <c r="Q150" s="79">
        <f t="shared" si="5"/>
        <v>0</v>
      </c>
    </row>
    <row r="151" spans="1:17" s="13" customFormat="1" ht="15.75" x14ac:dyDescent="0.25">
      <c r="A151" s="10">
        <v>93</v>
      </c>
      <c r="B151" s="22" t="s">
        <v>138</v>
      </c>
      <c r="C151" s="1" t="s">
        <v>17</v>
      </c>
      <c r="D151" s="2"/>
      <c r="E151" s="17" t="s">
        <v>20</v>
      </c>
      <c r="F151" s="73" t="s">
        <v>467</v>
      </c>
      <c r="G151" s="11" t="s">
        <v>114</v>
      </c>
      <c r="H151" s="1">
        <v>1</v>
      </c>
      <c r="I151" s="49"/>
      <c r="J151" s="51"/>
      <c r="K151" s="37"/>
      <c r="L151" s="37"/>
      <c r="M151" s="78">
        <f t="shared" si="4"/>
        <v>0</v>
      </c>
      <c r="N151" s="39"/>
      <c r="O151" s="31"/>
      <c r="P151" s="31"/>
      <c r="Q151" s="12">
        <f t="shared" si="5"/>
        <v>0</v>
      </c>
    </row>
    <row r="152" spans="1:17" s="13" customFormat="1" ht="15.75" x14ac:dyDescent="0.25">
      <c r="A152" s="10"/>
      <c r="B152" s="62" t="s">
        <v>138</v>
      </c>
      <c r="C152" s="1" t="s">
        <v>17</v>
      </c>
      <c r="D152" s="2"/>
      <c r="E152" s="17" t="s">
        <v>20</v>
      </c>
      <c r="F152" s="73" t="s">
        <v>400</v>
      </c>
      <c r="G152" s="74" t="s">
        <v>112</v>
      </c>
      <c r="H152" s="75">
        <v>1</v>
      </c>
      <c r="I152" s="82"/>
      <c r="J152" s="96"/>
      <c r="K152" s="77"/>
      <c r="L152" s="77"/>
      <c r="M152" s="38">
        <f t="shared" si="4"/>
        <v>0</v>
      </c>
      <c r="N152" s="100"/>
      <c r="O152" s="81"/>
      <c r="P152" s="81"/>
      <c r="Q152" s="79">
        <f t="shared" si="5"/>
        <v>0</v>
      </c>
    </row>
    <row r="153" spans="1:17" s="13" customFormat="1" ht="15.75" x14ac:dyDescent="0.25">
      <c r="A153" s="10"/>
      <c r="B153" s="62" t="s">
        <v>157</v>
      </c>
      <c r="C153" s="1" t="s">
        <v>17</v>
      </c>
      <c r="D153" s="2"/>
      <c r="E153" s="17" t="s">
        <v>20</v>
      </c>
      <c r="F153" s="73" t="s">
        <v>401</v>
      </c>
      <c r="G153" s="74" t="s">
        <v>112</v>
      </c>
      <c r="H153" s="75">
        <v>1</v>
      </c>
      <c r="I153" s="82"/>
      <c r="J153" s="96"/>
      <c r="K153" s="77"/>
      <c r="L153" s="77"/>
      <c r="M153" s="38">
        <f t="shared" ref="M153:M183" si="6">K153-L153</f>
        <v>0</v>
      </c>
      <c r="N153" s="100"/>
      <c r="O153" s="81"/>
      <c r="P153" s="81"/>
      <c r="Q153" s="12">
        <f t="shared" si="5"/>
        <v>0</v>
      </c>
    </row>
    <row r="154" spans="1:17" s="13" customFormat="1" ht="15.75" x14ac:dyDescent="0.25">
      <c r="A154" s="10"/>
      <c r="B154" s="22" t="s">
        <v>157</v>
      </c>
      <c r="C154" s="1" t="s">
        <v>17</v>
      </c>
      <c r="D154" s="2"/>
      <c r="E154" s="17" t="s">
        <v>20</v>
      </c>
      <c r="F154" s="73"/>
      <c r="G154" s="11" t="s">
        <v>114</v>
      </c>
      <c r="H154" s="1"/>
      <c r="I154" s="49"/>
      <c r="J154" s="51"/>
      <c r="K154" s="37"/>
      <c r="L154" s="37"/>
      <c r="M154" s="38">
        <f t="shared" si="6"/>
        <v>0</v>
      </c>
      <c r="N154" s="39"/>
      <c r="O154" s="31"/>
      <c r="P154" s="31"/>
      <c r="Q154" s="79">
        <f t="shared" si="5"/>
        <v>0</v>
      </c>
    </row>
    <row r="155" spans="1:17" s="15" customFormat="1" ht="15.75" x14ac:dyDescent="0.25">
      <c r="A155" s="14"/>
      <c r="B155" s="80" t="s">
        <v>92</v>
      </c>
      <c r="C155" s="1" t="s">
        <v>17</v>
      </c>
      <c r="D155" s="2"/>
      <c r="E155" s="17" t="s">
        <v>20</v>
      </c>
      <c r="F155" s="73" t="s">
        <v>402</v>
      </c>
      <c r="G155" s="74" t="s">
        <v>112</v>
      </c>
      <c r="H155" s="75">
        <v>1</v>
      </c>
      <c r="I155" s="76"/>
      <c r="J155" s="96"/>
      <c r="K155" s="77"/>
      <c r="L155" s="77"/>
      <c r="M155" s="38">
        <f t="shared" si="6"/>
        <v>0</v>
      </c>
      <c r="N155" s="100">
        <f>4</f>
        <v>4</v>
      </c>
      <c r="O155" s="81">
        <f>12624.74</f>
        <v>12624.74</v>
      </c>
      <c r="P155" s="81">
        <f>12624.74</f>
        <v>12624.74</v>
      </c>
      <c r="Q155" s="12">
        <f t="shared" si="5"/>
        <v>0</v>
      </c>
    </row>
    <row r="156" spans="1:17" s="15" customFormat="1" ht="15.75" x14ac:dyDescent="0.25">
      <c r="A156" s="14"/>
      <c r="B156" s="23" t="s">
        <v>92</v>
      </c>
      <c r="C156" s="1" t="s">
        <v>17</v>
      </c>
      <c r="D156" s="2"/>
      <c r="E156" s="17" t="s">
        <v>20</v>
      </c>
      <c r="F156" s="73" t="s">
        <v>129</v>
      </c>
      <c r="G156" s="11" t="s">
        <v>114</v>
      </c>
      <c r="H156" s="1"/>
      <c r="I156" s="49"/>
      <c r="J156" s="51"/>
      <c r="K156" s="40"/>
      <c r="L156" s="40"/>
      <c r="M156" s="38">
        <f t="shared" si="6"/>
        <v>0</v>
      </c>
      <c r="N156" s="39"/>
      <c r="O156" s="31"/>
      <c r="P156" s="31"/>
      <c r="Q156" s="79">
        <f t="shared" si="5"/>
        <v>0</v>
      </c>
    </row>
    <row r="157" spans="1:17" s="13" customFormat="1" ht="15.75" x14ac:dyDescent="0.25">
      <c r="A157" s="10"/>
      <c r="B157" s="30" t="s">
        <v>93</v>
      </c>
      <c r="C157" s="1" t="s">
        <v>17</v>
      </c>
      <c r="D157" s="2"/>
      <c r="E157" s="3" t="s">
        <v>94</v>
      </c>
      <c r="F157" s="73" t="s">
        <v>403</v>
      </c>
      <c r="G157" s="74" t="s">
        <v>112</v>
      </c>
      <c r="H157" s="75">
        <v>7</v>
      </c>
      <c r="I157" s="76"/>
      <c r="J157" s="96"/>
      <c r="K157" s="77"/>
      <c r="L157" s="77"/>
      <c r="M157" s="38">
        <f t="shared" si="6"/>
        <v>0</v>
      </c>
      <c r="N157" s="100"/>
      <c r="O157" s="81"/>
      <c r="P157" s="81"/>
      <c r="Q157" s="12">
        <f t="shared" si="5"/>
        <v>0</v>
      </c>
    </row>
    <row r="158" spans="1:17" s="13" customFormat="1" ht="15.75" x14ac:dyDescent="0.25">
      <c r="A158" s="10"/>
      <c r="B158" s="24" t="s">
        <v>93</v>
      </c>
      <c r="C158" s="1" t="s">
        <v>17</v>
      </c>
      <c r="D158" s="2"/>
      <c r="E158" s="3" t="s">
        <v>94</v>
      </c>
      <c r="F158" s="73" t="s">
        <v>130</v>
      </c>
      <c r="G158" s="11" t="s">
        <v>114</v>
      </c>
      <c r="H158" s="1"/>
      <c r="I158" s="49"/>
      <c r="J158" s="51"/>
      <c r="K158" s="40"/>
      <c r="L158" s="77"/>
      <c r="M158" s="38">
        <f t="shared" si="6"/>
        <v>0</v>
      </c>
      <c r="N158" s="41"/>
      <c r="O158" s="31"/>
      <c r="P158" s="31"/>
      <c r="Q158" s="79">
        <f t="shared" si="5"/>
        <v>0</v>
      </c>
    </row>
    <row r="159" spans="1:17" s="13" customFormat="1" ht="15.75" x14ac:dyDescent="0.25">
      <c r="A159" s="10"/>
      <c r="B159" s="24" t="s">
        <v>93</v>
      </c>
      <c r="C159" s="1" t="s">
        <v>17</v>
      </c>
      <c r="D159" s="2"/>
      <c r="E159" s="3" t="s">
        <v>94</v>
      </c>
      <c r="F159" s="73" t="s">
        <v>240</v>
      </c>
      <c r="G159" s="11" t="s">
        <v>118</v>
      </c>
      <c r="H159" s="1"/>
      <c r="I159" s="49"/>
      <c r="J159" s="46"/>
      <c r="K159" s="40"/>
      <c r="L159" s="40"/>
      <c r="M159" s="78">
        <f t="shared" si="6"/>
        <v>0</v>
      </c>
      <c r="N159" s="41"/>
      <c r="O159" s="31"/>
      <c r="P159" s="31"/>
      <c r="Q159" s="12">
        <f t="shared" si="5"/>
        <v>0</v>
      </c>
    </row>
    <row r="160" spans="1:17" s="13" customFormat="1" ht="15.75" x14ac:dyDescent="0.25">
      <c r="A160" s="10"/>
      <c r="B160" s="30" t="s">
        <v>95</v>
      </c>
      <c r="C160" s="1" t="s">
        <v>17</v>
      </c>
      <c r="D160" s="2"/>
      <c r="E160" s="17" t="s">
        <v>20</v>
      </c>
      <c r="F160" s="73" t="s">
        <v>404</v>
      </c>
      <c r="G160" s="74" t="s">
        <v>112</v>
      </c>
      <c r="H160" s="75">
        <v>1</v>
      </c>
      <c r="I160" s="76"/>
      <c r="J160" s="96"/>
      <c r="K160" s="77"/>
      <c r="L160" s="77"/>
      <c r="M160" s="38">
        <f t="shared" si="6"/>
        <v>0</v>
      </c>
      <c r="N160" s="100">
        <f>1</f>
        <v>1</v>
      </c>
      <c r="O160" s="81">
        <f>11603.82</f>
        <v>11603.82</v>
      </c>
      <c r="P160" s="81"/>
      <c r="Q160" s="79">
        <f t="shared" si="5"/>
        <v>11603.82</v>
      </c>
    </row>
    <row r="161" spans="1:17" s="13" customFormat="1" ht="15.75" x14ac:dyDescent="0.25">
      <c r="A161" s="10"/>
      <c r="B161" s="24" t="s">
        <v>95</v>
      </c>
      <c r="C161" s="1" t="s">
        <v>17</v>
      </c>
      <c r="D161" s="2"/>
      <c r="E161" s="17" t="s">
        <v>20</v>
      </c>
      <c r="F161" s="73" t="s">
        <v>291</v>
      </c>
      <c r="G161" s="11" t="s">
        <v>114</v>
      </c>
      <c r="H161" s="1"/>
      <c r="I161" s="49"/>
      <c r="J161" s="51"/>
      <c r="K161" s="40"/>
      <c r="L161" s="40"/>
      <c r="M161" s="78">
        <f t="shared" si="6"/>
        <v>0</v>
      </c>
      <c r="N161" s="41"/>
      <c r="O161" s="31"/>
      <c r="P161" s="31"/>
      <c r="Q161" s="12">
        <f t="shared" si="5"/>
        <v>0</v>
      </c>
    </row>
    <row r="162" spans="1:17" s="13" customFormat="1" ht="15.75" x14ac:dyDescent="0.25">
      <c r="A162" s="10"/>
      <c r="B162" s="30" t="s">
        <v>96</v>
      </c>
      <c r="C162" s="1" t="s">
        <v>17</v>
      </c>
      <c r="D162" s="2"/>
      <c r="E162" s="17" t="s">
        <v>97</v>
      </c>
      <c r="F162" s="73" t="s">
        <v>405</v>
      </c>
      <c r="G162" s="74" t="s">
        <v>112</v>
      </c>
      <c r="H162" s="75"/>
      <c r="I162" s="76"/>
      <c r="J162" s="96"/>
      <c r="K162" s="77"/>
      <c r="L162" s="77"/>
      <c r="M162" s="38">
        <f t="shared" si="6"/>
        <v>0</v>
      </c>
      <c r="N162" s="103"/>
      <c r="O162" s="77"/>
      <c r="P162" s="77"/>
      <c r="Q162" s="79">
        <f t="shared" si="5"/>
        <v>0</v>
      </c>
    </row>
    <row r="163" spans="1:17" s="13" customFormat="1" ht="15.75" x14ac:dyDescent="0.25">
      <c r="A163" s="10"/>
      <c r="B163" s="24" t="s">
        <v>96</v>
      </c>
      <c r="C163" s="1" t="s">
        <v>17</v>
      </c>
      <c r="D163" s="2"/>
      <c r="E163" s="17" t="s">
        <v>97</v>
      </c>
      <c r="F163" s="73" t="s">
        <v>468</v>
      </c>
      <c r="G163" s="11" t="s">
        <v>114</v>
      </c>
      <c r="H163" s="1">
        <v>1</v>
      </c>
      <c r="I163" s="49"/>
      <c r="J163" s="51"/>
      <c r="K163" s="40"/>
      <c r="L163" s="40"/>
      <c r="M163" s="78">
        <f t="shared" si="6"/>
        <v>0</v>
      </c>
      <c r="N163" s="41"/>
      <c r="O163" s="31"/>
      <c r="P163" s="31"/>
      <c r="Q163" s="12">
        <f t="shared" si="5"/>
        <v>0</v>
      </c>
    </row>
    <row r="164" spans="1:17" s="13" customFormat="1" ht="15.75" x14ac:dyDescent="0.25">
      <c r="A164" s="10"/>
      <c r="B164" s="30" t="s">
        <v>98</v>
      </c>
      <c r="C164" s="1" t="s">
        <v>17</v>
      </c>
      <c r="D164" s="2"/>
      <c r="E164" s="17" t="s">
        <v>35</v>
      </c>
      <c r="F164" s="73" t="s">
        <v>406</v>
      </c>
      <c r="G164" s="74" t="s">
        <v>112</v>
      </c>
      <c r="H164" s="75">
        <v>3</v>
      </c>
      <c r="I164" s="76"/>
      <c r="J164" s="96"/>
      <c r="K164" s="77"/>
      <c r="L164" s="77"/>
      <c r="M164" s="38">
        <f t="shared" si="6"/>
        <v>0</v>
      </c>
      <c r="N164" s="100">
        <f>9+1</f>
        <v>10</v>
      </c>
      <c r="O164" s="81">
        <f>17007.01</f>
        <v>17007.009999999998</v>
      </c>
      <c r="P164" s="81"/>
      <c r="Q164" s="79">
        <f t="shared" si="5"/>
        <v>17007.009999999998</v>
      </c>
    </row>
    <row r="165" spans="1:17" s="13" customFormat="1" ht="15.75" x14ac:dyDescent="0.25">
      <c r="A165" s="10"/>
      <c r="B165" s="24" t="s">
        <v>98</v>
      </c>
      <c r="C165" s="1" t="s">
        <v>17</v>
      </c>
      <c r="D165" s="2"/>
      <c r="E165" s="17" t="s">
        <v>35</v>
      </c>
      <c r="F165" s="73" t="s">
        <v>435</v>
      </c>
      <c r="G165" s="8" t="s">
        <v>117</v>
      </c>
      <c r="H165" s="1"/>
      <c r="I165" s="49"/>
      <c r="J165" s="46"/>
      <c r="K165" s="40"/>
      <c r="L165" s="40"/>
      <c r="M165" s="78">
        <f t="shared" si="6"/>
        <v>0</v>
      </c>
      <c r="N165" s="41">
        <f>4</f>
        <v>4</v>
      </c>
      <c r="O165" s="40"/>
      <c r="P165" s="40"/>
      <c r="Q165" s="12">
        <f t="shared" si="5"/>
        <v>0</v>
      </c>
    </row>
    <row r="166" spans="1:17" s="15" customFormat="1" ht="15.75" x14ac:dyDescent="0.25">
      <c r="A166" s="14"/>
      <c r="B166" s="84" t="s">
        <v>99</v>
      </c>
      <c r="C166" s="1" t="s">
        <v>17</v>
      </c>
      <c r="D166" s="2"/>
      <c r="E166" s="3" t="s">
        <v>32</v>
      </c>
      <c r="F166" s="73" t="s">
        <v>418</v>
      </c>
      <c r="G166" s="74" t="s">
        <v>112</v>
      </c>
      <c r="H166" s="75"/>
      <c r="I166" s="76"/>
      <c r="J166" s="96"/>
      <c r="K166" s="77"/>
      <c r="L166" s="77"/>
      <c r="M166" s="38">
        <f t="shared" si="6"/>
        <v>0</v>
      </c>
      <c r="N166" s="100"/>
      <c r="O166" s="81"/>
      <c r="P166" s="81"/>
      <c r="Q166" s="79">
        <f t="shared" si="5"/>
        <v>0</v>
      </c>
    </row>
    <row r="167" spans="1:17" s="15" customFormat="1" ht="15.75" x14ac:dyDescent="0.25">
      <c r="A167" s="14"/>
      <c r="B167" s="29" t="s">
        <v>99</v>
      </c>
      <c r="C167" s="1" t="s">
        <v>17</v>
      </c>
      <c r="D167" s="2"/>
      <c r="E167" s="3" t="s">
        <v>32</v>
      </c>
      <c r="F167" s="73" t="s">
        <v>423</v>
      </c>
      <c r="G167" s="8" t="s">
        <v>117</v>
      </c>
      <c r="H167" s="1"/>
      <c r="I167" s="49"/>
      <c r="J167" s="51"/>
      <c r="K167" s="40"/>
      <c r="L167" s="40"/>
      <c r="M167" s="78">
        <f t="shared" si="6"/>
        <v>0</v>
      </c>
      <c r="N167" s="39"/>
      <c r="O167" s="40"/>
      <c r="P167" s="40"/>
      <c r="Q167" s="12">
        <f t="shared" si="5"/>
        <v>0</v>
      </c>
    </row>
    <row r="168" spans="1:17" s="15" customFormat="1" ht="24" x14ac:dyDescent="0.25">
      <c r="A168" s="14"/>
      <c r="B168" s="30" t="s">
        <v>144</v>
      </c>
      <c r="C168" s="1" t="s">
        <v>304</v>
      </c>
      <c r="D168" s="18" t="s">
        <v>313</v>
      </c>
      <c r="E168" s="17" t="s">
        <v>97</v>
      </c>
      <c r="F168" s="73" t="s">
        <v>407</v>
      </c>
      <c r="G168" s="66" t="s">
        <v>112</v>
      </c>
      <c r="H168" s="75">
        <v>4</v>
      </c>
      <c r="I168" s="76"/>
      <c r="J168" s="96"/>
      <c r="K168" s="77"/>
      <c r="L168" s="77"/>
      <c r="M168" s="38">
        <f t="shared" si="6"/>
        <v>0</v>
      </c>
      <c r="N168" s="100">
        <f>3</f>
        <v>3</v>
      </c>
      <c r="O168" s="77">
        <f>5020.57</f>
        <v>5020.57</v>
      </c>
      <c r="P168" s="77"/>
      <c r="Q168" s="79">
        <f t="shared" si="5"/>
        <v>5020.57</v>
      </c>
    </row>
    <row r="169" spans="1:17" s="15" customFormat="1" ht="24" x14ac:dyDescent="0.25">
      <c r="A169" s="14"/>
      <c r="B169" s="34" t="s">
        <v>144</v>
      </c>
      <c r="C169" s="1" t="s">
        <v>446</v>
      </c>
      <c r="D169" s="18" t="s">
        <v>313</v>
      </c>
      <c r="E169" s="3" t="s">
        <v>20</v>
      </c>
      <c r="F169" s="73" t="s">
        <v>447</v>
      </c>
      <c r="G169" s="8" t="s">
        <v>114</v>
      </c>
      <c r="H169" s="1">
        <v>2</v>
      </c>
      <c r="I169" s="49"/>
      <c r="J169" s="51"/>
      <c r="K169" s="40"/>
      <c r="L169" s="40"/>
      <c r="M169" s="78">
        <f t="shared" si="6"/>
        <v>0</v>
      </c>
      <c r="N169" s="42"/>
      <c r="O169" s="31"/>
      <c r="P169" s="31"/>
      <c r="Q169" s="12">
        <f t="shared" si="5"/>
        <v>0</v>
      </c>
    </row>
    <row r="170" spans="1:17" s="21" customFormat="1" ht="36" x14ac:dyDescent="0.25">
      <c r="A170" s="1"/>
      <c r="B170" s="30" t="s">
        <v>100</v>
      </c>
      <c r="C170" s="1" t="s">
        <v>304</v>
      </c>
      <c r="D170" s="18" t="s">
        <v>416</v>
      </c>
      <c r="E170" s="17" t="s">
        <v>20</v>
      </c>
      <c r="F170" s="73" t="s">
        <v>408</v>
      </c>
      <c r="G170" s="27" t="s">
        <v>112</v>
      </c>
      <c r="H170" s="75">
        <v>2</v>
      </c>
      <c r="I170" s="76"/>
      <c r="J170" s="98"/>
      <c r="K170" s="86"/>
      <c r="L170" s="86"/>
      <c r="M170" s="38">
        <f t="shared" si="6"/>
        <v>0</v>
      </c>
      <c r="N170" s="100">
        <f>1</f>
        <v>1</v>
      </c>
      <c r="O170" s="87"/>
      <c r="P170" s="87"/>
      <c r="Q170" s="79">
        <f t="shared" si="5"/>
        <v>0</v>
      </c>
    </row>
    <row r="171" spans="1:17" s="21" customFormat="1" ht="36" x14ac:dyDescent="0.25">
      <c r="A171" s="1"/>
      <c r="B171" s="24" t="s">
        <v>100</v>
      </c>
      <c r="C171" s="18" t="s">
        <v>125</v>
      </c>
      <c r="D171" s="18" t="s">
        <v>126</v>
      </c>
      <c r="E171" s="17" t="s">
        <v>20</v>
      </c>
      <c r="F171" s="73" t="s">
        <v>266</v>
      </c>
      <c r="G171" s="20" t="s">
        <v>114</v>
      </c>
      <c r="H171" s="1">
        <v>1</v>
      </c>
      <c r="I171" s="53"/>
      <c r="J171" s="52"/>
      <c r="K171" s="55"/>
      <c r="L171" s="55"/>
      <c r="M171" s="78">
        <f t="shared" si="6"/>
        <v>0</v>
      </c>
      <c r="N171" s="41"/>
      <c r="O171" s="54"/>
      <c r="P171" s="54"/>
      <c r="Q171" s="12">
        <f t="shared" si="5"/>
        <v>0</v>
      </c>
    </row>
    <row r="172" spans="1:17" s="13" customFormat="1" ht="15.75" x14ac:dyDescent="0.25">
      <c r="A172" s="10"/>
      <c r="B172" s="62" t="s">
        <v>101</v>
      </c>
      <c r="C172" s="1" t="s">
        <v>17</v>
      </c>
      <c r="D172" s="2"/>
      <c r="E172" s="17" t="s">
        <v>20</v>
      </c>
      <c r="F172" s="73" t="s">
        <v>409</v>
      </c>
      <c r="G172" s="74" t="s">
        <v>112</v>
      </c>
      <c r="H172" s="75">
        <v>1</v>
      </c>
      <c r="I172" s="76"/>
      <c r="J172" s="96"/>
      <c r="K172" s="77"/>
      <c r="L172" s="77"/>
      <c r="M172" s="38">
        <f t="shared" si="6"/>
        <v>0</v>
      </c>
      <c r="N172" s="100"/>
      <c r="O172" s="81"/>
      <c r="P172" s="81"/>
      <c r="Q172" s="79">
        <f t="shared" si="5"/>
        <v>0</v>
      </c>
    </row>
    <row r="173" spans="1:17" s="13" customFormat="1" ht="15.75" x14ac:dyDescent="0.25">
      <c r="A173" s="10"/>
      <c r="B173" s="62" t="s">
        <v>146</v>
      </c>
      <c r="C173" s="1" t="s">
        <v>17</v>
      </c>
      <c r="D173" s="2"/>
      <c r="E173" s="17" t="s">
        <v>20</v>
      </c>
      <c r="F173" s="73" t="s">
        <v>410</v>
      </c>
      <c r="G173" s="74" t="s">
        <v>112</v>
      </c>
      <c r="H173" s="75"/>
      <c r="I173" s="76"/>
      <c r="J173" s="96"/>
      <c r="K173" s="77"/>
      <c r="L173" s="77"/>
      <c r="M173" s="38">
        <f t="shared" si="6"/>
        <v>0</v>
      </c>
      <c r="N173" s="100">
        <f>5</f>
        <v>5</v>
      </c>
      <c r="O173" s="81">
        <f>13579.06</f>
        <v>13579.06</v>
      </c>
      <c r="P173" s="81"/>
      <c r="Q173" s="12">
        <f t="shared" si="5"/>
        <v>13579.06</v>
      </c>
    </row>
    <row r="174" spans="1:17" s="13" customFormat="1" ht="15.75" x14ac:dyDescent="0.25">
      <c r="A174" s="10"/>
      <c r="B174" s="22" t="s">
        <v>146</v>
      </c>
      <c r="C174" s="1" t="s">
        <v>17</v>
      </c>
      <c r="D174" s="2"/>
      <c r="E174" s="3" t="s">
        <v>21</v>
      </c>
      <c r="F174" s="73" t="s">
        <v>443</v>
      </c>
      <c r="G174" s="11" t="s">
        <v>118</v>
      </c>
      <c r="H174" s="1"/>
      <c r="I174" s="47"/>
      <c r="J174" s="51"/>
      <c r="K174" s="37"/>
      <c r="L174" s="37"/>
      <c r="M174" s="38">
        <f t="shared" si="6"/>
        <v>0</v>
      </c>
      <c r="N174" s="39">
        <v>3</v>
      </c>
      <c r="O174" s="31"/>
      <c r="P174" s="31"/>
      <c r="Q174" s="79">
        <f t="shared" si="5"/>
        <v>0</v>
      </c>
    </row>
    <row r="175" spans="1:17" s="13" customFormat="1" ht="15.75" x14ac:dyDescent="0.25">
      <c r="A175" s="10"/>
      <c r="B175" s="27" t="s">
        <v>102</v>
      </c>
      <c r="C175" s="1" t="s">
        <v>17</v>
      </c>
      <c r="D175" s="2"/>
      <c r="E175" s="17" t="s">
        <v>20</v>
      </c>
      <c r="F175" s="73" t="s">
        <v>411</v>
      </c>
      <c r="G175" s="74" t="s">
        <v>112</v>
      </c>
      <c r="H175" s="75">
        <v>1</v>
      </c>
      <c r="I175" s="76"/>
      <c r="J175" s="96"/>
      <c r="K175" s="77"/>
      <c r="L175" s="77"/>
      <c r="M175" s="38">
        <f t="shared" si="6"/>
        <v>0</v>
      </c>
      <c r="N175" s="100"/>
      <c r="O175" s="81"/>
      <c r="P175" s="81"/>
      <c r="Q175" s="12">
        <f t="shared" si="5"/>
        <v>0</v>
      </c>
    </row>
    <row r="176" spans="1:17" s="13" customFormat="1" ht="15.75" x14ac:dyDescent="0.25">
      <c r="A176" s="10"/>
      <c r="B176" s="25" t="s">
        <v>102</v>
      </c>
      <c r="C176" s="1" t="s">
        <v>17</v>
      </c>
      <c r="D176" s="2"/>
      <c r="E176" s="17" t="s">
        <v>20</v>
      </c>
      <c r="F176" s="73" t="s">
        <v>469</v>
      </c>
      <c r="G176" s="11" t="s">
        <v>114</v>
      </c>
      <c r="H176" s="1"/>
      <c r="I176" s="58"/>
      <c r="J176" s="51"/>
      <c r="K176" s="40"/>
      <c r="L176" s="40"/>
      <c r="M176" s="38">
        <f t="shared" si="6"/>
        <v>0</v>
      </c>
      <c r="N176" s="41"/>
      <c r="O176" s="31"/>
      <c r="P176" s="31"/>
      <c r="Q176" s="79">
        <f t="shared" si="5"/>
        <v>0</v>
      </c>
    </row>
    <row r="177" spans="1:17" s="13" customFormat="1" ht="15.75" x14ac:dyDescent="0.25">
      <c r="A177" s="10"/>
      <c r="B177" s="27" t="s">
        <v>103</v>
      </c>
      <c r="C177" s="1" t="s">
        <v>17</v>
      </c>
      <c r="D177" s="2"/>
      <c r="E177" s="3" t="s">
        <v>20</v>
      </c>
      <c r="F177" s="73" t="s">
        <v>412</v>
      </c>
      <c r="G177" s="74" t="s">
        <v>112</v>
      </c>
      <c r="H177" s="75">
        <v>1</v>
      </c>
      <c r="I177" s="76"/>
      <c r="J177" s="96"/>
      <c r="K177" s="77"/>
      <c r="L177" s="77"/>
      <c r="M177" s="38">
        <f t="shared" si="6"/>
        <v>0</v>
      </c>
      <c r="N177" s="100"/>
      <c r="O177" s="81"/>
      <c r="P177" s="81"/>
      <c r="Q177" s="12">
        <f t="shared" si="5"/>
        <v>0</v>
      </c>
    </row>
    <row r="178" spans="1:17" s="13" customFormat="1" ht="15.75" x14ac:dyDescent="0.25">
      <c r="A178" s="10"/>
      <c r="B178" s="25" t="s">
        <v>103</v>
      </c>
      <c r="C178" s="1" t="s">
        <v>17</v>
      </c>
      <c r="D178" s="2"/>
      <c r="E178" s="3" t="s">
        <v>20</v>
      </c>
      <c r="F178" s="73" t="s">
        <v>470</v>
      </c>
      <c r="G178" s="11" t="s">
        <v>114</v>
      </c>
      <c r="H178" s="1">
        <v>1</v>
      </c>
      <c r="I178" s="49"/>
      <c r="J178" s="51"/>
      <c r="K178" s="40"/>
      <c r="L178" s="40"/>
      <c r="M178" s="38">
        <f t="shared" si="6"/>
        <v>0</v>
      </c>
      <c r="N178" s="41"/>
      <c r="O178" s="31"/>
      <c r="P178" s="31"/>
      <c r="Q178" s="79">
        <f t="shared" si="5"/>
        <v>0</v>
      </c>
    </row>
    <row r="179" spans="1:17" s="15" customFormat="1" ht="15.75" x14ac:dyDescent="0.25">
      <c r="A179" s="14"/>
      <c r="B179" s="28" t="s">
        <v>104</v>
      </c>
      <c r="C179" s="1" t="s">
        <v>17</v>
      </c>
      <c r="D179" s="2"/>
      <c r="E179" s="3" t="s">
        <v>20</v>
      </c>
      <c r="F179" s="73" t="s">
        <v>413</v>
      </c>
      <c r="G179" s="74" t="s">
        <v>112</v>
      </c>
      <c r="H179" s="75">
        <v>1</v>
      </c>
      <c r="I179" s="76"/>
      <c r="J179" s="96"/>
      <c r="K179" s="77"/>
      <c r="L179" s="77"/>
      <c r="M179" s="38">
        <f t="shared" si="6"/>
        <v>0</v>
      </c>
      <c r="N179" s="100">
        <f>4</f>
        <v>4</v>
      </c>
      <c r="O179" s="81">
        <f>7086.22</f>
        <v>7086.22</v>
      </c>
      <c r="P179" s="81"/>
      <c r="Q179" s="12">
        <f t="shared" si="5"/>
        <v>7086.22</v>
      </c>
    </row>
    <row r="180" spans="1:17" s="15" customFormat="1" ht="15.75" x14ac:dyDescent="0.25">
      <c r="A180" s="14"/>
      <c r="B180" s="26" t="s">
        <v>104</v>
      </c>
      <c r="C180" s="1" t="s">
        <v>17</v>
      </c>
      <c r="D180" s="2"/>
      <c r="E180" s="3" t="s">
        <v>20</v>
      </c>
      <c r="F180" s="73" t="s">
        <v>471</v>
      </c>
      <c r="G180" s="11" t="s">
        <v>114</v>
      </c>
      <c r="H180" s="1">
        <v>3</v>
      </c>
      <c r="I180" s="49"/>
      <c r="J180" s="51"/>
      <c r="K180" s="40"/>
      <c r="L180" s="40"/>
      <c r="M180" s="38">
        <f t="shared" si="6"/>
        <v>0</v>
      </c>
      <c r="N180" s="39"/>
      <c r="O180" s="31"/>
      <c r="P180" s="31"/>
      <c r="Q180" s="79">
        <f t="shared" si="5"/>
        <v>0</v>
      </c>
    </row>
    <row r="181" spans="1:17" s="13" customFormat="1" ht="15.75" x14ac:dyDescent="0.25">
      <c r="A181" s="10"/>
      <c r="B181" s="30" t="s">
        <v>105</v>
      </c>
      <c r="C181" s="1" t="s">
        <v>17</v>
      </c>
      <c r="D181" s="2"/>
      <c r="E181" s="17" t="s">
        <v>35</v>
      </c>
      <c r="F181" s="73" t="s">
        <v>419</v>
      </c>
      <c r="G181" s="74" t="s">
        <v>112</v>
      </c>
      <c r="H181" s="75"/>
      <c r="I181" s="76"/>
      <c r="J181" s="96"/>
      <c r="K181" s="77"/>
      <c r="L181" s="77"/>
      <c r="M181" s="38">
        <f t="shared" si="6"/>
        <v>0</v>
      </c>
      <c r="N181" s="100"/>
      <c r="O181" s="81"/>
      <c r="P181" s="81"/>
      <c r="Q181" s="12">
        <f t="shared" si="5"/>
        <v>0</v>
      </c>
    </row>
    <row r="182" spans="1:17" s="13" customFormat="1" ht="15.75" x14ac:dyDescent="0.25">
      <c r="A182" s="10"/>
      <c r="B182" s="24" t="s">
        <v>105</v>
      </c>
      <c r="C182" s="1" t="s">
        <v>17</v>
      </c>
      <c r="D182" s="2"/>
      <c r="E182" s="17" t="s">
        <v>35</v>
      </c>
      <c r="F182" s="73" t="s">
        <v>436</v>
      </c>
      <c r="G182" s="11" t="s">
        <v>117</v>
      </c>
      <c r="H182" s="1"/>
      <c r="I182" s="47"/>
      <c r="J182" s="46"/>
      <c r="K182" s="40"/>
      <c r="L182" s="40"/>
      <c r="M182" s="38">
        <f t="shared" si="6"/>
        <v>0</v>
      </c>
      <c r="N182" s="41"/>
      <c r="O182" s="31"/>
      <c r="P182" s="31"/>
      <c r="Q182" s="79">
        <f t="shared" si="5"/>
        <v>0</v>
      </c>
    </row>
    <row r="183" spans="1:17" s="13" customFormat="1" ht="15.75" x14ac:dyDescent="0.25">
      <c r="A183" s="10"/>
      <c r="B183" s="62" t="s">
        <v>106</v>
      </c>
      <c r="C183" s="1" t="s">
        <v>17</v>
      </c>
      <c r="D183" s="2"/>
      <c r="E183" s="17" t="s">
        <v>20</v>
      </c>
      <c r="F183" s="73" t="s">
        <v>414</v>
      </c>
      <c r="G183" s="74" t="s">
        <v>112</v>
      </c>
      <c r="H183" s="75">
        <v>2</v>
      </c>
      <c r="I183" s="76"/>
      <c r="J183" s="96"/>
      <c r="K183" s="77"/>
      <c r="L183" s="77"/>
      <c r="M183" s="38">
        <f t="shared" si="6"/>
        <v>0</v>
      </c>
      <c r="N183" s="100"/>
      <c r="O183" s="81"/>
      <c r="P183" s="81"/>
      <c r="Q183" s="12">
        <f t="shared" si="5"/>
        <v>0</v>
      </c>
    </row>
    <row r="184" spans="1:17" ht="15.75" x14ac:dyDescent="0.25">
      <c r="A184" s="7"/>
      <c r="B184" s="32"/>
      <c r="C184" s="107"/>
      <c r="D184" s="33"/>
      <c r="E184" s="33"/>
      <c r="F184" s="8"/>
      <c r="G184" s="8" t="s">
        <v>131</v>
      </c>
      <c r="H184" s="106">
        <f t="shared" ref="H184:P184" si="7">SUM(H10:H183)</f>
        <v>210</v>
      </c>
      <c r="I184" s="59">
        <f t="shared" si="7"/>
        <v>9</v>
      </c>
      <c r="J184" s="43">
        <f t="shared" si="7"/>
        <v>9</v>
      </c>
      <c r="K184" s="56">
        <f t="shared" si="7"/>
        <v>0</v>
      </c>
      <c r="L184" s="56">
        <f t="shared" si="7"/>
        <v>0</v>
      </c>
      <c r="M184" s="44">
        <f>K184-L184</f>
        <v>0</v>
      </c>
      <c r="N184" s="43">
        <f t="shared" si="7"/>
        <v>291</v>
      </c>
      <c r="O184" s="57">
        <f t="shared" si="7"/>
        <v>499859.93999999994</v>
      </c>
      <c r="P184" s="57">
        <f t="shared" si="7"/>
        <v>113040.79000000002</v>
      </c>
      <c r="Q184" s="79">
        <f t="shared" si="5"/>
        <v>386819.14999999991</v>
      </c>
    </row>
    <row r="185" spans="1:17" x14ac:dyDescent="0.25">
      <c r="K185" s="91" t="s">
        <v>305</v>
      </c>
    </row>
    <row r="186" spans="1:17" ht="45" x14ac:dyDescent="0.25">
      <c r="B186" s="89" t="s">
        <v>316</v>
      </c>
      <c r="F186" s="104" t="s">
        <v>317</v>
      </c>
    </row>
  </sheetData>
  <mergeCells count="7">
    <mergeCell ref="O1:Q1"/>
    <mergeCell ref="A3:Q3"/>
    <mergeCell ref="A4:Q4"/>
    <mergeCell ref="A5:Q5"/>
    <mergeCell ref="B7:G7"/>
    <mergeCell ref="H7:M7"/>
    <mergeCell ref="N7:Q7"/>
  </mergeCells>
  <pageMargins left="0.7" right="0.7" top="0.75" bottom="0.75" header="0.3" footer="0.3"/>
  <pageSetup paperSize="9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98"/>
  <sheetViews>
    <sheetView topLeftCell="G1" workbookViewId="0">
      <selection activeCell="M1" sqref="M1:M1048576"/>
    </sheetView>
  </sheetViews>
  <sheetFormatPr defaultRowHeight="15" x14ac:dyDescent="0.25"/>
  <cols>
    <col min="1" max="1" width="1.85546875" style="6" customWidth="1"/>
    <col min="2" max="2" width="38.28515625" style="88" customWidth="1"/>
    <col min="3" max="3" width="6.5703125" style="19" customWidth="1"/>
    <col min="4" max="4" width="17.42578125" style="19" customWidth="1"/>
    <col min="5" max="5" width="19" style="19" customWidth="1"/>
    <col min="6" max="6" width="19" style="89" customWidth="1"/>
    <col min="7" max="7" width="20.140625" style="89" customWidth="1"/>
    <col min="8" max="9" width="15.7109375" style="90" customWidth="1"/>
    <col min="10" max="10" width="15.7109375" style="99" customWidth="1"/>
    <col min="11" max="13" width="15.7109375" style="91" customWidth="1"/>
    <col min="14" max="14" width="15.7109375" style="99" customWidth="1"/>
    <col min="15" max="17" width="15.7109375" style="92" customWidth="1"/>
    <col min="18" max="18" width="8.85546875" style="6" customWidth="1"/>
    <col min="19" max="16384" width="9.140625" style="6"/>
  </cols>
  <sheetData>
    <row r="1" spans="1:17" s="105" customFormat="1" x14ac:dyDescent="0.25">
      <c r="A1" s="60"/>
      <c r="B1" s="60"/>
      <c r="C1" s="225"/>
      <c r="D1" s="225"/>
      <c r="E1" s="225"/>
      <c r="F1" s="63"/>
      <c r="G1" s="63"/>
      <c r="H1" s="64"/>
      <c r="I1" s="64"/>
      <c r="J1" s="93"/>
      <c r="K1" s="65"/>
      <c r="L1" s="65"/>
      <c r="M1" s="65"/>
      <c r="N1" s="93"/>
      <c r="O1" s="362" t="s">
        <v>15</v>
      </c>
      <c r="P1" s="362"/>
      <c r="Q1" s="362"/>
    </row>
    <row r="2" spans="1:17" s="105" customFormat="1" x14ac:dyDescent="0.25">
      <c r="A2" s="292"/>
      <c r="B2" s="292"/>
      <c r="C2" s="293"/>
      <c r="D2" s="293"/>
      <c r="E2" s="293"/>
      <c r="F2" s="66"/>
      <c r="G2" s="66"/>
      <c r="H2" s="291"/>
      <c r="I2" s="291"/>
      <c r="J2" s="94"/>
      <c r="K2" s="67"/>
      <c r="L2" s="67"/>
      <c r="M2" s="67"/>
      <c r="N2" s="94"/>
      <c r="O2" s="68"/>
      <c r="P2" s="68"/>
      <c r="Q2" s="68"/>
    </row>
    <row r="3" spans="1:17" s="105" customFormat="1" x14ac:dyDescent="0.25">
      <c r="A3" s="380" t="s">
        <v>318</v>
      </c>
      <c r="B3" s="367"/>
      <c r="C3" s="380"/>
      <c r="D3" s="380"/>
      <c r="E3" s="380"/>
      <c r="F3" s="367"/>
      <c r="G3" s="367"/>
      <c r="H3" s="366"/>
      <c r="I3" s="366"/>
      <c r="J3" s="367"/>
      <c r="K3" s="367"/>
      <c r="L3" s="367"/>
      <c r="M3" s="367"/>
      <c r="N3" s="367"/>
      <c r="O3" s="367"/>
      <c r="P3" s="367"/>
      <c r="Q3" s="367"/>
    </row>
    <row r="4" spans="1:17" s="105" customFormat="1" x14ac:dyDescent="0.25">
      <c r="A4" s="381">
        <v>43759</v>
      </c>
      <c r="B4" s="373"/>
      <c r="C4" s="382"/>
      <c r="D4" s="382"/>
      <c r="E4" s="382"/>
      <c r="F4" s="373"/>
      <c r="G4" s="373"/>
      <c r="H4" s="372"/>
      <c r="I4" s="372"/>
      <c r="J4" s="373"/>
      <c r="K4" s="373"/>
      <c r="L4" s="373"/>
      <c r="M4" s="373"/>
      <c r="N4" s="373"/>
      <c r="O4" s="373"/>
      <c r="P4" s="373"/>
      <c r="Q4" s="373"/>
    </row>
    <row r="5" spans="1:17" s="105" customFormat="1" x14ac:dyDescent="0.25">
      <c r="A5" s="367" t="s">
        <v>14</v>
      </c>
      <c r="B5" s="367"/>
      <c r="C5" s="367"/>
      <c r="D5" s="367"/>
      <c r="E5" s="367"/>
      <c r="F5" s="367"/>
      <c r="G5" s="367"/>
      <c r="H5" s="366"/>
      <c r="I5" s="366"/>
      <c r="J5" s="367"/>
      <c r="K5" s="367"/>
      <c r="L5" s="367"/>
      <c r="M5" s="367"/>
      <c r="N5" s="367"/>
      <c r="O5" s="367"/>
      <c r="P5" s="367"/>
      <c r="Q5" s="367"/>
    </row>
    <row r="6" spans="1:17" s="105" customFormat="1" x14ac:dyDescent="0.25">
      <c r="A6" s="292"/>
      <c r="B6" s="292"/>
      <c r="C6" s="293"/>
      <c r="D6" s="293"/>
      <c r="E6" s="293"/>
      <c r="F6" s="66"/>
      <c r="G6" s="66"/>
      <c r="H6" s="291"/>
      <c r="I6" s="291"/>
      <c r="J6" s="94"/>
      <c r="K6" s="67"/>
      <c r="L6" s="67"/>
      <c r="M6" s="67"/>
      <c r="N6" s="94"/>
      <c r="O6" s="68"/>
      <c r="P6" s="68"/>
      <c r="Q6" s="68"/>
    </row>
    <row r="7" spans="1:17" x14ac:dyDescent="0.25">
      <c r="A7" s="227" t="s">
        <v>0</v>
      </c>
      <c r="B7" s="367" t="s">
        <v>10</v>
      </c>
      <c r="C7" s="380"/>
      <c r="D7" s="380"/>
      <c r="E7" s="380"/>
      <c r="F7" s="367"/>
      <c r="G7" s="367"/>
      <c r="H7" s="366" t="s">
        <v>472</v>
      </c>
      <c r="I7" s="366"/>
      <c r="J7" s="367"/>
      <c r="K7" s="367"/>
      <c r="L7" s="367"/>
      <c r="M7" s="367"/>
      <c r="N7" s="367" t="s">
        <v>132</v>
      </c>
      <c r="O7" s="367"/>
      <c r="P7" s="367"/>
      <c r="Q7" s="367"/>
    </row>
    <row r="8" spans="1:17" ht="195" x14ac:dyDescent="0.25">
      <c r="A8" s="227"/>
      <c r="B8" s="292" t="s">
        <v>4</v>
      </c>
      <c r="C8" s="293" t="s">
        <v>1</v>
      </c>
      <c r="D8" s="293" t="s">
        <v>3</v>
      </c>
      <c r="E8" s="293" t="s">
        <v>2</v>
      </c>
      <c r="F8" s="292" t="s">
        <v>6</v>
      </c>
      <c r="G8" s="66" t="s">
        <v>5</v>
      </c>
      <c r="H8" s="292" t="s">
        <v>7</v>
      </c>
      <c r="I8" s="292" t="s">
        <v>8</v>
      </c>
      <c r="J8" s="94" t="s">
        <v>9</v>
      </c>
      <c r="K8" s="67" t="s">
        <v>11</v>
      </c>
      <c r="L8" s="67" t="s">
        <v>12</v>
      </c>
      <c r="M8" s="67" t="s">
        <v>13</v>
      </c>
      <c r="N8" s="94" t="s">
        <v>9</v>
      </c>
      <c r="O8" s="68" t="s">
        <v>11</v>
      </c>
      <c r="P8" s="68" t="s">
        <v>12</v>
      </c>
      <c r="Q8" s="68" t="s">
        <v>13</v>
      </c>
    </row>
    <row r="9" spans="1:17" x14ac:dyDescent="0.25">
      <c r="A9" s="228">
        <v>1</v>
      </c>
      <c r="B9" s="61">
        <f>A9+1</f>
        <v>2</v>
      </c>
      <c r="C9" s="228">
        <f t="shared" ref="C9:Q9" si="0">B9+1</f>
        <v>3</v>
      </c>
      <c r="D9" s="228">
        <f t="shared" si="0"/>
        <v>4</v>
      </c>
      <c r="E9" s="228">
        <f t="shared" si="0"/>
        <v>5</v>
      </c>
      <c r="F9" s="69">
        <f t="shared" si="0"/>
        <v>6</v>
      </c>
      <c r="G9" s="69">
        <f t="shared" si="0"/>
        <v>7</v>
      </c>
      <c r="H9" s="70">
        <f t="shared" si="0"/>
        <v>8</v>
      </c>
      <c r="I9" s="70">
        <f t="shared" si="0"/>
        <v>9</v>
      </c>
      <c r="J9" s="95">
        <f t="shared" si="0"/>
        <v>10</v>
      </c>
      <c r="K9" s="71">
        <f t="shared" si="0"/>
        <v>11</v>
      </c>
      <c r="L9" s="71">
        <f t="shared" si="0"/>
        <v>12</v>
      </c>
      <c r="M9" s="71">
        <f t="shared" si="0"/>
        <v>13</v>
      </c>
      <c r="N9" s="95">
        <f t="shared" si="0"/>
        <v>14</v>
      </c>
      <c r="O9" s="72">
        <f t="shared" si="0"/>
        <v>15</v>
      </c>
      <c r="P9" s="72">
        <f t="shared" si="0"/>
        <v>16</v>
      </c>
      <c r="Q9" s="72">
        <f t="shared" si="0"/>
        <v>17</v>
      </c>
    </row>
    <row r="10" spans="1:17" s="13" customFormat="1" ht="30" x14ac:dyDescent="0.25">
      <c r="A10" s="229"/>
      <c r="B10" s="62" t="s">
        <v>16</v>
      </c>
      <c r="C10" s="181" t="s">
        <v>304</v>
      </c>
      <c r="D10" s="182" t="s">
        <v>315</v>
      </c>
      <c r="E10" s="183" t="s">
        <v>18</v>
      </c>
      <c r="F10" s="73" t="s">
        <v>322</v>
      </c>
      <c r="G10" s="74" t="s">
        <v>112</v>
      </c>
      <c r="H10" s="75">
        <v>12</v>
      </c>
      <c r="I10" s="76">
        <v>11</v>
      </c>
      <c r="J10" s="98">
        <f>2+1+3+3+1+3</f>
        <v>13</v>
      </c>
      <c r="K10" s="77">
        <f>4792.51+1138.19+504.26+11366.06+4859.68+3954.5+12023.46</f>
        <v>38638.660000000003</v>
      </c>
      <c r="L10" s="77">
        <f>4792.51+1138.19+504.26+11366.06+4859.68+3954.5+12023.46</f>
        <v>38638.660000000003</v>
      </c>
      <c r="M10" s="78">
        <f>K10-L10</f>
        <v>0</v>
      </c>
      <c r="N10" s="100">
        <f>2+5+1+2+1</f>
        <v>11</v>
      </c>
      <c r="O10" s="77">
        <f>9108.77+6924.32+22366.06+8197.52</f>
        <v>46596.67</v>
      </c>
      <c r="P10" s="77">
        <f>9108.77+6924.32+22366.06+8197.52</f>
        <v>46596.67</v>
      </c>
      <c r="Q10" s="79">
        <f>O10-P10</f>
        <v>0</v>
      </c>
    </row>
    <row r="11" spans="1:17" s="13" customFormat="1" ht="30" x14ac:dyDescent="0.25">
      <c r="A11" s="229"/>
      <c r="B11" s="62" t="s">
        <v>16</v>
      </c>
      <c r="C11" s="181" t="s">
        <v>304</v>
      </c>
      <c r="D11" s="182" t="s">
        <v>315</v>
      </c>
      <c r="E11" s="183" t="s">
        <v>18</v>
      </c>
      <c r="F11" s="73" t="s">
        <v>322</v>
      </c>
      <c r="G11" s="230" t="s">
        <v>116</v>
      </c>
      <c r="H11" s="181">
        <v>11</v>
      </c>
      <c r="I11" s="231">
        <v>6</v>
      </c>
      <c r="J11" s="96">
        <v>6</v>
      </c>
      <c r="K11" s="224">
        <v>11526</v>
      </c>
      <c r="L11" s="224">
        <v>11526</v>
      </c>
      <c r="M11" s="78">
        <f t="shared" ref="M11:M77" si="1">K11-L11</f>
        <v>0</v>
      </c>
      <c r="N11" s="100"/>
      <c r="O11" s="224">
        <v>2945</v>
      </c>
      <c r="P11" s="224">
        <v>2945</v>
      </c>
      <c r="Q11" s="232">
        <f t="shared" ref="Q11:Q81" si="2">O11-P11</f>
        <v>0</v>
      </c>
    </row>
    <row r="12" spans="1:17" s="13" customFormat="1" x14ac:dyDescent="0.25">
      <c r="A12" s="229"/>
      <c r="B12" s="62" t="s">
        <v>490</v>
      </c>
      <c r="C12" s="181" t="s">
        <v>304</v>
      </c>
      <c r="D12" s="182"/>
      <c r="E12" s="183"/>
      <c r="F12" s="189" t="s">
        <v>501</v>
      </c>
      <c r="G12" s="230" t="s">
        <v>112</v>
      </c>
      <c r="H12" s="181">
        <v>18</v>
      </c>
      <c r="I12" s="231">
        <v>14</v>
      </c>
      <c r="J12" s="96">
        <f>5+1+3+1+1+2+2+1</f>
        <v>16</v>
      </c>
      <c r="K12" s="224">
        <f>8352.39+384.2+1463.8+3720.67+546.41+5470.48+13100.4+2207.7</f>
        <v>35246.049999999996</v>
      </c>
      <c r="L12" s="224">
        <f>8352.39+384.2+1463.8+3720.67+546.41+5470.48+13100.4</f>
        <v>33038.35</v>
      </c>
      <c r="M12" s="78">
        <f t="shared" si="1"/>
        <v>2207.6999999999971</v>
      </c>
      <c r="N12" s="100"/>
      <c r="O12" s="224"/>
      <c r="P12" s="224"/>
      <c r="Q12" s="79">
        <f t="shared" si="2"/>
        <v>0</v>
      </c>
    </row>
    <row r="13" spans="1:17" s="15" customFormat="1" x14ac:dyDescent="0.25">
      <c r="A13" s="229"/>
      <c r="B13" s="62" t="s">
        <v>19</v>
      </c>
      <c r="C13" s="181" t="s">
        <v>17</v>
      </c>
      <c r="D13" s="182"/>
      <c r="E13" s="183" t="s">
        <v>20</v>
      </c>
      <c r="F13" s="73" t="s">
        <v>323</v>
      </c>
      <c r="G13" s="74" t="s">
        <v>112</v>
      </c>
      <c r="H13" s="75">
        <v>16</v>
      </c>
      <c r="I13" s="76">
        <v>13</v>
      </c>
      <c r="J13" s="96">
        <f>1+2+5+2+1+5+1+3+1</f>
        <v>21</v>
      </c>
      <c r="K13" s="77">
        <f>422.62+4792.51+1796.14+1373.52+5511.59+1707.76</f>
        <v>15604.140000000001</v>
      </c>
      <c r="L13" s="77">
        <f>422.62+4792.51+1796.14+1373.52+5511.59+1707.76</f>
        <v>15604.140000000001</v>
      </c>
      <c r="M13" s="78">
        <f t="shared" si="1"/>
        <v>0</v>
      </c>
      <c r="N13" s="100">
        <f>8+3+1+2</f>
        <v>14</v>
      </c>
      <c r="O13" s="81">
        <f>6459.36+7124.45</f>
        <v>13583.81</v>
      </c>
      <c r="P13" s="81">
        <f>6459.36+7124.45</f>
        <v>13583.81</v>
      </c>
      <c r="Q13" s="79">
        <f t="shared" si="2"/>
        <v>0</v>
      </c>
    </row>
    <row r="14" spans="1:17" s="15" customFormat="1" x14ac:dyDescent="0.25">
      <c r="A14" s="229"/>
      <c r="B14" s="62" t="s">
        <v>19</v>
      </c>
      <c r="C14" s="181" t="s">
        <v>17</v>
      </c>
      <c r="D14" s="182"/>
      <c r="E14" s="183" t="s">
        <v>20</v>
      </c>
      <c r="F14" s="73" t="s">
        <v>451</v>
      </c>
      <c r="G14" s="230" t="s">
        <v>114</v>
      </c>
      <c r="H14" s="181">
        <v>13</v>
      </c>
      <c r="I14" s="231">
        <v>4</v>
      </c>
      <c r="J14" s="190">
        <v>4</v>
      </c>
      <c r="K14" s="77">
        <v>5843.64</v>
      </c>
      <c r="L14" s="77">
        <v>5843.64</v>
      </c>
      <c r="M14" s="78">
        <f t="shared" si="1"/>
        <v>0</v>
      </c>
      <c r="N14" s="100">
        <v>10</v>
      </c>
      <c r="O14" s="224">
        <v>18093.599999999999</v>
      </c>
      <c r="P14" s="224">
        <v>18093.599999999999</v>
      </c>
      <c r="Q14" s="232">
        <f t="shared" si="2"/>
        <v>0</v>
      </c>
    </row>
    <row r="15" spans="1:17" s="15" customFormat="1" x14ac:dyDescent="0.25">
      <c r="A15" s="229"/>
      <c r="B15" s="62" t="s">
        <v>153</v>
      </c>
      <c r="C15" s="181" t="s">
        <v>17</v>
      </c>
      <c r="D15" s="182"/>
      <c r="E15" s="183" t="s">
        <v>20</v>
      </c>
      <c r="F15" s="73" t="s">
        <v>324</v>
      </c>
      <c r="G15" s="74" t="s">
        <v>112</v>
      </c>
      <c r="H15" s="75">
        <v>17</v>
      </c>
      <c r="I15" s="82">
        <v>10</v>
      </c>
      <c r="J15" s="96">
        <f>1+1+2+1+1+2+1+1+1+1</f>
        <v>12</v>
      </c>
      <c r="K15" s="77">
        <f>950.9+2451.87+3074.57+845.24+1977.86+1284.48+883.08+401.4+1357.13+421.47</f>
        <v>13647.999999999998</v>
      </c>
      <c r="L15" s="77">
        <f>950.9+2451.87+3074.57+845.24+1977.86+1284.48+883.08+401.4+1357.13+421.47</f>
        <v>13647.999999999998</v>
      </c>
      <c r="M15" s="78">
        <f t="shared" si="1"/>
        <v>0</v>
      </c>
      <c r="N15" s="114">
        <f>1+2+1+2+1+1</f>
        <v>8</v>
      </c>
      <c r="O15" s="81">
        <f>422.62+945.61+2484.69+7964.81+1536.8+2498.17</f>
        <v>15852.699999999999</v>
      </c>
      <c r="P15" s="81">
        <f>422.62+945.61+2484.69+7964.81+1536.8+2498.17</f>
        <v>15852.699999999999</v>
      </c>
      <c r="Q15" s="79">
        <f t="shared" si="2"/>
        <v>0</v>
      </c>
    </row>
    <row r="16" spans="1:17" s="15" customFormat="1" x14ac:dyDescent="0.25">
      <c r="A16" s="229"/>
      <c r="B16" s="233" t="s">
        <v>153</v>
      </c>
      <c r="C16" s="181" t="s">
        <v>17</v>
      </c>
      <c r="D16" s="182"/>
      <c r="E16" s="183" t="s">
        <v>20</v>
      </c>
      <c r="F16" s="73" t="s">
        <v>452</v>
      </c>
      <c r="G16" s="230" t="s">
        <v>114</v>
      </c>
      <c r="H16" s="181">
        <v>16</v>
      </c>
      <c r="I16" s="231">
        <v>5</v>
      </c>
      <c r="J16" s="190">
        <v>5</v>
      </c>
      <c r="K16" s="77">
        <v>16581.29</v>
      </c>
      <c r="L16" s="77">
        <v>16581.29</v>
      </c>
      <c r="M16" s="78">
        <f t="shared" si="1"/>
        <v>0</v>
      </c>
      <c r="N16" s="100">
        <v>9</v>
      </c>
      <c r="O16" s="224">
        <v>23692.400000000001</v>
      </c>
      <c r="P16" s="224">
        <v>23692.400000000001</v>
      </c>
      <c r="Q16" s="232">
        <f t="shared" si="2"/>
        <v>0</v>
      </c>
    </row>
    <row r="17" spans="1:17" s="13" customFormat="1" x14ac:dyDescent="0.25">
      <c r="A17" s="229"/>
      <c r="B17" s="30" t="s">
        <v>22</v>
      </c>
      <c r="C17" s="181" t="s">
        <v>17</v>
      </c>
      <c r="D17" s="182"/>
      <c r="E17" s="183" t="s">
        <v>23</v>
      </c>
      <c r="F17" s="73" t="s">
        <v>325</v>
      </c>
      <c r="G17" s="74" t="s">
        <v>112</v>
      </c>
      <c r="H17" s="75">
        <v>50</v>
      </c>
      <c r="I17" s="76">
        <v>10</v>
      </c>
      <c r="J17" s="96">
        <f>1+2+1+9</f>
        <v>13</v>
      </c>
      <c r="K17" s="77">
        <f>2698.64+1402.33+11601.84+8586.48</f>
        <v>24289.29</v>
      </c>
      <c r="L17" s="77">
        <f>2698.64+1402.33+11601.84+8586.48</f>
        <v>24289.29</v>
      </c>
      <c r="M17" s="78">
        <f t="shared" si="1"/>
        <v>0</v>
      </c>
      <c r="N17" s="100">
        <f>14+3+7+1+1</f>
        <v>26</v>
      </c>
      <c r="O17" s="81">
        <f>22716.4+4171.06+18768.39+8172.47</f>
        <v>53828.320000000007</v>
      </c>
      <c r="P17" s="81">
        <f>22716.4+4171.06+18768.39+8172.47</f>
        <v>53828.320000000007</v>
      </c>
      <c r="Q17" s="79">
        <f t="shared" si="2"/>
        <v>0</v>
      </c>
    </row>
    <row r="18" spans="1:17" s="13" customFormat="1" x14ac:dyDescent="0.25">
      <c r="A18" s="229"/>
      <c r="B18" s="30" t="s">
        <v>154</v>
      </c>
      <c r="C18" s="181" t="s">
        <v>17</v>
      </c>
      <c r="D18" s="182"/>
      <c r="E18" s="183" t="s">
        <v>20</v>
      </c>
      <c r="F18" s="73" t="s">
        <v>453</v>
      </c>
      <c r="G18" s="230" t="s">
        <v>114</v>
      </c>
      <c r="H18" s="181">
        <v>34</v>
      </c>
      <c r="I18" s="234">
        <v>2</v>
      </c>
      <c r="J18" s="190">
        <v>2</v>
      </c>
      <c r="K18" s="193">
        <v>2938.2</v>
      </c>
      <c r="L18" s="193">
        <v>2938.2</v>
      </c>
      <c r="M18" s="78">
        <f t="shared" si="1"/>
        <v>0</v>
      </c>
      <c r="N18" s="114">
        <v>16</v>
      </c>
      <c r="O18" s="224">
        <v>41112.769999999997</v>
      </c>
      <c r="P18" s="224">
        <v>41112.769999999997</v>
      </c>
      <c r="Q18" s="232">
        <f t="shared" si="2"/>
        <v>0</v>
      </c>
    </row>
    <row r="19" spans="1:17" s="13" customFormat="1" x14ac:dyDescent="0.25">
      <c r="A19" s="229"/>
      <c r="B19" s="30" t="s">
        <v>154</v>
      </c>
      <c r="C19" s="181" t="s">
        <v>17</v>
      </c>
      <c r="D19" s="182"/>
      <c r="E19" s="183" t="s">
        <v>20</v>
      </c>
      <c r="F19" s="73" t="s">
        <v>326</v>
      </c>
      <c r="G19" s="74" t="s">
        <v>112</v>
      </c>
      <c r="H19" s="75">
        <v>28</v>
      </c>
      <c r="I19" s="76">
        <v>21</v>
      </c>
      <c r="J19" s="96">
        <f>1+1+2+2+2+6+1+4+1+2+2+3+1+1+1</f>
        <v>30</v>
      </c>
      <c r="K19" s="77">
        <f>950.9+864.46+845.24+405.02+739.59+6850.57+12952.58+883.08+2185.62+1053.68+5958.27</f>
        <v>33689.01</v>
      </c>
      <c r="L19" s="77">
        <f>950.9+864.46+845.24+405.02+739.59+6850.57+12952.58+883.08+2185.62</f>
        <v>26677.06</v>
      </c>
      <c r="M19" s="78">
        <f t="shared" si="1"/>
        <v>7011.9500000000007</v>
      </c>
      <c r="N19" s="100">
        <f>6+3+1+1+1+2+1+1</f>
        <v>16</v>
      </c>
      <c r="O19" s="81">
        <f>6681.33+7017+1523.5+9094.74+3532.32</f>
        <v>27848.89</v>
      </c>
      <c r="P19" s="81">
        <f>6681.33+7017+1523.5+9094.74+3532.32</f>
        <v>27848.89</v>
      </c>
      <c r="Q19" s="79">
        <f t="shared" si="2"/>
        <v>0</v>
      </c>
    </row>
    <row r="20" spans="1:17" s="13" customFormat="1" x14ac:dyDescent="0.25">
      <c r="A20" s="229"/>
      <c r="B20" s="62" t="s">
        <v>24</v>
      </c>
      <c r="C20" s="181" t="s">
        <v>17</v>
      </c>
      <c r="D20" s="182"/>
      <c r="E20" s="183" t="s">
        <v>20</v>
      </c>
      <c r="F20" s="73" t="s">
        <v>327</v>
      </c>
      <c r="G20" s="74" t="s">
        <v>112</v>
      </c>
      <c r="H20" s="75">
        <v>8</v>
      </c>
      <c r="I20" s="76">
        <v>4</v>
      </c>
      <c r="J20" s="96">
        <f>3+1+1</f>
        <v>5</v>
      </c>
      <c r="K20" s="77">
        <f>1191.02</f>
        <v>1191.02</v>
      </c>
      <c r="L20" s="77">
        <f>1191.02</f>
        <v>1191.02</v>
      </c>
      <c r="M20" s="78">
        <f t="shared" si="1"/>
        <v>0</v>
      </c>
      <c r="N20" s="100">
        <f>1+1</f>
        <v>2</v>
      </c>
      <c r="O20" s="81">
        <f>576.3+1810.93</f>
        <v>2387.23</v>
      </c>
      <c r="P20" s="81">
        <f>576.3+1810.93</f>
        <v>2387.23</v>
      </c>
      <c r="Q20" s="232">
        <f t="shared" si="2"/>
        <v>0</v>
      </c>
    </row>
    <row r="21" spans="1:17" s="13" customFormat="1" x14ac:dyDescent="0.25">
      <c r="A21" s="229"/>
      <c r="B21" s="62" t="s">
        <v>24</v>
      </c>
      <c r="C21" s="181" t="s">
        <v>17</v>
      </c>
      <c r="D21" s="182"/>
      <c r="E21" s="183" t="s">
        <v>20</v>
      </c>
      <c r="F21" s="73" t="s">
        <v>454</v>
      </c>
      <c r="G21" s="230" t="s">
        <v>114</v>
      </c>
      <c r="H21" s="181">
        <v>14</v>
      </c>
      <c r="I21" s="231"/>
      <c r="J21" s="190"/>
      <c r="K21" s="77"/>
      <c r="L21" s="77"/>
      <c r="M21" s="78">
        <f t="shared" si="1"/>
        <v>0</v>
      </c>
      <c r="N21" s="100">
        <v>16</v>
      </c>
      <c r="O21" s="224">
        <v>35336.5</v>
      </c>
      <c r="P21" s="224">
        <v>35336.5</v>
      </c>
      <c r="Q21" s="232">
        <f t="shared" si="2"/>
        <v>0</v>
      </c>
    </row>
    <row r="22" spans="1:17" s="13" customFormat="1" x14ac:dyDescent="0.25">
      <c r="A22" s="229"/>
      <c r="B22" s="62" t="s">
        <v>25</v>
      </c>
      <c r="C22" s="181" t="s">
        <v>17</v>
      </c>
      <c r="D22" s="182"/>
      <c r="E22" s="183" t="s">
        <v>20</v>
      </c>
      <c r="F22" s="73" t="s">
        <v>328</v>
      </c>
      <c r="G22" s="74" t="s">
        <v>112</v>
      </c>
      <c r="H22" s="75">
        <v>14</v>
      </c>
      <c r="I22" s="76">
        <v>11</v>
      </c>
      <c r="J22" s="96">
        <f>1+1+1+1+1+1+1+2+1+2+1</f>
        <v>13</v>
      </c>
      <c r="K22" s="173">
        <f>403.41+1605.6+3697.9+1204.2+1092.81+3022.24+4486.05+4612.57</f>
        <v>20124.78</v>
      </c>
      <c r="L22" s="173">
        <f>403.41+1605.6+3697.9+1204.2+1092.81+3022.24+4486.05</f>
        <v>15512.21</v>
      </c>
      <c r="M22" s="78">
        <f t="shared" si="1"/>
        <v>4612.57</v>
      </c>
      <c r="N22" s="100">
        <f>6+1+2+2+1</f>
        <v>12</v>
      </c>
      <c r="O22" s="81">
        <f>14526.7+5595.3+2440.62+2839.24</f>
        <v>25401.86</v>
      </c>
      <c r="P22" s="81">
        <f>14526.7+5595.3+2440.62+2839.24</f>
        <v>25401.86</v>
      </c>
      <c r="Q22" s="232">
        <f t="shared" si="2"/>
        <v>0</v>
      </c>
    </row>
    <row r="23" spans="1:17" s="13" customFormat="1" x14ac:dyDescent="0.25">
      <c r="A23" s="229"/>
      <c r="B23" s="62" t="s">
        <v>25</v>
      </c>
      <c r="C23" s="181" t="s">
        <v>17</v>
      </c>
      <c r="D23" s="182"/>
      <c r="E23" s="183" t="s">
        <v>20</v>
      </c>
      <c r="F23" s="73" t="s">
        <v>455</v>
      </c>
      <c r="G23" s="230" t="s">
        <v>114</v>
      </c>
      <c r="H23" s="181">
        <v>6</v>
      </c>
      <c r="I23" s="231"/>
      <c r="J23" s="190">
        <f>1</f>
        <v>1</v>
      </c>
      <c r="K23" s="77"/>
      <c r="L23" s="77"/>
      <c r="M23" s="78">
        <f t="shared" si="1"/>
        <v>0</v>
      </c>
      <c r="N23" s="100">
        <v>3</v>
      </c>
      <c r="O23" s="224">
        <v>7219.8</v>
      </c>
      <c r="P23" s="224">
        <v>7219.8</v>
      </c>
      <c r="Q23" s="232">
        <f t="shared" si="2"/>
        <v>0</v>
      </c>
    </row>
    <row r="24" spans="1:17" s="13" customFormat="1" x14ac:dyDescent="0.25">
      <c r="A24" s="229"/>
      <c r="B24" s="62" t="s">
        <v>516</v>
      </c>
      <c r="C24" s="181"/>
      <c r="D24" s="182"/>
      <c r="E24" s="183"/>
      <c r="F24" s="73"/>
      <c r="G24" s="287" t="s">
        <v>112</v>
      </c>
      <c r="H24" s="181">
        <v>1</v>
      </c>
      <c r="I24" s="231"/>
      <c r="J24" s="190"/>
      <c r="K24" s="77"/>
      <c r="L24" s="77"/>
      <c r="M24" s="78"/>
      <c r="N24" s="100"/>
      <c r="O24" s="224"/>
      <c r="P24" s="224"/>
      <c r="Q24" s="232"/>
    </row>
    <row r="25" spans="1:17" s="13" customFormat="1" x14ac:dyDescent="0.25">
      <c r="A25" s="229"/>
      <c r="B25" s="62" t="s">
        <v>26</v>
      </c>
      <c r="C25" s="181" t="s">
        <v>17</v>
      </c>
      <c r="D25" s="182"/>
      <c r="E25" s="183" t="s">
        <v>27</v>
      </c>
      <c r="F25" s="73" t="s">
        <v>329</v>
      </c>
      <c r="G25" s="74" t="s">
        <v>112</v>
      </c>
      <c r="H25" s="75">
        <v>18</v>
      </c>
      <c r="I25" s="76">
        <v>15</v>
      </c>
      <c r="J25" s="96">
        <f>2+2+4+1+4+1+1+3</f>
        <v>18</v>
      </c>
      <c r="K25" s="77">
        <f>845.24+1056.55+5121.1+26225.35+422.62+16490.35+1457.08+1479.16+11270.02</f>
        <v>64367.47</v>
      </c>
      <c r="L25" s="77">
        <f>845.24+1056.55+5121.1+26225.35+422.62+16490.35+1457.08+1479.16+11270.02</f>
        <v>64367.47</v>
      </c>
      <c r="M25" s="78">
        <f t="shared" si="1"/>
        <v>0</v>
      </c>
      <c r="N25" s="100">
        <f>6+1+1+2+1+1</f>
        <v>12</v>
      </c>
      <c r="O25" s="81">
        <f>17838.53+2535.75+7238.9+9569.44</f>
        <v>37182.620000000003</v>
      </c>
      <c r="P25" s="81">
        <f>17838.53+2535.75+7238.9</f>
        <v>27613.18</v>
      </c>
      <c r="Q25" s="232">
        <f t="shared" si="2"/>
        <v>9569.4400000000023</v>
      </c>
    </row>
    <row r="26" spans="1:17" s="15" customFormat="1" x14ac:dyDescent="0.25">
      <c r="A26" s="229"/>
      <c r="B26" s="62" t="s">
        <v>28</v>
      </c>
      <c r="C26" s="181" t="s">
        <v>17</v>
      </c>
      <c r="D26" s="182"/>
      <c r="E26" s="194" t="s">
        <v>29</v>
      </c>
      <c r="F26" s="73" t="s">
        <v>330</v>
      </c>
      <c r="G26" s="74" t="s">
        <v>112</v>
      </c>
      <c r="H26" s="75">
        <v>10</v>
      </c>
      <c r="I26" s="76">
        <v>10</v>
      </c>
      <c r="J26" s="96">
        <f>2+1+2+1+1+1+2+1</f>
        <v>11</v>
      </c>
      <c r="K26" s="77">
        <f>6135.14+2440.63+9722.07+968.96+2258.48+3607.78</f>
        <v>25133.059999999998</v>
      </c>
      <c r="L26" s="77">
        <f>6135.14+2440.63+9722.07+968.96+2258.48+3607.78</f>
        <v>25133.059999999998</v>
      </c>
      <c r="M26" s="78">
        <f t="shared" si="1"/>
        <v>0</v>
      </c>
      <c r="N26" s="100">
        <f>3+2+4+3+1+1+3</f>
        <v>17</v>
      </c>
      <c r="O26" s="81">
        <f>5310.83+4630.52+14679.01+36087.29+8956.5+10112.26+3030.29</f>
        <v>82806.699999999983</v>
      </c>
      <c r="P26" s="81">
        <f>5310.83+4630.52+14679.01+36087.29+8956.5+10112.26+3030.29</f>
        <v>82806.699999999983</v>
      </c>
      <c r="Q26" s="232">
        <f t="shared" si="2"/>
        <v>0</v>
      </c>
    </row>
    <row r="27" spans="1:17" s="15" customFormat="1" x14ac:dyDescent="0.25">
      <c r="A27" s="229"/>
      <c r="B27" s="62" t="s">
        <v>28</v>
      </c>
      <c r="C27" s="181" t="s">
        <v>17</v>
      </c>
      <c r="D27" s="182"/>
      <c r="E27" s="194" t="s">
        <v>29</v>
      </c>
      <c r="F27" s="73" t="s">
        <v>420</v>
      </c>
      <c r="G27" s="235" t="s">
        <v>117</v>
      </c>
      <c r="H27" s="181">
        <v>2</v>
      </c>
      <c r="I27" s="231"/>
      <c r="J27" s="96"/>
      <c r="K27" s="77"/>
      <c r="L27" s="77"/>
      <c r="M27" s="78">
        <f t="shared" si="1"/>
        <v>0</v>
      </c>
      <c r="N27" s="100">
        <v>2</v>
      </c>
      <c r="O27" s="224">
        <v>2766.24</v>
      </c>
      <c r="P27" s="224">
        <v>2766.24</v>
      </c>
      <c r="Q27" s="79">
        <f t="shared" si="2"/>
        <v>0</v>
      </c>
    </row>
    <row r="28" spans="1:17" s="15" customFormat="1" x14ac:dyDescent="0.25">
      <c r="A28" s="229"/>
      <c r="B28" s="233" t="s">
        <v>500</v>
      </c>
      <c r="C28" s="181" t="s">
        <v>17</v>
      </c>
      <c r="D28" s="182"/>
      <c r="E28" s="194"/>
      <c r="F28" s="73" t="s">
        <v>503</v>
      </c>
      <c r="G28" s="235" t="s">
        <v>112</v>
      </c>
      <c r="H28" s="181">
        <v>26</v>
      </c>
      <c r="I28" s="231">
        <v>17</v>
      </c>
      <c r="J28" s="96">
        <f>2+2+2+1+3+5+2+1+5+1</f>
        <v>24</v>
      </c>
      <c r="K28" s="77">
        <f>1202.51+3555.1+602.1+708.47+7232.25+1003.5+1938.63+15028.21</f>
        <v>31270.77</v>
      </c>
      <c r="L28" s="77">
        <f>1202.51+3555.1+602.1+708.47+7232.25+1003.5+1938.63</f>
        <v>16242.560000000001</v>
      </c>
      <c r="M28" s="78">
        <f t="shared" si="1"/>
        <v>15028.21</v>
      </c>
      <c r="N28" s="100">
        <f>1</f>
        <v>1</v>
      </c>
      <c r="O28" s="224"/>
      <c r="P28" s="224"/>
      <c r="Q28" s="79">
        <f t="shared" si="2"/>
        <v>0</v>
      </c>
    </row>
    <row r="29" spans="1:17" s="13" customFormat="1" x14ac:dyDescent="0.25">
      <c r="A29" s="229"/>
      <c r="B29" s="27" t="s">
        <v>30</v>
      </c>
      <c r="C29" s="181" t="s">
        <v>17</v>
      </c>
      <c r="D29" s="182"/>
      <c r="E29" s="194" t="s">
        <v>21</v>
      </c>
      <c r="F29" s="73" t="s">
        <v>333</v>
      </c>
      <c r="G29" s="74" t="s">
        <v>112</v>
      </c>
      <c r="H29" s="75">
        <v>21</v>
      </c>
      <c r="I29" s="76">
        <v>14</v>
      </c>
      <c r="J29" s="96">
        <f>3+1+3+1+4+1+1+2+1+3</f>
        <v>20</v>
      </c>
      <c r="K29" s="77">
        <f>16637.24+1045.98+2789.73+1629.68+3146.97</f>
        <v>25249.600000000002</v>
      </c>
      <c r="L29" s="77">
        <f>16637.24+1045.98+2789.73+1629.68+3146.97</f>
        <v>25249.600000000002</v>
      </c>
      <c r="M29" s="78">
        <f t="shared" si="1"/>
        <v>0</v>
      </c>
      <c r="N29" s="100">
        <f>9+1+3+1+1+1+2+1+1+2+1+1</f>
        <v>24</v>
      </c>
      <c r="O29" s="81">
        <f>77047.8+15703.07+7288.94+1341.33+1730.62</f>
        <v>103111.76</v>
      </c>
      <c r="P29" s="81">
        <f>77047.8+15703.07+7288.94+1341.33+1730.62</f>
        <v>103111.76</v>
      </c>
      <c r="Q29" s="79">
        <f>O29-P29</f>
        <v>0</v>
      </c>
    </row>
    <row r="30" spans="1:17" s="13" customFormat="1" x14ac:dyDescent="0.25">
      <c r="A30" s="229"/>
      <c r="B30" s="27" t="s">
        <v>491</v>
      </c>
      <c r="C30" s="181" t="s">
        <v>17</v>
      </c>
      <c r="D30" s="182"/>
      <c r="E30" s="183" t="s">
        <v>20</v>
      </c>
      <c r="F30" s="73" t="s">
        <v>495</v>
      </c>
      <c r="G30" s="74" t="s">
        <v>112</v>
      </c>
      <c r="H30" s="75">
        <v>15</v>
      </c>
      <c r="I30" s="76">
        <v>9</v>
      </c>
      <c r="J30" s="96">
        <f>2+2+1+1+1+1+1+1</f>
        <v>10</v>
      </c>
      <c r="K30" s="77">
        <f>1727.9+2093.89+728.54+3535.53+2649.24+401.4</f>
        <v>11136.5</v>
      </c>
      <c r="L30" s="77">
        <f>1727.9+2093.89+728.54+3535.53</f>
        <v>8085.8600000000006</v>
      </c>
      <c r="M30" s="78">
        <f t="shared" si="1"/>
        <v>3050.6399999999994</v>
      </c>
      <c r="N30" s="100"/>
      <c r="O30" s="81"/>
      <c r="P30" s="81"/>
      <c r="Q30" s="79">
        <f t="shared" si="2"/>
        <v>0</v>
      </c>
    </row>
    <row r="31" spans="1:17" s="13" customFormat="1" x14ac:dyDescent="0.25">
      <c r="A31" s="229"/>
      <c r="B31" s="27" t="s">
        <v>491</v>
      </c>
      <c r="C31" s="181" t="s">
        <v>17</v>
      </c>
      <c r="D31" s="182"/>
      <c r="E31" s="183" t="s">
        <v>20</v>
      </c>
      <c r="F31" s="73" t="s">
        <v>504</v>
      </c>
      <c r="G31" s="74" t="s">
        <v>114</v>
      </c>
      <c r="H31" s="75">
        <v>8</v>
      </c>
      <c r="I31" s="76">
        <v>1</v>
      </c>
      <c r="J31" s="96">
        <v>1</v>
      </c>
      <c r="K31" s="77">
        <v>1267.8599999999999</v>
      </c>
      <c r="L31" s="77">
        <v>1267.8599999999999</v>
      </c>
      <c r="M31" s="78">
        <f t="shared" si="1"/>
        <v>0</v>
      </c>
      <c r="N31" s="100"/>
      <c r="O31" s="81"/>
      <c r="P31" s="81"/>
      <c r="Q31" s="232">
        <f t="shared" si="2"/>
        <v>0</v>
      </c>
    </row>
    <row r="32" spans="1:17" s="13" customFormat="1" x14ac:dyDescent="0.25">
      <c r="A32" s="229"/>
      <c r="B32" s="27" t="s">
        <v>491</v>
      </c>
      <c r="C32" s="181" t="s">
        <v>17</v>
      </c>
      <c r="D32" s="182"/>
      <c r="E32" s="183"/>
      <c r="F32" s="73" t="s">
        <v>510</v>
      </c>
      <c r="G32" s="235" t="s">
        <v>117</v>
      </c>
      <c r="H32" s="75">
        <v>1</v>
      </c>
      <c r="I32" s="76"/>
      <c r="J32" s="96"/>
      <c r="K32" s="77"/>
      <c r="L32" s="77"/>
      <c r="M32" s="78">
        <f t="shared" si="1"/>
        <v>0</v>
      </c>
      <c r="N32" s="100"/>
      <c r="O32" s="81"/>
      <c r="P32" s="81"/>
      <c r="Q32" s="232">
        <f t="shared" si="2"/>
        <v>0</v>
      </c>
    </row>
    <row r="33" spans="1:17" s="13" customFormat="1" x14ac:dyDescent="0.25">
      <c r="A33" s="229"/>
      <c r="B33" s="30" t="s">
        <v>31</v>
      </c>
      <c r="C33" s="181" t="s">
        <v>17</v>
      </c>
      <c r="D33" s="182"/>
      <c r="E33" s="183" t="s">
        <v>32</v>
      </c>
      <c r="F33" s="73" t="s">
        <v>331</v>
      </c>
      <c r="G33" s="74" t="s">
        <v>112</v>
      </c>
      <c r="H33" s="75">
        <v>16</v>
      </c>
      <c r="I33" s="76">
        <v>14</v>
      </c>
      <c r="J33" s="96">
        <f>1+2+3+1+4+3+3+3</f>
        <v>20</v>
      </c>
      <c r="K33" s="77">
        <f>633.93+1045.98+5377.62+950.9+6004.09+4598.82+8410.14+1846.04+4737.83</f>
        <v>33605.35</v>
      </c>
      <c r="L33" s="77">
        <f>633.93+1045.98+5377.62+950.9+6004.09+4598.82+8410.14+1846.04</f>
        <v>28867.52</v>
      </c>
      <c r="M33" s="78">
        <f t="shared" si="1"/>
        <v>4737.8299999999981</v>
      </c>
      <c r="N33" s="100">
        <f>1+3+3+1+1+2+1</f>
        <v>12</v>
      </c>
      <c r="O33" s="81">
        <f>2299.8+15239.58+6152.75+2720.49+1483.38+7043.49+11175.04</f>
        <v>46114.530000000006</v>
      </c>
      <c r="P33" s="81">
        <f>2299.8+15239.58+6152.75+2720.49+1483.38+7043.49+11175.04</f>
        <v>46114.530000000006</v>
      </c>
      <c r="Q33" s="232">
        <f t="shared" si="2"/>
        <v>0</v>
      </c>
    </row>
    <row r="34" spans="1:17" s="13" customFormat="1" x14ac:dyDescent="0.25">
      <c r="A34" s="229"/>
      <c r="B34" s="30" t="s">
        <v>31</v>
      </c>
      <c r="C34" s="181" t="s">
        <v>17</v>
      </c>
      <c r="D34" s="182"/>
      <c r="E34" s="183" t="s">
        <v>32</v>
      </c>
      <c r="F34" s="73" t="s">
        <v>422</v>
      </c>
      <c r="G34" s="235" t="s">
        <v>117</v>
      </c>
      <c r="H34" s="181">
        <v>16</v>
      </c>
      <c r="I34" s="231">
        <v>4</v>
      </c>
      <c r="J34" s="96">
        <v>4</v>
      </c>
      <c r="K34" s="77">
        <v>9994.9</v>
      </c>
      <c r="L34" s="77">
        <v>7586.5</v>
      </c>
      <c r="M34" s="78">
        <f t="shared" si="1"/>
        <v>2408.3999999999996</v>
      </c>
      <c r="N34" s="100">
        <v>10</v>
      </c>
      <c r="O34" s="77">
        <v>21507.42</v>
      </c>
      <c r="P34" s="77">
        <v>21507.42</v>
      </c>
      <c r="Q34" s="232">
        <f t="shared" si="2"/>
        <v>0</v>
      </c>
    </row>
    <row r="35" spans="1:17" s="15" customFormat="1" x14ac:dyDescent="0.25">
      <c r="A35" s="229"/>
      <c r="B35" s="62" t="s">
        <v>33</v>
      </c>
      <c r="C35" s="181" t="s">
        <v>17</v>
      </c>
      <c r="D35" s="182"/>
      <c r="E35" s="183" t="s">
        <v>20</v>
      </c>
      <c r="F35" s="73" t="s">
        <v>332</v>
      </c>
      <c r="G35" s="74" t="s">
        <v>112</v>
      </c>
      <c r="H35" s="75">
        <v>11</v>
      </c>
      <c r="I35" s="76">
        <v>8</v>
      </c>
      <c r="J35" s="96">
        <f>1+1+1+1+1+2+1+1+1</f>
        <v>10</v>
      </c>
      <c r="K35" s="77">
        <f>845.245+5363.43+5912.72+845.24+12887.16+2852.15+6514.08</f>
        <v>35220.025000000001</v>
      </c>
      <c r="L35" s="77">
        <f>845.245+5363.43+5912.72+845.24+12887.16+2852.15+6514.08</f>
        <v>35220.025000000001</v>
      </c>
      <c r="M35" s="78">
        <f t="shared" si="1"/>
        <v>0</v>
      </c>
      <c r="N35" s="100">
        <f>2+1+1+1+1+2+1+1+1</f>
        <v>11</v>
      </c>
      <c r="O35" s="81">
        <f>845.24+1613.64+3380.96+3639.33+1152.6</f>
        <v>10631.77</v>
      </c>
      <c r="P35" s="81">
        <f>845.24+1613.64+3380.96+3639.33+1152.6</f>
        <v>10631.77</v>
      </c>
      <c r="Q35" s="79">
        <f t="shared" si="2"/>
        <v>0</v>
      </c>
    </row>
    <row r="36" spans="1:17" s="15" customFormat="1" x14ac:dyDescent="0.25">
      <c r="A36" s="229"/>
      <c r="B36" s="62" t="s">
        <v>33</v>
      </c>
      <c r="C36" s="181" t="s">
        <v>17</v>
      </c>
      <c r="D36" s="182"/>
      <c r="E36" s="183" t="s">
        <v>20</v>
      </c>
      <c r="F36" s="73" t="s">
        <v>481</v>
      </c>
      <c r="G36" s="230" t="s">
        <v>114</v>
      </c>
      <c r="H36" s="181">
        <v>8</v>
      </c>
      <c r="I36" s="231">
        <v>1</v>
      </c>
      <c r="J36" s="190">
        <v>1</v>
      </c>
      <c r="K36" s="77">
        <v>602.1</v>
      </c>
      <c r="L36" s="77">
        <v>602.1</v>
      </c>
      <c r="M36" s="78">
        <f t="shared" si="1"/>
        <v>0</v>
      </c>
      <c r="N36" s="100">
        <v>15</v>
      </c>
      <c r="O36" s="224">
        <v>43782.74</v>
      </c>
      <c r="P36" s="224">
        <v>43782.74</v>
      </c>
      <c r="Q36" s="232">
        <f t="shared" si="2"/>
        <v>0</v>
      </c>
    </row>
    <row r="37" spans="1:17" s="15" customFormat="1" x14ac:dyDescent="0.25">
      <c r="A37" s="229"/>
      <c r="B37" s="62" t="s">
        <v>147</v>
      </c>
      <c r="C37" s="181" t="s">
        <v>17</v>
      </c>
      <c r="D37" s="182"/>
      <c r="E37" s="183" t="s">
        <v>29</v>
      </c>
      <c r="F37" s="73" t="s">
        <v>334</v>
      </c>
      <c r="G37" s="74" t="s">
        <v>112</v>
      </c>
      <c r="H37" s="75">
        <v>9</v>
      </c>
      <c r="I37" s="234">
        <v>6</v>
      </c>
      <c r="J37" s="96">
        <f>1+1+2+1+3</f>
        <v>8</v>
      </c>
      <c r="K37" s="77">
        <f>1854.88+2824.48+3058.67</f>
        <v>7738.0300000000007</v>
      </c>
      <c r="L37" s="77">
        <f>1854.88+2824.48+3058.67</f>
        <v>7738.0300000000007</v>
      </c>
      <c r="M37" s="78">
        <f t="shared" si="1"/>
        <v>0</v>
      </c>
      <c r="N37" s="114">
        <f>1+1+1</f>
        <v>3</v>
      </c>
      <c r="O37" s="81">
        <f>1394.65+2473.17+1961.49</f>
        <v>5829.31</v>
      </c>
      <c r="P37" s="81">
        <f>1394.65+2473.17+1961.49</f>
        <v>5829.31</v>
      </c>
      <c r="Q37" s="79">
        <f t="shared" si="2"/>
        <v>0</v>
      </c>
    </row>
    <row r="38" spans="1:17" s="15" customFormat="1" x14ac:dyDescent="0.25">
      <c r="A38" s="229"/>
      <c r="B38" s="233" t="s">
        <v>147</v>
      </c>
      <c r="C38" s="181" t="s">
        <v>17</v>
      </c>
      <c r="D38" s="182"/>
      <c r="E38" s="183" t="s">
        <v>29</v>
      </c>
      <c r="F38" s="73" t="s">
        <v>423</v>
      </c>
      <c r="G38" s="230" t="s">
        <v>117</v>
      </c>
      <c r="H38" s="181">
        <v>10</v>
      </c>
      <c r="I38" s="231">
        <v>4</v>
      </c>
      <c r="J38" s="96">
        <v>4</v>
      </c>
      <c r="K38" s="77">
        <v>6847.1</v>
      </c>
      <c r="L38" s="77">
        <v>6847.1</v>
      </c>
      <c r="M38" s="78">
        <f t="shared" si="1"/>
        <v>0</v>
      </c>
      <c r="N38" s="100">
        <v>4</v>
      </c>
      <c r="O38" s="224">
        <v>4706.45</v>
      </c>
      <c r="P38" s="224">
        <v>4706.45</v>
      </c>
      <c r="Q38" s="232">
        <f t="shared" si="2"/>
        <v>0</v>
      </c>
    </row>
    <row r="39" spans="1:17" s="13" customFormat="1" x14ac:dyDescent="0.25">
      <c r="A39" s="229"/>
      <c r="B39" s="62" t="s">
        <v>34</v>
      </c>
      <c r="C39" s="181" t="s">
        <v>17</v>
      </c>
      <c r="D39" s="182"/>
      <c r="E39" s="194" t="s">
        <v>35</v>
      </c>
      <c r="F39" s="73" t="s">
        <v>335</v>
      </c>
      <c r="G39" s="74" t="s">
        <v>112</v>
      </c>
      <c r="H39" s="75">
        <v>32</v>
      </c>
      <c r="I39" s="76">
        <v>20</v>
      </c>
      <c r="J39" s="96">
        <f>4+2+2+7+4+1+1+2</f>
        <v>23</v>
      </c>
      <c r="K39" s="77">
        <f>8288.4+1267.86+845.24+13964.6+11418.26+21175.62+1092.81+2207.7+6312.67</f>
        <v>66573.159999999989</v>
      </c>
      <c r="L39" s="77">
        <f>8288.4+1267.86+845.24+13964.6+11418.26+21175.62+1092.81+2207.7</f>
        <v>60260.489999999991</v>
      </c>
      <c r="M39" s="78">
        <f t="shared" si="1"/>
        <v>6312.6699999999983</v>
      </c>
      <c r="N39" s="100">
        <f>4+4+6+1+3+1+3+1+2+1+1</f>
        <v>27</v>
      </c>
      <c r="O39" s="81">
        <f>23915.04+21171.88+6399.1+11460.81+1501.24+2795.71</f>
        <v>67243.78</v>
      </c>
      <c r="P39" s="81">
        <f>23915.04+21171.88+6399.1+11460.81+1501.24+2795.71</f>
        <v>67243.78</v>
      </c>
      <c r="Q39" s="79">
        <f t="shared" si="2"/>
        <v>0</v>
      </c>
    </row>
    <row r="40" spans="1:17" s="13" customFormat="1" x14ac:dyDescent="0.25">
      <c r="A40" s="229"/>
      <c r="B40" s="62" t="s">
        <v>34</v>
      </c>
      <c r="C40" s="181" t="s">
        <v>17</v>
      </c>
      <c r="D40" s="182"/>
      <c r="E40" s="194" t="s">
        <v>35</v>
      </c>
      <c r="F40" s="73" t="s">
        <v>424</v>
      </c>
      <c r="G40" s="235" t="s">
        <v>117</v>
      </c>
      <c r="H40" s="181">
        <v>2</v>
      </c>
      <c r="I40" s="231">
        <v>1</v>
      </c>
      <c r="J40" s="96">
        <v>2</v>
      </c>
      <c r="K40" s="77">
        <v>3842</v>
      </c>
      <c r="L40" s="77">
        <v>3842</v>
      </c>
      <c r="M40" s="78">
        <f t="shared" si="1"/>
        <v>0</v>
      </c>
      <c r="N40" s="100">
        <v>3</v>
      </c>
      <c r="O40" s="224">
        <v>9220.7999999999993</v>
      </c>
      <c r="P40" s="224">
        <v>9220.7999999999993</v>
      </c>
      <c r="Q40" s="232">
        <f t="shared" si="2"/>
        <v>0</v>
      </c>
    </row>
    <row r="41" spans="1:17" s="13" customFormat="1" x14ac:dyDescent="0.25">
      <c r="A41" s="229"/>
      <c r="B41" s="27" t="s">
        <v>36</v>
      </c>
      <c r="C41" s="181" t="s">
        <v>17</v>
      </c>
      <c r="D41" s="182"/>
      <c r="E41" s="194" t="s">
        <v>32</v>
      </c>
      <c r="F41" s="73" t="s">
        <v>336</v>
      </c>
      <c r="G41" s="74" t="s">
        <v>112</v>
      </c>
      <c r="H41" s="75">
        <v>28</v>
      </c>
      <c r="I41" s="76">
        <v>21</v>
      </c>
      <c r="J41" s="96">
        <f>1+3+4+2+2+7+6+2</f>
        <v>27</v>
      </c>
      <c r="K41" s="77">
        <f>2091.97+4201.22+3643.94+998.92+6188.59+7556.35+3399.86</f>
        <v>28080.85</v>
      </c>
      <c r="L41" s="77">
        <f>2091.97+4201.22+3643.94+998.92+6188.59+7556.35</f>
        <v>24680.989999999998</v>
      </c>
      <c r="M41" s="78">
        <f t="shared" si="1"/>
        <v>3399.8600000000006</v>
      </c>
      <c r="N41" s="100">
        <f>4+2+5+1+1+4+1+1</f>
        <v>19</v>
      </c>
      <c r="O41" s="81">
        <f>26828.22+3116.2+14162+4691+13237.22+22342.31+1888.86</f>
        <v>86265.81</v>
      </c>
      <c r="P41" s="81">
        <f>26828.22+3116.2+14162+4691+13237.22+22342.31+1888.86</f>
        <v>86265.81</v>
      </c>
      <c r="Q41" s="79">
        <f t="shared" si="2"/>
        <v>0</v>
      </c>
    </row>
    <row r="42" spans="1:17" s="13" customFormat="1" x14ac:dyDescent="0.25">
      <c r="A42" s="229"/>
      <c r="B42" s="27" t="s">
        <v>38</v>
      </c>
      <c r="C42" s="181" t="s">
        <v>17</v>
      </c>
      <c r="D42" s="182"/>
      <c r="E42" s="183" t="s">
        <v>20</v>
      </c>
      <c r="F42" s="73" t="s">
        <v>338</v>
      </c>
      <c r="G42" s="74" t="s">
        <v>112</v>
      </c>
      <c r="H42" s="75">
        <v>46</v>
      </c>
      <c r="I42" s="76">
        <v>40</v>
      </c>
      <c r="J42" s="96">
        <f>5+9+3+4+4+2+3+3+11+3+4+4+1</f>
        <v>56</v>
      </c>
      <c r="K42" s="77">
        <f>4427.07+14262.52+23391.74+11108.38+9141.17+3923.07+23674.29+5445.61</f>
        <v>95373.849999999991</v>
      </c>
      <c r="L42" s="77">
        <f>4427.07+14262.52+23391.74+11108.38+9141.17+3923.07+23674.29+5445.61</f>
        <v>95373.849999999991</v>
      </c>
      <c r="M42" s="78">
        <f t="shared" si="1"/>
        <v>0</v>
      </c>
      <c r="N42" s="100">
        <f>1+14+2+2+2+3+1+1+2+1</f>
        <v>29</v>
      </c>
      <c r="O42" s="81">
        <f>34449.99+27363.78+23604.86+16739.26+15240.34+16003.48+4203.85</f>
        <v>137605.56</v>
      </c>
      <c r="P42" s="81">
        <f>34449.99+27363.78+23604.86+16739.26+15240.34+16003.48+4203.85</f>
        <v>137605.56</v>
      </c>
      <c r="Q42" s="79">
        <f t="shared" si="2"/>
        <v>0</v>
      </c>
    </row>
    <row r="43" spans="1:17" s="13" customFormat="1" x14ac:dyDescent="0.25">
      <c r="A43" s="229"/>
      <c r="B43" s="27" t="s">
        <v>38</v>
      </c>
      <c r="C43" s="181" t="s">
        <v>17</v>
      </c>
      <c r="D43" s="182"/>
      <c r="E43" s="183" t="s">
        <v>20</v>
      </c>
      <c r="F43" s="73" t="s">
        <v>268</v>
      </c>
      <c r="G43" s="230" t="s">
        <v>114</v>
      </c>
      <c r="H43" s="181"/>
      <c r="I43" s="231"/>
      <c r="J43" s="190"/>
      <c r="K43" s="77"/>
      <c r="L43" s="77"/>
      <c r="M43" s="78">
        <f t="shared" si="1"/>
        <v>0</v>
      </c>
      <c r="N43" s="100"/>
      <c r="O43" s="224"/>
      <c r="P43" s="224"/>
      <c r="Q43" s="232">
        <f t="shared" si="2"/>
        <v>0</v>
      </c>
    </row>
    <row r="44" spans="1:17" s="13" customFormat="1" x14ac:dyDescent="0.25">
      <c r="A44" s="229"/>
      <c r="B44" s="27" t="s">
        <v>38</v>
      </c>
      <c r="C44" s="181" t="s">
        <v>17</v>
      </c>
      <c r="D44" s="182"/>
      <c r="E44" s="183" t="s">
        <v>18</v>
      </c>
      <c r="F44" s="73" t="s">
        <v>324</v>
      </c>
      <c r="G44" s="230" t="s">
        <v>116</v>
      </c>
      <c r="H44" s="181">
        <v>3</v>
      </c>
      <c r="I44" s="231">
        <v>3</v>
      </c>
      <c r="J44" s="190">
        <v>3</v>
      </c>
      <c r="K44" s="77">
        <v>4098</v>
      </c>
      <c r="L44" s="77">
        <v>4098</v>
      </c>
      <c r="M44" s="78">
        <f t="shared" si="1"/>
        <v>0</v>
      </c>
      <c r="N44" s="100"/>
      <c r="O44" s="224"/>
      <c r="P44" s="224"/>
      <c r="Q44" s="232">
        <f t="shared" si="2"/>
        <v>0</v>
      </c>
    </row>
    <row r="45" spans="1:17" s="13" customFormat="1" x14ac:dyDescent="0.25">
      <c r="A45" s="229"/>
      <c r="B45" s="62" t="s">
        <v>39</v>
      </c>
      <c r="C45" s="181" t="s">
        <v>17</v>
      </c>
      <c r="D45" s="182"/>
      <c r="E45" s="183" t="s">
        <v>20</v>
      </c>
      <c r="F45" s="73" t="s">
        <v>269</v>
      </c>
      <c r="G45" s="230" t="s">
        <v>114</v>
      </c>
      <c r="H45" s="181"/>
      <c r="I45" s="231"/>
      <c r="J45" s="190"/>
      <c r="K45" s="77"/>
      <c r="L45" s="77"/>
      <c r="M45" s="78">
        <f t="shared" si="1"/>
        <v>0</v>
      </c>
      <c r="N45" s="100"/>
      <c r="O45" s="224"/>
      <c r="P45" s="224"/>
      <c r="Q45" s="232">
        <f t="shared" si="2"/>
        <v>0</v>
      </c>
    </row>
    <row r="46" spans="1:17" s="13" customFormat="1" x14ac:dyDescent="0.25">
      <c r="A46" s="229"/>
      <c r="B46" s="27" t="s">
        <v>40</v>
      </c>
      <c r="C46" s="181" t="s">
        <v>17</v>
      </c>
      <c r="D46" s="182"/>
      <c r="E46" s="194" t="s">
        <v>41</v>
      </c>
      <c r="F46" s="73" t="s">
        <v>339</v>
      </c>
      <c r="G46" s="74" t="s">
        <v>112</v>
      </c>
      <c r="H46" s="75">
        <v>28</v>
      </c>
      <c r="I46" s="76">
        <v>23</v>
      </c>
      <c r="J46" s="96">
        <f>1+1+3+9+4+4+3+2+1+1+2+3+3</f>
        <v>37</v>
      </c>
      <c r="K46" s="77">
        <f>1045.98+12271.86+15658.52+8166.35+6035.99+8024.36+2759.63+3460.61+3962.12+3444.02</f>
        <v>64829.439999999995</v>
      </c>
      <c r="L46" s="77">
        <f>1045.98+12271.86+15658.52+8166.35+6035.99+8024.36+2759.63+3460.61+3962.12+3444.02</f>
        <v>64829.439999999995</v>
      </c>
      <c r="M46" s="78">
        <f t="shared" si="1"/>
        <v>0</v>
      </c>
      <c r="N46" s="100">
        <f>3+13+6+5+4+2+1+1+1</f>
        <v>36</v>
      </c>
      <c r="O46" s="81">
        <f>17269.31+39990.78+16582.12+23492.44+7068.31+4243.84</f>
        <v>108646.79999999999</v>
      </c>
      <c r="P46" s="81">
        <f>17269.31+39990.78+16582.12+23492.44+7068.31+4243.84</f>
        <v>108646.79999999999</v>
      </c>
      <c r="Q46" s="79">
        <f t="shared" si="2"/>
        <v>0</v>
      </c>
    </row>
    <row r="47" spans="1:17" s="13" customFormat="1" x14ac:dyDescent="0.25">
      <c r="A47" s="229"/>
      <c r="B47" s="27" t="s">
        <v>40</v>
      </c>
      <c r="C47" s="181" t="s">
        <v>17</v>
      </c>
      <c r="D47" s="182"/>
      <c r="E47" s="194" t="s">
        <v>41</v>
      </c>
      <c r="F47" s="73" t="s">
        <v>482</v>
      </c>
      <c r="G47" s="230" t="s">
        <v>114</v>
      </c>
      <c r="H47" s="181"/>
      <c r="I47" s="231"/>
      <c r="J47" s="190"/>
      <c r="K47" s="77"/>
      <c r="L47" s="77"/>
      <c r="M47" s="78">
        <f t="shared" si="1"/>
        <v>0</v>
      </c>
      <c r="N47" s="100">
        <v>1</v>
      </c>
      <c r="O47" s="224">
        <v>3073.6</v>
      </c>
      <c r="P47" s="224">
        <f>3073.6</f>
        <v>3073.6</v>
      </c>
      <c r="Q47" s="232">
        <f t="shared" si="2"/>
        <v>0</v>
      </c>
    </row>
    <row r="48" spans="1:17" s="13" customFormat="1" x14ac:dyDescent="0.25">
      <c r="A48" s="229"/>
      <c r="B48" s="27" t="s">
        <v>148</v>
      </c>
      <c r="C48" s="181" t="s">
        <v>17</v>
      </c>
      <c r="D48" s="182"/>
      <c r="E48" s="183" t="s">
        <v>20</v>
      </c>
      <c r="F48" s="73" t="s">
        <v>340</v>
      </c>
      <c r="G48" s="74" t="s">
        <v>112</v>
      </c>
      <c r="H48" s="75">
        <v>20</v>
      </c>
      <c r="I48" s="82">
        <v>15</v>
      </c>
      <c r="J48" s="96">
        <f>1+2+1+4+4+2+3</f>
        <v>17</v>
      </c>
      <c r="K48" s="77">
        <f>537.88+2110.03+6723.98+8914.21+1204.2+602.1+903.15</f>
        <v>20995.55</v>
      </c>
      <c r="L48" s="77">
        <f>537.88+2110.03+6723.98+8914.21+1204.2+602.1</f>
        <v>20092.399999999998</v>
      </c>
      <c r="M48" s="78">
        <f t="shared" si="1"/>
        <v>903.15000000000146</v>
      </c>
      <c r="N48" s="100">
        <f>6+5+3+1+1+1+1</f>
        <v>18</v>
      </c>
      <c r="O48" s="81">
        <f>9370.6+9456.38+8868.69+5367.27+11572.62</f>
        <v>44635.560000000005</v>
      </c>
      <c r="P48" s="81">
        <f>9370.6+9456.38+8868.69+5367.27+11572.62</f>
        <v>44635.560000000005</v>
      </c>
      <c r="Q48" s="79">
        <f t="shared" si="2"/>
        <v>0</v>
      </c>
    </row>
    <row r="49" spans="1:17" s="13" customFormat="1" x14ac:dyDescent="0.25">
      <c r="A49" s="229"/>
      <c r="B49" s="27" t="s">
        <v>148</v>
      </c>
      <c r="C49" s="181" t="s">
        <v>17</v>
      </c>
      <c r="D49" s="182"/>
      <c r="E49" s="194" t="s">
        <v>32</v>
      </c>
      <c r="F49" s="73" t="s">
        <v>425</v>
      </c>
      <c r="G49" s="230" t="s">
        <v>117</v>
      </c>
      <c r="H49" s="181">
        <v>12</v>
      </c>
      <c r="I49" s="231">
        <v>4</v>
      </c>
      <c r="J49" s="96">
        <v>4</v>
      </c>
      <c r="K49" s="77">
        <v>13707.82</v>
      </c>
      <c r="L49" s="77">
        <v>5760.1</v>
      </c>
      <c r="M49" s="78">
        <f t="shared" si="1"/>
        <v>7947.7199999999993</v>
      </c>
      <c r="N49" s="100">
        <v>4</v>
      </c>
      <c r="O49" s="224">
        <v>12851.49</v>
      </c>
      <c r="P49" s="224">
        <v>12851.49</v>
      </c>
      <c r="Q49" s="232">
        <f t="shared" si="2"/>
        <v>0</v>
      </c>
    </row>
    <row r="50" spans="1:17" s="13" customFormat="1" x14ac:dyDescent="0.25">
      <c r="A50" s="229"/>
      <c r="B50" s="30" t="s">
        <v>42</v>
      </c>
      <c r="C50" s="181" t="s">
        <v>17</v>
      </c>
      <c r="D50" s="182"/>
      <c r="E50" s="183" t="s">
        <v>23</v>
      </c>
      <c r="F50" s="73" t="s">
        <v>341</v>
      </c>
      <c r="G50" s="74" t="s">
        <v>112</v>
      </c>
      <c r="H50" s="75">
        <v>36</v>
      </c>
      <c r="I50" s="76">
        <v>30</v>
      </c>
      <c r="J50" s="96">
        <f>5+3+5+3+8+3+8+5</f>
        <v>40</v>
      </c>
      <c r="K50" s="77">
        <f>7156.22+3849.11+8154.25+4149.36+15912.38+18649.91</f>
        <v>57871.229999999996</v>
      </c>
      <c r="L50" s="77">
        <f>7156.22+3849.11+8154.25+4149.36+15912.38+18649.91</f>
        <v>57871.229999999996</v>
      </c>
      <c r="M50" s="78">
        <f t="shared" si="1"/>
        <v>0</v>
      </c>
      <c r="N50" s="100">
        <f>4+6+9+2+4+2+2+3+3+2</f>
        <v>37</v>
      </c>
      <c r="O50" s="81">
        <f>5364.2+26170.88+2849.25+18965.6+9565.56+9423.5+18214.56</f>
        <v>90553.549999999988</v>
      </c>
      <c r="P50" s="81">
        <f>5364.2+26170.88+2849.25+18965.6+9565.56+9423.5+18214.56</f>
        <v>90553.549999999988</v>
      </c>
      <c r="Q50" s="79">
        <f t="shared" si="2"/>
        <v>0</v>
      </c>
    </row>
    <row r="51" spans="1:17" s="13" customFormat="1" x14ac:dyDescent="0.25">
      <c r="A51" s="229"/>
      <c r="B51" s="30" t="s">
        <v>42</v>
      </c>
      <c r="C51" s="181" t="s">
        <v>17</v>
      </c>
      <c r="D51" s="182"/>
      <c r="E51" s="183" t="s">
        <v>23</v>
      </c>
      <c r="F51" s="73" t="s">
        <v>437</v>
      </c>
      <c r="G51" s="230" t="s">
        <v>118</v>
      </c>
      <c r="H51" s="181">
        <v>2</v>
      </c>
      <c r="I51" s="231"/>
      <c r="J51" s="96"/>
      <c r="K51" s="77"/>
      <c r="L51" s="77"/>
      <c r="M51" s="78">
        <f t="shared" si="1"/>
        <v>0</v>
      </c>
      <c r="N51" s="100">
        <v>1</v>
      </c>
      <c r="O51" s="224">
        <v>7766.4</v>
      </c>
      <c r="P51" s="224">
        <v>7766.4</v>
      </c>
      <c r="Q51" s="232">
        <f t="shared" si="2"/>
        <v>0</v>
      </c>
    </row>
    <row r="52" spans="1:17" s="13" customFormat="1" x14ac:dyDescent="0.25">
      <c r="A52" s="229"/>
      <c r="B52" s="30" t="s">
        <v>173</v>
      </c>
      <c r="C52" s="181" t="s">
        <v>17</v>
      </c>
      <c r="D52" s="182"/>
      <c r="E52" s="230" t="s">
        <v>118</v>
      </c>
      <c r="F52" s="73" t="s">
        <v>342</v>
      </c>
      <c r="G52" s="74" t="s">
        <v>112</v>
      </c>
      <c r="H52" s="75">
        <v>4</v>
      </c>
      <c r="I52" s="76">
        <v>4</v>
      </c>
      <c r="J52" s="96">
        <f>1+2+1</f>
        <v>4</v>
      </c>
      <c r="K52" s="77">
        <f>6833.76+696.36</f>
        <v>7530.12</v>
      </c>
      <c r="L52" s="77">
        <f>6833.76+696.36</f>
        <v>7530.12</v>
      </c>
      <c r="M52" s="78">
        <f t="shared" si="1"/>
        <v>0</v>
      </c>
      <c r="N52" s="100">
        <f>4+2</f>
        <v>6</v>
      </c>
      <c r="O52" s="81">
        <f>5931.9+4183.92+3158.95</f>
        <v>13274.77</v>
      </c>
      <c r="P52" s="81">
        <f>5931.9+4183.92+3158.95</f>
        <v>13274.77</v>
      </c>
      <c r="Q52" s="79">
        <f t="shared" si="2"/>
        <v>0</v>
      </c>
    </row>
    <row r="53" spans="1:17" s="13" customFormat="1" x14ac:dyDescent="0.25">
      <c r="A53" s="229"/>
      <c r="B53" s="62" t="s">
        <v>143</v>
      </c>
      <c r="C53" s="181" t="s">
        <v>64</v>
      </c>
      <c r="D53" s="182" t="s">
        <v>444</v>
      </c>
      <c r="E53" s="183" t="s">
        <v>20</v>
      </c>
      <c r="F53" s="73" t="s">
        <v>445</v>
      </c>
      <c r="G53" s="230" t="s">
        <v>114</v>
      </c>
      <c r="H53" s="181">
        <v>26</v>
      </c>
      <c r="I53" s="234">
        <v>14</v>
      </c>
      <c r="J53" s="190">
        <v>14</v>
      </c>
      <c r="K53" s="193">
        <v>18650.8</v>
      </c>
      <c r="L53" s="193">
        <v>18650.8</v>
      </c>
      <c r="M53" s="78">
        <f t="shared" si="1"/>
        <v>0</v>
      </c>
      <c r="N53" s="114">
        <v>18</v>
      </c>
      <c r="O53" s="224">
        <v>27390.400000000001</v>
      </c>
      <c r="P53" s="224">
        <v>27390.400000000001</v>
      </c>
      <c r="Q53" s="232">
        <f t="shared" si="2"/>
        <v>0</v>
      </c>
    </row>
    <row r="54" spans="1:17" s="13" customFormat="1" x14ac:dyDescent="0.25">
      <c r="A54" s="229"/>
      <c r="B54" s="30" t="s">
        <v>158</v>
      </c>
      <c r="C54" s="181" t="s">
        <v>17</v>
      </c>
      <c r="D54" s="182"/>
      <c r="E54" s="194" t="s">
        <v>32</v>
      </c>
      <c r="F54" s="73" t="s">
        <v>426</v>
      </c>
      <c r="G54" s="230" t="s">
        <v>117</v>
      </c>
      <c r="H54" s="181">
        <v>12</v>
      </c>
      <c r="I54" s="234">
        <v>6</v>
      </c>
      <c r="J54" s="190">
        <v>7</v>
      </c>
      <c r="K54" s="193">
        <v>12275.74</v>
      </c>
      <c r="L54" s="193">
        <v>10870.84</v>
      </c>
      <c r="M54" s="78">
        <f t="shared" si="1"/>
        <v>1404.8999999999996</v>
      </c>
      <c r="N54" s="114">
        <v>5</v>
      </c>
      <c r="O54" s="224">
        <v>16813.7</v>
      </c>
      <c r="P54" s="224">
        <v>16813.7</v>
      </c>
      <c r="Q54" s="232">
        <f t="shared" si="2"/>
        <v>0</v>
      </c>
    </row>
    <row r="55" spans="1:17" s="15" customFormat="1" x14ac:dyDescent="0.25">
      <c r="A55" s="229"/>
      <c r="B55" s="62" t="s">
        <v>43</v>
      </c>
      <c r="C55" s="181" t="s">
        <v>17</v>
      </c>
      <c r="D55" s="182"/>
      <c r="E55" s="183" t="s">
        <v>18</v>
      </c>
      <c r="F55" s="73" t="s">
        <v>344</v>
      </c>
      <c r="G55" s="74" t="s">
        <v>112</v>
      </c>
      <c r="H55" s="75">
        <v>32</v>
      </c>
      <c r="I55" s="76">
        <v>23</v>
      </c>
      <c r="J55" s="96">
        <f>1+2+2+5+2+3+2+3+3+3</f>
        <v>26</v>
      </c>
      <c r="K55" s="77">
        <f>1776.93+926.88+3328.29+3172.19+9832.29+3539.2+3058.67</f>
        <v>25634.450000000004</v>
      </c>
      <c r="L55" s="77">
        <f>1776.93+926.88+3328.29+3172.19+9832.29+3539.2</f>
        <v>22575.780000000002</v>
      </c>
      <c r="M55" s="78">
        <f t="shared" si="1"/>
        <v>3058.6700000000019</v>
      </c>
      <c r="N55" s="100">
        <f>1+5+4+1+1+1+1+1</f>
        <v>15</v>
      </c>
      <c r="O55" s="81">
        <f>1223.8+3810.29+4959.02+10043.87+2769.48+2146.91+11926.24-1465.64</f>
        <v>35413.97</v>
      </c>
      <c r="P55" s="81">
        <f>1223.8+3810.29+4959.02+10043.87+2769.48+2146.91+11926.24-1465.64</f>
        <v>35413.97</v>
      </c>
      <c r="Q55" s="79">
        <f t="shared" si="2"/>
        <v>0</v>
      </c>
    </row>
    <row r="56" spans="1:17" s="15" customFormat="1" ht="30" x14ac:dyDescent="0.25">
      <c r="A56" s="229"/>
      <c r="B56" s="62" t="s">
        <v>43</v>
      </c>
      <c r="C56" s="181" t="s">
        <v>304</v>
      </c>
      <c r="D56" s="182" t="s">
        <v>473</v>
      </c>
      <c r="E56" s="183" t="s">
        <v>18</v>
      </c>
      <c r="F56" s="73" t="s">
        <v>323</v>
      </c>
      <c r="G56" s="271" t="s">
        <v>116</v>
      </c>
      <c r="H56" s="181">
        <v>26</v>
      </c>
      <c r="I56" s="234">
        <v>19</v>
      </c>
      <c r="J56" s="98">
        <v>21</v>
      </c>
      <c r="K56" s="77">
        <v>26931</v>
      </c>
      <c r="L56" s="77">
        <v>26931</v>
      </c>
      <c r="M56" s="78">
        <f t="shared" si="1"/>
        <v>0</v>
      </c>
      <c r="N56" s="114">
        <v>18</v>
      </c>
      <c r="O56" s="224">
        <v>60535</v>
      </c>
      <c r="P56" s="224">
        <v>60535</v>
      </c>
      <c r="Q56" s="232">
        <f t="shared" si="2"/>
        <v>0</v>
      </c>
    </row>
    <row r="57" spans="1:17" s="13" customFormat="1" x14ac:dyDescent="0.25">
      <c r="A57" s="229"/>
      <c r="B57" s="30" t="s">
        <v>44</v>
      </c>
      <c r="C57" s="181" t="s">
        <v>17</v>
      </c>
      <c r="D57" s="182"/>
      <c r="E57" s="183" t="s">
        <v>20</v>
      </c>
      <c r="F57" s="73" t="s">
        <v>345</v>
      </c>
      <c r="G57" s="74" t="s">
        <v>112</v>
      </c>
      <c r="H57" s="75">
        <v>15</v>
      </c>
      <c r="I57" s="76">
        <v>10</v>
      </c>
      <c r="J57" s="96">
        <f>1+1+1+4+2+1+1</f>
        <v>11</v>
      </c>
      <c r="K57" s="77">
        <f>2422.38+1267.86+15410.58+1534.35+708.47</f>
        <v>21343.64</v>
      </c>
      <c r="L57" s="77">
        <f>2422.38+1267.86+15410.58+1534.35+708.47</f>
        <v>21343.64</v>
      </c>
      <c r="M57" s="78">
        <f t="shared" si="1"/>
        <v>0</v>
      </c>
      <c r="N57" s="100">
        <f>1+11</f>
        <v>12</v>
      </c>
      <c r="O57" s="81">
        <f>421.62+4603.39+10559.77+72902.04+3435.31</f>
        <v>91922.12999999999</v>
      </c>
      <c r="P57" s="81">
        <f>421.62+4603.39+10559.77+72902.04</f>
        <v>88486.819999999992</v>
      </c>
      <c r="Q57" s="79">
        <f t="shared" si="2"/>
        <v>3435.3099999999977</v>
      </c>
    </row>
    <row r="58" spans="1:17" s="13" customFormat="1" x14ac:dyDescent="0.25">
      <c r="A58" s="229"/>
      <c r="B58" s="30" t="s">
        <v>44</v>
      </c>
      <c r="C58" s="181" t="s">
        <v>17</v>
      </c>
      <c r="D58" s="182"/>
      <c r="E58" s="183" t="s">
        <v>20</v>
      </c>
      <c r="F58" s="73" t="s">
        <v>483</v>
      </c>
      <c r="G58" s="230" t="s">
        <v>114</v>
      </c>
      <c r="H58" s="181"/>
      <c r="I58" s="231"/>
      <c r="J58" s="190"/>
      <c r="K58" s="77"/>
      <c r="L58" s="77"/>
      <c r="M58" s="78">
        <f t="shared" si="1"/>
        <v>0</v>
      </c>
      <c r="N58" s="100">
        <v>2</v>
      </c>
      <c r="O58" s="224">
        <v>9934.7000000000007</v>
      </c>
      <c r="P58" s="224">
        <v>9934.7000000000007</v>
      </c>
      <c r="Q58" s="232">
        <f t="shared" si="2"/>
        <v>0</v>
      </c>
    </row>
    <row r="59" spans="1:17" s="13" customFormat="1" x14ac:dyDescent="0.25">
      <c r="A59" s="229"/>
      <c r="B59" s="30" t="s">
        <v>492</v>
      </c>
      <c r="C59" s="181" t="s">
        <v>17</v>
      </c>
      <c r="D59" s="182"/>
      <c r="E59" s="183" t="s">
        <v>20</v>
      </c>
      <c r="F59" s="73" t="s">
        <v>499</v>
      </c>
      <c r="G59" s="230" t="s">
        <v>112</v>
      </c>
      <c r="H59" s="181">
        <v>10</v>
      </c>
      <c r="I59" s="231">
        <v>8</v>
      </c>
      <c r="J59" s="190">
        <f>1+8</f>
        <v>9</v>
      </c>
      <c r="K59" s="77">
        <f>1044.98+2096.62</f>
        <v>3141.6</v>
      </c>
      <c r="L59" s="77">
        <f>1044.98+2096.62</f>
        <v>3141.6</v>
      </c>
      <c r="M59" s="78">
        <f t="shared" si="1"/>
        <v>0</v>
      </c>
      <c r="N59" s="100"/>
      <c r="O59" s="224"/>
      <c r="P59" s="224"/>
      <c r="Q59" s="79">
        <f t="shared" si="2"/>
        <v>0</v>
      </c>
    </row>
    <row r="60" spans="1:17" s="13" customFormat="1" x14ac:dyDescent="0.25">
      <c r="A60" s="229"/>
      <c r="B60" s="27" t="s">
        <v>45</v>
      </c>
      <c r="C60" s="181" t="s">
        <v>17</v>
      </c>
      <c r="D60" s="182"/>
      <c r="E60" s="183" t="s">
        <v>20</v>
      </c>
      <c r="F60" s="73" t="s">
        <v>346</v>
      </c>
      <c r="G60" s="74" t="s">
        <v>112</v>
      </c>
      <c r="H60" s="75"/>
      <c r="I60" s="76"/>
      <c r="J60" s="96"/>
      <c r="K60" s="77"/>
      <c r="L60" s="77"/>
      <c r="M60" s="78">
        <f t="shared" si="1"/>
        <v>0</v>
      </c>
      <c r="N60" s="100">
        <f>1</f>
        <v>1</v>
      </c>
      <c r="O60" s="81">
        <f>17995.91+2729.8</f>
        <v>20725.71</v>
      </c>
      <c r="P60" s="81">
        <f>17995.91+2729.8</f>
        <v>20725.71</v>
      </c>
      <c r="Q60" s="79">
        <f t="shared" si="2"/>
        <v>0</v>
      </c>
    </row>
    <row r="61" spans="1:17" s="13" customFormat="1" x14ac:dyDescent="0.25">
      <c r="A61" s="229"/>
      <c r="B61" s="27" t="s">
        <v>45</v>
      </c>
      <c r="C61" s="181" t="s">
        <v>17</v>
      </c>
      <c r="D61" s="182"/>
      <c r="E61" s="183" t="s">
        <v>20</v>
      </c>
      <c r="F61" s="73" t="s">
        <v>484</v>
      </c>
      <c r="G61" s="230" t="s">
        <v>114</v>
      </c>
      <c r="H61" s="181"/>
      <c r="I61" s="231"/>
      <c r="J61" s="190"/>
      <c r="K61" s="77"/>
      <c r="L61" s="77"/>
      <c r="M61" s="78">
        <f t="shared" si="1"/>
        <v>0</v>
      </c>
      <c r="N61" s="100"/>
      <c r="O61" s="224"/>
      <c r="P61" s="224"/>
      <c r="Q61" s="232">
        <f t="shared" si="2"/>
        <v>0</v>
      </c>
    </row>
    <row r="62" spans="1:17" s="15" customFormat="1" x14ac:dyDescent="0.25">
      <c r="A62" s="229"/>
      <c r="B62" s="27" t="s">
        <v>46</v>
      </c>
      <c r="C62" s="181" t="s">
        <v>17</v>
      </c>
      <c r="D62" s="182"/>
      <c r="E62" s="183" t="s">
        <v>20</v>
      </c>
      <c r="F62" s="73" t="s">
        <v>347</v>
      </c>
      <c r="G62" s="74" t="s">
        <v>112</v>
      </c>
      <c r="H62" s="75">
        <v>19</v>
      </c>
      <c r="I62" s="76">
        <v>16</v>
      </c>
      <c r="J62" s="96">
        <f>1+2+3+2+4+1+4+2+1+5+1+1</f>
        <v>27</v>
      </c>
      <c r="K62" s="77">
        <f>1045.98+1068.08+8157.32+1778.85+9152.67+11156.63+11271.63+1490.2+9025.41+10714.36+1457.08</f>
        <v>66318.209999999992</v>
      </c>
      <c r="L62" s="77">
        <f>1045.98+1068.08+8157.32+1778.85+9152.67+11156.63+11271.63+1490.2+9025.41+10714.36</f>
        <v>64861.12999999999</v>
      </c>
      <c r="M62" s="78">
        <f t="shared" si="1"/>
        <v>1457.0800000000017</v>
      </c>
      <c r="N62" s="100">
        <f>4+4+1+1+1+2</f>
        <v>13</v>
      </c>
      <c r="O62" s="81">
        <f>10759.2+10685.34+7362.04+22509.72</f>
        <v>51316.3</v>
      </c>
      <c r="P62" s="81">
        <f>10759.2+10685.34+7362.04+22509.72</f>
        <v>51316.3</v>
      </c>
      <c r="Q62" s="79">
        <f t="shared" si="2"/>
        <v>0</v>
      </c>
    </row>
    <row r="63" spans="1:17" s="15" customFormat="1" x14ac:dyDescent="0.25">
      <c r="A63" s="229"/>
      <c r="B63" s="27" t="s">
        <v>46</v>
      </c>
      <c r="C63" s="181" t="s">
        <v>17</v>
      </c>
      <c r="D63" s="182"/>
      <c r="E63" s="183" t="s">
        <v>20</v>
      </c>
      <c r="F63" s="73" t="s">
        <v>273</v>
      </c>
      <c r="G63" s="230" t="s">
        <v>114</v>
      </c>
      <c r="H63" s="181">
        <v>5</v>
      </c>
      <c r="I63" s="231">
        <v>1</v>
      </c>
      <c r="J63" s="190">
        <v>1</v>
      </c>
      <c r="K63" s="77">
        <v>576.29999999999995</v>
      </c>
      <c r="L63" s="77">
        <v>576.29999999999995</v>
      </c>
      <c r="M63" s="78">
        <f t="shared" si="1"/>
        <v>0</v>
      </c>
      <c r="N63" s="100">
        <v>3</v>
      </c>
      <c r="O63" s="224">
        <v>9356.9</v>
      </c>
      <c r="P63" s="224">
        <v>9356.9</v>
      </c>
      <c r="Q63" s="232">
        <f t="shared" si="2"/>
        <v>0</v>
      </c>
    </row>
    <row r="64" spans="1:17" s="13" customFormat="1" ht="45" x14ac:dyDescent="0.25">
      <c r="A64" s="229"/>
      <c r="B64" s="30" t="s">
        <v>47</v>
      </c>
      <c r="C64" s="181" t="s">
        <v>304</v>
      </c>
      <c r="D64" s="182" t="s">
        <v>474</v>
      </c>
      <c r="E64" s="183" t="s">
        <v>18</v>
      </c>
      <c r="F64" s="73" t="s">
        <v>348</v>
      </c>
      <c r="G64" s="74" t="s">
        <v>112</v>
      </c>
      <c r="H64" s="75">
        <v>55</v>
      </c>
      <c r="I64" s="76">
        <v>40</v>
      </c>
      <c r="J64" s="98">
        <f>1+1+3+21+7+2+5+2+7+15+14+7</f>
        <v>85</v>
      </c>
      <c r="K64" s="77">
        <f>30728.27+19236.99+22614.7+52735.68</f>
        <v>125315.64000000001</v>
      </c>
      <c r="L64" s="77">
        <f>30728.27+19236.99+22614.7+52735.68</f>
        <v>125315.64000000001</v>
      </c>
      <c r="M64" s="78">
        <f t="shared" si="1"/>
        <v>0</v>
      </c>
      <c r="N64" s="100">
        <f>7+3+4+10+6+1+2+1+3+2+5</f>
        <v>44</v>
      </c>
      <c r="O64" s="81">
        <f>8477.51+15159.83+14079.46+15414.2+17995.91+2065.56+1859.53+9543.86+1728.53+14526.84</f>
        <v>100851.23</v>
      </c>
      <c r="P64" s="81">
        <f>8477.51+15159.83+14079.46+15414.2+17995.91+2065.56+1859.53+9543.86+1728.53+14526.84</f>
        <v>100851.23</v>
      </c>
      <c r="Q64" s="79">
        <f t="shared" si="2"/>
        <v>0</v>
      </c>
    </row>
    <row r="65" spans="1:17" s="13" customFormat="1" ht="45" x14ac:dyDescent="0.25">
      <c r="A65" s="229"/>
      <c r="B65" s="62" t="s">
        <v>120</v>
      </c>
      <c r="C65" s="181" t="s">
        <v>304</v>
      </c>
      <c r="D65" s="182" t="s">
        <v>474</v>
      </c>
      <c r="E65" s="183" t="s">
        <v>18</v>
      </c>
      <c r="F65" s="73" t="s">
        <v>334</v>
      </c>
      <c r="G65" s="230" t="s">
        <v>116</v>
      </c>
      <c r="H65" s="181">
        <v>31</v>
      </c>
      <c r="I65" s="234">
        <v>17</v>
      </c>
      <c r="J65" s="98">
        <v>20</v>
      </c>
      <c r="K65" s="77">
        <v>37956</v>
      </c>
      <c r="L65" s="77">
        <v>37956</v>
      </c>
      <c r="M65" s="78">
        <f t="shared" si="1"/>
        <v>0</v>
      </c>
      <c r="N65" s="100">
        <v>15</v>
      </c>
      <c r="O65" s="224">
        <v>60831</v>
      </c>
      <c r="P65" s="224">
        <v>60831</v>
      </c>
      <c r="Q65" s="232">
        <f t="shared" si="2"/>
        <v>0</v>
      </c>
    </row>
    <row r="66" spans="1:17" s="13" customFormat="1" x14ac:dyDescent="0.25">
      <c r="A66" s="229"/>
      <c r="B66" s="30" t="s">
        <v>134</v>
      </c>
      <c r="C66" s="181" t="s">
        <v>17</v>
      </c>
      <c r="D66" s="182"/>
      <c r="E66" s="183" t="s">
        <v>20</v>
      </c>
      <c r="F66" s="73" t="s">
        <v>349</v>
      </c>
      <c r="G66" s="74" t="s">
        <v>112</v>
      </c>
      <c r="H66" s="75">
        <v>21</v>
      </c>
      <c r="I66" s="76">
        <v>21</v>
      </c>
      <c r="J66" s="96">
        <f>1+4+1+1+2+1+1+7+1+1</f>
        <v>20</v>
      </c>
      <c r="K66" s="77">
        <f>7301.48+1473.89+1911.09+1690.48+845.24+6268.51+441.51+1983.45+3361.83+883.11+2668.51+2972.45+3953.39+2549.89</f>
        <v>38304.83</v>
      </c>
      <c r="L66" s="77">
        <f>7301.48+1473.89+1911.09+1690.48+845.24+6268.51+441.51+1983.45+3361.83+883.11+2668.51+2972.45</f>
        <v>31801.55</v>
      </c>
      <c r="M66" s="78">
        <f t="shared" si="1"/>
        <v>6503.2800000000025</v>
      </c>
      <c r="N66" s="100">
        <f>4+1+1+1+1+1</f>
        <v>9</v>
      </c>
      <c r="O66" s="81">
        <f>5020.05+3215.31+12312.39+4648.82+32425.98+7889.42+3294.46</f>
        <v>68806.430000000008</v>
      </c>
      <c r="P66" s="81">
        <f>5020.05+3215.31+12312.39+4648.82+32425.98+7889.42+3294.46</f>
        <v>68806.430000000008</v>
      </c>
      <c r="Q66" s="79">
        <f t="shared" si="2"/>
        <v>0</v>
      </c>
    </row>
    <row r="67" spans="1:17" s="13" customFormat="1" x14ac:dyDescent="0.25">
      <c r="A67" s="229"/>
      <c r="B67" s="30" t="s">
        <v>134</v>
      </c>
      <c r="C67" s="181" t="s">
        <v>17</v>
      </c>
      <c r="D67" s="182"/>
      <c r="E67" s="183" t="s">
        <v>20</v>
      </c>
      <c r="F67" s="73" t="s">
        <v>456</v>
      </c>
      <c r="G67" s="230" t="s">
        <v>114</v>
      </c>
      <c r="H67" s="181">
        <v>23</v>
      </c>
      <c r="I67" s="231">
        <v>7</v>
      </c>
      <c r="J67" s="190">
        <v>7</v>
      </c>
      <c r="K67" s="77">
        <v>17181.12</v>
      </c>
      <c r="L67" s="77">
        <v>17181.12</v>
      </c>
      <c r="M67" s="78">
        <f t="shared" si="1"/>
        <v>0</v>
      </c>
      <c r="N67" s="100">
        <v>27</v>
      </c>
      <c r="O67" s="224">
        <v>61494.8</v>
      </c>
      <c r="P67" s="224">
        <v>61494.8</v>
      </c>
      <c r="Q67" s="232">
        <f t="shared" si="2"/>
        <v>0</v>
      </c>
    </row>
    <row r="68" spans="1:17" s="13" customFormat="1" x14ac:dyDescent="0.25">
      <c r="A68" s="229"/>
      <c r="B68" s="62" t="s">
        <v>48</v>
      </c>
      <c r="C68" s="181" t="s">
        <v>17</v>
      </c>
      <c r="D68" s="182"/>
      <c r="E68" s="183" t="s">
        <v>20</v>
      </c>
      <c r="F68" s="73" t="s">
        <v>350</v>
      </c>
      <c r="G68" s="74" t="s">
        <v>112</v>
      </c>
      <c r="H68" s="75">
        <v>19</v>
      </c>
      <c r="I68" s="76">
        <v>11</v>
      </c>
      <c r="J68" s="96">
        <f>1+1+2+1+3+2</f>
        <v>10</v>
      </c>
      <c r="K68" s="77">
        <f>4805.96+2585.78+3065.92+2588.55+14407.5+9289.05+3030.73+11469.98</f>
        <v>51243.47</v>
      </c>
      <c r="L68" s="77">
        <f>4805.96+2585.78+3065.92+2588.55+14407.5+9289.05+3030.73+11469.98</f>
        <v>51243.47</v>
      </c>
      <c r="M68" s="78">
        <f t="shared" si="1"/>
        <v>0</v>
      </c>
      <c r="N68" s="100">
        <f>2+1+2+1+3</f>
        <v>9</v>
      </c>
      <c r="O68" s="81">
        <f>23174.33+2535.72+11633.02+6993.42+20756.4</f>
        <v>65092.890000000007</v>
      </c>
      <c r="P68" s="81">
        <f>23174.33+2535.72+11633.02+6993.42+20756.4</f>
        <v>65092.890000000007</v>
      </c>
      <c r="Q68" s="79">
        <f t="shared" si="2"/>
        <v>0</v>
      </c>
    </row>
    <row r="69" spans="1:17" s="13" customFormat="1" x14ac:dyDescent="0.25">
      <c r="A69" s="229"/>
      <c r="B69" s="62" t="s">
        <v>49</v>
      </c>
      <c r="C69" s="181" t="s">
        <v>17</v>
      </c>
      <c r="D69" s="182"/>
      <c r="E69" s="183" t="s">
        <v>50</v>
      </c>
      <c r="F69" s="73" t="s">
        <v>351</v>
      </c>
      <c r="G69" s="74" t="s">
        <v>112</v>
      </c>
      <c r="H69" s="75">
        <v>29</v>
      </c>
      <c r="I69" s="76">
        <v>19</v>
      </c>
      <c r="J69" s="96">
        <f>1+4+8+6+5+1</f>
        <v>25</v>
      </c>
      <c r="K69" s="77">
        <f>525.65+1267.86+6544.72+13939.57+2896.54+9712.48+14471.86+991.75</f>
        <v>50350.43</v>
      </c>
      <c r="L69" s="77">
        <f>525.65+1267.86+6544.72+13939.57+2896.54+9712.48+14471.86+991.75</f>
        <v>50350.43</v>
      </c>
      <c r="M69" s="78">
        <f t="shared" si="1"/>
        <v>0</v>
      </c>
      <c r="N69" s="100">
        <f>5+1+3+1+1</f>
        <v>11</v>
      </c>
      <c r="O69" s="81">
        <f>7374+1806.93+7275.53+4666.9+2684.03+6682.03+10412.84</f>
        <v>40902.259999999995</v>
      </c>
      <c r="P69" s="81">
        <f>7374+1806.93+7275.53+4666.9+2684.03+6682.03+10412.84</f>
        <v>40902.259999999995</v>
      </c>
      <c r="Q69" s="232">
        <f t="shared" si="2"/>
        <v>0</v>
      </c>
    </row>
    <row r="70" spans="1:17" s="13" customFormat="1" x14ac:dyDescent="0.25">
      <c r="A70" s="229"/>
      <c r="B70" s="62" t="s">
        <v>49</v>
      </c>
      <c r="C70" s="181" t="s">
        <v>17</v>
      </c>
      <c r="D70" s="182"/>
      <c r="E70" s="183" t="s">
        <v>50</v>
      </c>
      <c r="F70" s="73" t="s">
        <v>427</v>
      </c>
      <c r="G70" s="230" t="s">
        <v>115</v>
      </c>
      <c r="H70" s="181">
        <v>15</v>
      </c>
      <c r="I70" s="231">
        <v>7</v>
      </c>
      <c r="J70" s="96">
        <v>7</v>
      </c>
      <c r="K70" s="77">
        <v>14739.83</v>
      </c>
      <c r="L70" s="77">
        <v>13535.63</v>
      </c>
      <c r="M70" s="78">
        <f t="shared" si="1"/>
        <v>1204.2000000000007</v>
      </c>
      <c r="N70" s="100">
        <v>11</v>
      </c>
      <c r="O70" s="224">
        <v>25688.3</v>
      </c>
      <c r="P70" s="224">
        <v>17660.3</v>
      </c>
      <c r="Q70" s="79">
        <f t="shared" si="2"/>
        <v>8028</v>
      </c>
    </row>
    <row r="71" spans="1:17" s="13" customFormat="1" x14ac:dyDescent="0.25">
      <c r="A71" s="229"/>
      <c r="B71" s="27" t="s">
        <v>51</v>
      </c>
      <c r="C71" s="181" t="s">
        <v>17</v>
      </c>
      <c r="D71" s="182"/>
      <c r="E71" s="183" t="s">
        <v>20</v>
      </c>
      <c r="F71" s="73" t="s">
        <v>186</v>
      </c>
      <c r="G71" s="74" t="s">
        <v>112</v>
      </c>
      <c r="H71" s="75"/>
      <c r="I71" s="76"/>
      <c r="J71" s="96"/>
      <c r="K71" s="77"/>
      <c r="L71" s="77"/>
      <c r="M71" s="78">
        <f t="shared" si="1"/>
        <v>0</v>
      </c>
      <c r="N71" s="100">
        <f>1</f>
        <v>1</v>
      </c>
      <c r="O71" s="81">
        <v>2451.87</v>
      </c>
      <c r="P71" s="81">
        <v>2451.87</v>
      </c>
      <c r="Q71" s="232">
        <f t="shared" si="2"/>
        <v>0</v>
      </c>
    </row>
    <row r="72" spans="1:17" s="13" customFormat="1" x14ac:dyDescent="0.25">
      <c r="A72" s="229"/>
      <c r="B72" s="27" t="s">
        <v>51</v>
      </c>
      <c r="C72" s="181" t="s">
        <v>17</v>
      </c>
      <c r="D72" s="182"/>
      <c r="E72" s="183" t="s">
        <v>20</v>
      </c>
      <c r="F72" s="73" t="s">
        <v>276</v>
      </c>
      <c r="G72" s="230" t="s">
        <v>114</v>
      </c>
      <c r="H72" s="181"/>
      <c r="I72" s="231"/>
      <c r="J72" s="190"/>
      <c r="K72" s="77"/>
      <c r="L72" s="77"/>
      <c r="M72" s="78">
        <f t="shared" si="1"/>
        <v>0</v>
      </c>
      <c r="N72" s="100">
        <v>3</v>
      </c>
      <c r="O72" s="224">
        <v>6763.6</v>
      </c>
      <c r="P72" s="224">
        <v>6763.6</v>
      </c>
      <c r="Q72" s="232">
        <f t="shared" si="2"/>
        <v>0</v>
      </c>
    </row>
    <row r="73" spans="1:17" s="13" customFormat="1" x14ac:dyDescent="0.25">
      <c r="A73" s="229"/>
      <c r="B73" s="62" t="s">
        <v>52</v>
      </c>
      <c r="C73" s="181" t="s">
        <v>17</v>
      </c>
      <c r="D73" s="182"/>
      <c r="E73" s="183" t="s">
        <v>20</v>
      </c>
      <c r="F73" s="73" t="s">
        <v>352</v>
      </c>
      <c r="G73" s="74" t="s">
        <v>112</v>
      </c>
      <c r="H73" s="75">
        <v>16</v>
      </c>
      <c r="I73" s="76">
        <v>11</v>
      </c>
      <c r="J73" s="96">
        <f>1+1+1+1+2+3+1+1+1+2+1</f>
        <v>15</v>
      </c>
      <c r="K73" s="77">
        <f>10714.2+2747.14+2138.07+6709.4+7033.21+883.08+708.47+8516.02</f>
        <v>39449.589999999997</v>
      </c>
      <c r="L73" s="77">
        <f>10714.2+2747.14+2138.07+6709.4+7033.21+883.08+708.47</f>
        <v>30933.57</v>
      </c>
      <c r="M73" s="78">
        <f t="shared" si="1"/>
        <v>8516.0199999999968</v>
      </c>
      <c r="N73" s="100">
        <f>4+3+1+1+2+3+1+1+2+1</f>
        <v>19</v>
      </c>
      <c r="O73" s="81">
        <f>5977.15+48296.91+7596.86+1061.83+8902.9+6856.31+2935.36+8136.06</f>
        <v>89763.38</v>
      </c>
      <c r="P73" s="81">
        <f>5977.15+48296.91+7596.86+1061.83+8902.9+6856.31+2935.36+8136.06</f>
        <v>89763.38</v>
      </c>
      <c r="Q73" s="232">
        <f t="shared" si="2"/>
        <v>0</v>
      </c>
    </row>
    <row r="74" spans="1:17" s="13" customFormat="1" x14ac:dyDescent="0.25">
      <c r="A74" s="229"/>
      <c r="B74" s="62" t="s">
        <v>52</v>
      </c>
      <c r="C74" s="181" t="s">
        <v>17</v>
      </c>
      <c r="D74" s="182"/>
      <c r="E74" s="183" t="s">
        <v>20</v>
      </c>
      <c r="F74" s="73" t="s">
        <v>457</v>
      </c>
      <c r="G74" s="230" t="s">
        <v>114</v>
      </c>
      <c r="H74" s="181">
        <v>15</v>
      </c>
      <c r="I74" s="231">
        <v>4</v>
      </c>
      <c r="J74" s="190">
        <v>4</v>
      </c>
      <c r="K74" s="77">
        <v>11041.4</v>
      </c>
      <c r="L74" s="77">
        <v>11041.4</v>
      </c>
      <c r="M74" s="78">
        <f t="shared" si="1"/>
        <v>0</v>
      </c>
      <c r="N74" s="100">
        <v>21</v>
      </c>
      <c r="O74" s="264">
        <v>57984.82</v>
      </c>
      <c r="P74" s="264">
        <v>57984.82</v>
      </c>
      <c r="Q74" s="232">
        <f t="shared" si="2"/>
        <v>0</v>
      </c>
    </row>
    <row r="75" spans="1:17" s="13" customFormat="1" x14ac:dyDescent="0.25">
      <c r="A75" s="229"/>
      <c r="B75" s="27" t="s">
        <v>53</v>
      </c>
      <c r="C75" s="181" t="s">
        <v>17</v>
      </c>
      <c r="D75" s="182"/>
      <c r="E75" s="183" t="s">
        <v>20</v>
      </c>
      <c r="F75" s="73" t="s">
        <v>353</v>
      </c>
      <c r="G75" s="74" t="s">
        <v>112</v>
      </c>
      <c r="H75" s="75">
        <v>15</v>
      </c>
      <c r="I75" s="76">
        <v>10</v>
      </c>
      <c r="J75" s="96">
        <f>2+2+2+1+2+1+1</f>
        <v>11</v>
      </c>
      <c r="K75" s="77">
        <f>3655.66+6862.24+2535.72+3550.85+401.4</f>
        <v>17005.87</v>
      </c>
      <c r="L75" s="77">
        <f>3655.66+6862.24+2535.72+3550.85+401.4</f>
        <v>17005.87</v>
      </c>
      <c r="M75" s="78">
        <f t="shared" si="1"/>
        <v>0</v>
      </c>
      <c r="N75" s="100">
        <f>1+2+2+1+1+1</f>
        <v>8</v>
      </c>
      <c r="O75" s="81">
        <f>1743.3+3921.71+422.62+5626.45+37901.04</f>
        <v>49615.12</v>
      </c>
      <c r="P75" s="81">
        <f>1743.3+3921.71+422.62+5626.45+37901.04</f>
        <v>49615.12</v>
      </c>
      <c r="Q75" s="232">
        <f t="shared" si="2"/>
        <v>0</v>
      </c>
    </row>
    <row r="76" spans="1:17" s="13" customFormat="1" x14ac:dyDescent="0.25">
      <c r="A76" s="229"/>
      <c r="B76" s="27" t="s">
        <v>149</v>
      </c>
      <c r="C76" s="181" t="s">
        <v>17</v>
      </c>
      <c r="D76" s="182"/>
      <c r="E76" s="183" t="s">
        <v>383</v>
      </c>
      <c r="F76" s="73" t="s">
        <v>354</v>
      </c>
      <c r="G76" s="74" t="s">
        <v>112</v>
      </c>
      <c r="H76" s="75">
        <v>39</v>
      </c>
      <c r="I76" s="76">
        <v>12</v>
      </c>
      <c r="J76" s="96">
        <f>7+3+3</f>
        <v>13</v>
      </c>
      <c r="K76" s="77">
        <f>7743.07+4386.1+10376.2</f>
        <v>22505.370000000003</v>
      </c>
      <c r="L76" s="77">
        <f>7743.07+4386.1+10376.2</f>
        <v>22505.370000000003</v>
      </c>
      <c r="M76" s="78">
        <f t="shared" ref="M76:M139" si="3">K76-L76</f>
        <v>0</v>
      </c>
      <c r="N76" s="100">
        <f>2+2+2+1</f>
        <v>7</v>
      </c>
      <c r="O76" s="81">
        <f>3676.8+3431.65+6320.35+4068.03</f>
        <v>17496.830000000002</v>
      </c>
      <c r="P76" s="81">
        <f>3676.8+3431.65+6320.35+4068.03</f>
        <v>17496.830000000002</v>
      </c>
      <c r="Q76" s="79">
        <f t="shared" si="2"/>
        <v>0</v>
      </c>
    </row>
    <row r="77" spans="1:17" s="13" customFormat="1" x14ac:dyDescent="0.25">
      <c r="A77" s="229"/>
      <c r="B77" s="27" t="s">
        <v>149</v>
      </c>
      <c r="C77" s="181" t="s">
        <v>17</v>
      </c>
      <c r="D77" s="182"/>
      <c r="E77" s="183" t="s">
        <v>383</v>
      </c>
      <c r="F77" s="73" t="s">
        <v>438</v>
      </c>
      <c r="G77" s="230" t="s">
        <v>118</v>
      </c>
      <c r="H77" s="181">
        <v>16</v>
      </c>
      <c r="I77" s="234">
        <v>1</v>
      </c>
      <c r="J77" s="190">
        <v>1</v>
      </c>
      <c r="K77" s="193">
        <v>576.29999999999995</v>
      </c>
      <c r="L77" s="193">
        <v>576.29999999999995</v>
      </c>
      <c r="M77" s="78">
        <f t="shared" si="1"/>
        <v>0</v>
      </c>
      <c r="N77" s="114">
        <v>7</v>
      </c>
      <c r="O77" s="224">
        <v>9835.52</v>
      </c>
      <c r="P77" s="224">
        <v>9835.52</v>
      </c>
      <c r="Q77" s="232">
        <f t="shared" si="2"/>
        <v>0</v>
      </c>
    </row>
    <row r="78" spans="1:17" s="13" customFormat="1" x14ac:dyDescent="0.25">
      <c r="A78" s="229"/>
      <c r="B78" s="62" t="s">
        <v>107</v>
      </c>
      <c r="C78" s="181" t="s">
        <v>17</v>
      </c>
      <c r="D78" s="182"/>
      <c r="E78" s="194" t="s">
        <v>20</v>
      </c>
      <c r="F78" s="73" t="s">
        <v>355</v>
      </c>
      <c r="G78" s="74" t="s">
        <v>112</v>
      </c>
      <c r="H78" s="75">
        <v>14</v>
      </c>
      <c r="I78" s="76">
        <v>9</v>
      </c>
      <c r="J78" s="96">
        <f>1+3+3+2+1+2+1</f>
        <v>13</v>
      </c>
      <c r="K78" s="77">
        <f>666.63+7071.2+5333.38+13316.37+23091.24+4686.95+2216.53+401.4</f>
        <v>56783.700000000004</v>
      </c>
      <c r="L78" s="77">
        <f>666.63+7071.2+5333.38+13316.37+23091.24+4686.95+2216.53</f>
        <v>56382.3</v>
      </c>
      <c r="M78" s="78">
        <f t="shared" si="3"/>
        <v>401.40000000000146</v>
      </c>
      <c r="N78" s="100">
        <f>2+6+1+1+2</f>
        <v>12</v>
      </c>
      <c r="O78" s="81">
        <f>7612.92+18804.48+9163.33+3260.98+6297.63+2609.1</f>
        <v>47748.44</v>
      </c>
      <c r="P78" s="81">
        <f>7612.92+18804.48+9163.33+3260.98+6297.63</f>
        <v>45139.340000000004</v>
      </c>
      <c r="Q78" s="79">
        <f t="shared" si="2"/>
        <v>2609.0999999999985</v>
      </c>
    </row>
    <row r="79" spans="1:17" s="13" customFormat="1" x14ac:dyDescent="0.25">
      <c r="A79" s="229"/>
      <c r="B79" s="30" t="s">
        <v>54</v>
      </c>
      <c r="C79" s="181" t="s">
        <v>17</v>
      </c>
      <c r="D79" s="182"/>
      <c r="E79" s="194" t="s">
        <v>20</v>
      </c>
      <c r="F79" s="73" t="s">
        <v>356</v>
      </c>
      <c r="G79" s="74" t="s">
        <v>112</v>
      </c>
      <c r="H79" s="75"/>
      <c r="I79" s="76"/>
      <c r="J79" s="96"/>
      <c r="K79" s="77">
        <f>9075.37</f>
        <v>9075.3700000000008</v>
      </c>
      <c r="L79" s="77">
        <f>9075.37</f>
        <v>9075.3700000000008</v>
      </c>
      <c r="M79" s="78">
        <f t="shared" si="3"/>
        <v>0</v>
      </c>
      <c r="N79" s="100">
        <f>4+1+1+2+1</f>
        <v>9</v>
      </c>
      <c r="O79" s="81">
        <f>17895.28+17443.73+5473.41+2994.97</f>
        <v>43807.39</v>
      </c>
      <c r="P79" s="81">
        <f>17895.28+17443.73+5473.41+2994.97</f>
        <v>43807.39</v>
      </c>
      <c r="Q79" s="79">
        <f t="shared" si="2"/>
        <v>0</v>
      </c>
    </row>
    <row r="80" spans="1:17" s="13" customFormat="1" ht="30" x14ac:dyDescent="0.25">
      <c r="A80" s="229"/>
      <c r="B80" s="27" t="s">
        <v>55</v>
      </c>
      <c r="C80" s="181" t="s">
        <v>304</v>
      </c>
      <c r="D80" s="182" t="s">
        <v>387</v>
      </c>
      <c r="E80" s="183" t="s">
        <v>20</v>
      </c>
      <c r="F80" s="73" t="s">
        <v>357</v>
      </c>
      <c r="G80" s="74" t="s">
        <v>112</v>
      </c>
      <c r="H80" s="75">
        <v>23</v>
      </c>
      <c r="I80" s="76">
        <v>17</v>
      </c>
      <c r="J80" s="98">
        <f>3+1+1+2+1+1+1+3+3+1</f>
        <v>17</v>
      </c>
      <c r="K80" s="77">
        <f>1267.86+6667.8+5756.15+1180.38+4780.37+4352.43+2850.42+2493.42+1404.9+10097.91</f>
        <v>40851.64</v>
      </c>
      <c r="L80" s="77">
        <f>1267.86+6667.8+5756.15+1180.38+4780.37+4352.43+2850.42+2493.42+1404.9</f>
        <v>30753.729999999996</v>
      </c>
      <c r="M80" s="78">
        <f t="shared" si="3"/>
        <v>10097.910000000003</v>
      </c>
      <c r="N80" s="100">
        <f>2+1+2+2+2+1+2+1+1+1</f>
        <v>15</v>
      </c>
      <c r="O80" s="81">
        <f>34854.19+2113.1+6430.67+5463.42+39145.22+2535.72+5132.44+12985.86</f>
        <v>108660.62000000001</v>
      </c>
      <c r="P80" s="81">
        <f>34854.19+2113.1+6430.67+5463.42+39145.22+2535.72+5132.44+12985.86</f>
        <v>108660.62000000001</v>
      </c>
      <c r="Q80" s="232">
        <f t="shared" si="2"/>
        <v>0</v>
      </c>
    </row>
    <row r="81" spans="1:17" s="13" customFormat="1" ht="30" x14ac:dyDescent="0.25">
      <c r="A81" s="229"/>
      <c r="B81" s="62" t="s">
        <v>56</v>
      </c>
      <c r="C81" s="181" t="s">
        <v>17</v>
      </c>
      <c r="D81" s="182" t="s">
        <v>386</v>
      </c>
      <c r="E81" s="183" t="s">
        <v>18</v>
      </c>
      <c r="F81" s="73" t="s">
        <v>358</v>
      </c>
      <c r="G81" s="74" t="s">
        <v>112</v>
      </c>
      <c r="H81" s="75">
        <v>14</v>
      </c>
      <c r="I81" s="76">
        <v>11</v>
      </c>
      <c r="J81" s="96">
        <f>1+1+2+2+5</f>
        <v>11</v>
      </c>
      <c r="K81" s="77">
        <f>678.11+678.11+4865.7+5265.72+4915.15</f>
        <v>16402.79</v>
      </c>
      <c r="L81" s="77">
        <f>678.11+678.11+4865.7+5265.72</f>
        <v>11487.64</v>
      </c>
      <c r="M81" s="78">
        <f t="shared" si="3"/>
        <v>4915.1500000000015</v>
      </c>
      <c r="N81" s="100">
        <f>1</f>
        <v>1</v>
      </c>
      <c r="O81" s="81">
        <f>4395.5</f>
        <v>4395.5</v>
      </c>
      <c r="P81" s="81">
        <f>4395.5</f>
        <v>4395.5</v>
      </c>
      <c r="Q81" s="79">
        <f t="shared" si="2"/>
        <v>0</v>
      </c>
    </row>
    <row r="82" spans="1:17" s="13" customFormat="1" ht="30" x14ac:dyDescent="0.25">
      <c r="A82" s="229"/>
      <c r="B82" s="62" t="s">
        <v>56</v>
      </c>
      <c r="C82" s="181" t="s">
        <v>304</v>
      </c>
      <c r="D82" s="182" t="s">
        <v>386</v>
      </c>
      <c r="E82" s="183" t="s">
        <v>18</v>
      </c>
      <c r="F82" s="73" t="s">
        <v>476</v>
      </c>
      <c r="G82" s="230" t="s">
        <v>113</v>
      </c>
      <c r="H82" s="181">
        <v>13</v>
      </c>
      <c r="I82" s="231">
        <v>9</v>
      </c>
      <c r="J82" s="96">
        <v>9</v>
      </c>
      <c r="K82" s="77">
        <v>15944</v>
      </c>
      <c r="L82" s="77">
        <v>15944</v>
      </c>
      <c r="M82" s="78">
        <f t="shared" si="3"/>
        <v>0</v>
      </c>
      <c r="N82" s="100"/>
      <c r="O82" s="224">
        <v>7612</v>
      </c>
      <c r="P82" s="224">
        <v>7612</v>
      </c>
      <c r="Q82" s="232">
        <f t="shared" ref="Q82:Q146" si="4">O82-P82</f>
        <v>0</v>
      </c>
    </row>
    <row r="83" spans="1:17" s="13" customFormat="1" x14ac:dyDescent="0.25">
      <c r="A83" s="229"/>
      <c r="B83" s="62" t="s">
        <v>156</v>
      </c>
      <c r="C83" s="181" t="s">
        <v>304</v>
      </c>
      <c r="D83" s="182"/>
      <c r="E83" s="183" t="s">
        <v>20</v>
      </c>
      <c r="F83" s="73" t="s">
        <v>359</v>
      </c>
      <c r="G83" s="74" t="s">
        <v>112</v>
      </c>
      <c r="H83" s="75">
        <v>5</v>
      </c>
      <c r="I83" s="76">
        <v>2</v>
      </c>
      <c r="J83" s="96">
        <f>2</f>
        <v>2</v>
      </c>
      <c r="K83" s="77">
        <f>1690.48+993.47</f>
        <v>2683.95</v>
      </c>
      <c r="L83" s="77">
        <f>1690.48+993.47</f>
        <v>2683.95</v>
      </c>
      <c r="M83" s="78">
        <f t="shared" si="3"/>
        <v>0</v>
      </c>
      <c r="N83" s="100">
        <f>3+1+1</f>
        <v>5</v>
      </c>
      <c r="O83" s="81">
        <f>5488.54+2398.37+422.62+1605.6</f>
        <v>9915.130000000001</v>
      </c>
      <c r="P83" s="81">
        <f>5488.54+2398.37+422.62+1605.6</f>
        <v>9915.130000000001</v>
      </c>
      <c r="Q83" s="79">
        <f t="shared" si="4"/>
        <v>0</v>
      </c>
    </row>
    <row r="84" spans="1:17" s="15" customFormat="1" x14ac:dyDescent="0.25">
      <c r="A84" s="229"/>
      <c r="B84" s="62" t="s">
        <v>57</v>
      </c>
      <c r="C84" s="181" t="s">
        <v>17</v>
      </c>
      <c r="D84" s="182"/>
      <c r="E84" s="183" t="s">
        <v>20</v>
      </c>
      <c r="F84" s="73" t="s">
        <v>360</v>
      </c>
      <c r="G84" s="74" t="s">
        <v>112</v>
      </c>
      <c r="H84" s="75">
        <v>8</v>
      </c>
      <c r="I84" s="76">
        <v>6</v>
      </c>
      <c r="J84" s="96">
        <f>2+1+1+2</f>
        <v>6</v>
      </c>
      <c r="K84" s="77">
        <f>806.82+1728.9+422.62+2958.34</f>
        <v>5916.68</v>
      </c>
      <c r="L84" s="77">
        <f>806.82+1728.9+422.62+2958.34</f>
        <v>5916.68</v>
      </c>
      <c r="M84" s="78">
        <f t="shared" si="3"/>
        <v>0</v>
      </c>
      <c r="N84" s="100">
        <f>2+1</f>
        <v>3</v>
      </c>
      <c r="O84" s="81">
        <f>2745.3</f>
        <v>2745.3</v>
      </c>
      <c r="P84" s="81">
        <f>2745.3</f>
        <v>2745.3</v>
      </c>
      <c r="Q84" s="232">
        <f t="shared" si="4"/>
        <v>0</v>
      </c>
    </row>
    <row r="85" spans="1:17" s="15" customFormat="1" x14ac:dyDescent="0.25">
      <c r="A85" s="229"/>
      <c r="B85" s="62" t="s">
        <v>57</v>
      </c>
      <c r="C85" s="181" t="s">
        <v>17</v>
      </c>
      <c r="D85" s="182"/>
      <c r="E85" s="183" t="s">
        <v>20</v>
      </c>
      <c r="F85" s="73" t="s">
        <v>458</v>
      </c>
      <c r="G85" s="230" t="s">
        <v>114</v>
      </c>
      <c r="H85" s="181">
        <v>36</v>
      </c>
      <c r="I85" s="231">
        <v>14</v>
      </c>
      <c r="J85" s="190">
        <v>14</v>
      </c>
      <c r="K85" s="77">
        <v>28057.919999999998</v>
      </c>
      <c r="L85" s="77">
        <v>28057.919999999998</v>
      </c>
      <c r="M85" s="78">
        <f t="shared" si="3"/>
        <v>0</v>
      </c>
      <c r="N85" s="100">
        <v>20</v>
      </c>
      <c r="O85" s="224">
        <v>42687.199999999997</v>
      </c>
      <c r="P85" s="224">
        <v>42687.199999999997</v>
      </c>
      <c r="Q85" s="232">
        <f t="shared" si="4"/>
        <v>0</v>
      </c>
    </row>
    <row r="86" spans="1:17" s="13" customFormat="1" x14ac:dyDescent="0.25">
      <c r="A86" s="229"/>
      <c r="B86" s="62" t="s">
        <v>58</v>
      </c>
      <c r="C86" s="181" t="s">
        <v>17</v>
      </c>
      <c r="D86" s="182"/>
      <c r="E86" s="183" t="s">
        <v>20</v>
      </c>
      <c r="F86" s="73" t="s">
        <v>361</v>
      </c>
      <c r="G86" s="74" t="s">
        <v>112</v>
      </c>
      <c r="H86" s="75">
        <v>9</v>
      </c>
      <c r="I86" s="76">
        <v>7</v>
      </c>
      <c r="J86" s="96">
        <f>1+2+1+1+1+1</f>
        <v>7</v>
      </c>
      <c r="K86" s="77">
        <f>1892.47+3118.94+422.62+1324.62</f>
        <v>6758.65</v>
      </c>
      <c r="L86" s="77">
        <f>1892.47+3118.94+422.62+1324.62</f>
        <v>6758.65</v>
      </c>
      <c r="M86" s="78">
        <f t="shared" si="3"/>
        <v>0</v>
      </c>
      <c r="N86" s="100">
        <f>1+1+3+1</f>
        <v>6</v>
      </c>
      <c r="O86" s="81">
        <f>9196.24+2480.78+2954.11+15214.32</f>
        <v>29845.45</v>
      </c>
      <c r="P86" s="81">
        <f>9196.24+2480.78+2954.11+15214.32</f>
        <v>29845.45</v>
      </c>
      <c r="Q86" s="232">
        <f t="shared" si="4"/>
        <v>0</v>
      </c>
    </row>
    <row r="87" spans="1:17" s="13" customFormat="1" x14ac:dyDescent="0.25">
      <c r="A87" s="229"/>
      <c r="B87" s="62" t="s">
        <v>58</v>
      </c>
      <c r="C87" s="181" t="s">
        <v>17</v>
      </c>
      <c r="D87" s="182"/>
      <c r="E87" s="183" t="s">
        <v>20</v>
      </c>
      <c r="F87" s="73" t="s">
        <v>478</v>
      </c>
      <c r="G87" s="230" t="s">
        <v>114</v>
      </c>
      <c r="H87" s="181">
        <v>15</v>
      </c>
      <c r="I87" s="231">
        <v>3</v>
      </c>
      <c r="J87" s="190">
        <v>3</v>
      </c>
      <c r="K87" s="77">
        <v>3765.16</v>
      </c>
      <c r="L87" s="77">
        <v>3765.16</v>
      </c>
      <c r="M87" s="78">
        <f t="shared" si="3"/>
        <v>0</v>
      </c>
      <c r="N87" s="100">
        <v>21</v>
      </c>
      <c r="O87" s="224">
        <v>54215.77</v>
      </c>
      <c r="P87" s="224">
        <v>54215.77</v>
      </c>
      <c r="Q87" s="232">
        <f t="shared" si="4"/>
        <v>0</v>
      </c>
    </row>
    <row r="88" spans="1:17" s="13" customFormat="1" x14ac:dyDescent="0.25">
      <c r="A88" s="229"/>
      <c r="B88" s="62" t="s">
        <v>59</v>
      </c>
      <c r="C88" s="181" t="s">
        <v>17</v>
      </c>
      <c r="D88" s="182"/>
      <c r="E88" s="183" t="s">
        <v>20</v>
      </c>
      <c r="F88" s="73" t="s">
        <v>362</v>
      </c>
      <c r="G88" s="74" t="s">
        <v>112</v>
      </c>
      <c r="H88" s="75">
        <v>13</v>
      </c>
      <c r="I88" s="76">
        <v>8</v>
      </c>
      <c r="J88" s="96">
        <f>1+1+1+3+1+1</f>
        <v>8</v>
      </c>
      <c r="K88" s="77">
        <f>403.41+1431.16+845.24+998.92+3059.87</f>
        <v>6738.6</v>
      </c>
      <c r="L88" s="77">
        <f>403.41+1431.16+845.24+998.92+3059.87</f>
        <v>6738.6</v>
      </c>
      <c r="M88" s="78">
        <f t="shared" si="3"/>
        <v>0</v>
      </c>
      <c r="N88" s="100">
        <f>1+2+2+1+1+1+1</f>
        <v>9</v>
      </c>
      <c r="O88" s="81">
        <f>6646.05+1267.86+979.71</f>
        <v>8893.619999999999</v>
      </c>
      <c r="P88" s="81">
        <f>2353.23+5561.68+978.71</f>
        <v>8893.619999999999</v>
      </c>
      <c r="Q88" s="232">
        <f t="shared" si="4"/>
        <v>0</v>
      </c>
    </row>
    <row r="89" spans="1:17" s="13" customFormat="1" x14ac:dyDescent="0.25">
      <c r="A89" s="229"/>
      <c r="B89" s="62" t="s">
        <v>59</v>
      </c>
      <c r="C89" s="181" t="s">
        <v>17</v>
      </c>
      <c r="D89" s="182"/>
      <c r="E89" s="183" t="s">
        <v>20</v>
      </c>
      <c r="F89" s="73" t="s">
        <v>128</v>
      </c>
      <c r="G89" s="230" t="s">
        <v>114</v>
      </c>
      <c r="H89" s="181"/>
      <c r="I89" s="231"/>
      <c r="J89" s="190"/>
      <c r="K89" s="77"/>
      <c r="L89" s="77"/>
      <c r="M89" s="78">
        <f t="shared" si="3"/>
        <v>0</v>
      </c>
      <c r="N89" s="100"/>
      <c r="O89" s="224"/>
      <c r="P89" s="224"/>
      <c r="Q89" s="232">
        <f t="shared" si="4"/>
        <v>0</v>
      </c>
    </row>
    <row r="90" spans="1:17" s="13" customFormat="1" x14ac:dyDescent="0.25">
      <c r="A90" s="229"/>
      <c r="B90" s="27" t="s">
        <v>60</v>
      </c>
      <c r="C90" s="181" t="s">
        <v>17</v>
      </c>
      <c r="D90" s="182"/>
      <c r="E90" s="183" t="s">
        <v>20</v>
      </c>
      <c r="F90" s="73" t="s">
        <v>364</v>
      </c>
      <c r="G90" s="74" t="s">
        <v>112</v>
      </c>
      <c r="H90" s="75">
        <v>20</v>
      </c>
      <c r="I90" s="76">
        <v>11</v>
      </c>
      <c r="J90" s="96">
        <f>1+1+1+4+4+2</f>
        <v>13</v>
      </c>
      <c r="K90" s="77">
        <f>634.93+893.27+2930.22+8503.46</f>
        <v>12961.88</v>
      </c>
      <c r="L90" s="77">
        <f>634.93+893.27+2930.22+8503.46</f>
        <v>12961.88</v>
      </c>
      <c r="M90" s="78">
        <f t="shared" si="3"/>
        <v>0</v>
      </c>
      <c r="N90" s="100">
        <f>4+1+3+1+1+2</f>
        <v>12</v>
      </c>
      <c r="O90" s="81">
        <f>15124.53+2065.75+8492.52+5828.3</f>
        <v>31511.1</v>
      </c>
      <c r="P90" s="81">
        <f>15124.53+2065.75+8492.52+5828.3</f>
        <v>31511.1</v>
      </c>
      <c r="Q90" s="232">
        <f t="shared" si="4"/>
        <v>0</v>
      </c>
    </row>
    <row r="91" spans="1:17" s="13" customFormat="1" x14ac:dyDescent="0.25">
      <c r="A91" s="229"/>
      <c r="B91" s="27" t="s">
        <v>60</v>
      </c>
      <c r="C91" s="181" t="s">
        <v>17</v>
      </c>
      <c r="D91" s="182"/>
      <c r="E91" s="183" t="s">
        <v>20</v>
      </c>
      <c r="F91" s="73" t="s">
        <v>479</v>
      </c>
      <c r="G91" s="230" t="s">
        <v>114</v>
      </c>
      <c r="H91" s="181">
        <v>14</v>
      </c>
      <c r="I91" s="231">
        <v>2</v>
      </c>
      <c r="J91" s="190">
        <v>2</v>
      </c>
      <c r="K91" s="77">
        <v>5186.7</v>
      </c>
      <c r="L91" s="77">
        <v>5186.7</v>
      </c>
      <c r="M91" s="78">
        <f t="shared" si="3"/>
        <v>0</v>
      </c>
      <c r="N91" s="100">
        <v>12</v>
      </c>
      <c r="O91" s="224">
        <v>41221.599999999999</v>
      </c>
      <c r="P91" s="224">
        <v>41221.599999999999</v>
      </c>
      <c r="Q91" s="232">
        <f t="shared" si="4"/>
        <v>0</v>
      </c>
    </row>
    <row r="92" spans="1:17" s="13" customFormat="1" x14ac:dyDescent="0.25">
      <c r="A92" s="229"/>
      <c r="B92" s="27" t="s">
        <v>493</v>
      </c>
      <c r="C92" s="181" t="s">
        <v>17</v>
      </c>
      <c r="D92" s="182"/>
      <c r="E92" s="183" t="s">
        <v>20</v>
      </c>
      <c r="F92" s="73" t="s">
        <v>496</v>
      </c>
      <c r="G92" s="230" t="s">
        <v>112</v>
      </c>
      <c r="H92" s="181">
        <v>15</v>
      </c>
      <c r="I92" s="231">
        <v>11</v>
      </c>
      <c r="J92" s="190">
        <f>3+2+1+3+1+2+1+3</f>
        <v>16</v>
      </c>
      <c r="K92" s="77">
        <f>3387.04+3467.41+1267.86+2218.74+8089.94+1924.71+5638.36</f>
        <v>25994.059999999998</v>
      </c>
      <c r="L92" s="77">
        <f>3387.04+3467.41+1267.86+2218.74+8089.94+1924.71+5638.36</f>
        <v>25994.059999999998</v>
      </c>
      <c r="M92" s="78">
        <f t="shared" si="3"/>
        <v>0</v>
      </c>
      <c r="N92" s="100"/>
      <c r="O92" s="224"/>
      <c r="P92" s="224"/>
      <c r="Q92" s="232">
        <f t="shared" si="4"/>
        <v>0</v>
      </c>
    </row>
    <row r="93" spans="1:17" s="15" customFormat="1" x14ac:dyDescent="0.25">
      <c r="A93" s="229"/>
      <c r="B93" s="27" t="s">
        <v>61</v>
      </c>
      <c r="C93" s="181" t="s">
        <v>17</v>
      </c>
      <c r="D93" s="182"/>
      <c r="E93" s="183" t="s">
        <v>20</v>
      </c>
      <c r="F93" s="73" t="s">
        <v>363</v>
      </c>
      <c r="G93" s="74" t="s">
        <v>112</v>
      </c>
      <c r="H93" s="75"/>
      <c r="I93" s="76"/>
      <c r="J93" s="96"/>
      <c r="K93" s="77"/>
      <c r="L93" s="77"/>
      <c r="M93" s="78">
        <f t="shared" si="3"/>
        <v>0</v>
      </c>
      <c r="N93" s="100"/>
      <c r="O93" s="81"/>
      <c r="P93" s="81"/>
      <c r="Q93" s="232">
        <f t="shared" si="4"/>
        <v>0</v>
      </c>
    </row>
    <row r="94" spans="1:17" s="15" customFormat="1" x14ac:dyDescent="0.25">
      <c r="A94" s="229"/>
      <c r="B94" s="236" t="s">
        <v>306</v>
      </c>
      <c r="C94" s="181" t="s">
        <v>17</v>
      </c>
      <c r="D94" s="182"/>
      <c r="E94" s="183" t="s">
        <v>35</v>
      </c>
      <c r="F94" s="73" t="s">
        <v>365</v>
      </c>
      <c r="G94" s="230" t="s">
        <v>112</v>
      </c>
      <c r="H94" s="181">
        <v>39</v>
      </c>
      <c r="I94" s="231">
        <v>25</v>
      </c>
      <c r="J94" s="190">
        <f>1+2+1+3+3+2+3+1+2+1+3+4</f>
        <v>26</v>
      </c>
      <c r="K94" s="77">
        <f>1045.98+2658.7+35696.14+4892.46+1024.04+2384.53+10793.24+5320.79+2075.24+1324.62+1192.16+2649.24</f>
        <v>71057.14</v>
      </c>
      <c r="L94" s="77">
        <f>1045.98+2658.7+35696.14+4892.46+1024.04+2384.53+10793.24+5320.79+2075.24+1324.62+1192.16+2649.24</f>
        <v>71057.14</v>
      </c>
      <c r="M94" s="78">
        <f t="shared" si="3"/>
        <v>0</v>
      </c>
      <c r="N94" s="114">
        <f>7+2+2+2+1+1+1</f>
        <v>16</v>
      </c>
      <c r="O94" s="224">
        <f>2313.84+6162.57+2330.32+1690.48+3706.14+3107.65+4960.7</f>
        <v>24271.7</v>
      </c>
      <c r="P94" s="224">
        <f>2313.84+6162.57+2330.32+1690.48+3706.14+3107.65+4960.7</f>
        <v>24271.7</v>
      </c>
      <c r="Q94" s="232">
        <f t="shared" si="4"/>
        <v>0</v>
      </c>
    </row>
    <row r="95" spans="1:17" s="13" customFormat="1" x14ac:dyDescent="0.25">
      <c r="A95" s="229"/>
      <c r="B95" s="62" t="s">
        <v>306</v>
      </c>
      <c r="C95" s="181" t="s">
        <v>17</v>
      </c>
      <c r="D95" s="182"/>
      <c r="E95" s="183" t="s">
        <v>27</v>
      </c>
      <c r="F95" s="73" t="s">
        <v>421</v>
      </c>
      <c r="G95" s="230" t="s">
        <v>117</v>
      </c>
      <c r="H95" s="181">
        <v>5</v>
      </c>
      <c r="I95" s="231"/>
      <c r="J95" s="96"/>
      <c r="K95" s="77"/>
      <c r="L95" s="77"/>
      <c r="M95" s="78">
        <f t="shared" si="3"/>
        <v>0</v>
      </c>
      <c r="N95" s="100"/>
      <c r="O95" s="77"/>
      <c r="P95" s="77"/>
      <c r="Q95" s="79">
        <f>O95-P95</f>
        <v>0</v>
      </c>
    </row>
    <row r="96" spans="1:17" s="13" customFormat="1" x14ac:dyDescent="0.25">
      <c r="A96" s="229"/>
      <c r="B96" s="27" t="s">
        <v>62</v>
      </c>
      <c r="C96" s="181" t="s">
        <v>17</v>
      </c>
      <c r="D96" s="182"/>
      <c r="E96" s="183" t="s">
        <v>35</v>
      </c>
      <c r="F96" s="73" t="s">
        <v>366</v>
      </c>
      <c r="G96" s="74" t="s">
        <v>112</v>
      </c>
      <c r="H96" s="75">
        <v>31</v>
      </c>
      <c r="I96" s="76">
        <v>22</v>
      </c>
      <c r="J96" s="96">
        <f>1+3+1+1+2+4+4+3+3+4</f>
        <v>26</v>
      </c>
      <c r="K96" s="77">
        <f>3613.4+1872.01+1394.65+3518.32+15902.72+5370.89+2686.97+19155.26</f>
        <v>53514.22</v>
      </c>
      <c r="L96" s="77">
        <f>3613.4+1872.01+1394.65+3518.32+15902.72+5370.89+2686.97</f>
        <v>34358.959999999999</v>
      </c>
      <c r="M96" s="78">
        <f t="shared" si="3"/>
        <v>19155.260000000002</v>
      </c>
      <c r="N96" s="100">
        <f>6+2+1+2+1+3+1+1</f>
        <v>17</v>
      </c>
      <c r="O96" s="81">
        <f>19511.33+1270.93+3979.74+2500.85+8530.18+845.24+12787.47+17476.07</f>
        <v>66901.81</v>
      </c>
      <c r="P96" s="81">
        <f>19511.33+1270.93+3979.74+2500.85+8530.18+845.24+12787.47+17476.07</f>
        <v>66901.81</v>
      </c>
      <c r="Q96" s="79">
        <f t="shared" si="4"/>
        <v>0</v>
      </c>
    </row>
    <row r="97" spans="1:17" s="13" customFormat="1" x14ac:dyDescent="0.25">
      <c r="A97" s="229"/>
      <c r="B97" s="27" t="s">
        <v>62</v>
      </c>
      <c r="C97" s="181" t="s">
        <v>17</v>
      </c>
      <c r="D97" s="182"/>
      <c r="E97" s="183" t="s">
        <v>35</v>
      </c>
      <c r="F97" s="73" t="s">
        <v>428</v>
      </c>
      <c r="G97" s="230" t="s">
        <v>117</v>
      </c>
      <c r="H97" s="181">
        <v>6</v>
      </c>
      <c r="I97" s="231"/>
      <c r="J97" s="96"/>
      <c r="K97" s="77"/>
      <c r="L97" s="77"/>
      <c r="M97" s="78">
        <f t="shared" si="3"/>
        <v>0</v>
      </c>
      <c r="N97" s="100">
        <v>9</v>
      </c>
      <c r="O97" s="224">
        <v>22788.1</v>
      </c>
      <c r="P97" s="224">
        <v>22788.1</v>
      </c>
      <c r="Q97" s="232">
        <f t="shared" si="4"/>
        <v>0</v>
      </c>
    </row>
    <row r="98" spans="1:17" s="13" customFormat="1" x14ac:dyDescent="0.25">
      <c r="A98" s="229"/>
      <c r="B98" s="27" t="s">
        <v>155</v>
      </c>
      <c r="C98" s="181" t="s">
        <v>17</v>
      </c>
      <c r="D98" s="182"/>
      <c r="E98" s="183" t="s">
        <v>20</v>
      </c>
      <c r="F98" s="73" t="s">
        <v>367</v>
      </c>
      <c r="G98" s="74" t="s">
        <v>112</v>
      </c>
      <c r="H98" s="75">
        <v>14</v>
      </c>
      <c r="I98" s="82">
        <v>9</v>
      </c>
      <c r="J98" s="96">
        <f>1+2+3+1+2+2+1</f>
        <v>12</v>
      </c>
      <c r="K98" s="77">
        <f>3117.56+2266.78+5307.72+3606.94+1494.21+6905.68</f>
        <v>22698.890000000003</v>
      </c>
      <c r="L98" s="77">
        <f>3117.56+2266.78+5307.72+3606.94+1494.21</f>
        <v>15793.210000000003</v>
      </c>
      <c r="M98" s="78">
        <f t="shared" si="3"/>
        <v>6905.68</v>
      </c>
      <c r="N98" s="100">
        <f>1+1+1+1+1</f>
        <v>5</v>
      </c>
      <c r="O98" s="81">
        <f>1798.06+2123.67</f>
        <v>3921.73</v>
      </c>
      <c r="P98" s="81">
        <f>1798.06+2123.67</f>
        <v>3921.73</v>
      </c>
      <c r="Q98" s="232">
        <f t="shared" si="4"/>
        <v>0</v>
      </c>
    </row>
    <row r="99" spans="1:17" s="13" customFormat="1" ht="15.75" x14ac:dyDescent="0.25">
      <c r="A99" s="229"/>
      <c r="B99" s="27" t="s">
        <v>155</v>
      </c>
      <c r="C99" s="181" t="s">
        <v>17</v>
      </c>
      <c r="D99" s="182"/>
      <c r="E99" s="183" t="s">
        <v>20</v>
      </c>
      <c r="F99" s="73" t="s">
        <v>459</v>
      </c>
      <c r="G99" s="230" t="s">
        <v>114</v>
      </c>
      <c r="H99" s="1">
        <v>14</v>
      </c>
      <c r="I99" s="231">
        <v>4</v>
      </c>
      <c r="J99" s="190">
        <v>4</v>
      </c>
      <c r="K99" s="77">
        <v>8816.51</v>
      </c>
      <c r="L99" s="77">
        <v>8816.51</v>
      </c>
      <c r="M99" s="78">
        <f t="shared" si="3"/>
        <v>0</v>
      </c>
      <c r="N99" s="100">
        <v>16</v>
      </c>
      <c r="O99" s="224">
        <v>36413.46</v>
      </c>
      <c r="P99" s="224">
        <v>36413.46</v>
      </c>
      <c r="Q99" s="232">
        <f t="shared" si="4"/>
        <v>0</v>
      </c>
    </row>
    <row r="100" spans="1:17" s="13" customFormat="1" x14ac:dyDescent="0.25">
      <c r="A100" s="229"/>
      <c r="B100" s="30" t="s">
        <v>66</v>
      </c>
      <c r="C100" s="181" t="s">
        <v>17</v>
      </c>
      <c r="D100" s="182"/>
      <c r="E100" s="183" t="s">
        <v>21</v>
      </c>
      <c r="F100" s="73" t="s">
        <v>368</v>
      </c>
      <c r="G100" s="74" t="s">
        <v>112</v>
      </c>
      <c r="H100" s="75">
        <v>34</v>
      </c>
      <c r="I100" s="76">
        <v>29</v>
      </c>
      <c r="J100" s="96">
        <f>1+3+2+3+2+1+2+1+3+7+4+3+2+3+4+5</f>
        <v>46</v>
      </c>
      <c r="K100" s="77">
        <f>1045.98+4309.04+3820.12+1872.01+4253.49+3044.79+1191.19+4942.84+9299.2+9796.16+4139.27+2886.87+11269.91</f>
        <v>61870.87000000001</v>
      </c>
      <c r="L100" s="77">
        <f>1045.98+4309.04+3820.12+1872.01+4253.49+3044.79+1191.19+4942.84+9299.2+9796.16+4139.27+2886.87</f>
        <v>50600.960000000014</v>
      </c>
      <c r="M100" s="78">
        <f t="shared" si="3"/>
        <v>11269.909999999996</v>
      </c>
      <c r="N100" s="100">
        <f>6+3+8+7+1+1+1+2+1+1+1+1+1+1</f>
        <v>35</v>
      </c>
      <c r="O100" s="81">
        <f>11911.17+23136+18060.17+1977.84+2091.97+19535.65+19124.11+3199.71+4430.07+5418.9+2717.24</f>
        <v>111602.83</v>
      </c>
      <c r="P100" s="81">
        <f>11911.17+23136+18060.17+1977.84+2091.97+19535.65+19124.11+3199.71+4430.07+5418.9+2717.24</f>
        <v>111602.83</v>
      </c>
      <c r="Q100" s="232">
        <f t="shared" si="4"/>
        <v>0</v>
      </c>
    </row>
    <row r="101" spans="1:17" s="13" customFormat="1" x14ac:dyDescent="0.25">
      <c r="A101" s="229"/>
      <c r="B101" s="30" t="s">
        <v>66</v>
      </c>
      <c r="C101" s="181" t="s">
        <v>17</v>
      </c>
      <c r="D101" s="182"/>
      <c r="E101" s="183" t="s">
        <v>21</v>
      </c>
      <c r="F101" s="73" t="s">
        <v>439</v>
      </c>
      <c r="G101" s="230" t="s">
        <v>118</v>
      </c>
      <c r="H101" s="181">
        <v>7</v>
      </c>
      <c r="I101" s="231">
        <v>3</v>
      </c>
      <c r="J101" s="96">
        <v>3</v>
      </c>
      <c r="K101" s="77">
        <v>5367.3</v>
      </c>
      <c r="L101" s="77">
        <v>5367.3</v>
      </c>
      <c r="M101" s="78">
        <f t="shared" si="3"/>
        <v>0</v>
      </c>
      <c r="N101" s="100">
        <v>24</v>
      </c>
      <c r="O101" s="224">
        <v>81462.58</v>
      </c>
      <c r="P101" s="224">
        <v>81462.58</v>
      </c>
      <c r="Q101" s="79">
        <f t="shared" si="4"/>
        <v>0</v>
      </c>
    </row>
    <row r="102" spans="1:17" s="13" customFormat="1" x14ac:dyDescent="0.25">
      <c r="A102" s="229"/>
      <c r="B102" s="62" t="s">
        <v>137</v>
      </c>
      <c r="C102" s="181" t="s">
        <v>17</v>
      </c>
      <c r="D102" s="182"/>
      <c r="E102" s="194" t="s">
        <v>35</v>
      </c>
      <c r="F102" s="73" t="s">
        <v>369</v>
      </c>
      <c r="G102" s="74" t="s">
        <v>112</v>
      </c>
      <c r="H102" s="75">
        <v>36</v>
      </c>
      <c r="I102" s="76">
        <v>25</v>
      </c>
      <c r="J102" s="96">
        <f>3+3+1+4+1+3+2+3+6</f>
        <v>26</v>
      </c>
      <c r="K102" s="77">
        <f>504.26+845.24+3380.96+422.62+2535.72+6256.62+883.08+2649.24</f>
        <v>17477.739999999998</v>
      </c>
      <c r="L102" s="77">
        <f>504.26+845.24+3380.96+422.62+2535.72+6256.62+883.08+2649.24</f>
        <v>17477.739999999998</v>
      </c>
      <c r="M102" s="78">
        <f t="shared" si="3"/>
        <v>0</v>
      </c>
      <c r="N102" s="100">
        <f>5+1+1+2+1</f>
        <v>10</v>
      </c>
      <c r="O102" s="81">
        <f>2617.36+422.62+3852.18+3380.96+422.62</f>
        <v>10695.74</v>
      </c>
      <c r="P102" s="81">
        <f>2617.36+422.62+3852.18+3380.96+422.62</f>
        <v>10695.74</v>
      </c>
      <c r="Q102" s="232">
        <f t="shared" si="4"/>
        <v>0</v>
      </c>
    </row>
    <row r="103" spans="1:17" s="13" customFormat="1" x14ac:dyDescent="0.25">
      <c r="A103" s="229"/>
      <c r="B103" s="62" t="s">
        <v>137</v>
      </c>
      <c r="C103" s="181" t="s">
        <v>17</v>
      </c>
      <c r="D103" s="182"/>
      <c r="E103" s="194" t="s">
        <v>35</v>
      </c>
      <c r="F103" s="73" t="s">
        <v>429</v>
      </c>
      <c r="G103" s="230" t="s">
        <v>117</v>
      </c>
      <c r="H103" s="181">
        <v>12</v>
      </c>
      <c r="I103" s="231">
        <v>2</v>
      </c>
      <c r="J103" s="190">
        <v>2</v>
      </c>
      <c r="K103" s="193">
        <v>4530.1000000000004</v>
      </c>
      <c r="L103" s="193">
        <v>4530.1000000000004</v>
      </c>
      <c r="M103" s="78">
        <f t="shared" si="3"/>
        <v>0</v>
      </c>
      <c r="N103" s="114">
        <v>2</v>
      </c>
      <c r="O103" s="224">
        <v>10565.5</v>
      </c>
      <c r="P103" s="224">
        <v>10565.5</v>
      </c>
      <c r="Q103" s="79">
        <f t="shared" si="4"/>
        <v>0</v>
      </c>
    </row>
    <row r="104" spans="1:17" s="13" customFormat="1" x14ac:dyDescent="0.25">
      <c r="A104" s="229"/>
      <c r="B104" s="30" t="s">
        <v>67</v>
      </c>
      <c r="C104" s="181" t="s">
        <v>17</v>
      </c>
      <c r="D104" s="182"/>
      <c r="E104" s="194" t="s">
        <v>21</v>
      </c>
      <c r="F104" s="73" t="s">
        <v>370</v>
      </c>
      <c r="G104" s="74" t="s">
        <v>112</v>
      </c>
      <c r="H104" s="75">
        <v>38</v>
      </c>
      <c r="I104" s="76">
        <v>29</v>
      </c>
      <c r="J104" s="96">
        <f>2+1+1+2+1+1+2+2+1+2+5+5+2+5+3</f>
        <v>35</v>
      </c>
      <c r="K104" s="77">
        <f>3319.85+1198.9+864.45+7235.32+1947.89+5377.75+8701.73+3581.7+8737.54+7647.65</f>
        <v>48612.780000000006</v>
      </c>
      <c r="L104" s="77">
        <f>3319.85+1198.9+864.45+7235.32+1947.89+5377.75+8701.73+3581.7+8737.54+7647.65</f>
        <v>48612.780000000006</v>
      </c>
      <c r="M104" s="78">
        <f t="shared" si="3"/>
        <v>0</v>
      </c>
      <c r="N104" s="100">
        <f>4+9+4+4+1+3+1+3+1+1+1+1+1+1</f>
        <v>35</v>
      </c>
      <c r="O104" s="81">
        <f>29696.65+38129.03+13567.9+20687.05+2022.79+8145.77+17250.05+1233.28+5568.04+11106.62</f>
        <v>147407.18</v>
      </c>
      <c r="P104" s="81">
        <f>29696.65+38129.03+13567.9+20687.05+2022.79+8145.77+17250.05+1233.28+5568.04+11106.62</f>
        <v>147407.18</v>
      </c>
      <c r="Q104" s="232">
        <f t="shared" si="4"/>
        <v>0</v>
      </c>
    </row>
    <row r="105" spans="1:17" s="13" customFormat="1" x14ac:dyDescent="0.25">
      <c r="A105" s="229"/>
      <c r="B105" s="30" t="s">
        <v>67</v>
      </c>
      <c r="C105" s="181" t="s">
        <v>17</v>
      </c>
      <c r="D105" s="182"/>
      <c r="E105" s="194" t="s">
        <v>21</v>
      </c>
      <c r="F105" s="73" t="s">
        <v>440</v>
      </c>
      <c r="G105" s="230" t="s">
        <v>118</v>
      </c>
      <c r="H105" s="181">
        <v>15</v>
      </c>
      <c r="I105" s="231">
        <v>2</v>
      </c>
      <c r="J105" s="96">
        <v>2</v>
      </c>
      <c r="K105" s="77">
        <v>5282.54</v>
      </c>
      <c r="L105" s="77">
        <v>5282.54</v>
      </c>
      <c r="M105" s="78">
        <f t="shared" si="3"/>
        <v>0</v>
      </c>
      <c r="N105" s="100">
        <v>20</v>
      </c>
      <c r="O105" s="224">
        <v>66027.179999999993</v>
      </c>
      <c r="P105" s="224">
        <v>66027.179999999993</v>
      </c>
      <c r="Q105" s="79">
        <f t="shared" si="4"/>
        <v>0</v>
      </c>
    </row>
    <row r="106" spans="1:17" s="13" customFormat="1" x14ac:dyDescent="0.25">
      <c r="A106" s="229"/>
      <c r="B106" s="30" t="s">
        <v>68</v>
      </c>
      <c r="C106" s="181" t="s">
        <v>17</v>
      </c>
      <c r="D106" s="182"/>
      <c r="E106" s="194" t="s">
        <v>32</v>
      </c>
      <c r="F106" s="73" t="s">
        <v>371</v>
      </c>
      <c r="G106" s="74" t="s">
        <v>112</v>
      </c>
      <c r="H106" s="75">
        <v>20</v>
      </c>
      <c r="I106" s="76">
        <v>18</v>
      </c>
      <c r="J106" s="96">
        <f>2+1+2+5+5+3+1+2+2</f>
        <v>23</v>
      </c>
      <c r="K106" s="77">
        <f>1128.59+422.62+1152.6+4557.81+10981.59+5362.88+4996.85+4352.15+3073.96+3697.9+1003.5</f>
        <v>40730.450000000004</v>
      </c>
      <c r="L106" s="77">
        <f>1128.59+422.62+1152.6+4557.81+10981.59+5362.88+4996.85+4352.15+3073.96+3697.9+1003.5</f>
        <v>40730.450000000004</v>
      </c>
      <c r="M106" s="78">
        <f t="shared" si="3"/>
        <v>0</v>
      </c>
      <c r="N106" s="100">
        <f>6+5+1+4+2+2+1</f>
        <v>21</v>
      </c>
      <c r="O106" s="81">
        <f>7813.73+8523.5+1452.28+12582.19+18077.76+4987.46+2373.79</f>
        <v>55810.709999999992</v>
      </c>
      <c r="P106" s="81">
        <f>7813.73+8523.5+1452.28+12582.19+18077.76+4987.46+2373.79</f>
        <v>55810.709999999992</v>
      </c>
      <c r="Q106" s="232">
        <f t="shared" si="4"/>
        <v>0</v>
      </c>
    </row>
    <row r="107" spans="1:17" s="13" customFormat="1" x14ac:dyDescent="0.25">
      <c r="A107" s="229"/>
      <c r="B107" s="30" t="s">
        <v>68</v>
      </c>
      <c r="C107" s="181" t="s">
        <v>17</v>
      </c>
      <c r="D107" s="182"/>
      <c r="E107" s="194" t="s">
        <v>32</v>
      </c>
      <c r="F107" s="73" t="s">
        <v>430</v>
      </c>
      <c r="G107" s="235" t="s">
        <v>117</v>
      </c>
      <c r="H107" s="181">
        <v>4</v>
      </c>
      <c r="I107" s="231">
        <v>1</v>
      </c>
      <c r="J107" s="96">
        <v>1</v>
      </c>
      <c r="K107" s="77">
        <v>1204.2</v>
      </c>
      <c r="L107" s="77"/>
      <c r="M107" s="78">
        <f t="shared" si="3"/>
        <v>1204.2</v>
      </c>
      <c r="N107" s="100"/>
      <c r="O107" s="77"/>
      <c r="P107" s="77"/>
      <c r="Q107" s="79">
        <f t="shared" si="4"/>
        <v>0</v>
      </c>
    </row>
    <row r="108" spans="1:17" s="15" customFormat="1" x14ac:dyDescent="0.25">
      <c r="A108" s="229"/>
      <c r="B108" s="27" t="s">
        <v>69</v>
      </c>
      <c r="C108" s="181" t="s">
        <v>17</v>
      </c>
      <c r="D108" s="182"/>
      <c r="E108" s="183" t="s">
        <v>20</v>
      </c>
      <c r="F108" s="73" t="s">
        <v>372</v>
      </c>
      <c r="G108" s="74" t="s">
        <v>112</v>
      </c>
      <c r="H108" s="75">
        <v>8</v>
      </c>
      <c r="I108" s="76">
        <v>5</v>
      </c>
      <c r="J108" s="96">
        <f>1+1+1+1+3+1</f>
        <v>8</v>
      </c>
      <c r="K108" s="77">
        <f>422.62+17390.69+3114.71+475.45+2326.92</f>
        <v>23730.39</v>
      </c>
      <c r="L108" s="77">
        <f>422.62+17390.69+3114.71+475.45+2326.92</f>
        <v>23730.39</v>
      </c>
      <c r="M108" s="78">
        <f t="shared" si="3"/>
        <v>0</v>
      </c>
      <c r="N108" s="100">
        <f>3+2+1+1+1+1</f>
        <v>9</v>
      </c>
      <c r="O108" s="77">
        <f>7210.31+3647.96+1306.28+1267.86+2697.06</f>
        <v>16129.470000000001</v>
      </c>
      <c r="P108" s="77">
        <f>7210.31+3647.96+1306.28+1267.86+2697.06</f>
        <v>16129.470000000001</v>
      </c>
      <c r="Q108" s="232">
        <f t="shared" si="4"/>
        <v>0</v>
      </c>
    </row>
    <row r="109" spans="1:17" s="15" customFormat="1" x14ac:dyDescent="0.25">
      <c r="A109" s="229"/>
      <c r="B109" s="236" t="s">
        <v>502</v>
      </c>
      <c r="C109" s="181" t="s">
        <v>17</v>
      </c>
      <c r="D109" s="182"/>
      <c r="E109" s="183" t="s">
        <v>20</v>
      </c>
      <c r="F109" s="73" t="s">
        <v>508</v>
      </c>
      <c r="G109" s="74" t="s">
        <v>112</v>
      </c>
      <c r="H109" s="75">
        <v>14</v>
      </c>
      <c r="I109" s="76">
        <v>9</v>
      </c>
      <c r="J109" s="96">
        <f>4+1+4+1</f>
        <v>10</v>
      </c>
      <c r="K109" s="77">
        <f>6145.3+993.47+5403.3+2759.63</f>
        <v>15301.7</v>
      </c>
      <c r="L109" s="77">
        <f>6145.3+993.47+5403.3</f>
        <v>12542.07</v>
      </c>
      <c r="M109" s="78">
        <f t="shared" si="3"/>
        <v>2759.630000000001</v>
      </c>
      <c r="N109" s="100"/>
      <c r="O109" s="77"/>
      <c r="P109" s="77"/>
      <c r="Q109" s="232">
        <f t="shared" si="4"/>
        <v>0</v>
      </c>
    </row>
    <row r="110" spans="1:17" s="15" customFormat="1" x14ac:dyDescent="0.25">
      <c r="A110" s="229"/>
      <c r="B110" s="236" t="s">
        <v>502</v>
      </c>
      <c r="C110" s="181" t="s">
        <v>17</v>
      </c>
      <c r="D110" s="182"/>
      <c r="E110" s="183" t="s">
        <v>32</v>
      </c>
      <c r="F110" s="73" t="s">
        <v>511</v>
      </c>
      <c r="G110" s="235" t="s">
        <v>117</v>
      </c>
      <c r="H110" s="75">
        <v>5</v>
      </c>
      <c r="I110" s="76"/>
      <c r="J110" s="96"/>
      <c r="K110" s="77"/>
      <c r="L110" s="77"/>
      <c r="M110" s="78">
        <f t="shared" si="3"/>
        <v>0</v>
      </c>
      <c r="N110" s="100"/>
      <c r="O110" s="77"/>
      <c r="P110" s="77"/>
      <c r="Q110" s="232">
        <f t="shared" si="4"/>
        <v>0</v>
      </c>
    </row>
    <row r="111" spans="1:17" s="13" customFormat="1" x14ac:dyDescent="0.25">
      <c r="A111" s="229"/>
      <c r="B111" s="62" t="s">
        <v>70</v>
      </c>
      <c r="C111" s="181" t="s">
        <v>17</v>
      </c>
      <c r="D111" s="182"/>
      <c r="E111" s="183" t="s">
        <v>20</v>
      </c>
      <c r="F111" s="73" t="s">
        <v>373</v>
      </c>
      <c r="G111" s="74" t="s">
        <v>112</v>
      </c>
      <c r="H111" s="75">
        <v>16</v>
      </c>
      <c r="I111" s="76">
        <v>10</v>
      </c>
      <c r="J111" s="96">
        <f>2+2+2+3+1+2</f>
        <v>12</v>
      </c>
      <c r="K111" s="77">
        <f>19498+3011.17+8156.45</f>
        <v>30665.62</v>
      </c>
      <c r="L111" s="77">
        <f>19498+3011.17+8156.45</f>
        <v>30665.62</v>
      </c>
      <c r="M111" s="78">
        <f t="shared" si="3"/>
        <v>0</v>
      </c>
      <c r="N111" s="100">
        <f>2+3+4+2+1</f>
        <v>12</v>
      </c>
      <c r="O111" s="81">
        <f>7606.2+16795.84+3492.18</f>
        <v>27894.22</v>
      </c>
      <c r="P111" s="81">
        <f>7606.2+16795.84+3492.18</f>
        <v>27894.22</v>
      </c>
      <c r="Q111" s="79">
        <f t="shared" si="4"/>
        <v>0</v>
      </c>
    </row>
    <row r="112" spans="1:17" s="13" customFormat="1" x14ac:dyDescent="0.25">
      <c r="A112" s="229"/>
      <c r="B112" s="62" t="s">
        <v>70</v>
      </c>
      <c r="C112" s="181" t="s">
        <v>17</v>
      </c>
      <c r="D112" s="182"/>
      <c r="E112" s="183" t="s">
        <v>20</v>
      </c>
      <c r="F112" s="73" t="s">
        <v>460</v>
      </c>
      <c r="G112" s="230" t="s">
        <v>114</v>
      </c>
      <c r="H112" s="181">
        <v>36</v>
      </c>
      <c r="I112" s="231">
        <v>14</v>
      </c>
      <c r="J112" s="190">
        <v>14</v>
      </c>
      <c r="K112" s="77">
        <v>31822.240000000002</v>
      </c>
      <c r="L112" s="77">
        <v>31822.240000000002</v>
      </c>
      <c r="M112" s="78">
        <f t="shared" si="3"/>
        <v>0</v>
      </c>
      <c r="N112" s="100">
        <v>31</v>
      </c>
      <c r="O112" s="224">
        <v>75536.87</v>
      </c>
      <c r="P112" s="224">
        <v>75536.87</v>
      </c>
      <c r="Q112" s="232">
        <f t="shared" si="4"/>
        <v>0</v>
      </c>
    </row>
    <row r="113" spans="1:17" s="15" customFormat="1" x14ac:dyDescent="0.25">
      <c r="A113" s="229"/>
      <c r="B113" s="62" t="s">
        <v>71</v>
      </c>
      <c r="C113" s="181" t="s">
        <v>17</v>
      </c>
      <c r="D113" s="182"/>
      <c r="E113" s="183" t="s">
        <v>32</v>
      </c>
      <c r="F113" s="73" t="s">
        <v>374</v>
      </c>
      <c r="G113" s="74" t="s">
        <v>112</v>
      </c>
      <c r="H113" s="75">
        <v>22</v>
      </c>
      <c r="I113" s="76">
        <v>17</v>
      </c>
      <c r="J113" s="96">
        <f>3+1+2+1+1+3+3+1+3</f>
        <v>18</v>
      </c>
      <c r="K113" s="77">
        <f>1536.8+461.04+1748.88+633.93+3169.65+2435.83+13203.17+728.54</f>
        <v>23917.840000000004</v>
      </c>
      <c r="L113" s="77">
        <f>1536.8+461.04+1748.88+633.93+3169.65+2435.83+13203.17+728.54</f>
        <v>23917.840000000004</v>
      </c>
      <c r="M113" s="78">
        <f t="shared" si="3"/>
        <v>0</v>
      </c>
      <c r="N113" s="100">
        <f>3+2+1+1+2+1</f>
        <v>10</v>
      </c>
      <c r="O113" s="81">
        <f>9567.93+3616.67+403.41+14275.52+10922.18+12907.41</f>
        <v>51693.119999999995</v>
      </c>
      <c r="P113" s="81">
        <f>9567.93+3616.67+403.41+14275.52+10922.18+12907.41</f>
        <v>51693.119999999995</v>
      </c>
      <c r="Q113" s="79">
        <f t="shared" si="4"/>
        <v>0</v>
      </c>
    </row>
    <row r="114" spans="1:17" s="15" customFormat="1" x14ac:dyDescent="0.25">
      <c r="A114" s="229"/>
      <c r="B114" s="62" t="s">
        <v>71</v>
      </c>
      <c r="C114" s="181" t="s">
        <v>17</v>
      </c>
      <c r="D114" s="182"/>
      <c r="E114" s="183" t="s">
        <v>32</v>
      </c>
      <c r="F114" s="73" t="s">
        <v>431</v>
      </c>
      <c r="G114" s="230" t="s">
        <v>115</v>
      </c>
      <c r="H114" s="181">
        <v>8</v>
      </c>
      <c r="I114" s="231">
        <v>4</v>
      </c>
      <c r="J114" s="96">
        <v>4</v>
      </c>
      <c r="K114" s="237">
        <v>6627.45</v>
      </c>
      <c r="L114" s="237">
        <v>6627.45</v>
      </c>
      <c r="M114" s="78">
        <f t="shared" si="3"/>
        <v>0</v>
      </c>
      <c r="N114" s="114">
        <f>5</f>
        <v>5</v>
      </c>
      <c r="O114" s="77">
        <v>6595.5</v>
      </c>
      <c r="P114" s="77">
        <v>6595.5</v>
      </c>
      <c r="Q114" s="232">
        <f t="shared" si="4"/>
        <v>0</v>
      </c>
    </row>
    <row r="115" spans="1:17" s="13" customFormat="1" x14ac:dyDescent="0.25">
      <c r="A115" s="229"/>
      <c r="B115" s="62" t="s">
        <v>319</v>
      </c>
      <c r="C115" s="181" t="s">
        <v>17</v>
      </c>
      <c r="D115" s="182"/>
      <c r="E115" s="183" t="s">
        <v>20</v>
      </c>
      <c r="F115" s="73" t="s">
        <v>375</v>
      </c>
      <c r="G115" s="74" t="s">
        <v>112</v>
      </c>
      <c r="H115" s="75">
        <v>32</v>
      </c>
      <c r="I115" s="76">
        <v>24</v>
      </c>
      <c r="J115" s="96">
        <f>2+1+4+3+6+2+7+1+2+1+1</f>
        <v>30</v>
      </c>
      <c r="K115" s="77">
        <f>710.77+1523.35+6753.23+7215.52+1437.48+28056.52+6091.99+2561.63+3510.24+1726.58+441.54</f>
        <v>60028.849999999991</v>
      </c>
      <c r="L115" s="77">
        <f>710.77+1523.35+6753.23+7215.52+1437.48+28056.52+6091.99+2561.63+3510.24</f>
        <v>57860.729999999989</v>
      </c>
      <c r="M115" s="78">
        <f t="shared" si="3"/>
        <v>2168.1200000000026</v>
      </c>
      <c r="N115" s="100">
        <f>3+1+2+1+2+1</f>
        <v>10</v>
      </c>
      <c r="O115" s="77">
        <f>13419.94+726.71+2846.77+3770.56+4653.31+2237.23</f>
        <v>27654.520000000004</v>
      </c>
      <c r="P115" s="77">
        <f>13419.94+726.71+2846.77+3770.56+4653.31</f>
        <v>25417.290000000005</v>
      </c>
      <c r="Q115" s="79">
        <f>O115-P115</f>
        <v>2237.2299999999996</v>
      </c>
    </row>
    <row r="116" spans="1:17" s="15" customFormat="1" x14ac:dyDescent="0.25">
      <c r="A116" s="229"/>
      <c r="B116" s="62" t="s">
        <v>150</v>
      </c>
      <c r="C116" s="181" t="s">
        <v>17</v>
      </c>
      <c r="D116" s="182"/>
      <c r="E116" s="183" t="s">
        <v>35</v>
      </c>
      <c r="F116" s="73" t="s">
        <v>376</v>
      </c>
      <c r="G116" s="74" t="s">
        <v>112</v>
      </c>
      <c r="H116" s="75">
        <v>32</v>
      </c>
      <c r="I116" s="76">
        <v>18</v>
      </c>
      <c r="J116" s="96">
        <f>1+1+2+2+1+3+1+4+4</f>
        <v>19</v>
      </c>
      <c r="K116" s="77">
        <f>1343.65+384.2+1690.4+4889.84+2417.43+2791.74+5298.48</f>
        <v>18815.739999999998</v>
      </c>
      <c r="L116" s="77">
        <f>1343.65+384.2+1690.4+4889.84+2417.43+2791.74</f>
        <v>13517.26</v>
      </c>
      <c r="M116" s="78">
        <f t="shared" si="3"/>
        <v>5298.4799999999977</v>
      </c>
      <c r="N116" s="114">
        <f>8+1+1+2+3+1+1+1</f>
        <v>18</v>
      </c>
      <c r="O116" s="77">
        <f>5997.32+3719.39+3054.34+13138.17+6578.46+6198.68</f>
        <v>38686.36</v>
      </c>
      <c r="P116" s="77">
        <f>5997.32+3719.39+3054.34+13138.17+6578.46+6198.68</f>
        <v>38686.36</v>
      </c>
      <c r="Q116" s="79">
        <f t="shared" si="4"/>
        <v>0</v>
      </c>
    </row>
    <row r="117" spans="1:17" s="15" customFormat="1" x14ac:dyDescent="0.25">
      <c r="A117" s="229"/>
      <c r="B117" s="233" t="s">
        <v>150</v>
      </c>
      <c r="C117" s="181" t="s">
        <v>17</v>
      </c>
      <c r="D117" s="182"/>
      <c r="E117" s="183" t="s">
        <v>32</v>
      </c>
      <c r="F117" s="73" t="s">
        <v>487</v>
      </c>
      <c r="G117" s="230" t="s">
        <v>117</v>
      </c>
      <c r="H117" s="181">
        <v>6</v>
      </c>
      <c r="I117" s="231">
        <v>4</v>
      </c>
      <c r="J117" s="96">
        <v>5</v>
      </c>
      <c r="K117" s="77">
        <v>16858.8</v>
      </c>
      <c r="L117" s="77">
        <v>16858.8</v>
      </c>
      <c r="M117" s="78">
        <f t="shared" si="3"/>
        <v>0</v>
      </c>
      <c r="N117" s="100">
        <v>3</v>
      </c>
      <c r="O117" s="77">
        <v>9645.1</v>
      </c>
      <c r="P117" s="77">
        <v>9645.1</v>
      </c>
      <c r="Q117" s="232">
        <f t="shared" si="4"/>
        <v>0</v>
      </c>
    </row>
    <row r="118" spans="1:17" s="13" customFormat="1" x14ac:dyDescent="0.25">
      <c r="A118" s="229"/>
      <c r="B118" s="30" t="s">
        <v>72</v>
      </c>
      <c r="C118" s="181" t="s">
        <v>17</v>
      </c>
      <c r="D118" s="182"/>
      <c r="E118" s="183" t="s">
        <v>21</v>
      </c>
      <c r="F118" s="73" t="s">
        <v>377</v>
      </c>
      <c r="G118" s="74" t="s">
        <v>112</v>
      </c>
      <c r="H118" s="75">
        <v>25</v>
      </c>
      <c r="I118" s="76">
        <v>14</v>
      </c>
      <c r="J118" s="96">
        <f>1+1+1+1+6+2+1+2+3+1</f>
        <v>19</v>
      </c>
      <c r="K118" s="77">
        <f>633.93+1415.78+1610.18+1394.65+18140.86+2440.63+4140.81+3166.55</f>
        <v>32943.390000000007</v>
      </c>
      <c r="L118" s="77">
        <f>633.93+1415.78+1610.18+1394.65+18140.86+2440.63+4140.81</f>
        <v>29776.840000000004</v>
      </c>
      <c r="M118" s="78">
        <f t="shared" si="3"/>
        <v>3166.5500000000029</v>
      </c>
      <c r="N118" s="100">
        <f>1+3+1+1+1+3+1+3+1+1+2+1</f>
        <v>19</v>
      </c>
      <c r="O118" s="81">
        <f>1950.74+10237.13+6595.95+3861.21+1348.53+10328.94+50451.86-19567+15859.78+3744.76</f>
        <v>84811.9</v>
      </c>
      <c r="P118" s="81">
        <f>1950.74+10237.13+6595.95+3861.21+1348.53+10328.94+50451.86-19567+15859.78</f>
        <v>81067.14</v>
      </c>
      <c r="Q118" s="79">
        <f t="shared" si="4"/>
        <v>3744.7599999999948</v>
      </c>
    </row>
    <row r="119" spans="1:17" s="13" customFormat="1" x14ac:dyDescent="0.25">
      <c r="A119" s="229"/>
      <c r="B119" s="30" t="s">
        <v>72</v>
      </c>
      <c r="C119" s="181" t="s">
        <v>17</v>
      </c>
      <c r="D119" s="182"/>
      <c r="E119" s="183" t="s">
        <v>21</v>
      </c>
      <c r="F119" s="73" t="s">
        <v>441</v>
      </c>
      <c r="G119" s="230" t="s">
        <v>118</v>
      </c>
      <c r="H119" s="181">
        <v>9</v>
      </c>
      <c r="I119" s="231">
        <v>1</v>
      </c>
      <c r="J119" s="96">
        <v>1</v>
      </c>
      <c r="K119" s="77">
        <v>1728.9</v>
      </c>
      <c r="L119" s="77">
        <v>1728.9</v>
      </c>
      <c r="M119" s="78">
        <f t="shared" si="3"/>
        <v>0</v>
      </c>
      <c r="N119" s="100">
        <v>20</v>
      </c>
      <c r="O119" s="224">
        <v>60401.599999999999</v>
      </c>
      <c r="P119" s="224">
        <v>60401.599999999999</v>
      </c>
      <c r="Q119" s="232">
        <f t="shared" si="4"/>
        <v>0</v>
      </c>
    </row>
    <row r="120" spans="1:17" s="15" customFormat="1" x14ac:dyDescent="0.25">
      <c r="A120" s="229"/>
      <c r="B120" s="30" t="s">
        <v>73</v>
      </c>
      <c r="C120" s="181" t="s">
        <v>17</v>
      </c>
      <c r="D120" s="182"/>
      <c r="E120" s="183" t="s">
        <v>74</v>
      </c>
      <c r="F120" s="73" t="s">
        <v>378</v>
      </c>
      <c r="G120" s="74" t="s">
        <v>112</v>
      </c>
      <c r="H120" s="75">
        <v>34</v>
      </c>
      <c r="I120" s="76">
        <v>28</v>
      </c>
      <c r="J120" s="96">
        <f>9+8+2+2+10+1+6+5</f>
        <v>43</v>
      </c>
      <c r="K120" s="77">
        <f>6305.33+12574.83+14899.84+13657.06+15923.24+7697.06+2858.97</f>
        <v>73916.33</v>
      </c>
      <c r="L120" s="77">
        <f>6305.33+12574.83+14899.84+13657.06+15923.24</f>
        <v>63360.299999999996</v>
      </c>
      <c r="M120" s="78">
        <f t="shared" si="3"/>
        <v>10556.030000000006</v>
      </c>
      <c r="N120" s="100">
        <f>5+3+3+1+1+2</f>
        <v>15</v>
      </c>
      <c r="O120" s="81">
        <f>5416.39+9506.99+12269.39+7610.68+1915.68</f>
        <v>36719.129999999997</v>
      </c>
      <c r="P120" s="81">
        <f>5416.39+9506.99+12269.39+7610.68+1915.68</f>
        <v>36719.129999999997</v>
      </c>
      <c r="Q120" s="79">
        <f t="shared" si="4"/>
        <v>0</v>
      </c>
    </row>
    <row r="121" spans="1:17" s="15" customFormat="1" x14ac:dyDescent="0.25">
      <c r="A121" s="229"/>
      <c r="B121" s="30" t="s">
        <v>73</v>
      </c>
      <c r="C121" s="181" t="s">
        <v>17</v>
      </c>
      <c r="D121" s="182"/>
      <c r="E121" s="183" t="s">
        <v>74</v>
      </c>
      <c r="F121" s="73" t="s">
        <v>282</v>
      </c>
      <c r="G121" s="230" t="s">
        <v>114</v>
      </c>
      <c r="H121" s="181"/>
      <c r="I121" s="231"/>
      <c r="J121" s="190"/>
      <c r="K121" s="77"/>
      <c r="L121" s="77"/>
      <c r="M121" s="78">
        <f t="shared" si="3"/>
        <v>0</v>
      </c>
      <c r="N121" s="100">
        <v>1</v>
      </c>
      <c r="O121" s="224">
        <v>1728.9</v>
      </c>
      <c r="P121" s="224">
        <v>1728.9</v>
      </c>
      <c r="Q121" s="232">
        <f t="shared" si="4"/>
        <v>0</v>
      </c>
    </row>
    <row r="122" spans="1:17" s="13" customFormat="1" x14ac:dyDescent="0.25">
      <c r="A122" s="229"/>
      <c r="B122" s="30" t="s">
        <v>135</v>
      </c>
      <c r="C122" s="181" t="s">
        <v>17</v>
      </c>
      <c r="D122" s="182"/>
      <c r="E122" s="194" t="s">
        <v>35</v>
      </c>
      <c r="F122" s="73" t="s">
        <v>379</v>
      </c>
      <c r="G122" s="74" t="s">
        <v>112</v>
      </c>
      <c r="H122" s="75">
        <v>33</v>
      </c>
      <c r="I122" s="76">
        <v>28</v>
      </c>
      <c r="J122" s="96">
        <f>1+6+5+3+3+5+1+5</f>
        <v>29</v>
      </c>
      <c r="K122" s="77">
        <f>697.32+4374.12+5747.44+4426.94+15712.05+4176.57</f>
        <v>35134.44</v>
      </c>
      <c r="L122" s="77">
        <f>697.32+4374.12+5747.44+4426.94+15712.05+4176.57</f>
        <v>35134.44</v>
      </c>
      <c r="M122" s="78">
        <f t="shared" si="3"/>
        <v>0</v>
      </c>
      <c r="N122" s="100">
        <f>2+5+1+2+2+2</f>
        <v>14</v>
      </c>
      <c r="O122" s="81">
        <f>6432.89+2283.68+4932.13+377</f>
        <v>14025.7</v>
      </c>
      <c r="P122" s="81">
        <f>6432.89+2283.68+4932.13</f>
        <v>13648.7</v>
      </c>
      <c r="Q122" s="232">
        <f t="shared" si="4"/>
        <v>377</v>
      </c>
    </row>
    <row r="123" spans="1:17" s="13" customFormat="1" x14ac:dyDescent="0.25">
      <c r="A123" s="229"/>
      <c r="B123" s="30" t="s">
        <v>135</v>
      </c>
      <c r="C123" s="181" t="s">
        <v>17</v>
      </c>
      <c r="D123" s="182"/>
      <c r="E123" s="194" t="s">
        <v>35</v>
      </c>
      <c r="F123" s="73" t="s">
        <v>432</v>
      </c>
      <c r="G123" s="230" t="s">
        <v>115</v>
      </c>
      <c r="H123" s="181">
        <v>2</v>
      </c>
      <c r="I123" s="231"/>
      <c r="J123" s="96"/>
      <c r="K123" s="77"/>
      <c r="L123" s="77"/>
      <c r="M123" s="78">
        <f t="shared" si="3"/>
        <v>0</v>
      </c>
      <c r="N123" s="100">
        <v>1</v>
      </c>
      <c r="O123" s="224">
        <v>2689.4</v>
      </c>
      <c r="P123" s="224">
        <v>2689.4</v>
      </c>
      <c r="Q123" s="79">
        <f t="shared" si="4"/>
        <v>0</v>
      </c>
    </row>
    <row r="124" spans="1:17" s="13" customFormat="1" x14ac:dyDescent="0.25">
      <c r="A124" s="229"/>
      <c r="B124" s="30" t="s">
        <v>145</v>
      </c>
      <c r="C124" s="181" t="s">
        <v>17</v>
      </c>
      <c r="D124" s="182"/>
      <c r="E124" s="194" t="s">
        <v>20</v>
      </c>
      <c r="F124" s="73" t="s">
        <v>380</v>
      </c>
      <c r="G124" s="74" t="s">
        <v>112</v>
      </c>
      <c r="H124" s="75">
        <v>16</v>
      </c>
      <c r="I124" s="82">
        <v>14</v>
      </c>
      <c r="J124" s="96">
        <f>2+1+1+2+2+5+3+2+3+1+1</f>
        <v>23</v>
      </c>
      <c r="K124" s="77">
        <f>5169.72+1100+538.84+4293.82+3949.22+3361.76+5643.1+4037.33+4704.3</f>
        <v>32798.090000000004</v>
      </c>
      <c r="L124" s="77">
        <f>5169.72+1100+538.84+4293.82+3949.22+3361.76+5643.1+4037.33+4704.3</f>
        <v>32798.090000000004</v>
      </c>
      <c r="M124" s="78">
        <f t="shared" si="3"/>
        <v>0</v>
      </c>
      <c r="N124" s="100">
        <f>1+1+2+1+2+1</f>
        <v>8</v>
      </c>
      <c r="O124" s="81">
        <f>5120.23+3915.15+1114.12+14002.49+7111.04</f>
        <v>31263.03</v>
      </c>
      <c r="P124" s="81">
        <f>5120.23+3915.15+1114.12+14002.49+7111.04</f>
        <v>31263.03</v>
      </c>
      <c r="Q124" s="232">
        <f t="shared" si="4"/>
        <v>0</v>
      </c>
    </row>
    <row r="125" spans="1:17" s="13" customFormat="1" x14ac:dyDescent="0.25">
      <c r="A125" s="229"/>
      <c r="B125" s="30" t="s">
        <v>145</v>
      </c>
      <c r="C125" s="181" t="s">
        <v>17</v>
      </c>
      <c r="D125" s="182"/>
      <c r="E125" s="194" t="s">
        <v>20</v>
      </c>
      <c r="F125" s="73" t="s">
        <v>461</v>
      </c>
      <c r="G125" s="230" t="s">
        <v>114</v>
      </c>
      <c r="H125" s="181">
        <v>6</v>
      </c>
      <c r="I125" s="231">
        <v>4</v>
      </c>
      <c r="J125" s="190">
        <v>4</v>
      </c>
      <c r="K125" s="77">
        <v>1921</v>
      </c>
      <c r="L125" s="77">
        <v>1921</v>
      </c>
      <c r="M125" s="78">
        <f t="shared" si="3"/>
        <v>0</v>
      </c>
      <c r="N125" s="100">
        <v>11</v>
      </c>
      <c r="O125" s="224">
        <v>22933.25</v>
      </c>
      <c r="P125" s="224">
        <v>22933.25</v>
      </c>
      <c r="Q125" s="232">
        <f t="shared" si="4"/>
        <v>0</v>
      </c>
    </row>
    <row r="126" spans="1:17" s="13" customFormat="1" x14ac:dyDescent="0.25">
      <c r="A126" s="229"/>
      <c r="B126" s="62" t="s">
        <v>76</v>
      </c>
      <c r="C126" s="181" t="s">
        <v>17</v>
      </c>
      <c r="D126" s="182"/>
      <c r="E126" s="183" t="s">
        <v>20</v>
      </c>
      <c r="F126" s="73" t="s">
        <v>381</v>
      </c>
      <c r="G126" s="74" t="s">
        <v>112</v>
      </c>
      <c r="H126" s="75">
        <v>25</v>
      </c>
      <c r="I126" s="76">
        <v>19</v>
      </c>
      <c r="J126" s="96">
        <f>1+6+3+1+3+1+2+2+2+1+1</f>
        <v>23</v>
      </c>
      <c r="K126" s="77">
        <f>6556.06+2806.39+2697.06+1267.86+11775.51+1557.35+2113.1+4117.36+1673.84+1724.01+1457.08+3514.26</f>
        <v>41259.879999999997</v>
      </c>
      <c r="L126" s="77">
        <f>6556.06+2806.39+2697.06+1267.86+11775.51+1557.35+2113.1+4117.36+1673.84+1724.01</f>
        <v>36288.539999999994</v>
      </c>
      <c r="M126" s="78">
        <f t="shared" si="3"/>
        <v>4971.3400000000038</v>
      </c>
      <c r="N126" s="100">
        <f>5+6+2+1+1+1+1+2+2+1</f>
        <v>22</v>
      </c>
      <c r="O126" s="81">
        <f>11527.9+19846.52+1011.91+9641+2451.87+10072.83+11307.66+2243.83+6181.56+5655.45</f>
        <v>79940.53</v>
      </c>
      <c r="P126" s="81">
        <f>11527.9+19846.52+1011.91+9641+2451.87+10072.83+11307.66+2243.83+6181.56+5655.45</f>
        <v>79940.53</v>
      </c>
      <c r="Q126" s="232">
        <f t="shared" si="4"/>
        <v>0</v>
      </c>
    </row>
    <row r="127" spans="1:17" s="13" customFormat="1" x14ac:dyDescent="0.25">
      <c r="A127" s="229"/>
      <c r="B127" s="62" t="s">
        <v>76</v>
      </c>
      <c r="C127" s="181" t="s">
        <v>17</v>
      </c>
      <c r="D127" s="182"/>
      <c r="E127" s="183" t="s">
        <v>20</v>
      </c>
      <c r="F127" s="73" t="s">
        <v>462</v>
      </c>
      <c r="G127" s="230" t="s">
        <v>114</v>
      </c>
      <c r="H127" s="181">
        <v>14</v>
      </c>
      <c r="I127" s="231">
        <v>5</v>
      </c>
      <c r="J127" s="190">
        <v>5</v>
      </c>
      <c r="K127" s="77">
        <v>4722.2</v>
      </c>
      <c r="L127" s="77">
        <v>4722.2</v>
      </c>
      <c r="M127" s="78">
        <f t="shared" si="3"/>
        <v>0</v>
      </c>
      <c r="N127" s="100">
        <v>9</v>
      </c>
      <c r="O127" s="224">
        <v>30007.39</v>
      </c>
      <c r="P127" s="224">
        <v>30007.39</v>
      </c>
      <c r="Q127" s="232">
        <f t="shared" si="4"/>
        <v>0</v>
      </c>
    </row>
    <row r="128" spans="1:17" s="13" customFormat="1" x14ac:dyDescent="0.25">
      <c r="A128" s="229"/>
      <c r="B128" s="30" t="s">
        <v>77</v>
      </c>
      <c r="C128" s="181" t="s">
        <v>17</v>
      </c>
      <c r="D128" s="182"/>
      <c r="E128" s="183" t="s">
        <v>32</v>
      </c>
      <c r="F128" s="73" t="s">
        <v>388</v>
      </c>
      <c r="G128" s="74" t="s">
        <v>112</v>
      </c>
      <c r="H128" s="75">
        <v>21</v>
      </c>
      <c r="I128" s="76">
        <v>12</v>
      </c>
      <c r="J128" s="96">
        <f>2+2+2+6+1+1+1</f>
        <v>15</v>
      </c>
      <c r="K128" s="77">
        <f>2440.63+1507.02+2101.48+13625.7+1324.62+2083.47</f>
        <v>23082.920000000002</v>
      </c>
      <c r="L128" s="77">
        <v>23082.920000000002</v>
      </c>
      <c r="M128" s="78">
        <f t="shared" si="3"/>
        <v>0</v>
      </c>
      <c r="N128" s="100">
        <f>5+2+3+3+1+1</f>
        <v>15</v>
      </c>
      <c r="O128" s="81">
        <f>11716.73+6848.82+4046.18+11166.34+8845.95</f>
        <v>42624.020000000004</v>
      </c>
      <c r="P128" s="81">
        <f>11716.73+6848.82+4046.18+11166.34+8845.95</f>
        <v>42624.020000000004</v>
      </c>
      <c r="Q128" s="232">
        <f t="shared" si="4"/>
        <v>0</v>
      </c>
    </row>
    <row r="129" spans="1:17" s="13" customFormat="1" x14ac:dyDescent="0.25">
      <c r="A129" s="229"/>
      <c r="B129" s="30" t="s">
        <v>77</v>
      </c>
      <c r="C129" s="181" t="s">
        <v>17</v>
      </c>
      <c r="D129" s="182"/>
      <c r="E129" s="183" t="s">
        <v>32</v>
      </c>
      <c r="F129" s="73" t="s">
        <v>433</v>
      </c>
      <c r="G129" s="230" t="s">
        <v>117</v>
      </c>
      <c r="H129" s="181">
        <v>3</v>
      </c>
      <c r="I129" s="231">
        <v>1</v>
      </c>
      <c r="J129" s="96">
        <v>1</v>
      </c>
      <c r="K129" s="77">
        <v>1921</v>
      </c>
      <c r="L129" s="77">
        <v>1921</v>
      </c>
      <c r="M129" s="78">
        <f t="shared" si="3"/>
        <v>0</v>
      </c>
      <c r="N129" s="100">
        <v>6</v>
      </c>
      <c r="O129" s="224">
        <v>18164.11</v>
      </c>
      <c r="P129" s="224">
        <v>18164.11</v>
      </c>
      <c r="Q129" s="79">
        <f t="shared" si="4"/>
        <v>0</v>
      </c>
    </row>
    <row r="130" spans="1:17" s="13" customFormat="1" x14ac:dyDescent="0.25">
      <c r="A130" s="229"/>
      <c r="B130" s="30" t="s">
        <v>321</v>
      </c>
      <c r="C130" s="181" t="s">
        <v>17</v>
      </c>
      <c r="D130" s="182"/>
      <c r="E130" s="183" t="s">
        <v>21</v>
      </c>
      <c r="F130" s="73" t="s">
        <v>489</v>
      </c>
      <c r="G130" s="230" t="s">
        <v>112</v>
      </c>
      <c r="H130" s="181">
        <v>6</v>
      </c>
      <c r="I130" s="231">
        <v>2</v>
      </c>
      <c r="J130" s="96">
        <f>1+1</f>
        <v>2</v>
      </c>
      <c r="K130" s="77">
        <f>2547.89+1766.16</f>
        <v>4314.05</v>
      </c>
      <c r="L130" s="77">
        <f>2547.89+1766.16</f>
        <v>4314.05</v>
      </c>
      <c r="M130" s="78">
        <f t="shared" si="3"/>
        <v>0</v>
      </c>
      <c r="N130" s="100"/>
      <c r="O130" s="224"/>
      <c r="P130" s="224"/>
      <c r="Q130" s="79">
        <f t="shared" si="4"/>
        <v>0</v>
      </c>
    </row>
    <row r="131" spans="1:17" s="13" customFormat="1" ht="30" x14ac:dyDescent="0.25">
      <c r="A131" s="229"/>
      <c r="B131" s="62" t="s">
        <v>79</v>
      </c>
      <c r="C131" s="181" t="s">
        <v>304</v>
      </c>
      <c r="D131" s="182" t="s">
        <v>385</v>
      </c>
      <c r="E131" s="183" t="s">
        <v>18</v>
      </c>
      <c r="F131" s="73" t="s">
        <v>389</v>
      </c>
      <c r="G131" s="74" t="s">
        <v>112</v>
      </c>
      <c r="H131" s="75">
        <v>19</v>
      </c>
      <c r="I131" s="76">
        <v>17</v>
      </c>
      <c r="J131" s="98">
        <f>2+5+2+3+2+2+5+2</f>
        <v>23</v>
      </c>
      <c r="K131" s="77">
        <f>2091.97+3190.2+5703.08+6368.88+4029.68+4560.06</f>
        <v>25943.870000000003</v>
      </c>
      <c r="L131" s="77">
        <f>2091.97+3190.2+5703.08+6368.88+4029.68+4560.06</f>
        <v>25943.870000000003</v>
      </c>
      <c r="M131" s="78">
        <f t="shared" si="3"/>
        <v>0</v>
      </c>
      <c r="N131" s="100">
        <f>2+2+1+2+1+1+3+1+2</f>
        <v>15</v>
      </c>
      <c r="O131" s="81">
        <f>1547.4+4166.12+7835.61+1675.01+4717.63+6039.62+18829.39+23135.63</f>
        <v>67946.41</v>
      </c>
      <c r="P131" s="81">
        <f>1547.4+4166.12+7835.61+1675.01+4717.63+6039.62+18829.39+23135.63</f>
        <v>67946.41</v>
      </c>
      <c r="Q131" s="232">
        <f t="shared" si="4"/>
        <v>0</v>
      </c>
    </row>
    <row r="132" spans="1:17" s="13" customFormat="1" ht="30" x14ac:dyDescent="0.25">
      <c r="A132" s="229"/>
      <c r="B132" s="62" t="s">
        <v>79</v>
      </c>
      <c r="C132" s="181" t="s">
        <v>304</v>
      </c>
      <c r="D132" s="182" t="s">
        <v>475</v>
      </c>
      <c r="E132" s="183" t="s">
        <v>18</v>
      </c>
      <c r="F132" s="73" t="s">
        <v>329</v>
      </c>
      <c r="G132" s="271" t="s">
        <v>116</v>
      </c>
      <c r="H132" s="181">
        <v>44</v>
      </c>
      <c r="I132" s="234">
        <v>30</v>
      </c>
      <c r="J132" s="98">
        <v>34</v>
      </c>
      <c r="K132" s="224">
        <v>66112</v>
      </c>
      <c r="L132" s="224">
        <v>66112</v>
      </c>
      <c r="M132" s="78">
        <f t="shared" si="3"/>
        <v>0</v>
      </c>
      <c r="N132" s="100">
        <v>15</v>
      </c>
      <c r="O132" s="224">
        <v>56311</v>
      </c>
      <c r="P132" s="224">
        <v>56311</v>
      </c>
      <c r="Q132" s="79">
        <f t="shared" si="4"/>
        <v>0</v>
      </c>
    </row>
    <row r="133" spans="1:17" s="13" customFormat="1" x14ac:dyDescent="0.25">
      <c r="A133" s="229"/>
      <c r="B133" s="62" t="s">
        <v>151</v>
      </c>
      <c r="C133" s="181" t="s">
        <v>17</v>
      </c>
      <c r="D133" s="182"/>
      <c r="E133" s="183" t="s">
        <v>32</v>
      </c>
      <c r="F133" s="73" t="s">
        <v>390</v>
      </c>
      <c r="G133" s="74" t="s">
        <v>112</v>
      </c>
      <c r="H133" s="75">
        <v>64</v>
      </c>
      <c r="I133" s="82">
        <v>50</v>
      </c>
      <c r="J133" s="96">
        <f>1+3+3+5+3+9+4+6+3+2+6+5+3+8+4</f>
        <v>65</v>
      </c>
      <c r="K133" s="81">
        <f>2317+4640.19+5864.19+10765+12519.53+4514.35+14486.46+3421.94+27163.56+5180.87+3460.57+13888.56</f>
        <v>108222.22</v>
      </c>
      <c r="L133" s="81">
        <f>2317+4640.19+5864.19+10765+12519.53+4514.35+14486.46+3421.94+27163.56+5180.87+3460.57</f>
        <v>94333.66</v>
      </c>
      <c r="M133" s="78">
        <f t="shared" si="3"/>
        <v>13888.559999999998</v>
      </c>
      <c r="N133" s="100">
        <f>9+3+5+1+4+4+1+2</f>
        <v>29</v>
      </c>
      <c r="O133" s="81">
        <f>10726.94+18822.65+5703.53+12846.53+1320.36+4050.1+22728.38+3733.09</f>
        <v>79931.58</v>
      </c>
      <c r="P133" s="81">
        <f>10726.94+18822.65+5703.53+12846.53+1320.36+4050.1+22728.38</f>
        <v>76198.490000000005</v>
      </c>
      <c r="Q133" s="232">
        <f t="shared" si="4"/>
        <v>3733.0899999999965</v>
      </c>
    </row>
    <row r="134" spans="1:17" s="13" customFormat="1" x14ac:dyDescent="0.25">
      <c r="A134" s="229"/>
      <c r="B134" s="62" t="s">
        <v>151</v>
      </c>
      <c r="C134" s="181" t="s">
        <v>17</v>
      </c>
      <c r="D134" s="182"/>
      <c r="E134" s="183" t="s">
        <v>32</v>
      </c>
      <c r="F134" s="73" t="s">
        <v>434</v>
      </c>
      <c r="G134" s="230" t="s">
        <v>117</v>
      </c>
      <c r="H134" s="181">
        <v>12</v>
      </c>
      <c r="I134" s="231">
        <v>5</v>
      </c>
      <c r="J134" s="96">
        <v>5</v>
      </c>
      <c r="K134" s="77">
        <v>5920.65</v>
      </c>
      <c r="L134" s="77">
        <v>3411.9</v>
      </c>
      <c r="M134" s="78">
        <f t="shared" si="3"/>
        <v>2508.7499999999995</v>
      </c>
      <c r="N134" s="100">
        <v>13</v>
      </c>
      <c r="O134" s="224">
        <v>24537.7</v>
      </c>
      <c r="P134" s="224">
        <v>24537.7</v>
      </c>
      <c r="Q134" s="79">
        <f t="shared" si="4"/>
        <v>0</v>
      </c>
    </row>
    <row r="135" spans="1:17" s="13" customFormat="1" x14ac:dyDescent="0.25">
      <c r="A135" s="229"/>
      <c r="B135" s="62" t="s">
        <v>80</v>
      </c>
      <c r="C135" s="181" t="s">
        <v>17</v>
      </c>
      <c r="D135" s="182"/>
      <c r="E135" s="183" t="s">
        <v>81</v>
      </c>
      <c r="F135" s="73" t="s">
        <v>417</v>
      </c>
      <c r="G135" s="74" t="s">
        <v>112</v>
      </c>
      <c r="H135" s="75"/>
      <c r="I135" s="76"/>
      <c r="J135" s="96"/>
      <c r="K135" s="77">
        <f>749.19+8649.27</f>
        <v>9398.4600000000009</v>
      </c>
      <c r="L135" s="77">
        <f>749.19+8649.27</f>
        <v>9398.4600000000009</v>
      </c>
      <c r="M135" s="78">
        <f t="shared" si="3"/>
        <v>0</v>
      </c>
      <c r="N135" s="100">
        <f>2+2</f>
        <v>4</v>
      </c>
      <c r="O135" s="81">
        <f>3040.94+9398.46</f>
        <v>12439.4</v>
      </c>
      <c r="P135" s="81">
        <f>3040.94+9398.46</f>
        <v>12439.4</v>
      </c>
      <c r="Q135" s="232">
        <f t="shared" si="4"/>
        <v>0</v>
      </c>
    </row>
    <row r="136" spans="1:17" s="13" customFormat="1" x14ac:dyDescent="0.25">
      <c r="A136" s="229"/>
      <c r="B136" s="62" t="s">
        <v>80</v>
      </c>
      <c r="C136" s="181" t="s">
        <v>17</v>
      </c>
      <c r="D136" s="182"/>
      <c r="E136" s="183" t="s">
        <v>81</v>
      </c>
      <c r="F136" s="73" t="s">
        <v>285</v>
      </c>
      <c r="G136" s="230" t="s">
        <v>114</v>
      </c>
      <c r="H136" s="181"/>
      <c r="I136" s="231"/>
      <c r="J136" s="190"/>
      <c r="K136" s="77"/>
      <c r="L136" s="77"/>
      <c r="M136" s="78">
        <f t="shared" si="3"/>
        <v>0</v>
      </c>
      <c r="N136" s="100">
        <v>23</v>
      </c>
      <c r="O136" s="224">
        <v>58735.99</v>
      </c>
      <c r="P136" s="224">
        <v>58735.99</v>
      </c>
      <c r="Q136" s="232">
        <f t="shared" si="4"/>
        <v>0</v>
      </c>
    </row>
    <row r="137" spans="1:17" s="13" customFormat="1" x14ac:dyDescent="0.25">
      <c r="A137" s="229"/>
      <c r="B137" s="30" t="s">
        <v>82</v>
      </c>
      <c r="C137" s="181" t="s">
        <v>17</v>
      </c>
      <c r="D137" s="182"/>
      <c r="E137" s="183" t="s">
        <v>20</v>
      </c>
      <c r="F137" s="73" t="s">
        <v>394</v>
      </c>
      <c r="G137" s="74" t="s">
        <v>112</v>
      </c>
      <c r="H137" s="75">
        <v>14</v>
      </c>
      <c r="I137" s="76">
        <v>12</v>
      </c>
      <c r="J137" s="96">
        <f>4+3+2+2+1+1+1</f>
        <v>14</v>
      </c>
      <c r="K137" s="77">
        <f>20254+3953.39</f>
        <v>24207.39</v>
      </c>
      <c r="L137" s="77">
        <v>20254</v>
      </c>
      <c r="M137" s="78">
        <f t="shared" si="3"/>
        <v>3953.3899999999994</v>
      </c>
      <c r="N137" s="100">
        <f>3+5+1+1+1</f>
        <v>11</v>
      </c>
      <c r="O137" s="81">
        <f>5975.84+23579.15+1426.34</f>
        <v>30981.33</v>
      </c>
      <c r="P137" s="81">
        <f>5975.84+23579.15+1426.34</f>
        <v>30981.33</v>
      </c>
      <c r="Q137" s="232">
        <f t="shared" si="4"/>
        <v>0</v>
      </c>
    </row>
    <row r="138" spans="1:17" s="13" customFormat="1" x14ac:dyDescent="0.25">
      <c r="A138" s="229"/>
      <c r="B138" s="30" t="s">
        <v>82</v>
      </c>
      <c r="C138" s="181" t="s">
        <v>17</v>
      </c>
      <c r="D138" s="182"/>
      <c r="E138" s="183" t="s">
        <v>20</v>
      </c>
      <c r="F138" s="73" t="s">
        <v>463</v>
      </c>
      <c r="G138" s="230" t="s">
        <v>114</v>
      </c>
      <c r="H138" s="181">
        <v>20</v>
      </c>
      <c r="I138" s="231">
        <v>5</v>
      </c>
      <c r="J138" s="190">
        <v>5</v>
      </c>
      <c r="K138" s="77">
        <v>11385.5</v>
      </c>
      <c r="L138" s="77">
        <v>11385.5</v>
      </c>
      <c r="M138" s="78">
        <f t="shared" si="3"/>
        <v>0</v>
      </c>
      <c r="N138" s="100">
        <v>14</v>
      </c>
      <c r="O138" s="224">
        <v>48620.71</v>
      </c>
      <c r="P138" s="224">
        <v>48620.71</v>
      </c>
      <c r="Q138" s="232">
        <f t="shared" si="4"/>
        <v>0</v>
      </c>
    </row>
    <row r="139" spans="1:17" s="13" customFormat="1" x14ac:dyDescent="0.25">
      <c r="A139" s="229"/>
      <c r="B139" s="30" t="s">
        <v>309</v>
      </c>
      <c r="C139" s="181" t="s">
        <v>17</v>
      </c>
      <c r="D139" s="182"/>
      <c r="E139" s="183" t="s">
        <v>20</v>
      </c>
      <c r="F139" s="73" t="s">
        <v>391</v>
      </c>
      <c r="G139" s="230" t="s">
        <v>112</v>
      </c>
      <c r="H139" s="181">
        <v>18</v>
      </c>
      <c r="I139" s="231">
        <v>10</v>
      </c>
      <c r="J139" s="190">
        <f>1+5+2+1+1+1+2</f>
        <v>13</v>
      </c>
      <c r="K139" s="77">
        <f>3606.1+3402.77+2649.24+993.47+441.54</f>
        <v>11093.12</v>
      </c>
      <c r="L139" s="77">
        <f>3606.1+3402.77+2649.24+993.47+441.54</f>
        <v>11093.12</v>
      </c>
      <c r="M139" s="78">
        <f t="shared" si="3"/>
        <v>0</v>
      </c>
      <c r="N139" s="100">
        <f>1+5+1+3</f>
        <v>10</v>
      </c>
      <c r="O139" s="224">
        <f>3088.97+13147.65+1267.86+5955.71</f>
        <v>23460.19</v>
      </c>
      <c r="P139" s="224">
        <f>3088.97+13147.65+1267.86+5955.71</f>
        <v>23460.19</v>
      </c>
      <c r="Q139" s="232">
        <f t="shared" si="4"/>
        <v>0</v>
      </c>
    </row>
    <row r="140" spans="1:17" s="13" customFormat="1" x14ac:dyDescent="0.25">
      <c r="A140" s="229"/>
      <c r="B140" s="30" t="s">
        <v>152</v>
      </c>
      <c r="C140" s="181" t="s">
        <v>17</v>
      </c>
      <c r="D140" s="182"/>
      <c r="E140" s="183" t="s">
        <v>35</v>
      </c>
      <c r="F140" s="73" t="s">
        <v>392</v>
      </c>
      <c r="G140" s="74" t="s">
        <v>112</v>
      </c>
      <c r="H140" s="75">
        <v>7</v>
      </c>
      <c r="I140" s="76">
        <v>6</v>
      </c>
      <c r="J140" s="96">
        <f>1+1+2+1+1+1+2</f>
        <v>9</v>
      </c>
      <c r="K140" s="77">
        <f>403.41+845.24+2113.1+2649.24</f>
        <v>6010.99</v>
      </c>
      <c r="L140" s="77">
        <f>403.41+845.24+2113.1+2649.24</f>
        <v>6010.99</v>
      </c>
      <c r="M140" s="78">
        <f t="shared" ref="M140:M190" si="5">K140-L140</f>
        <v>0</v>
      </c>
      <c r="N140" s="100">
        <f>2+2+2+1+1+1+2</f>
        <v>11</v>
      </c>
      <c r="O140" s="81">
        <f>1690.48+3050.26+3661.61+4648.82+1267.86+1690.48+9282.42+4052.53</f>
        <v>29344.46</v>
      </c>
      <c r="P140" s="81">
        <f>1690.48+3050.26+3661.61+4648.82+1267.86+1690.48+9282.42+4052.53</f>
        <v>29344.46</v>
      </c>
      <c r="Q140" s="232">
        <f t="shared" si="4"/>
        <v>0</v>
      </c>
    </row>
    <row r="141" spans="1:17" s="13" customFormat="1" x14ac:dyDescent="0.25">
      <c r="A141" s="229"/>
      <c r="B141" s="30" t="s">
        <v>83</v>
      </c>
      <c r="C141" s="181" t="s">
        <v>17</v>
      </c>
      <c r="D141" s="182"/>
      <c r="E141" s="183" t="s">
        <v>20</v>
      </c>
      <c r="F141" s="73" t="s">
        <v>393</v>
      </c>
      <c r="G141" s="74" t="s">
        <v>112</v>
      </c>
      <c r="H141" s="75">
        <v>13</v>
      </c>
      <c r="I141" s="76">
        <v>8</v>
      </c>
      <c r="J141" s="96">
        <f>1+1+2+1+1+1+1+1</f>
        <v>9</v>
      </c>
      <c r="K141" s="77">
        <f>768.4+2535.72+845.24+14407.5+883.08</f>
        <v>19439.940000000002</v>
      </c>
      <c r="L141" s="77">
        <f>768.4+2535.72+845.24+14407.5+883.08</f>
        <v>19439.940000000002</v>
      </c>
      <c r="M141" s="78">
        <f t="shared" si="5"/>
        <v>0</v>
      </c>
      <c r="N141" s="100">
        <f>1+2+1+1+1+2</f>
        <v>8</v>
      </c>
      <c r="O141" s="81">
        <f>5837.09+1922.92+4288.54+1686.25</f>
        <v>13734.8</v>
      </c>
      <c r="P141" s="81">
        <f>5837.09+1922.92+4288.54+1686.25</f>
        <v>13734.8</v>
      </c>
      <c r="Q141" s="232">
        <f t="shared" si="4"/>
        <v>0</v>
      </c>
    </row>
    <row r="142" spans="1:17" s="13" customFormat="1" x14ac:dyDescent="0.25">
      <c r="A142" s="229"/>
      <c r="B142" s="30" t="s">
        <v>83</v>
      </c>
      <c r="C142" s="181" t="s">
        <v>17</v>
      </c>
      <c r="D142" s="182"/>
      <c r="E142" s="183" t="s">
        <v>20</v>
      </c>
      <c r="F142" s="73" t="s">
        <v>464</v>
      </c>
      <c r="G142" s="230" t="s">
        <v>114</v>
      </c>
      <c r="H142" s="181">
        <v>30</v>
      </c>
      <c r="I142" s="231">
        <v>18</v>
      </c>
      <c r="J142" s="190">
        <v>18</v>
      </c>
      <c r="K142" s="77">
        <v>33226.89</v>
      </c>
      <c r="L142" s="77">
        <v>33226.89</v>
      </c>
      <c r="M142" s="78">
        <f t="shared" si="5"/>
        <v>0</v>
      </c>
      <c r="N142" s="100">
        <v>29</v>
      </c>
      <c r="O142" s="224">
        <v>106750.62</v>
      </c>
      <c r="P142" s="224">
        <v>106750.62</v>
      </c>
      <c r="Q142" s="232">
        <f t="shared" si="4"/>
        <v>0</v>
      </c>
    </row>
    <row r="143" spans="1:17" s="13" customFormat="1" ht="45" x14ac:dyDescent="0.25">
      <c r="A143" s="229"/>
      <c r="B143" s="30" t="s">
        <v>85</v>
      </c>
      <c r="C143" s="181" t="s">
        <v>304</v>
      </c>
      <c r="D143" s="182" t="s">
        <v>415</v>
      </c>
      <c r="E143" s="183" t="s">
        <v>20</v>
      </c>
      <c r="F143" s="73" t="s">
        <v>395</v>
      </c>
      <c r="G143" s="74" t="s">
        <v>112</v>
      </c>
      <c r="H143" s="75">
        <v>20</v>
      </c>
      <c r="I143" s="76">
        <v>9</v>
      </c>
      <c r="J143" s="98">
        <f>2+1+1+1</f>
        <v>5</v>
      </c>
      <c r="K143" s="77">
        <f>4800.58+2591.84+7239.38+3534.03</f>
        <v>18165.829999999998</v>
      </c>
      <c r="L143" s="77">
        <f>4800.58+2591.84+7239.38</f>
        <v>14631.8</v>
      </c>
      <c r="M143" s="78">
        <f t="shared" si="5"/>
        <v>3534.0299999999988</v>
      </c>
      <c r="N143" s="100">
        <f>2+1+2</f>
        <v>5</v>
      </c>
      <c r="O143" s="81">
        <f>3917.73+8936.21+5669.37+31185.72+18292.46</f>
        <v>68001.489999999991</v>
      </c>
      <c r="P143" s="81">
        <f>3917.73+8936.21+5669.37+31185.72+18292.46</f>
        <v>68001.489999999991</v>
      </c>
      <c r="Q143" s="79">
        <f t="shared" si="4"/>
        <v>0</v>
      </c>
    </row>
    <row r="144" spans="1:17" s="13" customFormat="1" x14ac:dyDescent="0.25">
      <c r="A144" s="229"/>
      <c r="B144" s="27" t="s">
        <v>86</v>
      </c>
      <c r="C144" s="181" t="s">
        <v>17</v>
      </c>
      <c r="D144" s="182"/>
      <c r="E144" s="194" t="s">
        <v>20</v>
      </c>
      <c r="F144" s="73" t="s">
        <v>396</v>
      </c>
      <c r="G144" s="74" t="s">
        <v>112</v>
      </c>
      <c r="H144" s="75">
        <v>22</v>
      </c>
      <c r="I144" s="76">
        <v>18</v>
      </c>
      <c r="J144" s="96">
        <f>1+3+1+7+2+2+5+5+1</f>
        <v>27</v>
      </c>
      <c r="K144" s="77">
        <f>950.9+5134.06+2091.97+528.03+8954.46+5719.74+9578.1</f>
        <v>32957.259999999995</v>
      </c>
      <c r="L144" s="77">
        <f>950.9+5134.06+2091.97+528.03+8954.46+5719.74+9578.1</f>
        <v>32957.259999999995</v>
      </c>
      <c r="M144" s="78">
        <f t="shared" si="5"/>
        <v>0</v>
      </c>
      <c r="N144" s="100">
        <f>15+4+2+1+2+2</f>
        <v>26</v>
      </c>
      <c r="O144" s="81">
        <f>30236.61+18366.75+8887.09+1077.68+8961.95</f>
        <v>67530.080000000002</v>
      </c>
      <c r="P144" s="81">
        <f>30236.61+18366.75+8887.09+1077.68+8961.95</f>
        <v>67530.080000000002</v>
      </c>
      <c r="Q144" s="232">
        <f t="shared" si="4"/>
        <v>0</v>
      </c>
    </row>
    <row r="145" spans="1:17" s="13" customFormat="1" x14ac:dyDescent="0.25">
      <c r="A145" s="229"/>
      <c r="B145" s="27" t="s">
        <v>86</v>
      </c>
      <c r="C145" s="181" t="s">
        <v>17</v>
      </c>
      <c r="D145" s="182"/>
      <c r="E145" s="194" t="s">
        <v>20</v>
      </c>
      <c r="F145" s="73" t="s">
        <v>465</v>
      </c>
      <c r="G145" s="230" t="s">
        <v>114</v>
      </c>
      <c r="H145" s="181">
        <v>9</v>
      </c>
      <c r="I145" s="231">
        <v>3</v>
      </c>
      <c r="J145" s="190">
        <v>3</v>
      </c>
      <c r="K145" s="77">
        <v>3933.72</v>
      </c>
      <c r="L145" s="77">
        <v>3933.72</v>
      </c>
      <c r="M145" s="78">
        <f t="shared" si="5"/>
        <v>0</v>
      </c>
      <c r="N145" s="100">
        <v>10</v>
      </c>
      <c r="O145" s="224">
        <v>20829.13</v>
      </c>
      <c r="P145" s="224">
        <v>20829.13</v>
      </c>
      <c r="Q145" s="232">
        <f t="shared" si="4"/>
        <v>0</v>
      </c>
    </row>
    <row r="146" spans="1:17" s="13" customFormat="1" x14ac:dyDescent="0.25">
      <c r="A146" s="229"/>
      <c r="B146" s="62" t="s">
        <v>312</v>
      </c>
      <c r="C146" s="181" t="s">
        <v>17</v>
      </c>
      <c r="D146" s="182"/>
      <c r="E146" s="194" t="s">
        <v>20</v>
      </c>
      <c r="F146" s="73" t="s">
        <v>320</v>
      </c>
      <c r="G146" s="74" t="s">
        <v>112</v>
      </c>
      <c r="H146" s="75">
        <v>22</v>
      </c>
      <c r="I146" s="76">
        <v>13</v>
      </c>
      <c r="J146" s="96">
        <f>1+1+1+2+3+4</f>
        <v>12</v>
      </c>
      <c r="K146" s="77">
        <f>3319.49+845.24+4965.79+4415.4</f>
        <v>13545.92</v>
      </c>
      <c r="L146" s="77">
        <f>3319.49+845.24+4965.79+4415.4</f>
        <v>13545.92</v>
      </c>
      <c r="M146" s="78">
        <f t="shared" si="5"/>
        <v>0</v>
      </c>
      <c r="N146" s="100">
        <f>5+6+1+1</f>
        <v>13</v>
      </c>
      <c r="O146" s="81">
        <f>4226.2+6627.45+4360.59+6336.1</f>
        <v>21550.34</v>
      </c>
      <c r="P146" s="81">
        <f>4226.2+6627.45+4360.59+6336.1</f>
        <v>21550.34</v>
      </c>
      <c r="Q146" s="232">
        <f t="shared" si="4"/>
        <v>0</v>
      </c>
    </row>
    <row r="147" spans="1:17" s="13" customFormat="1" x14ac:dyDescent="0.25">
      <c r="A147" s="229"/>
      <c r="B147" s="62" t="s">
        <v>494</v>
      </c>
      <c r="C147" s="181" t="s">
        <v>17</v>
      </c>
      <c r="D147" s="182"/>
      <c r="E147" s="194" t="s">
        <v>20</v>
      </c>
      <c r="F147" s="73" t="s">
        <v>497</v>
      </c>
      <c r="G147" s="74" t="s">
        <v>112</v>
      </c>
      <c r="H147" s="75">
        <v>14</v>
      </c>
      <c r="I147" s="76">
        <v>9</v>
      </c>
      <c r="J147" s="96">
        <f>1+1+1+1+2+1+2+2</f>
        <v>11</v>
      </c>
      <c r="K147" s="77">
        <f>3379+5494.06+576.3+2417.43+3057.66+2384.32</f>
        <v>17308.77</v>
      </c>
      <c r="L147" s="77">
        <f>3379+5494.06+576.3+2417.43+3057.66+2384.32</f>
        <v>17308.77</v>
      </c>
      <c r="M147" s="78">
        <f t="shared" si="5"/>
        <v>0</v>
      </c>
      <c r="N147" s="100"/>
      <c r="O147" s="81"/>
      <c r="P147" s="81"/>
      <c r="Q147" s="232">
        <f t="shared" ref="Q147:Q191" si="6">O147-P147</f>
        <v>0</v>
      </c>
    </row>
    <row r="148" spans="1:17" s="13" customFormat="1" x14ac:dyDescent="0.25">
      <c r="A148" s="229"/>
      <c r="B148" s="62" t="s">
        <v>494</v>
      </c>
      <c r="C148" s="181" t="s">
        <v>17</v>
      </c>
      <c r="D148" s="182"/>
      <c r="E148" s="194" t="s">
        <v>20</v>
      </c>
      <c r="F148" s="73" t="s">
        <v>507</v>
      </c>
      <c r="G148" s="74" t="s">
        <v>114</v>
      </c>
      <c r="H148" s="75">
        <v>35</v>
      </c>
      <c r="I148" s="76">
        <v>10</v>
      </c>
      <c r="J148" s="96">
        <v>10</v>
      </c>
      <c r="K148" s="77">
        <v>14361.56</v>
      </c>
      <c r="L148" s="77">
        <v>14361.56</v>
      </c>
      <c r="M148" s="78">
        <f t="shared" si="5"/>
        <v>0</v>
      </c>
      <c r="N148" s="100"/>
      <c r="O148" s="81"/>
      <c r="P148" s="81"/>
      <c r="Q148" s="232">
        <f t="shared" si="6"/>
        <v>0</v>
      </c>
    </row>
    <row r="149" spans="1:17" s="13" customFormat="1" x14ac:dyDescent="0.25">
      <c r="A149" s="229"/>
      <c r="B149" s="30" t="s">
        <v>88</v>
      </c>
      <c r="C149" s="181" t="s">
        <v>17</v>
      </c>
      <c r="D149" s="182"/>
      <c r="E149" s="183" t="s">
        <v>89</v>
      </c>
      <c r="F149" s="73" t="s">
        <v>397</v>
      </c>
      <c r="G149" s="74" t="s">
        <v>112</v>
      </c>
      <c r="H149" s="75">
        <v>23</v>
      </c>
      <c r="I149" s="76">
        <v>14</v>
      </c>
      <c r="J149" s="96">
        <f>1+3+1+2+4+1+2</f>
        <v>14</v>
      </c>
      <c r="K149" s="77">
        <f>4226.2+2394.91+6485.1+556.71+4126.31+9704.16+1282.67+1282.67+2185.62</f>
        <v>32244.349999999995</v>
      </c>
      <c r="L149" s="77">
        <f>4226.2+2394.91+6485.1+556.71+4126.31+9704.16+1282.67+1282.67</f>
        <v>30058.729999999996</v>
      </c>
      <c r="M149" s="78">
        <f t="shared" si="5"/>
        <v>2185.619999999999</v>
      </c>
      <c r="N149" s="100">
        <f>4+1+3+1+2+2+1+1+2</f>
        <v>17</v>
      </c>
      <c r="O149" s="81">
        <f>11967.83+2831.55+10544.37+9418.99+3799.13+1798.04+2548.4-12193.52+4083.77</f>
        <v>34798.559999999998</v>
      </c>
      <c r="P149" s="81">
        <f>11967.83+2831.55+10544.37+9418.99+3799.13+1798.04+2548.4-12193.52+4083.77</f>
        <v>34798.559999999998</v>
      </c>
      <c r="Q149" s="79">
        <f t="shared" si="6"/>
        <v>0</v>
      </c>
    </row>
    <row r="150" spans="1:17" s="13" customFormat="1" x14ac:dyDescent="0.25">
      <c r="A150" s="229"/>
      <c r="B150" s="30" t="s">
        <v>88</v>
      </c>
      <c r="C150" s="181" t="s">
        <v>17</v>
      </c>
      <c r="D150" s="182"/>
      <c r="E150" s="183" t="s">
        <v>89</v>
      </c>
      <c r="F150" s="73" t="s">
        <v>442</v>
      </c>
      <c r="G150" s="230" t="s">
        <v>118</v>
      </c>
      <c r="H150" s="181">
        <v>7</v>
      </c>
      <c r="I150" s="231">
        <v>1</v>
      </c>
      <c r="J150" s="96">
        <v>1</v>
      </c>
      <c r="K150" s="77">
        <v>2116.96</v>
      </c>
      <c r="L150" s="77">
        <v>2116.96</v>
      </c>
      <c r="M150" s="78">
        <f t="shared" si="5"/>
        <v>0</v>
      </c>
      <c r="N150" s="100">
        <v>4</v>
      </c>
      <c r="O150" s="224">
        <v>19245.009999999998</v>
      </c>
      <c r="P150" s="224">
        <v>19245.009999999998</v>
      </c>
      <c r="Q150" s="232">
        <f t="shared" si="6"/>
        <v>0</v>
      </c>
    </row>
    <row r="151" spans="1:17" s="13" customFormat="1" x14ac:dyDescent="0.25">
      <c r="A151" s="229"/>
      <c r="B151" s="30" t="s">
        <v>88</v>
      </c>
      <c r="C151" s="181" t="s">
        <v>17</v>
      </c>
      <c r="D151" s="182"/>
      <c r="E151" s="194" t="s">
        <v>505</v>
      </c>
      <c r="F151" s="73" t="s">
        <v>506</v>
      </c>
      <c r="G151" s="230" t="s">
        <v>114</v>
      </c>
      <c r="H151" s="181">
        <v>9</v>
      </c>
      <c r="I151" s="231">
        <v>2</v>
      </c>
      <c r="J151" s="96">
        <v>2</v>
      </c>
      <c r="K151" s="77">
        <v>6559.74</v>
      </c>
      <c r="L151" s="77">
        <v>6559.74</v>
      </c>
      <c r="M151" s="78">
        <f t="shared" si="5"/>
        <v>0</v>
      </c>
      <c r="N151" s="100"/>
      <c r="O151" s="224"/>
      <c r="P151" s="224"/>
      <c r="Q151" s="232">
        <f t="shared" si="6"/>
        <v>0</v>
      </c>
    </row>
    <row r="152" spans="1:17" s="13" customFormat="1" x14ac:dyDescent="0.25">
      <c r="A152" s="229"/>
      <c r="B152" s="30" t="s">
        <v>90</v>
      </c>
      <c r="C152" s="181" t="s">
        <v>17</v>
      </c>
      <c r="D152" s="182"/>
      <c r="E152" s="194" t="s">
        <v>20</v>
      </c>
      <c r="F152" s="73" t="s">
        <v>398</v>
      </c>
      <c r="G152" s="74" t="s">
        <v>112</v>
      </c>
      <c r="H152" s="75">
        <v>13</v>
      </c>
      <c r="I152" s="76">
        <f>7</f>
        <v>7</v>
      </c>
      <c r="J152" s="96">
        <f>1+1+1+4+1</f>
        <v>8</v>
      </c>
      <c r="K152" s="77">
        <f>422.62+4662.44+7580.13+2408.4</f>
        <v>15073.589999999998</v>
      </c>
      <c r="L152" s="77">
        <f>422.62+4662.44+7580.13+2408.4</f>
        <v>15073.589999999998</v>
      </c>
      <c r="M152" s="78">
        <f t="shared" si="5"/>
        <v>0</v>
      </c>
      <c r="N152" s="100">
        <f>1+1+1+1+2+1</f>
        <v>7</v>
      </c>
      <c r="O152" s="81">
        <f>2122.67+787.61+15453.48+6194.26+37549.5</f>
        <v>62107.519999999997</v>
      </c>
      <c r="P152" s="81">
        <f>2122.67+787.61+15453.48+6194.26+37549.5</f>
        <v>62107.519999999997</v>
      </c>
      <c r="Q152" s="79">
        <f t="shared" si="6"/>
        <v>0</v>
      </c>
    </row>
    <row r="153" spans="1:17" s="13" customFormat="1" x14ac:dyDescent="0.25">
      <c r="A153" s="229"/>
      <c r="B153" s="30" t="s">
        <v>90</v>
      </c>
      <c r="C153" s="181" t="s">
        <v>17</v>
      </c>
      <c r="D153" s="182"/>
      <c r="E153" s="194" t="s">
        <v>20</v>
      </c>
      <c r="F153" s="73" t="s">
        <v>466</v>
      </c>
      <c r="G153" s="230" t="s">
        <v>114</v>
      </c>
      <c r="H153" s="181">
        <v>19</v>
      </c>
      <c r="I153" s="231">
        <v>8</v>
      </c>
      <c r="J153" s="190">
        <v>8</v>
      </c>
      <c r="K153" s="77">
        <v>18496.560000000001</v>
      </c>
      <c r="L153" s="77">
        <v>18496.560000000001</v>
      </c>
      <c r="M153" s="78">
        <f t="shared" si="5"/>
        <v>0</v>
      </c>
      <c r="N153" s="100">
        <v>28</v>
      </c>
      <c r="O153" s="224">
        <v>115855.1</v>
      </c>
      <c r="P153" s="224">
        <v>115855.1</v>
      </c>
      <c r="Q153" s="232">
        <f t="shared" si="6"/>
        <v>0</v>
      </c>
    </row>
    <row r="154" spans="1:17" s="13" customFormat="1" x14ac:dyDescent="0.25">
      <c r="A154" s="229"/>
      <c r="B154" s="30" t="s">
        <v>91</v>
      </c>
      <c r="C154" s="181" t="s">
        <v>17</v>
      </c>
      <c r="D154" s="182"/>
      <c r="E154" s="194" t="s">
        <v>20</v>
      </c>
      <c r="F154" s="73" t="s">
        <v>399</v>
      </c>
      <c r="G154" s="74" t="s">
        <v>112</v>
      </c>
      <c r="H154" s="75"/>
      <c r="I154" s="76"/>
      <c r="J154" s="96"/>
      <c r="K154" s="77">
        <f>1091.81</f>
        <v>1091.81</v>
      </c>
      <c r="L154" s="77"/>
      <c r="M154" s="78">
        <f t="shared" si="5"/>
        <v>1091.81</v>
      </c>
      <c r="N154" s="100"/>
      <c r="O154" s="81"/>
      <c r="P154" s="81"/>
      <c r="Q154" s="79">
        <f t="shared" si="6"/>
        <v>0</v>
      </c>
    </row>
    <row r="155" spans="1:17" s="13" customFormat="1" x14ac:dyDescent="0.25">
      <c r="A155" s="229"/>
      <c r="B155" s="62" t="s">
        <v>138</v>
      </c>
      <c r="C155" s="181" t="s">
        <v>17</v>
      </c>
      <c r="D155" s="182"/>
      <c r="E155" s="194" t="s">
        <v>20</v>
      </c>
      <c r="F155" s="73" t="s">
        <v>467</v>
      </c>
      <c r="G155" s="230" t="s">
        <v>114</v>
      </c>
      <c r="H155" s="181">
        <v>18</v>
      </c>
      <c r="I155" s="231">
        <v>3</v>
      </c>
      <c r="J155" s="190">
        <v>3</v>
      </c>
      <c r="K155" s="193">
        <v>5542.2</v>
      </c>
      <c r="L155" s="193">
        <v>5542.2</v>
      </c>
      <c r="M155" s="78">
        <f t="shared" si="5"/>
        <v>0</v>
      </c>
      <c r="N155" s="114">
        <v>7</v>
      </c>
      <c r="O155" s="224">
        <v>16429.099999999999</v>
      </c>
      <c r="P155" s="224">
        <v>16429.099999999999</v>
      </c>
      <c r="Q155" s="232">
        <f t="shared" si="6"/>
        <v>0</v>
      </c>
    </row>
    <row r="156" spans="1:17" s="13" customFormat="1" x14ac:dyDescent="0.25">
      <c r="A156" s="229"/>
      <c r="B156" s="62" t="s">
        <v>138</v>
      </c>
      <c r="C156" s="181" t="s">
        <v>17</v>
      </c>
      <c r="D156" s="182"/>
      <c r="E156" s="194" t="s">
        <v>20</v>
      </c>
      <c r="F156" s="73" t="s">
        <v>400</v>
      </c>
      <c r="G156" s="74" t="s">
        <v>112</v>
      </c>
      <c r="H156" s="75">
        <v>12</v>
      </c>
      <c r="I156" s="82">
        <v>8</v>
      </c>
      <c r="J156" s="96">
        <f>3+1+1+2+2</f>
        <v>9</v>
      </c>
      <c r="K156" s="77">
        <f>2224.52+9639.33+3232.07+1625.67+1324.62</f>
        <v>18046.21</v>
      </c>
      <c r="L156" s="77">
        <f>2224.52+9639.33+3232.07+1625.67+1324.62</f>
        <v>18046.21</v>
      </c>
      <c r="M156" s="78">
        <f t="shared" si="5"/>
        <v>0</v>
      </c>
      <c r="N156" s="100">
        <f>5+4+2</f>
        <v>11</v>
      </c>
      <c r="O156" s="81">
        <f>8995.87+8641.99+5740.02</f>
        <v>23377.88</v>
      </c>
      <c r="P156" s="81">
        <f>8995.87+8641.99+5740.02</f>
        <v>23377.88</v>
      </c>
      <c r="Q156" s="79">
        <f t="shared" si="6"/>
        <v>0</v>
      </c>
    </row>
    <row r="157" spans="1:17" s="13" customFormat="1" x14ac:dyDescent="0.25">
      <c r="A157" s="229"/>
      <c r="B157" s="62" t="s">
        <v>157</v>
      </c>
      <c r="C157" s="181" t="s">
        <v>17</v>
      </c>
      <c r="D157" s="182"/>
      <c r="E157" s="194" t="s">
        <v>20</v>
      </c>
      <c r="F157" s="73" t="s">
        <v>401</v>
      </c>
      <c r="G157" s="74" t="s">
        <v>112</v>
      </c>
      <c r="H157" s="75">
        <v>15</v>
      </c>
      <c r="I157" s="82"/>
      <c r="J157" s="96"/>
      <c r="K157" s="77"/>
      <c r="L157" s="77"/>
      <c r="M157" s="78">
        <f t="shared" si="5"/>
        <v>0</v>
      </c>
      <c r="N157" s="100"/>
      <c r="O157" s="81"/>
      <c r="P157" s="81"/>
      <c r="Q157" s="232">
        <f t="shared" si="6"/>
        <v>0</v>
      </c>
    </row>
    <row r="158" spans="1:17" s="13" customFormat="1" x14ac:dyDescent="0.25">
      <c r="A158" s="229"/>
      <c r="B158" s="62" t="s">
        <v>515</v>
      </c>
      <c r="C158" s="181"/>
      <c r="D158" s="182"/>
      <c r="E158" s="194" t="s">
        <v>20</v>
      </c>
      <c r="F158" s="73"/>
      <c r="G158" s="74" t="s">
        <v>112</v>
      </c>
      <c r="H158" s="75">
        <v>6</v>
      </c>
      <c r="I158" s="82">
        <v>1</v>
      </c>
      <c r="J158" s="96">
        <f>1</f>
        <v>1</v>
      </c>
      <c r="K158" s="77"/>
      <c r="L158" s="77"/>
      <c r="M158" s="78">
        <f t="shared" si="5"/>
        <v>0</v>
      </c>
      <c r="N158" s="100"/>
      <c r="O158" s="81"/>
      <c r="P158" s="81"/>
      <c r="Q158" s="232"/>
    </row>
    <row r="159" spans="1:17" s="15" customFormat="1" x14ac:dyDescent="0.25">
      <c r="A159" s="229"/>
      <c r="B159" s="62" t="s">
        <v>92</v>
      </c>
      <c r="C159" s="181" t="s">
        <v>17</v>
      </c>
      <c r="D159" s="182"/>
      <c r="E159" s="194" t="s">
        <v>20</v>
      </c>
      <c r="F159" s="73" t="s">
        <v>402</v>
      </c>
      <c r="G159" s="74" t="s">
        <v>112</v>
      </c>
      <c r="H159" s="75">
        <v>13</v>
      </c>
      <c r="I159" s="76">
        <v>12</v>
      </c>
      <c r="J159" s="96">
        <f>1+2+5+2+2</f>
        <v>12</v>
      </c>
      <c r="K159" s="77">
        <f>1951.74+1335.1+2996.76+883.08+842.94</f>
        <v>8009.6200000000008</v>
      </c>
      <c r="L159" s="77">
        <f>1951.74+1335.1+2996.76+883.08</f>
        <v>7166.68</v>
      </c>
      <c r="M159" s="78">
        <f t="shared" si="5"/>
        <v>842.94000000000051</v>
      </c>
      <c r="N159" s="100">
        <f>4+1+1</f>
        <v>6</v>
      </c>
      <c r="O159" s="81">
        <f>12624.74+2697.06+1225.93</f>
        <v>16547.73</v>
      </c>
      <c r="P159" s="81">
        <f>12624.74+2697.06+1225.93</f>
        <v>16547.73</v>
      </c>
      <c r="Q159" s="232">
        <f t="shared" si="6"/>
        <v>0</v>
      </c>
    </row>
    <row r="160" spans="1:17" s="15" customFormat="1" x14ac:dyDescent="0.25">
      <c r="A160" s="229"/>
      <c r="B160" s="62" t="s">
        <v>92</v>
      </c>
      <c r="C160" s="181" t="s">
        <v>17</v>
      </c>
      <c r="D160" s="182"/>
      <c r="E160" s="194" t="s">
        <v>20</v>
      </c>
      <c r="F160" s="73" t="s">
        <v>129</v>
      </c>
      <c r="G160" s="230" t="s">
        <v>114</v>
      </c>
      <c r="H160" s="181"/>
      <c r="I160" s="231"/>
      <c r="J160" s="190"/>
      <c r="K160" s="77"/>
      <c r="L160" s="77"/>
      <c r="M160" s="78">
        <f t="shared" si="5"/>
        <v>0</v>
      </c>
      <c r="N160" s="114"/>
      <c r="O160" s="224"/>
      <c r="P160" s="224"/>
      <c r="Q160" s="232">
        <f t="shared" si="6"/>
        <v>0</v>
      </c>
    </row>
    <row r="161" spans="1:17" s="13" customFormat="1" x14ac:dyDescent="0.25">
      <c r="A161" s="229"/>
      <c r="B161" s="30" t="s">
        <v>93</v>
      </c>
      <c r="C161" s="181" t="s">
        <v>17</v>
      </c>
      <c r="D161" s="182"/>
      <c r="E161" s="183" t="s">
        <v>94</v>
      </c>
      <c r="F161" s="73" t="s">
        <v>403</v>
      </c>
      <c r="G161" s="74" t="s">
        <v>112</v>
      </c>
      <c r="H161" s="75">
        <v>7</v>
      </c>
      <c r="I161" s="76">
        <v>2</v>
      </c>
      <c r="J161" s="96">
        <f>2</f>
        <v>2</v>
      </c>
      <c r="K161" s="77">
        <f>2336.84</f>
        <v>2336.84</v>
      </c>
      <c r="L161" s="77">
        <f>2336.84</f>
        <v>2336.84</v>
      </c>
      <c r="M161" s="78">
        <f t="shared" si="5"/>
        <v>0</v>
      </c>
      <c r="N161" s="100">
        <f>3+8</f>
        <v>11</v>
      </c>
      <c r="O161" s="81">
        <f>20117.75</f>
        <v>20117.75</v>
      </c>
      <c r="P161" s="81">
        <f>20117.75</f>
        <v>20117.75</v>
      </c>
      <c r="Q161" s="232">
        <f t="shared" si="6"/>
        <v>0</v>
      </c>
    </row>
    <row r="162" spans="1:17" s="13" customFormat="1" x14ac:dyDescent="0.25">
      <c r="A162" s="229"/>
      <c r="B162" s="30" t="s">
        <v>93</v>
      </c>
      <c r="C162" s="181" t="s">
        <v>17</v>
      </c>
      <c r="D162" s="182"/>
      <c r="E162" s="183" t="s">
        <v>94</v>
      </c>
      <c r="F162" s="73" t="s">
        <v>130</v>
      </c>
      <c r="G162" s="230" t="s">
        <v>114</v>
      </c>
      <c r="H162" s="181"/>
      <c r="I162" s="231"/>
      <c r="J162" s="190"/>
      <c r="K162" s="77"/>
      <c r="L162" s="77"/>
      <c r="M162" s="78">
        <f t="shared" si="5"/>
        <v>0</v>
      </c>
      <c r="N162" s="100"/>
      <c r="O162" s="224"/>
      <c r="P162" s="224"/>
      <c r="Q162" s="232">
        <f t="shared" si="6"/>
        <v>0</v>
      </c>
    </row>
    <row r="163" spans="1:17" s="13" customFormat="1" x14ac:dyDescent="0.25">
      <c r="A163" s="229"/>
      <c r="B163" s="30" t="s">
        <v>93</v>
      </c>
      <c r="C163" s="181" t="s">
        <v>17</v>
      </c>
      <c r="D163" s="182"/>
      <c r="E163" s="183" t="s">
        <v>94</v>
      </c>
      <c r="F163" s="73" t="s">
        <v>240</v>
      </c>
      <c r="G163" s="230" t="s">
        <v>118</v>
      </c>
      <c r="H163" s="181"/>
      <c r="I163" s="231"/>
      <c r="J163" s="96"/>
      <c r="K163" s="77"/>
      <c r="L163" s="77"/>
      <c r="M163" s="78">
        <f t="shared" si="5"/>
        <v>0</v>
      </c>
      <c r="N163" s="100"/>
      <c r="O163" s="224"/>
      <c r="P163" s="224"/>
      <c r="Q163" s="232">
        <f t="shared" si="6"/>
        <v>0</v>
      </c>
    </row>
    <row r="164" spans="1:17" s="13" customFormat="1" x14ac:dyDescent="0.25">
      <c r="A164" s="229"/>
      <c r="B164" s="30" t="s">
        <v>95</v>
      </c>
      <c r="C164" s="181" t="s">
        <v>17</v>
      </c>
      <c r="D164" s="182"/>
      <c r="E164" s="194" t="s">
        <v>20</v>
      </c>
      <c r="F164" s="73" t="s">
        <v>404</v>
      </c>
      <c r="G164" s="74" t="s">
        <v>112</v>
      </c>
      <c r="H164" s="75">
        <v>20</v>
      </c>
      <c r="I164" s="76">
        <v>11</v>
      </c>
      <c r="J164" s="96">
        <f>1+4+4+5+2+1</f>
        <v>17</v>
      </c>
      <c r="K164" s="77">
        <f>1061.35+5770.05+5238.9+6606.04+6345.59</f>
        <v>25021.93</v>
      </c>
      <c r="L164" s="77">
        <f>1061.35+5770.05+5238.9+6606.04</f>
        <v>18676.34</v>
      </c>
      <c r="M164" s="78">
        <f t="shared" si="5"/>
        <v>6345.59</v>
      </c>
      <c r="N164" s="100">
        <f>1+6+1+4+1+1+1</f>
        <v>15</v>
      </c>
      <c r="O164" s="81">
        <f>11603.82+7559.28+6777.29+24757.02+4991.61</f>
        <v>55689.020000000004</v>
      </c>
      <c r="P164" s="81">
        <f>11603.82+7559.28+6777.29+24757.02</f>
        <v>50697.41</v>
      </c>
      <c r="Q164" s="79">
        <f t="shared" si="6"/>
        <v>4991.6100000000006</v>
      </c>
    </row>
    <row r="165" spans="1:17" s="13" customFormat="1" x14ac:dyDescent="0.25">
      <c r="A165" s="229"/>
      <c r="B165" s="30" t="s">
        <v>95</v>
      </c>
      <c r="C165" s="181" t="s">
        <v>17</v>
      </c>
      <c r="D165" s="182"/>
      <c r="E165" s="194" t="s">
        <v>20</v>
      </c>
      <c r="F165" s="73" t="s">
        <v>291</v>
      </c>
      <c r="G165" s="230" t="s">
        <v>114</v>
      </c>
      <c r="H165" s="181">
        <v>11</v>
      </c>
      <c r="I165" s="231">
        <v>5</v>
      </c>
      <c r="J165" s="190">
        <v>5</v>
      </c>
      <c r="K165" s="77">
        <v>2356.8000000000002</v>
      </c>
      <c r="L165" s="77">
        <v>2356.8000000000002</v>
      </c>
      <c r="M165" s="78">
        <f t="shared" si="5"/>
        <v>0</v>
      </c>
      <c r="N165" s="100">
        <v>14</v>
      </c>
      <c r="O165" s="224">
        <v>29189.15</v>
      </c>
      <c r="P165" s="224">
        <v>29189.15</v>
      </c>
      <c r="Q165" s="232">
        <f t="shared" si="6"/>
        <v>0</v>
      </c>
    </row>
    <row r="166" spans="1:17" s="13" customFormat="1" x14ac:dyDescent="0.25">
      <c r="A166" s="229"/>
      <c r="B166" s="30" t="s">
        <v>96</v>
      </c>
      <c r="C166" s="181" t="s">
        <v>17</v>
      </c>
      <c r="D166" s="182"/>
      <c r="E166" s="194" t="s">
        <v>97</v>
      </c>
      <c r="F166" s="73" t="s">
        <v>405</v>
      </c>
      <c r="G166" s="74" t="s">
        <v>112</v>
      </c>
      <c r="H166" s="75">
        <v>1</v>
      </c>
      <c r="I166" s="76">
        <v>1</v>
      </c>
      <c r="J166" s="96">
        <f>2</f>
        <v>2</v>
      </c>
      <c r="K166" s="77">
        <f>3187.92</f>
        <v>3187.92</v>
      </c>
      <c r="L166" s="77"/>
      <c r="M166" s="78">
        <f t="shared" si="5"/>
        <v>3187.92</v>
      </c>
      <c r="N166" s="103">
        <f>1+2+1+2</f>
        <v>6</v>
      </c>
      <c r="O166" s="77">
        <f>1742.31+9358.48+3187.92</f>
        <v>14288.71</v>
      </c>
      <c r="P166" s="77">
        <f>1742.31+9358.48</f>
        <v>11100.789999999999</v>
      </c>
      <c r="Q166" s="79">
        <f t="shared" si="6"/>
        <v>3187.92</v>
      </c>
    </row>
    <row r="167" spans="1:17" s="13" customFormat="1" x14ac:dyDescent="0.25">
      <c r="A167" s="229"/>
      <c r="B167" s="30" t="s">
        <v>96</v>
      </c>
      <c r="C167" s="181" t="s">
        <v>17</v>
      </c>
      <c r="D167" s="182"/>
      <c r="E167" s="194" t="s">
        <v>97</v>
      </c>
      <c r="F167" s="73" t="s">
        <v>468</v>
      </c>
      <c r="G167" s="230" t="s">
        <v>114</v>
      </c>
      <c r="H167" s="181">
        <v>1</v>
      </c>
      <c r="I167" s="231">
        <v>1</v>
      </c>
      <c r="J167" s="190">
        <v>1</v>
      </c>
      <c r="K167" s="77"/>
      <c r="L167" s="77"/>
      <c r="M167" s="78">
        <f t="shared" si="5"/>
        <v>0</v>
      </c>
      <c r="N167" s="100">
        <v>6</v>
      </c>
      <c r="O167" s="224">
        <v>11285.7</v>
      </c>
      <c r="P167" s="224">
        <v>11285.7</v>
      </c>
      <c r="Q167" s="232">
        <f t="shared" si="6"/>
        <v>0</v>
      </c>
    </row>
    <row r="168" spans="1:17" s="13" customFormat="1" x14ac:dyDescent="0.25">
      <c r="A168" s="229"/>
      <c r="B168" s="30" t="s">
        <v>98</v>
      </c>
      <c r="C168" s="181" t="s">
        <v>17</v>
      </c>
      <c r="D168" s="182"/>
      <c r="E168" s="194" t="s">
        <v>35</v>
      </c>
      <c r="F168" s="73" t="s">
        <v>406</v>
      </c>
      <c r="G168" s="74" t="s">
        <v>112</v>
      </c>
      <c r="H168" s="75">
        <v>41</v>
      </c>
      <c r="I168" s="76">
        <v>26</v>
      </c>
      <c r="J168" s="96">
        <f>1+2+1+1+4+4+1+2+1+5</f>
        <v>22</v>
      </c>
      <c r="K168" s="77">
        <f>845.24+1764.25+8353.03+1298.98+7610.68+13826.64+2752.31+9720.26+116979.76-2616.91+4851.2+993.47+3498.2</f>
        <v>169877.11000000002</v>
      </c>
      <c r="L168" s="77">
        <f>845.24+1764.25+8353.03+1298.98+7610.68+13826.64+2752.31+9720.26+116979.76-2616.91+4851.2+993.47+3498.2</f>
        <v>169877.11000000002</v>
      </c>
      <c r="M168" s="78">
        <f t="shared" si="5"/>
        <v>0</v>
      </c>
      <c r="N168" s="100">
        <f>9+1+1+4+2+1+2+4+2+1+1</f>
        <v>28</v>
      </c>
      <c r="O168" s="81">
        <f>76864.27+883.08+47501.34+5480.06</f>
        <v>130728.75</v>
      </c>
      <c r="P168" s="81">
        <f>76864.27+883.08+47501.34+5480.06</f>
        <v>130728.75</v>
      </c>
      <c r="Q168" s="79">
        <f t="shared" si="6"/>
        <v>0</v>
      </c>
    </row>
    <row r="169" spans="1:17" s="13" customFormat="1" x14ac:dyDescent="0.25">
      <c r="A169" s="229"/>
      <c r="B169" s="30" t="s">
        <v>98</v>
      </c>
      <c r="C169" s="181" t="s">
        <v>17</v>
      </c>
      <c r="D169" s="182"/>
      <c r="E169" s="194" t="s">
        <v>35</v>
      </c>
      <c r="F169" s="73" t="s">
        <v>435</v>
      </c>
      <c r="G169" s="235" t="s">
        <v>117</v>
      </c>
      <c r="H169" s="181">
        <v>6</v>
      </c>
      <c r="I169" s="231">
        <v>2</v>
      </c>
      <c r="J169" s="96">
        <v>2</v>
      </c>
      <c r="K169" s="77">
        <v>2486.83</v>
      </c>
      <c r="L169" s="77">
        <v>2486.83</v>
      </c>
      <c r="M169" s="78">
        <f t="shared" si="5"/>
        <v>0</v>
      </c>
      <c r="N169" s="100">
        <v>5</v>
      </c>
      <c r="O169" s="77">
        <v>18950.45</v>
      </c>
      <c r="P169" s="77">
        <v>18950.45</v>
      </c>
      <c r="Q169" s="232">
        <f t="shared" si="6"/>
        <v>0</v>
      </c>
    </row>
    <row r="170" spans="1:17" s="13" customFormat="1" x14ac:dyDescent="0.25">
      <c r="A170" s="229"/>
      <c r="B170" s="30" t="s">
        <v>488</v>
      </c>
      <c r="C170" s="181" t="s">
        <v>17</v>
      </c>
      <c r="D170" s="182"/>
      <c r="E170" s="194" t="s">
        <v>97</v>
      </c>
      <c r="F170" s="73" t="s">
        <v>498</v>
      </c>
      <c r="G170" s="235" t="s">
        <v>112</v>
      </c>
      <c r="H170" s="181">
        <v>16</v>
      </c>
      <c r="I170" s="231">
        <v>11</v>
      </c>
      <c r="J170" s="96">
        <f>4+1+1+2+3+1</f>
        <v>12</v>
      </c>
      <c r="K170" s="77">
        <f>1535.8+576.3+802.8+4667.08</f>
        <v>7581.98</v>
      </c>
      <c r="L170" s="77">
        <f>1535.8+576.3+802.8</f>
        <v>2914.8999999999996</v>
      </c>
      <c r="M170" s="78">
        <f t="shared" si="5"/>
        <v>4667.08</v>
      </c>
      <c r="N170" s="100"/>
      <c r="O170" s="77"/>
      <c r="P170" s="77"/>
      <c r="Q170" s="232"/>
    </row>
    <row r="171" spans="1:17" s="15" customFormat="1" x14ac:dyDescent="0.25">
      <c r="A171" s="229"/>
      <c r="B171" s="30" t="s">
        <v>99</v>
      </c>
      <c r="C171" s="181" t="s">
        <v>17</v>
      </c>
      <c r="D171" s="182"/>
      <c r="E171" s="183" t="s">
        <v>32</v>
      </c>
      <c r="F171" s="73" t="s">
        <v>418</v>
      </c>
      <c r="G171" s="74" t="s">
        <v>112</v>
      </c>
      <c r="H171" s="75"/>
      <c r="I171" s="76"/>
      <c r="J171" s="96"/>
      <c r="K171" s="77"/>
      <c r="L171" s="77"/>
      <c r="M171" s="78">
        <f t="shared" si="5"/>
        <v>0</v>
      </c>
      <c r="N171" s="100"/>
      <c r="O171" s="81"/>
      <c r="P171" s="81"/>
      <c r="Q171" s="79">
        <f t="shared" si="6"/>
        <v>0</v>
      </c>
    </row>
    <row r="172" spans="1:17" s="15" customFormat="1" x14ac:dyDescent="0.25">
      <c r="A172" s="229"/>
      <c r="B172" s="30" t="s">
        <v>99</v>
      </c>
      <c r="C172" s="181" t="s">
        <v>17</v>
      </c>
      <c r="D172" s="182"/>
      <c r="E172" s="183" t="s">
        <v>32</v>
      </c>
      <c r="F172" s="73" t="s">
        <v>423</v>
      </c>
      <c r="G172" s="235" t="s">
        <v>117</v>
      </c>
      <c r="H172" s="181"/>
      <c r="I172" s="231"/>
      <c r="J172" s="190"/>
      <c r="K172" s="77"/>
      <c r="L172" s="77"/>
      <c r="M172" s="78">
        <f t="shared" si="5"/>
        <v>0</v>
      </c>
      <c r="N172" s="114"/>
      <c r="O172" s="77"/>
      <c r="P172" s="77"/>
      <c r="Q172" s="232">
        <f t="shared" si="6"/>
        <v>0</v>
      </c>
    </row>
    <row r="173" spans="1:17" s="15" customFormat="1" ht="30" x14ac:dyDescent="0.25">
      <c r="A173" s="229"/>
      <c r="B173" s="30" t="s">
        <v>144</v>
      </c>
      <c r="C173" s="181" t="s">
        <v>304</v>
      </c>
      <c r="D173" s="182" t="s">
        <v>313</v>
      </c>
      <c r="E173" s="194" t="s">
        <v>97</v>
      </c>
      <c r="F173" s="73" t="s">
        <v>407</v>
      </c>
      <c r="G173" s="66" t="s">
        <v>112</v>
      </c>
      <c r="H173" s="75">
        <v>21</v>
      </c>
      <c r="I173" s="76">
        <v>21</v>
      </c>
      <c r="J173" s="98">
        <f>2+2+1+3+1+1+5+2+1+4+2+4+1</f>
        <v>29</v>
      </c>
      <c r="K173" s="77">
        <f>950.9+1449.39+2272.32+2785.92+5112.01+6655.23+3700.19+4208.95</f>
        <v>27134.91</v>
      </c>
      <c r="L173" s="77">
        <f>950.9+1449.39+2272.32+2785.92+5112.01+6655.23+3700.19+4208.95</f>
        <v>27134.91</v>
      </c>
      <c r="M173" s="78">
        <f t="shared" si="5"/>
        <v>0</v>
      </c>
      <c r="N173" s="100">
        <f>3+2+1+1+1+1+1</f>
        <v>10</v>
      </c>
      <c r="O173" s="77">
        <f>5020.57+5566.06+2694.94+845.24+2460.18</f>
        <v>16586.990000000002</v>
      </c>
      <c r="P173" s="77">
        <f>5020.57+5566.06+2694.94+845.24+2460.18</f>
        <v>16586.990000000002</v>
      </c>
      <c r="Q173" s="79">
        <f t="shared" si="6"/>
        <v>0</v>
      </c>
    </row>
    <row r="174" spans="1:17" s="15" customFormat="1" x14ac:dyDescent="0.25">
      <c r="A174" s="229"/>
      <c r="B174" s="30" t="s">
        <v>488</v>
      </c>
      <c r="C174" s="181"/>
      <c r="D174" s="182"/>
      <c r="E174" s="194"/>
      <c r="F174" s="73" t="s">
        <v>509</v>
      </c>
      <c r="G174" s="66" t="s">
        <v>114</v>
      </c>
      <c r="H174" s="75">
        <v>25</v>
      </c>
      <c r="I174" s="76">
        <v>12</v>
      </c>
      <c r="J174" s="98">
        <v>12</v>
      </c>
      <c r="K174" s="77">
        <v>18735.73</v>
      </c>
      <c r="L174" s="77">
        <v>18735.73</v>
      </c>
      <c r="M174" s="78">
        <f t="shared" si="5"/>
        <v>0</v>
      </c>
      <c r="N174" s="100"/>
      <c r="O174" s="77"/>
      <c r="P174" s="77"/>
      <c r="Q174" s="232">
        <f t="shared" si="6"/>
        <v>0</v>
      </c>
    </row>
    <row r="175" spans="1:17" s="15" customFormat="1" x14ac:dyDescent="0.25">
      <c r="A175" s="229"/>
      <c r="B175" s="30" t="s">
        <v>514</v>
      </c>
      <c r="C175" s="181"/>
      <c r="D175" s="182"/>
      <c r="E175" s="194" t="s">
        <v>18</v>
      </c>
      <c r="F175" s="73"/>
      <c r="G175" s="66" t="s">
        <v>116</v>
      </c>
      <c r="H175" s="75">
        <v>5</v>
      </c>
      <c r="I175" s="76">
        <v>1</v>
      </c>
      <c r="J175" s="98">
        <v>1</v>
      </c>
      <c r="K175" s="77">
        <v>1766</v>
      </c>
      <c r="L175" s="77">
        <v>1764.13</v>
      </c>
      <c r="M175" s="78">
        <f t="shared" si="5"/>
        <v>1.8699999999998909</v>
      </c>
      <c r="N175" s="100"/>
      <c r="O175" s="77"/>
      <c r="P175" s="77"/>
      <c r="Q175" s="232"/>
    </row>
    <row r="176" spans="1:17" s="15" customFormat="1" x14ac:dyDescent="0.25">
      <c r="A176" s="229"/>
      <c r="B176" s="30" t="s">
        <v>488</v>
      </c>
      <c r="C176" s="181"/>
      <c r="D176" s="182"/>
      <c r="E176" s="194"/>
      <c r="F176" s="73" t="s">
        <v>512</v>
      </c>
      <c r="G176" s="66" t="s">
        <v>116</v>
      </c>
      <c r="H176" s="75">
        <v>12</v>
      </c>
      <c r="I176" s="76">
        <v>7</v>
      </c>
      <c r="J176" s="98">
        <v>7</v>
      </c>
      <c r="K176" s="77">
        <v>12080</v>
      </c>
      <c r="L176" s="77">
        <v>12080</v>
      </c>
      <c r="M176" s="78">
        <f t="shared" si="5"/>
        <v>0</v>
      </c>
      <c r="N176" s="100"/>
      <c r="O176" s="77"/>
      <c r="P176" s="77"/>
      <c r="Q176" s="79"/>
    </row>
    <row r="177" spans="1:17" s="15" customFormat="1" ht="30" x14ac:dyDescent="0.25">
      <c r="A177" s="229"/>
      <c r="B177" s="238" t="s">
        <v>144</v>
      </c>
      <c r="C177" s="181" t="s">
        <v>446</v>
      </c>
      <c r="D177" s="182" t="s">
        <v>313</v>
      </c>
      <c r="E177" s="183" t="s">
        <v>20</v>
      </c>
      <c r="F177" s="73" t="s">
        <v>485</v>
      </c>
      <c r="G177" s="235" t="s">
        <v>114</v>
      </c>
      <c r="H177" s="181">
        <v>36</v>
      </c>
      <c r="I177" s="234">
        <v>17</v>
      </c>
      <c r="J177" s="202">
        <v>17</v>
      </c>
      <c r="K177" s="77">
        <v>38512.93</v>
      </c>
      <c r="L177" s="77">
        <v>38512.93</v>
      </c>
      <c r="M177" s="78">
        <f t="shared" si="5"/>
        <v>0</v>
      </c>
      <c r="N177" s="100">
        <v>21</v>
      </c>
      <c r="O177" s="224">
        <v>53276.800000000003</v>
      </c>
      <c r="P177" s="224">
        <v>53276.800000000003</v>
      </c>
      <c r="Q177" s="232">
        <f t="shared" ref="Q177" si="7">O177-P177</f>
        <v>0</v>
      </c>
    </row>
    <row r="178" spans="1:17" s="21" customFormat="1" ht="45" x14ac:dyDescent="0.25">
      <c r="A178" s="181"/>
      <c r="B178" s="30" t="s">
        <v>100</v>
      </c>
      <c r="C178" s="181" t="s">
        <v>304</v>
      </c>
      <c r="D178" s="182" t="s">
        <v>416</v>
      </c>
      <c r="E178" s="194" t="s">
        <v>20</v>
      </c>
      <c r="F178" s="73" t="s">
        <v>408</v>
      </c>
      <c r="G178" s="27" t="s">
        <v>112</v>
      </c>
      <c r="H178" s="75">
        <v>29</v>
      </c>
      <c r="I178" s="76">
        <v>20</v>
      </c>
      <c r="J178" s="98">
        <f>5+1+4+6+4+2</f>
        <v>22</v>
      </c>
      <c r="K178" s="86">
        <f>6524.55+600.31+19349.45+15377.18+2248.86</f>
        <v>44100.350000000006</v>
      </c>
      <c r="L178" s="86">
        <f>6524.55+600.31+19349.45+15377.18</f>
        <v>41851.490000000005</v>
      </c>
      <c r="M178" s="78">
        <f t="shared" si="5"/>
        <v>2248.8600000000006</v>
      </c>
      <c r="N178" s="100">
        <f>1+3+2+3+1+1</f>
        <v>11</v>
      </c>
      <c r="O178" s="87">
        <f>10770.58+2113.01+3508.24+19305.88+22849.19+23443.77</f>
        <v>81990.670000000013</v>
      </c>
      <c r="P178" s="87">
        <f>10770.58+2113.01+3508.24+19305.88+22849.19</f>
        <v>58546.900000000009</v>
      </c>
      <c r="Q178" s="79">
        <f t="shared" si="6"/>
        <v>23443.770000000004</v>
      </c>
    </row>
    <row r="179" spans="1:17" s="21" customFormat="1" ht="60" x14ac:dyDescent="0.25">
      <c r="A179" s="181"/>
      <c r="B179" s="30" t="s">
        <v>100</v>
      </c>
      <c r="C179" s="203" t="s">
        <v>125</v>
      </c>
      <c r="D179" s="182" t="s">
        <v>126</v>
      </c>
      <c r="E179" s="194" t="s">
        <v>20</v>
      </c>
      <c r="F179" s="73" t="s">
        <v>486</v>
      </c>
      <c r="G179" s="236" t="s">
        <v>114</v>
      </c>
      <c r="H179" s="181">
        <v>11</v>
      </c>
      <c r="I179" s="234">
        <v>2</v>
      </c>
      <c r="J179" s="202">
        <v>2</v>
      </c>
      <c r="K179" s="86">
        <v>5699.6</v>
      </c>
      <c r="L179" s="86">
        <v>5699.6</v>
      </c>
      <c r="M179" s="78">
        <f t="shared" si="5"/>
        <v>0</v>
      </c>
      <c r="N179" s="100"/>
      <c r="O179" s="239">
        <v>71568.429999999993</v>
      </c>
      <c r="P179" s="239">
        <v>71568.429999999993</v>
      </c>
      <c r="Q179" s="232">
        <f t="shared" si="6"/>
        <v>0</v>
      </c>
    </row>
    <row r="180" spans="1:17" s="13" customFormat="1" x14ac:dyDescent="0.25">
      <c r="A180" s="229"/>
      <c r="B180" s="62" t="s">
        <v>101</v>
      </c>
      <c r="C180" s="181" t="s">
        <v>17</v>
      </c>
      <c r="D180" s="182"/>
      <c r="E180" s="194" t="s">
        <v>20</v>
      </c>
      <c r="F180" s="73" t="s">
        <v>409</v>
      </c>
      <c r="G180" s="74" t="s">
        <v>112</v>
      </c>
      <c r="H180" s="75">
        <v>15</v>
      </c>
      <c r="I180" s="76">
        <v>8</v>
      </c>
      <c r="J180" s="96">
        <f>1+5+1+1+2+2+1</f>
        <v>13</v>
      </c>
      <c r="K180" s="77">
        <v>9863.65</v>
      </c>
      <c r="L180" s="77">
        <v>9863.65</v>
      </c>
      <c r="M180" s="78">
        <f t="shared" si="5"/>
        <v>0</v>
      </c>
      <c r="N180" s="100">
        <f>5+2+1+1+1</f>
        <v>10</v>
      </c>
      <c r="O180" s="81">
        <f>6288.07+3061.62+3426.18+12951.18</f>
        <v>25727.05</v>
      </c>
      <c r="P180" s="81">
        <f>6288.07+3061.62+3426.18+12951.18</f>
        <v>25727.05</v>
      </c>
      <c r="Q180" s="79">
        <f t="shared" si="6"/>
        <v>0</v>
      </c>
    </row>
    <row r="181" spans="1:17" s="13" customFormat="1" x14ac:dyDescent="0.25">
      <c r="A181" s="229"/>
      <c r="B181" s="62" t="s">
        <v>146</v>
      </c>
      <c r="C181" s="181" t="s">
        <v>17</v>
      </c>
      <c r="D181" s="182"/>
      <c r="E181" s="194" t="s">
        <v>20</v>
      </c>
      <c r="F181" s="73" t="s">
        <v>410</v>
      </c>
      <c r="G181" s="74" t="s">
        <v>112</v>
      </c>
      <c r="H181" s="75">
        <v>15</v>
      </c>
      <c r="I181" s="76">
        <v>12</v>
      </c>
      <c r="J181" s="96">
        <f>4+1+1+2+1+2+1+1+1</f>
        <v>14</v>
      </c>
      <c r="K181" s="77">
        <f>4610.77+1568.98+1854.88+422.62+1334.13+2599.07+5262.18+1092.81+1092.81</f>
        <v>19838.250000000004</v>
      </c>
      <c r="L181" s="77">
        <f>4610.77+1568.98+1854.88+422.62+1334.13+2599.07+5262.18+1092.81</f>
        <v>18745.440000000002</v>
      </c>
      <c r="M181" s="78">
        <f t="shared" si="5"/>
        <v>1092.8100000000013</v>
      </c>
      <c r="N181" s="100">
        <f>5+1+1+2+1+1+1</f>
        <v>12</v>
      </c>
      <c r="O181" s="81">
        <f>13579.06+1287.07+2636.18+26196.83</f>
        <v>43699.14</v>
      </c>
      <c r="P181" s="81">
        <f>13579.06+1287.07+2636.18+26196.83</f>
        <v>43699.14</v>
      </c>
      <c r="Q181" s="232">
        <f t="shared" si="6"/>
        <v>0</v>
      </c>
    </row>
    <row r="182" spans="1:17" s="13" customFormat="1" x14ac:dyDescent="0.25">
      <c r="A182" s="229"/>
      <c r="B182" s="62" t="s">
        <v>146</v>
      </c>
      <c r="C182" s="181" t="s">
        <v>17</v>
      </c>
      <c r="D182" s="182"/>
      <c r="E182" s="183" t="s">
        <v>21</v>
      </c>
      <c r="F182" s="73" t="s">
        <v>443</v>
      </c>
      <c r="G182" s="230" t="s">
        <v>118</v>
      </c>
      <c r="H182" s="181">
        <v>14</v>
      </c>
      <c r="I182" s="234">
        <v>5</v>
      </c>
      <c r="J182" s="190">
        <v>5</v>
      </c>
      <c r="K182" s="193">
        <v>9341.1299999999992</v>
      </c>
      <c r="L182" s="193">
        <v>9341.1299999999992</v>
      </c>
      <c r="M182" s="78">
        <f t="shared" si="5"/>
        <v>0</v>
      </c>
      <c r="N182" s="114">
        <v>6</v>
      </c>
      <c r="O182" s="224">
        <v>3363.06</v>
      </c>
      <c r="P182" s="224">
        <v>3363.06</v>
      </c>
      <c r="Q182" s="79">
        <f t="shared" si="6"/>
        <v>0</v>
      </c>
    </row>
    <row r="183" spans="1:17" s="13" customFormat="1" x14ac:dyDescent="0.25">
      <c r="A183" s="229"/>
      <c r="B183" s="27" t="s">
        <v>102</v>
      </c>
      <c r="C183" s="181" t="s">
        <v>17</v>
      </c>
      <c r="D183" s="182"/>
      <c r="E183" s="194" t="s">
        <v>20</v>
      </c>
      <c r="F183" s="73" t="s">
        <v>411</v>
      </c>
      <c r="G183" s="74" t="s">
        <v>112</v>
      </c>
      <c r="H183" s="75">
        <v>14</v>
      </c>
      <c r="I183" s="76">
        <v>11</v>
      </c>
      <c r="J183" s="96">
        <f>1+1+2+1+2+1+3</f>
        <v>11</v>
      </c>
      <c r="K183" s="77">
        <f>845.24+845.24+1690.48+1394.65+2689.38+1324.62</f>
        <v>8789.61</v>
      </c>
      <c r="L183" s="77">
        <f>845.24+845.24+1690.48+1394.65+2689.38+1324.62</f>
        <v>8789.61</v>
      </c>
      <c r="M183" s="78">
        <f t="shared" si="5"/>
        <v>0</v>
      </c>
      <c r="N183" s="100">
        <f>3+1+1+1+1</f>
        <v>7</v>
      </c>
      <c r="O183" s="81">
        <f>7808.21+30833.77-12193.52+9963.17+5385.9</f>
        <v>41797.530000000006</v>
      </c>
      <c r="P183" s="81">
        <f>7808.21+30833.77-12193.52+9963.17+5385.9</f>
        <v>41797.530000000006</v>
      </c>
      <c r="Q183" s="232">
        <f t="shared" si="6"/>
        <v>0</v>
      </c>
    </row>
    <row r="184" spans="1:17" s="13" customFormat="1" x14ac:dyDescent="0.25">
      <c r="A184" s="229"/>
      <c r="B184" s="27" t="s">
        <v>102</v>
      </c>
      <c r="C184" s="181" t="s">
        <v>17</v>
      </c>
      <c r="D184" s="182"/>
      <c r="E184" s="194" t="s">
        <v>20</v>
      </c>
      <c r="F184" s="73" t="s">
        <v>469</v>
      </c>
      <c r="G184" s="230" t="s">
        <v>114</v>
      </c>
      <c r="H184" s="181">
        <v>10</v>
      </c>
      <c r="I184" s="231">
        <v>3</v>
      </c>
      <c r="J184" s="190">
        <v>3</v>
      </c>
      <c r="K184" s="77">
        <v>1267.8599999999999</v>
      </c>
      <c r="L184" s="77">
        <v>1267.8599999999999</v>
      </c>
      <c r="M184" s="78">
        <f t="shared" si="5"/>
        <v>0</v>
      </c>
      <c r="N184" s="100">
        <v>8</v>
      </c>
      <c r="O184" s="224">
        <v>31700.42</v>
      </c>
      <c r="P184" s="224">
        <v>31700.42</v>
      </c>
      <c r="Q184" s="232">
        <f t="shared" si="6"/>
        <v>0</v>
      </c>
    </row>
    <row r="185" spans="1:17" s="13" customFormat="1" x14ac:dyDescent="0.25">
      <c r="A185" s="229"/>
      <c r="B185" s="27" t="s">
        <v>103</v>
      </c>
      <c r="C185" s="181" t="s">
        <v>17</v>
      </c>
      <c r="D185" s="182"/>
      <c r="E185" s="183" t="s">
        <v>20</v>
      </c>
      <c r="F185" s="73" t="s">
        <v>412</v>
      </c>
      <c r="G185" s="74" t="s">
        <v>112</v>
      </c>
      <c r="H185" s="75">
        <v>15</v>
      </c>
      <c r="I185" s="76">
        <v>10</v>
      </c>
      <c r="J185" s="96">
        <f>4+1+2+3+1</f>
        <v>11</v>
      </c>
      <c r="K185" s="77">
        <f>16248.67+1092.81+2003.49+401.4</f>
        <v>19746.370000000003</v>
      </c>
      <c r="L185" s="77">
        <f>16248.67+1092.81+2003.49+401.4</f>
        <v>19746.370000000003</v>
      </c>
      <c r="M185" s="78">
        <f t="shared" si="5"/>
        <v>0</v>
      </c>
      <c r="N185" s="100">
        <f>7+2+1+1+2+1</f>
        <v>14</v>
      </c>
      <c r="O185" s="77">
        <f>20193.14+7541.5+685.38</f>
        <v>28420.02</v>
      </c>
      <c r="P185" s="77">
        <f>20193.14+7541.5+685.38</f>
        <v>28420.02</v>
      </c>
      <c r="Q185" s="232">
        <f t="shared" si="6"/>
        <v>0</v>
      </c>
    </row>
    <row r="186" spans="1:17" s="13" customFormat="1" x14ac:dyDescent="0.25">
      <c r="A186" s="229"/>
      <c r="B186" s="27" t="s">
        <v>103</v>
      </c>
      <c r="C186" s="181" t="s">
        <v>17</v>
      </c>
      <c r="D186" s="182"/>
      <c r="E186" s="183" t="s">
        <v>20</v>
      </c>
      <c r="F186" s="73" t="s">
        <v>470</v>
      </c>
      <c r="G186" s="230" t="s">
        <v>114</v>
      </c>
      <c r="H186" s="181">
        <v>16</v>
      </c>
      <c r="I186" s="231">
        <v>3</v>
      </c>
      <c r="J186" s="190">
        <v>3</v>
      </c>
      <c r="K186" s="77">
        <v>4940.1000000000004</v>
      </c>
      <c r="L186" s="77">
        <v>4940.1000000000004</v>
      </c>
      <c r="M186" s="78">
        <f t="shared" si="5"/>
        <v>0</v>
      </c>
      <c r="N186" s="100">
        <v>4</v>
      </c>
      <c r="O186" s="224">
        <v>10434.89</v>
      </c>
      <c r="P186" s="224">
        <v>10434.89</v>
      </c>
      <c r="Q186" s="232">
        <f t="shared" si="6"/>
        <v>0</v>
      </c>
    </row>
    <row r="187" spans="1:17" s="15" customFormat="1" x14ac:dyDescent="0.25">
      <c r="A187" s="229"/>
      <c r="B187" s="27" t="s">
        <v>104</v>
      </c>
      <c r="C187" s="181" t="s">
        <v>17</v>
      </c>
      <c r="D187" s="182"/>
      <c r="E187" s="183" t="s">
        <v>20</v>
      </c>
      <c r="F187" s="73" t="s">
        <v>413</v>
      </c>
      <c r="G187" s="74" t="s">
        <v>112</v>
      </c>
      <c r="H187" s="75">
        <v>18</v>
      </c>
      <c r="I187" s="76">
        <f>13</f>
        <v>13</v>
      </c>
      <c r="J187" s="96">
        <f>3+1+2+4+1+1+1</f>
        <v>13</v>
      </c>
      <c r="K187" s="77">
        <f>5112.82+422.64+8302.14+1605.5+1092.81</f>
        <v>16535.91</v>
      </c>
      <c r="L187" s="77">
        <f>5112.82+422.64+8302.14+1605.5+1092.81</f>
        <v>16535.91</v>
      </c>
      <c r="M187" s="78">
        <f t="shared" si="5"/>
        <v>0</v>
      </c>
      <c r="N187" s="100">
        <f>4+1+1+2+1</f>
        <v>9</v>
      </c>
      <c r="O187" s="81">
        <f>7087.22+3426.18+3496.22</f>
        <v>14009.619999999999</v>
      </c>
      <c r="P187" s="81">
        <f>7087.22+3426.18+3496.22</f>
        <v>14009.619999999999</v>
      </c>
      <c r="Q187" s="232">
        <f t="shared" si="6"/>
        <v>0</v>
      </c>
    </row>
    <row r="188" spans="1:17" s="15" customFormat="1" x14ac:dyDescent="0.25">
      <c r="A188" s="229"/>
      <c r="B188" s="27" t="s">
        <v>104</v>
      </c>
      <c r="C188" s="181" t="s">
        <v>17</v>
      </c>
      <c r="D188" s="182"/>
      <c r="E188" s="183" t="s">
        <v>20</v>
      </c>
      <c r="F188" s="73" t="s">
        <v>471</v>
      </c>
      <c r="G188" s="230" t="s">
        <v>114</v>
      </c>
      <c r="H188" s="181">
        <v>40</v>
      </c>
      <c r="I188" s="231">
        <v>10</v>
      </c>
      <c r="J188" s="190">
        <v>10</v>
      </c>
      <c r="K188" s="77">
        <v>23685.91</v>
      </c>
      <c r="L188" s="77">
        <v>23685.91</v>
      </c>
      <c r="M188" s="78">
        <f t="shared" si="5"/>
        <v>0</v>
      </c>
      <c r="N188" s="114">
        <v>18</v>
      </c>
      <c r="O188" s="224">
        <v>40887.050000000003</v>
      </c>
      <c r="P188" s="224">
        <v>40887.050000000003</v>
      </c>
      <c r="Q188" s="232">
        <f t="shared" si="6"/>
        <v>0</v>
      </c>
    </row>
    <row r="189" spans="1:17" s="13" customFormat="1" x14ac:dyDescent="0.25">
      <c r="A189" s="229"/>
      <c r="B189" s="30" t="s">
        <v>26</v>
      </c>
      <c r="C189" s="181" t="s">
        <v>17</v>
      </c>
      <c r="D189" s="182"/>
      <c r="E189" s="183" t="s">
        <v>32</v>
      </c>
      <c r="F189" s="73" t="s">
        <v>246</v>
      </c>
      <c r="G189" s="74" t="s">
        <v>117</v>
      </c>
      <c r="H189" s="75"/>
      <c r="I189" s="76"/>
      <c r="J189" s="96"/>
      <c r="K189" s="77"/>
      <c r="L189" s="77"/>
      <c r="M189" s="78">
        <f t="shared" si="5"/>
        <v>0</v>
      </c>
      <c r="N189" s="100">
        <v>5</v>
      </c>
      <c r="O189" s="81">
        <v>7808.15</v>
      </c>
      <c r="P189" s="81">
        <v>7808.15</v>
      </c>
      <c r="Q189" s="232">
        <f t="shared" si="6"/>
        <v>0</v>
      </c>
    </row>
    <row r="190" spans="1:17" s="13" customFormat="1" x14ac:dyDescent="0.25">
      <c r="A190" s="229"/>
      <c r="B190" s="62" t="s">
        <v>106</v>
      </c>
      <c r="C190" s="181" t="s">
        <v>17</v>
      </c>
      <c r="D190" s="205"/>
      <c r="E190" s="194" t="s">
        <v>20</v>
      </c>
      <c r="F190" s="73" t="s">
        <v>414</v>
      </c>
      <c r="G190" s="74" t="s">
        <v>112</v>
      </c>
      <c r="H190" s="75">
        <v>14</v>
      </c>
      <c r="I190" s="76">
        <f>8</f>
        <v>8</v>
      </c>
      <c r="J190" s="96">
        <f>1+4+2+2+1</f>
        <v>10</v>
      </c>
      <c r="K190" s="77">
        <v>4901.5</v>
      </c>
      <c r="L190" s="77">
        <v>4901.5</v>
      </c>
      <c r="M190" s="78">
        <f t="shared" si="5"/>
        <v>0</v>
      </c>
      <c r="N190" s="100">
        <f>3+1+1</f>
        <v>5</v>
      </c>
      <c r="O190" s="81">
        <v>49473.81</v>
      </c>
      <c r="P190" s="81">
        <v>49473.81</v>
      </c>
      <c r="Q190" s="232">
        <f t="shared" si="6"/>
        <v>0</v>
      </c>
    </row>
    <row r="191" spans="1:17" x14ac:dyDescent="0.25">
      <c r="A191" s="289"/>
      <c r="B191" s="66"/>
      <c r="C191" s="290"/>
      <c r="D191" s="235"/>
      <c r="E191" s="235"/>
      <c r="F191" s="73"/>
      <c r="G191" s="235" t="s">
        <v>131</v>
      </c>
      <c r="H191" s="240">
        <f>SUM(H10:H190)</f>
        <v>2839</v>
      </c>
      <c r="I191" s="288">
        <f>SUM(I10:I190)</f>
        <v>1645</v>
      </c>
      <c r="J191" s="208">
        <f>SUM(J10:J190)</f>
        <v>1998</v>
      </c>
      <c r="K191" s="209">
        <f>SUM(K10:K190)</f>
        <v>3503195.4750000015</v>
      </c>
      <c r="L191" s="209">
        <f>SUM(L10:L190)</f>
        <v>3295011.7349999999</v>
      </c>
      <c r="M191" s="210">
        <f>K191-L191</f>
        <v>208183.74000000162</v>
      </c>
      <c r="N191" s="208">
        <f>SUM(N10:N190)</f>
        <v>1829</v>
      </c>
      <c r="O191" s="241">
        <f>SUM(O10:O190)</f>
        <v>5804795.1200000001</v>
      </c>
      <c r="P191" s="241">
        <f>SUM(P10:P190)</f>
        <v>5739437.8900000006</v>
      </c>
      <c r="Q191" s="79">
        <f t="shared" si="6"/>
        <v>65357.229999999516</v>
      </c>
    </row>
    <row r="192" spans="1:17" x14ac:dyDescent="0.25">
      <c r="K192" s="91" t="s">
        <v>305</v>
      </c>
    </row>
    <row r="193" spans="2:17" ht="45" x14ac:dyDescent="0.25">
      <c r="B193" s="89" t="s">
        <v>316</v>
      </c>
      <c r="F193" s="104" t="s">
        <v>317</v>
      </c>
      <c r="M193" s="142"/>
      <c r="N193" s="277"/>
      <c r="O193" s="278"/>
      <c r="P193" s="279"/>
      <c r="Q193" s="133"/>
    </row>
    <row r="194" spans="2:17" x14ac:dyDescent="0.25"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216"/>
      <c r="N194" s="6"/>
      <c r="O194" s="6"/>
      <c r="P194" s="6"/>
      <c r="Q194" s="6"/>
    </row>
    <row r="195" spans="2:17" x14ac:dyDescent="0.25">
      <c r="M195" s="216"/>
    </row>
    <row r="196" spans="2:17" x14ac:dyDescent="0.25">
      <c r="M196" s="216"/>
    </row>
    <row r="197" spans="2:17" x14ac:dyDescent="0.25">
      <c r="M197" s="216"/>
    </row>
    <row r="198" spans="2:17" x14ac:dyDescent="0.25">
      <c r="M198" s="216"/>
    </row>
  </sheetData>
  <mergeCells count="7">
    <mergeCell ref="O1:Q1"/>
    <mergeCell ref="A3:Q3"/>
    <mergeCell ref="A4:Q4"/>
    <mergeCell ref="A5:Q5"/>
    <mergeCell ref="B7:G7"/>
    <mergeCell ref="H7:M7"/>
    <mergeCell ref="N7:Q7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00"/>
  <sheetViews>
    <sheetView topLeftCell="A7" zoomScale="90" zoomScaleNormal="90" workbookViewId="0">
      <pane xSplit="6" ySplit="2" topLeftCell="M9" activePane="bottomRight" state="frozen"/>
      <selection activeCell="A7" sqref="A7"/>
      <selection pane="topRight" activeCell="G7" sqref="G7"/>
      <selection pane="bottomLeft" activeCell="A9" sqref="A9"/>
      <selection pane="bottomRight" activeCell="M8" sqref="M1:M1048576"/>
    </sheetView>
  </sheetViews>
  <sheetFormatPr defaultRowHeight="15" x14ac:dyDescent="0.25"/>
  <cols>
    <col min="1" max="1" width="1.85546875" style="6" customWidth="1"/>
    <col min="2" max="2" width="38.28515625" style="88" customWidth="1"/>
    <col min="3" max="3" width="6.5703125" style="19" customWidth="1"/>
    <col min="4" max="4" width="17.42578125" style="19" customWidth="1"/>
    <col min="5" max="5" width="19" style="19" customWidth="1"/>
    <col min="6" max="6" width="19" style="89" customWidth="1"/>
    <col min="7" max="7" width="20.140625" style="89" customWidth="1"/>
    <col min="8" max="9" width="15.7109375" style="90" customWidth="1"/>
    <col min="10" max="10" width="15.7109375" style="99" customWidth="1"/>
    <col min="11" max="13" width="15.7109375" style="91" customWidth="1"/>
    <col min="14" max="14" width="15.7109375" style="99" customWidth="1"/>
    <col min="15" max="17" width="15.7109375" style="92" customWidth="1"/>
    <col min="18" max="18" width="8.85546875" style="6" customWidth="1"/>
    <col min="19" max="16384" width="9.140625" style="6"/>
  </cols>
  <sheetData>
    <row r="1" spans="1:17" s="105" customFormat="1" x14ac:dyDescent="0.25">
      <c r="A1" s="60"/>
      <c r="B1" s="60"/>
      <c r="C1" s="225"/>
      <c r="D1" s="225"/>
      <c r="E1" s="225"/>
      <c r="F1" s="63"/>
      <c r="G1" s="63"/>
      <c r="H1" s="64"/>
      <c r="I1" s="64"/>
      <c r="J1" s="93"/>
      <c r="K1" s="65"/>
      <c r="L1" s="65"/>
      <c r="M1" s="65"/>
      <c r="N1" s="93"/>
      <c r="O1" s="362" t="s">
        <v>15</v>
      </c>
      <c r="P1" s="362"/>
      <c r="Q1" s="362"/>
    </row>
    <row r="2" spans="1:17" s="105" customFormat="1" x14ac:dyDescent="0.25">
      <c r="A2" s="285"/>
      <c r="B2" s="285"/>
      <c r="C2" s="286"/>
      <c r="D2" s="286"/>
      <c r="E2" s="286"/>
      <c r="F2" s="66"/>
      <c r="G2" s="66"/>
      <c r="H2" s="284"/>
      <c r="I2" s="284"/>
      <c r="J2" s="94"/>
      <c r="K2" s="67"/>
      <c r="L2" s="67"/>
      <c r="M2" s="67"/>
      <c r="N2" s="94"/>
      <c r="O2" s="68"/>
      <c r="P2" s="68"/>
      <c r="Q2" s="68"/>
    </row>
    <row r="3" spans="1:17" s="105" customFormat="1" x14ac:dyDescent="0.25">
      <c r="A3" s="380" t="s">
        <v>318</v>
      </c>
      <c r="B3" s="367"/>
      <c r="C3" s="380"/>
      <c r="D3" s="380"/>
      <c r="E3" s="380"/>
      <c r="F3" s="367"/>
      <c r="G3" s="367"/>
      <c r="H3" s="366"/>
      <c r="I3" s="366"/>
      <c r="J3" s="367"/>
      <c r="K3" s="367"/>
      <c r="L3" s="367"/>
      <c r="M3" s="367"/>
      <c r="N3" s="367"/>
      <c r="O3" s="367"/>
      <c r="P3" s="367"/>
      <c r="Q3" s="367"/>
    </row>
    <row r="4" spans="1:17" s="105" customFormat="1" x14ac:dyDescent="0.25">
      <c r="A4" s="381">
        <v>43753</v>
      </c>
      <c r="B4" s="373"/>
      <c r="C4" s="382"/>
      <c r="D4" s="382"/>
      <c r="E4" s="382"/>
      <c r="F4" s="373"/>
      <c r="G4" s="373"/>
      <c r="H4" s="372"/>
      <c r="I4" s="372"/>
      <c r="J4" s="373"/>
      <c r="K4" s="373"/>
      <c r="L4" s="373"/>
      <c r="M4" s="373"/>
      <c r="N4" s="373"/>
      <c r="O4" s="373"/>
      <c r="P4" s="373"/>
      <c r="Q4" s="373"/>
    </row>
    <row r="5" spans="1:17" s="105" customFormat="1" x14ac:dyDescent="0.25">
      <c r="A5" s="367" t="s">
        <v>14</v>
      </c>
      <c r="B5" s="367"/>
      <c r="C5" s="367"/>
      <c r="D5" s="367"/>
      <c r="E5" s="367"/>
      <c r="F5" s="367"/>
      <c r="G5" s="367"/>
      <c r="H5" s="366"/>
      <c r="I5" s="366"/>
      <c r="J5" s="367"/>
      <c r="K5" s="367"/>
      <c r="L5" s="367"/>
      <c r="M5" s="367"/>
      <c r="N5" s="367"/>
      <c r="O5" s="367"/>
      <c r="P5" s="367"/>
      <c r="Q5" s="367"/>
    </row>
    <row r="6" spans="1:17" s="105" customFormat="1" x14ac:dyDescent="0.25">
      <c r="A6" s="285"/>
      <c r="B6" s="285"/>
      <c r="C6" s="286"/>
      <c r="D6" s="286"/>
      <c r="E6" s="286"/>
      <c r="F6" s="66"/>
      <c r="G6" s="66"/>
      <c r="H6" s="284"/>
      <c r="I6" s="284"/>
      <c r="J6" s="94"/>
      <c r="K6" s="67"/>
      <c r="L6" s="67"/>
      <c r="M6" s="67"/>
      <c r="N6" s="94"/>
      <c r="O6" s="68"/>
      <c r="P6" s="68"/>
      <c r="Q6" s="68"/>
    </row>
    <row r="7" spans="1:17" x14ac:dyDescent="0.25">
      <c r="A7" s="227" t="s">
        <v>0</v>
      </c>
      <c r="B7" s="367" t="s">
        <v>10</v>
      </c>
      <c r="C7" s="380"/>
      <c r="D7" s="380"/>
      <c r="E7" s="380"/>
      <c r="F7" s="367"/>
      <c r="G7" s="367"/>
      <c r="H7" s="366" t="s">
        <v>472</v>
      </c>
      <c r="I7" s="366"/>
      <c r="J7" s="367"/>
      <c r="K7" s="367"/>
      <c r="L7" s="367"/>
      <c r="M7" s="367"/>
      <c r="N7" s="367" t="s">
        <v>132</v>
      </c>
      <c r="O7" s="367"/>
      <c r="P7" s="367"/>
      <c r="Q7" s="367"/>
    </row>
    <row r="8" spans="1:17" ht="195" x14ac:dyDescent="0.25">
      <c r="A8" s="227"/>
      <c r="B8" s="285" t="s">
        <v>4</v>
      </c>
      <c r="C8" s="286" t="s">
        <v>1</v>
      </c>
      <c r="D8" s="286" t="s">
        <v>3</v>
      </c>
      <c r="E8" s="286" t="s">
        <v>2</v>
      </c>
      <c r="F8" s="285" t="s">
        <v>6</v>
      </c>
      <c r="G8" s="66" t="s">
        <v>5</v>
      </c>
      <c r="H8" s="285" t="s">
        <v>7</v>
      </c>
      <c r="I8" s="285" t="s">
        <v>8</v>
      </c>
      <c r="J8" s="94" t="s">
        <v>9</v>
      </c>
      <c r="K8" s="67" t="s">
        <v>11</v>
      </c>
      <c r="L8" s="67" t="s">
        <v>12</v>
      </c>
      <c r="M8" s="67" t="s">
        <v>13</v>
      </c>
      <c r="N8" s="94" t="s">
        <v>9</v>
      </c>
      <c r="O8" s="68" t="s">
        <v>11</v>
      </c>
      <c r="P8" s="68" t="s">
        <v>12</v>
      </c>
      <c r="Q8" s="68" t="s">
        <v>13</v>
      </c>
    </row>
    <row r="9" spans="1:17" x14ac:dyDescent="0.25">
      <c r="A9" s="228">
        <v>1</v>
      </c>
      <c r="B9" s="61">
        <f>A9+1</f>
        <v>2</v>
      </c>
      <c r="C9" s="228">
        <f t="shared" ref="C9:Q9" si="0">B9+1</f>
        <v>3</v>
      </c>
      <c r="D9" s="228">
        <f t="shared" si="0"/>
        <v>4</v>
      </c>
      <c r="E9" s="228">
        <f t="shared" si="0"/>
        <v>5</v>
      </c>
      <c r="F9" s="69">
        <f t="shared" si="0"/>
        <v>6</v>
      </c>
      <c r="G9" s="69">
        <f t="shared" si="0"/>
        <v>7</v>
      </c>
      <c r="H9" s="70">
        <f t="shared" si="0"/>
        <v>8</v>
      </c>
      <c r="I9" s="70">
        <f t="shared" si="0"/>
        <v>9</v>
      </c>
      <c r="J9" s="95">
        <f t="shared" si="0"/>
        <v>10</v>
      </c>
      <c r="K9" s="71">
        <f t="shared" si="0"/>
        <v>11</v>
      </c>
      <c r="L9" s="71">
        <f t="shared" si="0"/>
        <v>12</v>
      </c>
      <c r="M9" s="71">
        <f t="shared" si="0"/>
        <v>13</v>
      </c>
      <c r="N9" s="95">
        <f t="shared" si="0"/>
        <v>14</v>
      </c>
      <c r="O9" s="72">
        <f t="shared" si="0"/>
        <v>15</v>
      </c>
      <c r="P9" s="72">
        <f t="shared" si="0"/>
        <v>16</v>
      </c>
      <c r="Q9" s="72">
        <f t="shared" si="0"/>
        <v>17</v>
      </c>
    </row>
    <row r="10" spans="1:17" s="13" customFormat="1" ht="30" x14ac:dyDescent="0.25">
      <c r="A10" s="229"/>
      <c r="B10" s="62" t="s">
        <v>16</v>
      </c>
      <c r="C10" s="181" t="s">
        <v>304</v>
      </c>
      <c r="D10" s="182" t="s">
        <v>315</v>
      </c>
      <c r="E10" s="183" t="s">
        <v>18</v>
      </c>
      <c r="F10" s="73" t="s">
        <v>322</v>
      </c>
      <c r="G10" s="74" t="s">
        <v>112</v>
      </c>
      <c r="H10" s="75">
        <v>12</v>
      </c>
      <c r="I10" s="76">
        <v>11</v>
      </c>
      <c r="J10" s="98">
        <f>2+1+3+3+1+3</f>
        <v>13</v>
      </c>
      <c r="K10" s="77">
        <f>4792.51+1138.19+504.26+11366.06+4859.68+3954.5+12023.46</f>
        <v>38638.660000000003</v>
      </c>
      <c r="L10" s="77">
        <f>4792.51+1138.19+504.26+11366.06+4859.68+3954.5+12023.46</f>
        <v>38638.660000000003</v>
      </c>
      <c r="M10" s="78">
        <f>K10-L10</f>
        <v>0</v>
      </c>
      <c r="N10" s="100">
        <f>2+5+1+2+1</f>
        <v>11</v>
      </c>
      <c r="O10" s="77">
        <f>9108.77+6924.32+22366.06+8197.52</f>
        <v>46596.67</v>
      </c>
      <c r="P10" s="77">
        <f>9108.77+6924.32+22366.06+8197.52</f>
        <v>46596.67</v>
      </c>
      <c r="Q10" s="79">
        <f>O10-P10</f>
        <v>0</v>
      </c>
    </row>
    <row r="11" spans="1:17" s="13" customFormat="1" ht="30" x14ac:dyDescent="0.25">
      <c r="A11" s="229"/>
      <c r="B11" s="62" t="s">
        <v>16</v>
      </c>
      <c r="C11" s="181" t="s">
        <v>304</v>
      </c>
      <c r="D11" s="182" t="s">
        <v>315</v>
      </c>
      <c r="E11" s="183" t="s">
        <v>18</v>
      </c>
      <c r="F11" s="73" t="s">
        <v>322</v>
      </c>
      <c r="G11" s="230" t="s">
        <v>116</v>
      </c>
      <c r="H11" s="181">
        <v>11</v>
      </c>
      <c r="I11" s="231">
        <v>6</v>
      </c>
      <c r="J11" s="96">
        <v>6</v>
      </c>
      <c r="K11" s="224">
        <v>11526</v>
      </c>
      <c r="L11" s="224">
        <v>11526</v>
      </c>
      <c r="M11" s="78">
        <f t="shared" ref="M11:M77" si="1">K11-L11</f>
        <v>0</v>
      </c>
      <c r="N11" s="100"/>
      <c r="O11" s="224">
        <v>2945</v>
      </c>
      <c r="P11" s="224">
        <v>2945</v>
      </c>
      <c r="Q11" s="232">
        <f t="shared" ref="Q11:Q81" si="2">O11-P11</f>
        <v>0</v>
      </c>
    </row>
    <row r="12" spans="1:17" s="13" customFormat="1" x14ac:dyDescent="0.25">
      <c r="A12" s="229"/>
      <c r="B12" s="62" t="s">
        <v>490</v>
      </c>
      <c r="C12" s="181" t="s">
        <v>304</v>
      </c>
      <c r="D12" s="182"/>
      <c r="E12" s="183"/>
      <c r="F12" s="189" t="s">
        <v>501</v>
      </c>
      <c r="G12" s="230" t="s">
        <v>112</v>
      </c>
      <c r="H12" s="181">
        <v>18</v>
      </c>
      <c r="I12" s="231">
        <v>14</v>
      </c>
      <c r="J12" s="96">
        <f>5+1+3+1+1+2+2+1</f>
        <v>16</v>
      </c>
      <c r="K12" s="224">
        <f>8352.39+384.2+1463.8+3720.67+546.41+5470.48+13100.4+2207.7</f>
        <v>35246.049999999996</v>
      </c>
      <c r="L12" s="224">
        <f>8352.39+384.2+1463.8+3720.67+546.41+5470.48+13100.4</f>
        <v>33038.35</v>
      </c>
      <c r="M12" s="78">
        <f t="shared" si="1"/>
        <v>2207.6999999999971</v>
      </c>
      <c r="N12" s="100"/>
      <c r="O12" s="224"/>
      <c r="P12" s="224"/>
      <c r="Q12" s="79">
        <f t="shared" si="2"/>
        <v>0</v>
      </c>
    </row>
    <row r="13" spans="1:17" s="15" customFormat="1" x14ac:dyDescent="0.25">
      <c r="A13" s="229"/>
      <c r="B13" s="62" t="s">
        <v>19</v>
      </c>
      <c r="C13" s="181" t="s">
        <v>17</v>
      </c>
      <c r="D13" s="182"/>
      <c r="E13" s="183" t="s">
        <v>20</v>
      </c>
      <c r="F13" s="73" t="s">
        <v>323</v>
      </c>
      <c r="G13" s="74" t="s">
        <v>112</v>
      </c>
      <c r="H13" s="75">
        <v>16</v>
      </c>
      <c r="I13" s="76">
        <v>14</v>
      </c>
      <c r="J13" s="96">
        <f>1+2+5+2+1+5+1+3+1</f>
        <v>21</v>
      </c>
      <c r="K13" s="77">
        <f>422.62+4792.51+1796.14+1373.52+5511.59+1707.76</f>
        <v>15604.140000000001</v>
      </c>
      <c r="L13" s="77">
        <f>422.62+4792.51+1796.14+1373.52+5511.59+1707.76</f>
        <v>15604.140000000001</v>
      </c>
      <c r="M13" s="78">
        <f t="shared" si="1"/>
        <v>0</v>
      </c>
      <c r="N13" s="100">
        <f>8+3+1+2</f>
        <v>14</v>
      </c>
      <c r="O13" s="81">
        <f>6459.36+7124.45</f>
        <v>13583.81</v>
      </c>
      <c r="P13" s="81">
        <f>6459.36+7124.45</f>
        <v>13583.81</v>
      </c>
      <c r="Q13" s="79">
        <f t="shared" si="2"/>
        <v>0</v>
      </c>
    </row>
    <row r="14" spans="1:17" s="15" customFormat="1" x14ac:dyDescent="0.25">
      <c r="A14" s="229"/>
      <c r="B14" s="62" t="s">
        <v>19</v>
      </c>
      <c r="C14" s="181" t="s">
        <v>17</v>
      </c>
      <c r="D14" s="182"/>
      <c r="E14" s="183" t="s">
        <v>20</v>
      </c>
      <c r="F14" s="73" t="s">
        <v>451</v>
      </c>
      <c r="G14" s="230" t="s">
        <v>114</v>
      </c>
      <c r="H14" s="181">
        <v>13</v>
      </c>
      <c r="I14" s="231">
        <v>4</v>
      </c>
      <c r="J14" s="190">
        <v>4</v>
      </c>
      <c r="K14" s="77">
        <v>5843.64</v>
      </c>
      <c r="L14" s="77">
        <v>5843.64</v>
      </c>
      <c r="M14" s="78">
        <f t="shared" si="1"/>
        <v>0</v>
      </c>
      <c r="N14" s="100">
        <v>10</v>
      </c>
      <c r="O14" s="224">
        <v>18093.599999999999</v>
      </c>
      <c r="P14" s="224">
        <v>18093.599999999999</v>
      </c>
      <c r="Q14" s="232">
        <f t="shared" si="2"/>
        <v>0</v>
      </c>
    </row>
    <row r="15" spans="1:17" s="15" customFormat="1" x14ac:dyDescent="0.25">
      <c r="A15" s="229"/>
      <c r="B15" s="62" t="s">
        <v>153</v>
      </c>
      <c r="C15" s="181" t="s">
        <v>17</v>
      </c>
      <c r="D15" s="182"/>
      <c r="E15" s="183" t="s">
        <v>20</v>
      </c>
      <c r="F15" s="73" t="s">
        <v>324</v>
      </c>
      <c r="G15" s="74" t="s">
        <v>112</v>
      </c>
      <c r="H15" s="75">
        <v>17</v>
      </c>
      <c r="I15" s="82">
        <v>10</v>
      </c>
      <c r="J15" s="96">
        <f>1+1+2+1+1+2+1+1+1+1</f>
        <v>12</v>
      </c>
      <c r="K15" s="77">
        <f>950.9+2451.87+3074.57+845.24+1977.86+1284.48+883.08+401.4+1357.13+421.47</f>
        <v>13647.999999999998</v>
      </c>
      <c r="L15" s="77">
        <f>950.9+2451.87+3074.57+845.24+1977.86+1284.48+883.08+401.4+1357.13+421.47</f>
        <v>13647.999999999998</v>
      </c>
      <c r="M15" s="78">
        <f t="shared" si="1"/>
        <v>0</v>
      </c>
      <c r="N15" s="114">
        <f>1+2+1+2+1+1</f>
        <v>8</v>
      </c>
      <c r="O15" s="81">
        <f>422.62+945.61+2484.69+7964.81+1536.8+2498.17</f>
        <v>15852.699999999999</v>
      </c>
      <c r="P15" s="81">
        <f>422.62+945.61+2484.69+7964.81+1536.8+2498.17</f>
        <v>15852.699999999999</v>
      </c>
      <c r="Q15" s="79">
        <f t="shared" si="2"/>
        <v>0</v>
      </c>
    </row>
    <row r="16" spans="1:17" s="15" customFormat="1" x14ac:dyDescent="0.25">
      <c r="A16" s="229"/>
      <c r="B16" s="233" t="s">
        <v>153</v>
      </c>
      <c r="C16" s="181" t="s">
        <v>17</v>
      </c>
      <c r="D16" s="182"/>
      <c r="E16" s="183" t="s">
        <v>20</v>
      </c>
      <c r="F16" s="73" t="s">
        <v>452</v>
      </c>
      <c r="G16" s="230" t="s">
        <v>114</v>
      </c>
      <c r="H16" s="181">
        <v>17</v>
      </c>
      <c r="I16" s="231">
        <v>5</v>
      </c>
      <c r="J16" s="190">
        <v>5</v>
      </c>
      <c r="K16" s="77">
        <v>16581.29</v>
      </c>
      <c r="L16" s="77">
        <v>16581.29</v>
      </c>
      <c r="M16" s="78">
        <f t="shared" si="1"/>
        <v>0</v>
      </c>
      <c r="N16" s="100">
        <v>9</v>
      </c>
      <c r="O16" s="224">
        <v>23692.400000000001</v>
      </c>
      <c r="P16" s="224">
        <v>23692.400000000001</v>
      </c>
      <c r="Q16" s="232">
        <f t="shared" si="2"/>
        <v>0</v>
      </c>
    </row>
    <row r="17" spans="1:17" s="13" customFormat="1" x14ac:dyDescent="0.25">
      <c r="A17" s="229"/>
      <c r="B17" s="30" t="s">
        <v>22</v>
      </c>
      <c r="C17" s="181" t="s">
        <v>17</v>
      </c>
      <c r="D17" s="182"/>
      <c r="E17" s="183" t="s">
        <v>23</v>
      </c>
      <c r="F17" s="73" t="s">
        <v>325</v>
      </c>
      <c r="G17" s="74" t="s">
        <v>112</v>
      </c>
      <c r="H17" s="75">
        <v>50</v>
      </c>
      <c r="I17" s="76">
        <v>10</v>
      </c>
      <c r="J17" s="96">
        <f>1+2+1+9</f>
        <v>13</v>
      </c>
      <c r="K17" s="77">
        <f>2698.64+1402.33+11601.84+8586.48</f>
        <v>24289.29</v>
      </c>
      <c r="L17" s="77">
        <f>2698.64+1402.33+11601.84+8586.48</f>
        <v>24289.29</v>
      </c>
      <c r="M17" s="78">
        <f t="shared" si="1"/>
        <v>0</v>
      </c>
      <c r="N17" s="100">
        <f>14+3+7+1+1</f>
        <v>26</v>
      </c>
      <c r="O17" s="81">
        <f>22716.4+4171.06+18768.39+8172.47</f>
        <v>53828.320000000007</v>
      </c>
      <c r="P17" s="81">
        <f>22716.4+4171.06+18768.39+8172.47</f>
        <v>53828.320000000007</v>
      </c>
      <c r="Q17" s="79">
        <f t="shared" si="2"/>
        <v>0</v>
      </c>
    </row>
    <row r="18" spans="1:17" s="13" customFormat="1" x14ac:dyDescent="0.25">
      <c r="A18" s="229"/>
      <c r="B18" s="30" t="s">
        <v>154</v>
      </c>
      <c r="C18" s="181" t="s">
        <v>17</v>
      </c>
      <c r="D18" s="182"/>
      <c r="E18" s="183" t="s">
        <v>20</v>
      </c>
      <c r="F18" s="73" t="s">
        <v>453</v>
      </c>
      <c r="G18" s="230" t="s">
        <v>114</v>
      </c>
      <c r="H18" s="181">
        <v>34</v>
      </c>
      <c r="I18" s="234">
        <v>2</v>
      </c>
      <c r="J18" s="190">
        <v>2</v>
      </c>
      <c r="K18" s="193">
        <v>2938.2</v>
      </c>
      <c r="L18" s="193">
        <v>2938.2</v>
      </c>
      <c r="M18" s="78">
        <f t="shared" si="1"/>
        <v>0</v>
      </c>
      <c r="N18" s="114">
        <v>16</v>
      </c>
      <c r="O18" s="224">
        <v>41112.769999999997</v>
      </c>
      <c r="P18" s="224">
        <v>41112.769999999997</v>
      </c>
      <c r="Q18" s="232">
        <f t="shared" si="2"/>
        <v>0</v>
      </c>
    </row>
    <row r="19" spans="1:17" s="13" customFormat="1" x14ac:dyDescent="0.25">
      <c r="A19" s="229"/>
      <c r="B19" s="30" t="s">
        <v>154</v>
      </c>
      <c r="C19" s="181" t="s">
        <v>17</v>
      </c>
      <c r="D19" s="182"/>
      <c r="E19" s="183" t="s">
        <v>20</v>
      </c>
      <c r="F19" s="73" t="s">
        <v>326</v>
      </c>
      <c r="G19" s="74" t="s">
        <v>112</v>
      </c>
      <c r="H19" s="75">
        <v>28</v>
      </c>
      <c r="I19" s="76">
        <v>23</v>
      </c>
      <c r="J19" s="96">
        <f>1+1+2+2+2+6+1+4+1+2+2+3+1+1+1</f>
        <v>30</v>
      </c>
      <c r="K19" s="77">
        <f>950.9+864.46+845.24+405.02+739.59+6850.57+12952.58+883.08+2185.62+1053.68+5958.27</f>
        <v>33689.01</v>
      </c>
      <c r="L19" s="77">
        <f>950.9+864.46+845.24+405.02+739.59+6850.57+12952.58+883.08+2185.62</f>
        <v>26677.06</v>
      </c>
      <c r="M19" s="78">
        <f t="shared" si="1"/>
        <v>7011.9500000000007</v>
      </c>
      <c r="N19" s="100">
        <f>6+3+1+1+1+2+1+1</f>
        <v>16</v>
      </c>
      <c r="O19" s="81">
        <f>6681.33+7017+1523.5+9094.74+3532.32</f>
        <v>27848.89</v>
      </c>
      <c r="P19" s="81">
        <f>6681.33+7017+1523.5+9094.74+3532.32</f>
        <v>27848.89</v>
      </c>
      <c r="Q19" s="79">
        <f t="shared" si="2"/>
        <v>0</v>
      </c>
    </row>
    <row r="20" spans="1:17" s="13" customFormat="1" x14ac:dyDescent="0.25">
      <c r="A20" s="229"/>
      <c r="B20" s="62" t="s">
        <v>24</v>
      </c>
      <c r="C20" s="181" t="s">
        <v>17</v>
      </c>
      <c r="D20" s="182"/>
      <c r="E20" s="183" t="s">
        <v>20</v>
      </c>
      <c r="F20" s="73" t="s">
        <v>327</v>
      </c>
      <c r="G20" s="74" t="s">
        <v>112</v>
      </c>
      <c r="H20" s="75">
        <v>8</v>
      </c>
      <c r="I20" s="76">
        <v>4</v>
      </c>
      <c r="J20" s="96">
        <f>3+1+1</f>
        <v>5</v>
      </c>
      <c r="K20" s="77">
        <f>1191.02</f>
        <v>1191.02</v>
      </c>
      <c r="L20" s="77">
        <f>1191.02</f>
        <v>1191.02</v>
      </c>
      <c r="M20" s="78">
        <f t="shared" si="1"/>
        <v>0</v>
      </c>
      <c r="N20" s="100">
        <f>1+1</f>
        <v>2</v>
      </c>
      <c r="O20" s="81">
        <f>576.3+1810.93</f>
        <v>2387.23</v>
      </c>
      <c r="P20" s="81">
        <f>576.3+1810.93</f>
        <v>2387.23</v>
      </c>
      <c r="Q20" s="232">
        <f t="shared" si="2"/>
        <v>0</v>
      </c>
    </row>
    <row r="21" spans="1:17" s="13" customFormat="1" x14ac:dyDescent="0.25">
      <c r="A21" s="229"/>
      <c r="B21" s="62" t="s">
        <v>24</v>
      </c>
      <c r="C21" s="181" t="s">
        <v>17</v>
      </c>
      <c r="D21" s="182"/>
      <c r="E21" s="183" t="s">
        <v>20</v>
      </c>
      <c r="F21" s="73" t="s">
        <v>454</v>
      </c>
      <c r="G21" s="230" t="s">
        <v>114</v>
      </c>
      <c r="H21" s="181">
        <v>14</v>
      </c>
      <c r="I21" s="231"/>
      <c r="J21" s="190"/>
      <c r="K21" s="77"/>
      <c r="L21" s="77"/>
      <c r="M21" s="78">
        <f t="shared" si="1"/>
        <v>0</v>
      </c>
      <c r="N21" s="100">
        <v>16</v>
      </c>
      <c r="O21" s="224">
        <v>35336.5</v>
      </c>
      <c r="P21" s="224">
        <v>35336.5</v>
      </c>
      <c r="Q21" s="232">
        <f t="shared" si="2"/>
        <v>0</v>
      </c>
    </row>
    <row r="22" spans="1:17" s="13" customFormat="1" x14ac:dyDescent="0.25">
      <c r="A22" s="229"/>
      <c r="B22" s="62" t="s">
        <v>25</v>
      </c>
      <c r="C22" s="181" t="s">
        <v>17</v>
      </c>
      <c r="D22" s="182"/>
      <c r="E22" s="183" t="s">
        <v>20</v>
      </c>
      <c r="F22" s="73" t="s">
        <v>328</v>
      </c>
      <c r="G22" s="74" t="s">
        <v>112</v>
      </c>
      <c r="H22" s="75">
        <v>16</v>
      </c>
      <c r="I22" s="76">
        <v>12</v>
      </c>
      <c r="J22" s="96">
        <f>1+1+1+1+1+1+1+2+1+2+1</f>
        <v>13</v>
      </c>
      <c r="K22" s="173">
        <f>403.41+1605.6+3697.9+1204.2+1092.81+3022.24+4486.05+4612.57</f>
        <v>20124.78</v>
      </c>
      <c r="L22" s="173">
        <f>403.41+1605.6+3697.9+1204.2+1092.81+3022.24+4486.05</f>
        <v>15512.21</v>
      </c>
      <c r="M22" s="78">
        <f t="shared" si="1"/>
        <v>4612.57</v>
      </c>
      <c r="N22" s="100">
        <f>6+1+2+2+1</f>
        <v>12</v>
      </c>
      <c r="O22" s="81">
        <f>14526.7+5595.3+2440.62+2839.24</f>
        <v>25401.86</v>
      </c>
      <c r="P22" s="81">
        <f>14526.7+5595.3+2440.62+2839.24</f>
        <v>25401.86</v>
      </c>
      <c r="Q22" s="232">
        <f t="shared" si="2"/>
        <v>0</v>
      </c>
    </row>
    <row r="23" spans="1:17" s="13" customFormat="1" x14ac:dyDescent="0.25">
      <c r="A23" s="229"/>
      <c r="B23" s="62" t="s">
        <v>25</v>
      </c>
      <c r="C23" s="181" t="s">
        <v>17</v>
      </c>
      <c r="D23" s="182"/>
      <c r="E23" s="183" t="s">
        <v>20</v>
      </c>
      <c r="F23" s="73" t="s">
        <v>455</v>
      </c>
      <c r="G23" s="230" t="s">
        <v>114</v>
      </c>
      <c r="H23" s="181">
        <v>6</v>
      </c>
      <c r="I23" s="231"/>
      <c r="J23" s="190">
        <f>1</f>
        <v>1</v>
      </c>
      <c r="K23" s="77"/>
      <c r="L23" s="77"/>
      <c r="M23" s="78">
        <f t="shared" si="1"/>
        <v>0</v>
      </c>
      <c r="N23" s="100">
        <v>3</v>
      </c>
      <c r="O23" s="224">
        <v>7219.8</v>
      </c>
      <c r="P23" s="224">
        <v>7219.8</v>
      </c>
      <c r="Q23" s="232">
        <f t="shared" si="2"/>
        <v>0</v>
      </c>
    </row>
    <row r="24" spans="1:17" s="13" customFormat="1" x14ac:dyDescent="0.25">
      <c r="A24" s="229"/>
      <c r="B24" s="62" t="s">
        <v>516</v>
      </c>
      <c r="C24" s="181"/>
      <c r="D24" s="182"/>
      <c r="E24" s="183"/>
      <c r="F24" s="73"/>
      <c r="G24" s="287" t="s">
        <v>112</v>
      </c>
      <c r="H24" s="181">
        <v>6</v>
      </c>
      <c r="I24" s="231"/>
      <c r="J24" s="190"/>
      <c r="K24" s="77"/>
      <c r="L24" s="77"/>
      <c r="M24" s="78"/>
      <c r="N24" s="100"/>
      <c r="O24" s="224"/>
      <c r="P24" s="224"/>
      <c r="Q24" s="232"/>
    </row>
    <row r="25" spans="1:17" s="13" customFormat="1" x14ac:dyDescent="0.25">
      <c r="A25" s="229"/>
      <c r="B25" s="62" t="s">
        <v>26</v>
      </c>
      <c r="C25" s="181" t="s">
        <v>17</v>
      </c>
      <c r="D25" s="182"/>
      <c r="E25" s="183" t="s">
        <v>27</v>
      </c>
      <c r="F25" s="73" t="s">
        <v>329</v>
      </c>
      <c r="G25" s="74" t="s">
        <v>112</v>
      </c>
      <c r="H25" s="75">
        <v>19</v>
      </c>
      <c r="I25" s="76">
        <v>15</v>
      </c>
      <c r="J25" s="96">
        <f>2+2+4+1+4+1+1+3</f>
        <v>18</v>
      </c>
      <c r="K25" s="77">
        <f>845.24+1056.55+5121.1+26225.35+422.62+16490.35+1457.08+1479.16+11270.02</f>
        <v>64367.47</v>
      </c>
      <c r="L25" s="77">
        <f>845.24+1056.55+5121.1+26225.35+422.62+16490.35+1457.08+1479.16+11270.02</f>
        <v>64367.47</v>
      </c>
      <c r="M25" s="78">
        <f t="shared" si="1"/>
        <v>0</v>
      </c>
      <c r="N25" s="100">
        <f>6+1+1+2+1+1</f>
        <v>12</v>
      </c>
      <c r="O25" s="81">
        <f>17838.53+2535.75+7238.9+9569.44</f>
        <v>37182.620000000003</v>
      </c>
      <c r="P25" s="81">
        <f>17838.53+2535.75+7238.9</f>
        <v>27613.18</v>
      </c>
      <c r="Q25" s="232">
        <f t="shared" si="2"/>
        <v>9569.4400000000023</v>
      </c>
    </row>
    <row r="26" spans="1:17" s="15" customFormat="1" x14ac:dyDescent="0.25">
      <c r="A26" s="229"/>
      <c r="B26" s="62" t="s">
        <v>28</v>
      </c>
      <c r="C26" s="181" t="s">
        <v>17</v>
      </c>
      <c r="D26" s="182"/>
      <c r="E26" s="194" t="s">
        <v>29</v>
      </c>
      <c r="F26" s="73" t="s">
        <v>330</v>
      </c>
      <c r="G26" s="74" t="s">
        <v>112</v>
      </c>
      <c r="H26" s="75">
        <v>10</v>
      </c>
      <c r="I26" s="76">
        <v>10</v>
      </c>
      <c r="J26" s="96">
        <f>2+1+2+1+1+1+2+1</f>
        <v>11</v>
      </c>
      <c r="K26" s="77">
        <f>6135.14+2440.63+9722.07+968.96+2258.48+3607.78</f>
        <v>25133.059999999998</v>
      </c>
      <c r="L26" s="77">
        <f>6135.14+2440.63+9722.07+968.96+2258.48+3607.78</f>
        <v>25133.059999999998</v>
      </c>
      <c r="M26" s="78">
        <f t="shared" si="1"/>
        <v>0</v>
      </c>
      <c r="N26" s="100">
        <f>3+2+4+3+1+1+3</f>
        <v>17</v>
      </c>
      <c r="O26" s="81">
        <f>5310.83+4630.52+14679.01+36087.29+8956.5+10112.26+3030.29</f>
        <v>82806.699999999983</v>
      </c>
      <c r="P26" s="81">
        <f>5310.83+4630.52+14679.01+36087.29+8956.5+10112.26+3030.29</f>
        <v>82806.699999999983</v>
      </c>
      <c r="Q26" s="232">
        <f t="shared" si="2"/>
        <v>0</v>
      </c>
    </row>
    <row r="27" spans="1:17" s="15" customFormat="1" x14ac:dyDescent="0.25">
      <c r="A27" s="229"/>
      <c r="B27" s="62" t="s">
        <v>28</v>
      </c>
      <c r="C27" s="181" t="s">
        <v>17</v>
      </c>
      <c r="D27" s="182"/>
      <c r="E27" s="194" t="s">
        <v>29</v>
      </c>
      <c r="F27" s="73" t="s">
        <v>420</v>
      </c>
      <c r="G27" s="235" t="s">
        <v>117</v>
      </c>
      <c r="H27" s="181">
        <v>2</v>
      </c>
      <c r="I27" s="231"/>
      <c r="J27" s="96"/>
      <c r="K27" s="77"/>
      <c r="L27" s="77"/>
      <c r="M27" s="78">
        <f t="shared" si="1"/>
        <v>0</v>
      </c>
      <c r="N27" s="100">
        <v>2</v>
      </c>
      <c r="O27" s="224">
        <v>2766.24</v>
      </c>
      <c r="P27" s="224">
        <v>2766.24</v>
      </c>
      <c r="Q27" s="79">
        <f t="shared" si="2"/>
        <v>0</v>
      </c>
    </row>
    <row r="28" spans="1:17" s="15" customFormat="1" x14ac:dyDescent="0.25">
      <c r="A28" s="229"/>
      <c r="B28" s="233" t="s">
        <v>500</v>
      </c>
      <c r="C28" s="181" t="s">
        <v>17</v>
      </c>
      <c r="D28" s="182"/>
      <c r="E28" s="194"/>
      <c r="F28" s="73" t="s">
        <v>503</v>
      </c>
      <c r="G28" s="235" t="s">
        <v>112</v>
      </c>
      <c r="H28" s="181">
        <v>28</v>
      </c>
      <c r="I28" s="231">
        <v>17</v>
      </c>
      <c r="J28" s="96">
        <f>2+2+2+1+3+5+2+1+5+1</f>
        <v>24</v>
      </c>
      <c r="K28" s="77">
        <f>1202.51+3555.1+602.1+708.47+7232.25+1003.5+1938.63+15028.21</f>
        <v>31270.77</v>
      </c>
      <c r="L28" s="77">
        <f>1202.51+3555.1+602.1+708.47+7232.25+1003.5+1938.63</f>
        <v>16242.560000000001</v>
      </c>
      <c r="M28" s="78">
        <f t="shared" si="1"/>
        <v>15028.21</v>
      </c>
      <c r="N28" s="100">
        <f>1</f>
        <v>1</v>
      </c>
      <c r="O28" s="224"/>
      <c r="P28" s="224"/>
      <c r="Q28" s="79">
        <f t="shared" si="2"/>
        <v>0</v>
      </c>
    </row>
    <row r="29" spans="1:17" s="13" customFormat="1" x14ac:dyDescent="0.25">
      <c r="A29" s="229"/>
      <c r="B29" s="27" t="s">
        <v>30</v>
      </c>
      <c r="C29" s="181" t="s">
        <v>17</v>
      </c>
      <c r="D29" s="182"/>
      <c r="E29" s="194" t="s">
        <v>21</v>
      </c>
      <c r="F29" s="73" t="s">
        <v>333</v>
      </c>
      <c r="G29" s="74" t="s">
        <v>112</v>
      </c>
      <c r="H29" s="75">
        <v>23</v>
      </c>
      <c r="I29" s="76">
        <v>15</v>
      </c>
      <c r="J29" s="96">
        <f>3+1+3+1+4+1+1+2+1+3</f>
        <v>20</v>
      </c>
      <c r="K29" s="77">
        <f>16637.24+1045.98+2789.73+1629.68+3146.97</f>
        <v>25249.600000000002</v>
      </c>
      <c r="L29" s="77">
        <f>16637.24+1045.98+2789.73+1629.68+3146.97</f>
        <v>25249.600000000002</v>
      </c>
      <c r="M29" s="78">
        <f t="shared" si="1"/>
        <v>0</v>
      </c>
      <c r="N29" s="100">
        <f>9+1+3+1+1+1+2+1+1+2+1+1</f>
        <v>24</v>
      </c>
      <c r="O29" s="81">
        <f>77047.8+15703.07+7288.94+1341.33+1730.62</f>
        <v>103111.76</v>
      </c>
      <c r="P29" s="81">
        <f>77047.8+15703.07+7288.94+1341.33+1730.62</f>
        <v>103111.76</v>
      </c>
      <c r="Q29" s="79">
        <f>O29-P29</f>
        <v>0</v>
      </c>
    </row>
    <row r="30" spans="1:17" s="13" customFormat="1" x14ac:dyDescent="0.25">
      <c r="A30" s="229"/>
      <c r="B30" s="27" t="s">
        <v>491</v>
      </c>
      <c r="C30" s="181" t="s">
        <v>17</v>
      </c>
      <c r="D30" s="182"/>
      <c r="E30" s="183" t="s">
        <v>20</v>
      </c>
      <c r="F30" s="73" t="s">
        <v>495</v>
      </c>
      <c r="G30" s="74" t="s">
        <v>112</v>
      </c>
      <c r="H30" s="75">
        <v>17</v>
      </c>
      <c r="I30" s="76">
        <v>10</v>
      </c>
      <c r="J30" s="96">
        <f>2+2+1+1+1+1+1+1</f>
        <v>10</v>
      </c>
      <c r="K30" s="77">
        <f>1727.9+2093.89+728.54+3535.53+2649.24+401.4</f>
        <v>11136.5</v>
      </c>
      <c r="L30" s="77">
        <f>1727.9+2093.89+728.54+3535.53</f>
        <v>8085.8600000000006</v>
      </c>
      <c r="M30" s="78">
        <f t="shared" si="1"/>
        <v>3050.6399999999994</v>
      </c>
      <c r="N30" s="100"/>
      <c r="O30" s="81"/>
      <c r="P30" s="81"/>
      <c r="Q30" s="79">
        <f t="shared" si="2"/>
        <v>0</v>
      </c>
    </row>
    <row r="31" spans="1:17" s="13" customFormat="1" x14ac:dyDescent="0.25">
      <c r="A31" s="229"/>
      <c r="B31" s="27" t="s">
        <v>491</v>
      </c>
      <c r="C31" s="181" t="s">
        <v>17</v>
      </c>
      <c r="D31" s="182"/>
      <c r="E31" s="183" t="s">
        <v>20</v>
      </c>
      <c r="F31" s="73" t="s">
        <v>504</v>
      </c>
      <c r="G31" s="74" t="s">
        <v>114</v>
      </c>
      <c r="H31" s="75">
        <v>8</v>
      </c>
      <c r="I31" s="76">
        <v>1</v>
      </c>
      <c r="J31" s="96">
        <v>1</v>
      </c>
      <c r="K31" s="77">
        <v>1267.8599999999999</v>
      </c>
      <c r="L31" s="77">
        <v>1267.8599999999999</v>
      </c>
      <c r="M31" s="78">
        <f t="shared" si="1"/>
        <v>0</v>
      </c>
      <c r="N31" s="100"/>
      <c r="O31" s="81"/>
      <c r="P31" s="81"/>
      <c r="Q31" s="232">
        <f t="shared" si="2"/>
        <v>0</v>
      </c>
    </row>
    <row r="32" spans="1:17" s="13" customFormat="1" x14ac:dyDescent="0.25">
      <c r="A32" s="229"/>
      <c r="B32" s="27" t="s">
        <v>491</v>
      </c>
      <c r="C32" s="181" t="s">
        <v>17</v>
      </c>
      <c r="D32" s="182"/>
      <c r="E32" s="183"/>
      <c r="F32" s="73" t="s">
        <v>510</v>
      </c>
      <c r="G32" s="235" t="s">
        <v>117</v>
      </c>
      <c r="H32" s="75">
        <v>1</v>
      </c>
      <c r="I32" s="76"/>
      <c r="J32" s="96"/>
      <c r="K32" s="77"/>
      <c r="L32" s="77"/>
      <c r="M32" s="78">
        <f t="shared" si="1"/>
        <v>0</v>
      </c>
      <c r="N32" s="100"/>
      <c r="O32" s="81"/>
      <c r="P32" s="81"/>
      <c r="Q32" s="232">
        <f t="shared" si="2"/>
        <v>0</v>
      </c>
    </row>
    <row r="33" spans="1:17" s="13" customFormat="1" x14ac:dyDescent="0.25">
      <c r="A33" s="229"/>
      <c r="B33" s="30" t="s">
        <v>31</v>
      </c>
      <c r="C33" s="181" t="s">
        <v>17</v>
      </c>
      <c r="D33" s="182"/>
      <c r="E33" s="183" t="s">
        <v>32</v>
      </c>
      <c r="F33" s="73" t="s">
        <v>331</v>
      </c>
      <c r="G33" s="74" t="s">
        <v>112</v>
      </c>
      <c r="H33" s="75">
        <v>17</v>
      </c>
      <c r="I33" s="76">
        <v>14</v>
      </c>
      <c r="J33" s="96">
        <f>1+2+3+1+4+3+3+3</f>
        <v>20</v>
      </c>
      <c r="K33" s="77">
        <f>633.93+1045.98+5377.62+950.9+6004.09+4598.82+8410.14+1846.04+4737.83</f>
        <v>33605.35</v>
      </c>
      <c r="L33" s="77">
        <f>633.93+1045.98+5377.62+950.9+6004.09+4598.82+8410.14+1846.04</f>
        <v>28867.52</v>
      </c>
      <c r="M33" s="78">
        <f t="shared" si="1"/>
        <v>4737.8299999999981</v>
      </c>
      <c r="N33" s="100">
        <f>1+3+3+1+1+2+1</f>
        <v>12</v>
      </c>
      <c r="O33" s="81">
        <f>2299.8+15239.58+6152.75+2720.49+1483.38+7043.49+11175.04</f>
        <v>46114.530000000006</v>
      </c>
      <c r="P33" s="81">
        <f>2299.8+15239.58+6152.75+2720.49+1483.38+7043.49+11175.04</f>
        <v>46114.530000000006</v>
      </c>
      <c r="Q33" s="232">
        <f t="shared" si="2"/>
        <v>0</v>
      </c>
    </row>
    <row r="34" spans="1:17" s="13" customFormat="1" x14ac:dyDescent="0.25">
      <c r="A34" s="229"/>
      <c r="B34" s="30" t="s">
        <v>31</v>
      </c>
      <c r="C34" s="181" t="s">
        <v>17</v>
      </c>
      <c r="D34" s="182"/>
      <c r="E34" s="183" t="s">
        <v>32</v>
      </c>
      <c r="F34" s="73" t="s">
        <v>422</v>
      </c>
      <c r="G34" s="235" t="s">
        <v>117</v>
      </c>
      <c r="H34" s="181">
        <v>16</v>
      </c>
      <c r="I34" s="231">
        <v>4</v>
      </c>
      <c r="J34" s="96">
        <v>4</v>
      </c>
      <c r="K34" s="77">
        <v>9994.9</v>
      </c>
      <c r="L34" s="77">
        <v>7586.5</v>
      </c>
      <c r="M34" s="78">
        <f t="shared" si="1"/>
        <v>2408.3999999999996</v>
      </c>
      <c r="N34" s="100">
        <v>10</v>
      </c>
      <c r="O34" s="77">
        <v>21507.42</v>
      </c>
      <c r="P34" s="77">
        <v>21507.42</v>
      </c>
      <c r="Q34" s="232">
        <f t="shared" si="2"/>
        <v>0</v>
      </c>
    </row>
    <row r="35" spans="1:17" s="15" customFormat="1" x14ac:dyDescent="0.25">
      <c r="A35" s="229"/>
      <c r="B35" s="62" t="s">
        <v>33</v>
      </c>
      <c r="C35" s="181" t="s">
        <v>17</v>
      </c>
      <c r="D35" s="182"/>
      <c r="E35" s="183" t="s">
        <v>20</v>
      </c>
      <c r="F35" s="73" t="s">
        <v>332</v>
      </c>
      <c r="G35" s="74" t="s">
        <v>112</v>
      </c>
      <c r="H35" s="75">
        <v>12</v>
      </c>
      <c r="I35" s="76">
        <v>9</v>
      </c>
      <c r="J35" s="96">
        <f>1+1+1+1+1+2+1+1+1</f>
        <v>10</v>
      </c>
      <c r="K35" s="77">
        <f>845.245+5363.43+5912.72+845.24+12887.16+2852.15+6514.08</f>
        <v>35220.025000000001</v>
      </c>
      <c r="L35" s="77">
        <f>845.245+5363.43+5912.72+845.24+12887.16+2852.15+6514.08</f>
        <v>35220.025000000001</v>
      </c>
      <c r="M35" s="78">
        <f t="shared" si="1"/>
        <v>0</v>
      </c>
      <c r="N35" s="100">
        <f>2+1+1+1+1+2+1+1+1</f>
        <v>11</v>
      </c>
      <c r="O35" s="81">
        <f>845.24+1613.64+3380.96+3639.33+1152.6</f>
        <v>10631.77</v>
      </c>
      <c r="P35" s="81">
        <f>845.24+1613.64+3380.96+3639.33+1152.6</f>
        <v>10631.77</v>
      </c>
      <c r="Q35" s="79">
        <f t="shared" si="2"/>
        <v>0</v>
      </c>
    </row>
    <row r="36" spans="1:17" s="15" customFormat="1" x14ac:dyDescent="0.25">
      <c r="A36" s="229"/>
      <c r="B36" s="62" t="s">
        <v>33</v>
      </c>
      <c r="C36" s="181" t="s">
        <v>17</v>
      </c>
      <c r="D36" s="182"/>
      <c r="E36" s="183" t="s">
        <v>20</v>
      </c>
      <c r="F36" s="73" t="s">
        <v>481</v>
      </c>
      <c r="G36" s="230" t="s">
        <v>114</v>
      </c>
      <c r="H36" s="181">
        <v>8</v>
      </c>
      <c r="I36" s="231">
        <v>1</v>
      </c>
      <c r="J36" s="190">
        <v>1</v>
      </c>
      <c r="K36" s="77">
        <v>3472.11</v>
      </c>
      <c r="L36" s="77">
        <v>3472.11</v>
      </c>
      <c r="M36" s="78">
        <f t="shared" si="1"/>
        <v>0</v>
      </c>
      <c r="N36" s="100">
        <v>15</v>
      </c>
      <c r="O36" s="224">
        <v>43782.74</v>
      </c>
      <c r="P36" s="224">
        <v>43782.74</v>
      </c>
      <c r="Q36" s="232">
        <f t="shared" si="2"/>
        <v>0</v>
      </c>
    </row>
    <row r="37" spans="1:17" s="15" customFormat="1" x14ac:dyDescent="0.25">
      <c r="A37" s="229"/>
      <c r="B37" s="62" t="s">
        <v>147</v>
      </c>
      <c r="C37" s="181" t="s">
        <v>17</v>
      </c>
      <c r="D37" s="182"/>
      <c r="E37" s="183" t="s">
        <v>29</v>
      </c>
      <c r="F37" s="73" t="s">
        <v>334</v>
      </c>
      <c r="G37" s="74" t="s">
        <v>112</v>
      </c>
      <c r="H37" s="75">
        <v>9</v>
      </c>
      <c r="I37" s="234">
        <v>6</v>
      </c>
      <c r="J37" s="96">
        <f>1+1+2+1+3</f>
        <v>8</v>
      </c>
      <c r="K37" s="77">
        <f>1854.88+2824.48+3058.67</f>
        <v>7738.0300000000007</v>
      </c>
      <c r="L37" s="77">
        <f>1854.88+2824.48+3058.67</f>
        <v>7738.0300000000007</v>
      </c>
      <c r="M37" s="78">
        <f t="shared" si="1"/>
        <v>0</v>
      </c>
      <c r="N37" s="114">
        <f>1+1+1</f>
        <v>3</v>
      </c>
      <c r="O37" s="81">
        <f>1394.65+2473.17+1961.49</f>
        <v>5829.31</v>
      </c>
      <c r="P37" s="81">
        <f>1394.65+2473.17+1961.49</f>
        <v>5829.31</v>
      </c>
      <c r="Q37" s="79">
        <f t="shared" si="2"/>
        <v>0</v>
      </c>
    </row>
    <row r="38" spans="1:17" s="15" customFormat="1" x14ac:dyDescent="0.25">
      <c r="A38" s="229"/>
      <c r="B38" s="233" t="s">
        <v>147</v>
      </c>
      <c r="C38" s="181" t="s">
        <v>17</v>
      </c>
      <c r="D38" s="182"/>
      <c r="E38" s="183" t="s">
        <v>29</v>
      </c>
      <c r="F38" s="73" t="s">
        <v>423</v>
      </c>
      <c r="G38" s="230" t="s">
        <v>117</v>
      </c>
      <c r="H38" s="181">
        <v>11</v>
      </c>
      <c r="I38" s="231">
        <v>4</v>
      </c>
      <c r="J38" s="96">
        <v>4</v>
      </c>
      <c r="K38" s="77">
        <v>6847.1</v>
      </c>
      <c r="L38" s="77">
        <v>6847.1</v>
      </c>
      <c r="M38" s="78">
        <f t="shared" si="1"/>
        <v>0</v>
      </c>
      <c r="N38" s="100">
        <v>4</v>
      </c>
      <c r="O38" s="224">
        <v>4706.45</v>
      </c>
      <c r="P38" s="224">
        <v>4706.45</v>
      </c>
      <c r="Q38" s="232">
        <f t="shared" si="2"/>
        <v>0</v>
      </c>
    </row>
    <row r="39" spans="1:17" s="13" customFormat="1" x14ac:dyDescent="0.25">
      <c r="A39" s="229"/>
      <c r="B39" s="62" t="s">
        <v>34</v>
      </c>
      <c r="C39" s="181" t="s">
        <v>17</v>
      </c>
      <c r="D39" s="182"/>
      <c r="E39" s="194" t="s">
        <v>35</v>
      </c>
      <c r="F39" s="73" t="s">
        <v>335</v>
      </c>
      <c r="G39" s="74" t="s">
        <v>112</v>
      </c>
      <c r="H39" s="75">
        <v>33</v>
      </c>
      <c r="I39" s="76">
        <v>20</v>
      </c>
      <c r="J39" s="96">
        <f>4+2+2+7+4+1+1+2</f>
        <v>23</v>
      </c>
      <c r="K39" s="77">
        <f>8288.4+1267.86+845.24+13964.6+11418.26+21175.62+1092.81+2207.7+6312.67</f>
        <v>66573.159999999989</v>
      </c>
      <c r="L39" s="77">
        <f>8288.4+1267.86+845.24+13964.6+11418.26+21175.62+1092.81+2207.7</f>
        <v>60260.489999999991</v>
      </c>
      <c r="M39" s="78">
        <f t="shared" si="1"/>
        <v>6312.6699999999983</v>
      </c>
      <c r="N39" s="100">
        <f>4+4+6+1+3+1+3+1+2+1+1</f>
        <v>27</v>
      </c>
      <c r="O39" s="81">
        <f>23915.04+21171.88+6399.1+11460.81+1501.24+2795.71</f>
        <v>67243.78</v>
      </c>
      <c r="P39" s="81">
        <f>23915.04+21171.88+6399.1+11460.81+1501.24+2795.71</f>
        <v>67243.78</v>
      </c>
      <c r="Q39" s="79">
        <f t="shared" si="2"/>
        <v>0</v>
      </c>
    </row>
    <row r="40" spans="1:17" s="13" customFormat="1" x14ac:dyDescent="0.25">
      <c r="A40" s="229"/>
      <c r="B40" s="62" t="s">
        <v>34</v>
      </c>
      <c r="C40" s="181" t="s">
        <v>17</v>
      </c>
      <c r="D40" s="182"/>
      <c r="E40" s="194" t="s">
        <v>35</v>
      </c>
      <c r="F40" s="73" t="s">
        <v>424</v>
      </c>
      <c r="G40" s="235" t="s">
        <v>117</v>
      </c>
      <c r="H40" s="181">
        <v>2</v>
      </c>
      <c r="I40" s="231">
        <v>1</v>
      </c>
      <c r="J40" s="96">
        <v>2</v>
      </c>
      <c r="K40" s="77">
        <v>3842</v>
      </c>
      <c r="L40" s="77">
        <v>3842</v>
      </c>
      <c r="M40" s="78">
        <f t="shared" si="1"/>
        <v>0</v>
      </c>
      <c r="N40" s="100">
        <v>3</v>
      </c>
      <c r="O40" s="224">
        <v>9220.7999999999993</v>
      </c>
      <c r="P40" s="224">
        <v>9220.7999999999993</v>
      </c>
      <c r="Q40" s="232">
        <f t="shared" si="2"/>
        <v>0</v>
      </c>
    </row>
    <row r="41" spans="1:17" s="13" customFormat="1" x14ac:dyDescent="0.25">
      <c r="A41" s="229"/>
      <c r="B41" s="27" t="s">
        <v>36</v>
      </c>
      <c r="C41" s="181" t="s">
        <v>17</v>
      </c>
      <c r="D41" s="182"/>
      <c r="E41" s="194" t="s">
        <v>32</v>
      </c>
      <c r="F41" s="73" t="s">
        <v>336</v>
      </c>
      <c r="G41" s="74" t="s">
        <v>112</v>
      </c>
      <c r="H41" s="75">
        <v>28</v>
      </c>
      <c r="I41" s="76">
        <v>21</v>
      </c>
      <c r="J41" s="96">
        <f>1+3+4+2+2+7+6+2</f>
        <v>27</v>
      </c>
      <c r="K41" s="77">
        <f>2091.97+4201.22+3643.94+998.92+6188.59+7556.35+3399.86</f>
        <v>28080.85</v>
      </c>
      <c r="L41" s="77">
        <f>2091.97+4201.22+3643.94+998.92+6188.59+7556.35</f>
        <v>24680.989999999998</v>
      </c>
      <c r="M41" s="78">
        <f t="shared" si="1"/>
        <v>3399.8600000000006</v>
      </c>
      <c r="N41" s="100">
        <f>4+2+5+1+1+4+1+1</f>
        <v>19</v>
      </c>
      <c r="O41" s="81">
        <f>26828.22+3116.2+14162+4691+13237.22+22342.31+1888.86</f>
        <v>86265.81</v>
      </c>
      <c r="P41" s="81">
        <f>26828.22+3116.2+14162+4691+13237.22+22342.31+1888.86</f>
        <v>86265.81</v>
      </c>
      <c r="Q41" s="79">
        <f t="shared" si="2"/>
        <v>0</v>
      </c>
    </row>
    <row r="42" spans="1:17" s="13" customFormat="1" x14ac:dyDescent="0.25">
      <c r="A42" s="229"/>
      <c r="B42" s="27" t="s">
        <v>38</v>
      </c>
      <c r="C42" s="181" t="s">
        <v>17</v>
      </c>
      <c r="D42" s="182"/>
      <c r="E42" s="183" t="s">
        <v>20</v>
      </c>
      <c r="F42" s="73" t="s">
        <v>338</v>
      </c>
      <c r="G42" s="74" t="s">
        <v>112</v>
      </c>
      <c r="H42" s="75">
        <v>47</v>
      </c>
      <c r="I42" s="76">
        <v>40</v>
      </c>
      <c r="J42" s="96">
        <f>5+9+3+4+4+2+3+3+11+3+4+4+1</f>
        <v>56</v>
      </c>
      <c r="K42" s="77">
        <f>4427.07+14262.52+23391.74+11108.38+9141.17+3923.07+23674.29+5445.61</f>
        <v>95373.849999999991</v>
      </c>
      <c r="L42" s="77">
        <f>4427.07+14262.52+23391.74+11108.38+9141.17+3923.07+23674.29+5445.61</f>
        <v>95373.849999999991</v>
      </c>
      <c r="M42" s="78">
        <f t="shared" si="1"/>
        <v>0</v>
      </c>
      <c r="N42" s="100">
        <f>1+14+2+2+2+3+1+1+2+1</f>
        <v>29</v>
      </c>
      <c r="O42" s="81">
        <f>34449.99+27363.78+23604.86+16739.26+15240.34+16003.48+4203.85</f>
        <v>137605.56</v>
      </c>
      <c r="P42" s="81">
        <f>34449.99+27363.78+23604.86+16739.26+15240.34+16003.48+4203.85</f>
        <v>137605.56</v>
      </c>
      <c r="Q42" s="79">
        <f t="shared" si="2"/>
        <v>0</v>
      </c>
    </row>
    <row r="43" spans="1:17" s="13" customFormat="1" x14ac:dyDescent="0.25">
      <c r="A43" s="229"/>
      <c r="B43" s="27" t="s">
        <v>38</v>
      </c>
      <c r="C43" s="181" t="s">
        <v>17</v>
      </c>
      <c r="D43" s="182"/>
      <c r="E43" s="183" t="s">
        <v>20</v>
      </c>
      <c r="F43" s="73" t="s">
        <v>268</v>
      </c>
      <c r="G43" s="230" t="s">
        <v>114</v>
      </c>
      <c r="H43" s="181"/>
      <c r="I43" s="231"/>
      <c r="J43" s="190"/>
      <c r="K43" s="77"/>
      <c r="L43" s="77"/>
      <c r="M43" s="78">
        <f t="shared" si="1"/>
        <v>0</v>
      </c>
      <c r="N43" s="100"/>
      <c r="O43" s="224"/>
      <c r="P43" s="224"/>
      <c r="Q43" s="232">
        <f t="shared" si="2"/>
        <v>0</v>
      </c>
    </row>
    <row r="44" spans="1:17" s="13" customFormat="1" x14ac:dyDescent="0.25">
      <c r="A44" s="229"/>
      <c r="B44" s="27" t="s">
        <v>38</v>
      </c>
      <c r="C44" s="181" t="s">
        <v>17</v>
      </c>
      <c r="D44" s="182"/>
      <c r="E44" s="183" t="s">
        <v>18</v>
      </c>
      <c r="F44" s="73" t="s">
        <v>324</v>
      </c>
      <c r="G44" s="230" t="s">
        <v>116</v>
      </c>
      <c r="H44" s="181">
        <v>3</v>
      </c>
      <c r="I44" s="231">
        <v>3</v>
      </c>
      <c r="J44" s="190">
        <v>3</v>
      </c>
      <c r="K44" s="77">
        <v>4098</v>
      </c>
      <c r="L44" s="77">
        <v>4098</v>
      </c>
      <c r="M44" s="78">
        <f t="shared" si="1"/>
        <v>0</v>
      </c>
      <c r="N44" s="100"/>
      <c r="O44" s="224"/>
      <c r="P44" s="224"/>
      <c r="Q44" s="232">
        <f t="shared" si="2"/>
        <v>0</v>
      </c>
    </row>
    <row r="45" spans="1:17" s="13" customFormat="1" x14ac:dyDescent="0.25">
      <c r="A45" s="229"/>
      <c r="B45" s="62" t="s">
        <v>39</v>
      </c>
      <c r="C45" s="181" t="s">
        <v>17</v>
      </c>
      <c r="D45" s="182"/>
      <c r="E45" s="183" t="s">
        <v>20</v>
      </c>
      <c r="F45" s="73" t="s">
        <v>269</v>
      </c>
      <c r="G45" s="230" t="s">
        <v>114</v>
      </c>
      <c r="H45" s="181"/>
      <c r="I45" s="231"/>
      <c r="J45" s="190"/>
      <c r="K45" s="77"/>
      <c r="L45" s="77"/>
      <c r="M45" s="78">
        <f t="shared" si="1"/>
        <v>0</v>
      </c>
      <c r="N45" s="100"/>
      <c r="O45" s="224"/>
      <c r="P45" s="224"/>
      <c r="Q45" s="232">
        <f t="shared" si="2"/>
        <v>0</v>
      </c>
    </row>
    <row r="46" spans="1:17" s="13" customFormat="1" x14ac:dyDescent="0.25">
      <c r="A46" s="229"/>
      <c r="B46" s="27" t="s">
        <v>40</v>
      </c>
      <c r="C46" s="181" t="s">
        <v>17</v>
      </c>
      <c r="D46" s="182"/>
      <c r="E46" s="194" t="s">
        <v>41</v>
      </c>
      <c r="F46" s="73" t="s">
        <v>339</v>
      </c>
      <c r="G46" s="74" t="s">
        <v>112</v>
      </c>
      <c r="H46" s="75">
        <v>28</v>
      </c>
      <c r="I46" s="76">
        <v>23</v>
      </c>
      <c r="J46" s="96">
        <f>1+1+3+9+4+4+3+2+1+1+2+3+3</f>
        <v>37</v>
      </c>
      <c r="K46" s="77">
        <f>1045.98+12271.86+15658.52+8166.35+6035.99+8024.36+2759.63+3460.61+3962.12+3444.02</f>
        <v>64829.439999999995</v>
      </c>
      <c r="L46" s="77">
        <f>1045.98+12271.86+15658.52+8166.35+6035.99+8024.36+2759.63+3460.61+3962.12+3444.02</f>
        <v>64829.439999999995</v>
      </c>
      <c r="M46" s="78">
        <f t="shared" si="1"/>
        <v>0</v>
      </c>
      <c r="N46" s="100">
        <f>3+13+6+5+4+2+1+1+1</f>
        <v>36</v>
      </c>
      <c r="O46" s="81">
        <f>17269.31+39990.78+16582.12+23492.44+7068.31+4243.84</f>
        <v>108646.79999999999</v>
      </c>
      <c r="P46" s="81">
        <f>17269.31+39990.78+16582.12+23492.44+7068.31+4243.84</f>
        <v>108646.79999999999</v>
      </c>
      <c r="Q46" s="79">
        <f t="shared" si="2"/>
        <v>0</v>
      </c>
    </row>
    <row r="47" spans="1:17" s="13" customFormat="1" x14ac:dyDescent="0.25">
      <c r="A47" s="229"/>
      <c r="B47" s="27" t="s">
        <v>40</v>
      </c>
      <c r="C47" s="181" t="s">
        <v>17</v>
      </c>
      <c r="D47" s="182"/>
      <c r="E47" s="194" t="s">
        <v>41</v>
      </c>
      <c r="F47" s="73" t="s">
        <v>482</v>
      </c>
      <c r="G47" s="230" t="s">
        <v>114</v>
      </c>
      <c r="H47" s="181"/>
      <c r="I47" s="231"/>
      <c r="J47" s="190"/>
      <c r="K47" s="77"/>
      <c r="L47" s="77"/>
      <c r="M47" s="78">
        <f t="shared" si="1"/>
        <v>0</v>
      </c>
      <c r="N47" s="100">
        <v>1</v>
      </c>
      <c r="O47" s="224">
        <v>3073.6</v>
      </c>
      <c r="P47" s="224">
        <f>3073.6</f>
        <v>3073.6</v>
      </c>
      <c r="Q47" s="232">
        <f t="shared" si="2"/>
        <v>0</v>
      </c>
    </row>
    <row r="48" spans="1:17" s="13" customFormat="1" x14ac:dyDescent="0.25">
      <c r="A48" s="229"/>
      <c r="B48" s="27" t="s">
        <v>148</v>
      </c>
      <c r="C48" s="181" t="s">
        <v>17</v>
      </c>
      <c r="D48" s="182"/>
      <c r="E48" s="183" t="s">
        <v>20</v>
      </c>
      <c r="F48" s="73" t="s">
        <v>340</v>
      </c>
      <c r="G48" s="74" t="s">
        <v>112</v>
      </c>
      <c r="H48" s="75">
        <v>21</v>
      </c>
      <c r="I48" s="82">
        <v>15</v>
      </c>
      <c r="J48" s="96">
        <f>1+2+1+4+4+2+3</f>
        <v>17</v>
      </c>
      <c r="K48" s="77">
        <f>537.88+2110.03+6723.98+8914.21+1204.2+602.1+903.15</f>
        <v>20995.55</v>
      </c>
      <c r="L48" s="77">
        <f>537.88+2110.03+6723.98+8914.21+1204.2+602.1</f>
        <v>20092.399999999998</v>
      </c>
      <c r="M48" s="78">
        <f t="shared" si="1"/>
        <v>903.15000000000146</v>
      </c>
      <c r="N48" s="100">
        <f>6+5+3+1+1+1+1</f>
        <v>18</v>
      </c>
      <c r="O48" s="81">
        <f>9370.6+9456.38+8868.69+5367.27+11572.62</f>
        <v>44635.560000000005</v>
      </c>
      <c r="P48" s="81">
        <f>9370.6+9456.38+8868.69+5367.27+11572.62</f>
        <v>44635.560000000005</v>
      </c>
      <c r="Q48" s="79">
        <f t="shared" si="2"/>
        <v>0</v>
      </c>
    </row>
    <row r="49" spans="1:17" s="13" customFormat="1" x14ac:dyDescent="0.25">
      <c r="A49" s="229"/>
      <c r="B49" s="27" t="s">
        <v>148</v>
      </c>
      <c r="C49" s="181" t="s">
        <v>17</v>
      </c>
      <c r="D49" s="182"/>
      <c r="E49" s="194" t="s">
        <v>32</v>
      </c>
      <c r="F49" s="73" t="s">
        <v>425</v>
      </c>
      <c r="G49" s="230" t="s">
        <v>117</v>
      </c>
      <c r="H49" s="181">
        <v>12</v>
      </c>
      <c r="I49" s="231">
        <v>4</v>
      </c>
      <c r="J49" s="96">
        <v>4</v>
      </c>
      <c r="K49" s="77">
        <v>13707.82</v>
      </c>
      <c r="L49" s="77">
        <v>5760.1</v>
      </c>
      <c r="M49" s="78">
        <f t="shared" si="1"/>
        <v>7947.7199999999993</v>
      </c>
      <c r="N49" s="100">
        <v>4</v>
      </c>
      <c r="O49" s="224">
        <v>12851.49</v>
      </c>
      <c r="P49" s="224">
        <v>12851.49</v>
      </c>
      <c r="Q49" s="232">
        <f t="shared" si="2"/>
        <v>0</v>
      </c>
    </row>
    <row r="50" spans="1:17" s="13" customFormat="1" x14ac:dyDescent="0.25">
      <c r="A50" s="229"/>
      <c r="B50" s="30" t="s">
        <v>42</v>
      </c>
      <c r="C50" s="181" t="s">
        <v>17</v>
      </c>
      <c r="D50" s="182"/>
      <c r="E50" s="183" t="s">
        <v>23</v>
      </c>
      <c r="F50" s="73" t="s">
        <v>341</v>
      </c>
      <c r="G50" s="74" t="s">
        <v>112</v>
      </c>
      <c r="H50" s="75">
        <v>36</v>
      </c>
      <c r="I50" s="76">
        <v>30</v>
      </c>
      <c r="J50" s="96">
        <f>5+3+5+3+8+3+8+5</f>
        <v>40</v>
      </c>
      <c r="K50" s="77">
        <f>7156.22+3849.11+8154.25+4149.36+15912.38+18649.91</f>
        <v>57871.229999999996</v>
      </c>
      <c r="L50" s="77">
        <f>7156.22+3849.11+8154.25+4149.36+15912.38+18649.91</f>
        <v>57871.229999999996</v>
      </c>
      <c r="M50" s="78">
        <f t="shared" si="1"/>
        <v>0</v>
      </c>
      <c r="N50" s="100">
        <f>4+6+9+2+4+2+2+3+3+2</f>
        <v>37</v>
      </c>
      <c r="O50" s="81">
        <f>5364.2+26170.88+2849.25+18965.6+9565.56+9423.5+18214.56</f>
        <v>90553.549999999988</v>
      </c>
      <c r="P50" s="81">
        <f>5364.2+26170.88+2849.25+18965.6+9565.56+9423.5+18214.56</f>
        <v>90553.549999999988</v>
      </c>
      <c r="Q50" s="79">
        <f t="shared" si="2"/>
        <v>0</v>
      </c>
    </row>
    <row r="51" spans="1:17" s="13" customFormat="1" x14ac:dyDescent="0.25">
      <c r="A51" s="229"/>
      <c r="B51" s="30" t="s">
        <v>42</v>
      </c>
      <c r="C51" s="181" t="s">
        <v>17</v>
      </c>
      <c r="D51" s="182"/>
      <c r="E51" s="183" t="s">
        <v>23</v>
      </c>
      <c r="F51" s="73" t="s">
        <v>437</v>
      </c>
      <c r="G51" s="230" t="s">
        <v>118</v>
      </c>
      <c r="H51" s="181">
        <v>2</v>
      </c>
      <c r="I51" s="231"/>
      <c r="J51" s="96"/>
      <c r="K51" s="77"/>
      <c r="L51" s="77"/>
      <c r="M51" s="78">
        <f t="shared" si="1"/>
        <v>0</v>
      </c>
      <c r="N51" s="100">
        <v>1</v>
      </c>
      <c r="O51" s="224">
        <v>7766.4</v>
      </c>
      <c r="P51" s="224">
        <v>7766.4</v>
      </c>
      <c r="Q51" s="232">
        <f t="shared" si="2"/>
        <v>0</v>
      </c>
    </row>
    <row r="52" spans="1:17" s="13" customFormat="1" x14ac:dyDescent="0.25">
      <c r="A52" s="229"/>
      <c r="B52" s="30" t="s">
        <v>173</v>
      </c>
      <c r="C52" s="181" t="s">
        <v>17</v>
      </c>
      <c r="D52" s="182"/>
      <c r="E52" s="230" t="s">
        <v>118</v>
      </c>
      <c r="F52" s="73" t="s">
        <v>342</v>
      </c>
      <c r="G52" s="74" t="s">
        <v>112</v>
      </c>
      <c r="H52" s="75">
        <v>4</v>
      </c>
      <c r="I52" s="76">
        <v>4</v>
      </c>
      <c r="J52" s="96">
        <f>1+2+1</f>
        <v>4</v>
      </c>
      <c r="K52" s="77">
        <f>6833.76+696.36</f>
        <v>7530.12</v>
      </c>
      <c r="L52" s="77">
        <f>6833.76+696.36</f>
        <v>7530.12</v>
      </c>
      <c r="M52" s="78">
        <f t="shared" si="1"/>
        <v>0</v>
      </c>
      <c r="N52" s="100">
        <f>4+2</f>
        <v>6</v>
      </c>
      <c r="O52" s="81">
        <f>5931.9+4183.92+3158.95</f>
        <v>13274.77</v>
      </c>
      <c r="P52" s="81">
        <f>5931.9+4183.92+3158.95</f>
        <v>13274.77</v>
      </c>
      <c r="Q52" s="79">
        <f t="shared" si="2"/>
        <v>0</v>
      </c>
    </row>
    <row r="53" spans="1:17" s="13" customFormat="1" x14ac:dyDescent="0.25">
      <c r="A53" s="229"/>
      <c r="B53" s="62" t="s">
        <v>143</v>
      </c>
      <c r="C53" s="181" t="s">
        <v>64</v>
      </c>
      <c r="D53" s="182" t="s">
        <v>444</v>
      </c>
      <c r="E53" s="183" t="s">
        <v>20</v>
      </c>
      <c r="F53" s="73" t="s">
        <v>445</v>
      </c>
      <c r="G53" s="230" t="s">
        <v>114</v>
      </c>
      <c r="H53" s="181">
        <v>26</v>
      </c>
      <c r="I53" s="234">
        <v>14</v>
      </c>
      <c r="J53" s="190">
        <v>14</v>
      </c>
      <c r="K53" s="193">
        <v>33301.9</v>
      </c>
      <c r="L53" s="193">
        <v>33301.9</v>
      </c>
      <c r="M53" s="78">
        <f t="shared" si="1"/>
        <v>0</v>
      </c>
      <c r="N53" s="114">
        <v>18</v>
      </c>
      <c r="O53" s="224">
        <v>27390.400000000001</v>
      </c>
      <c r="P53" s="224">
        <v>27390.400000000001</v>
      </c>
      <c r="Q53" s="232">
        <f t="shared" si="2"/>
        <v>0</v>
      </c>
    </row>
    <row r="54" spans="1:17" s="13" customFormat="1" x14ac:dyDescent="0.25">
      <c r="A54" s="229"/>
      <c r="B54" s="30" t="s">
        <v>158</v>
      </c>
      <c r="C54" s="181" t="s">
        <v>17</v>
      </c>
      <c r="D54" s="182"/>
      <c r="E54" s="194" t="s">
        <v>32</v>
      </c>
      <c r="F54" s="73" t="s">
        <v>426</v>
      </c>
      <c r="G54" s="230" t="s">
        <v>117</v>
      </c>
      <c r="H54" s="181">
        <v>12</v>
      </c>
      <c r="I54" s="234">
        <v>6</v>
      </c>
      <c r="J54" s="190">
        <v>7</v>
      </c>
      <c r="K54" s="193">
        <v>12275.74</v>
      </c>
      <c r="L54" s="193">
        <v>10870.84</v>
      </c>
      <c r="M54" s="78">
        <f t="shared" si="1"/>
        <v>1404.8999999999996</v>
      </c>
      <c r="N54" s="114">
        <v>5</v>
      </c>
      <c r="O54" s="224">
        <v>16813.7</v>
      </c>
      <c r="P54" s="224">
        <v>16813.7</v>
      </c>
      <c r="Q54" s="232">
        <f t="shared" si="2"/>
        <v>0</v>
      </c>
    </row>
    <row r="55" spans="1:17" s="15" customFormat="1" x14ac:dyDescent="0.25">
      <c r="A55" s="229"/>
      <c r="B55" s="62" t="s">
        <v>43</v>
      </c>
      <c r="C55" s="181" t="s">
        <v>17</v>
      </c>
      <c r="D55" s="182"/>
      <c r="E55" s="183" t="s">
        <v>18</v>
      </c>
      <c r="F55" s="73" t="s">
        <v>344</v>
      </c>
      <c r="G55" s="74" t="s">
        <v>112</v>
      </c>
      <c r="H55" s="75">
        <v>32</v>
      </c>
      <c r="I55" s="76">
        <v>22</v>
      </c>
      <c r="J55" s="96">
        <f>1+2+2+5+2+3+2+3+3+3</f>
        <v>26</v>
      </c>
      <c r="K55" s="77">
        <f>1776.93+926.88+3328.29+3172.19+9832.29+3539.2+3058.67</f>
        <v>25634.450000000004</v>
      </c>
      <c r="L55" s="77">
        <f>1776.93+926.88+3328.29+3172.19+9832.29+3539.2</f>
        <v>22575.780000000002</v>
      </c>
      <c r="M55" s="78">
        <f t="shared" si="1"/>
        <v>3058.6700000000019</v>
      </c>
      <c r="N55" s="100">
        <f>1+5+4+1+1+1+1+1</f>
        <v>15</v>
      </c>
      <c r="O55" s="81">
        <f>1223.8+3810.29+4959.02+10043.87+2769.48+2146.91+11926.24-1465.64</f>
        <v>35413.97</v>
      </c>
      <c r="P55" s="81">
        <f>1223.8+3810.29+4959.02+10043.87+2769.48+2146.91+11926.24-1465.64</f>
        <v>35413.97</v>
      </c>
      <c r="Q55" s="79">
        <f t="shared" si="2"/>
        <v>0</v>
      </c>
    </row>
    <row r="56" spans="1:17" s="15" customFormat="1" ht="30" x14ac:dyDescent="0.25">
      <c r="A56" s="229"/>
      <c r="B56" s="62" t="s">
        <v>43</v>
      </c>
      <c r="C56" s="181" t="s">
        <v>304</v>
      </c>
      <c r="D56" s="182" t="s">
        <v>473</v>
      </c>
      <c r="E56" s="183" t="s">
        <v>18</v>
      </c>
      <c r="F56" s="73" t="s">
        <v>323</v>
      </c>
      <c r="G56" s="271" t="s">
        <v>116</v>
      </c>
      <c r="H56" s="181">
        <v>26</v>
      </c>
      <c r="I56" s="234">
        <v>19</v>
      </c>
      <c r="J56" s="98">
        <v>21</v>
      </c>
      <c r="K56" s="77">
        <v>26931</v>
      </c>
      <c r="L56" s="77">
        <v>26931</v>
      </c>
      <c r="M56" s="78">
        <f t="shared" si="1"/>
        <v>0</v>
      </c>
      <c r="N56" s="114">
        <v>18</v>
      </c>
      <c r="O56" s="224">
        <v>60535</v>
      </c>
      <c r="P56" s="224">
        <v>60535</v>
      </c>
      <c r="Q56" s="232">
        <f t="shared" si="2"/>
        <v>0</v>
      </c>
    </row>
    <row r="57" spans="1:17" s="13" customFormat="1" x14ac:dyDescent="0.25">
      <c r="A57" s="229"/>
      <c r="B57" s="30" t="s">
        <v>44</v>
      </c>
      <c r="C57" s="181" t="s">
        <v>17</v>
      </c>
      <c r="D57" s="182"/>
      <c r="E57" s="183" t="s">
        <v>20</v>
      </c>
      <c r="F57" s="73" t="s">
        <v>345</v>
      </c>
      <c r="G57" s="74" t="s">
        <v>112</v>
      </c>
      <c r="H57" s="75">
        <v>16</v>
      </c>
      <c r="I57" s="76">
        <v>10</v>
      </c>
      <c r="J57" s="96">
        <f>1+1+1+4+2+1+1</f>
        <v>11</v>
      </c>
      <c r="K57" s="77">
        <f>2422.38+1267.86+15410.58+1534.35+708.47</f>
        <v>21343.64</v>
      </c>
      <c r="L57" s="77">
        <f>2422.38+1267.86+15410.58+1534.35+708.47</f>
        <v>21343.64</v>
      </c>
      <c r="M57" s="78">
        <f t="shared" si="1"/>
        <v>0</v>
      </c>
      <c r="N57" s="100">
        <f>1+11</f>
        <v>12</v>
      </c>
      <c r="O57" s="81">
        <f>421.62+4603.39+10559.77+72902.04+3435.31</f>
        <v>91922.12999999999</v>
      </c>
      <c r="P57" s="81">
        <f>421.62+4603.39+10559.77+72902.04</f>
        <v>88486.819999999992</v>
      </c>
      <c r="Q57" s="79">
        <f t="shared" si="2"/>
        <v>3435.3099999999977</v>
      </c>
    </row>
    <row r="58" spans="1:17" s="13" customFormat="1" x14ac:dyDescent="0.25">
      <c r="A58" s="229"/>
      <c r="B58" s="30" t="s">
        <v>44</v>
      </c>
      <c r="C58" s="181" t="s">
        <v>17</v>
      </c>
      <c r="D58" s="182"/>
      <c r="E58" s="183" t="s">
        <v>20</v>
      </c>
      <c r="F58" s="73" t="s">
        <v>483</v>
      </c>
      <c r="G58" s="230" t="s">
        <v>114</v>
      </c>
      <c r="H58" s="181"/>
      <c r="I58" s="231"/>
      <c r="J58" s="190"/>
      <c r="K58" s="77"/>
      <c r="L58" s="77"/>
      <c r="M58" s="78">
        <f t="shared" si="1"/>
        <v>0</v>
      </c>
      <c r="N58" s="100">
        <v>2</v>
      </c>
      <c r="O58" s="224">
        <v>9934.7000000000007</v>
      </c>
      <c r="P58" s="224">
        <v>9934.7000000000007</v>
      </c>
      <c r="Q58" s="232">
        <f t="shared" si="2"/>
        <v>0</v>
      </c>
    </row>
    <row r="59" spans="1:17" s="13" customFormat="1" x14ac:dyDescent="0.25">
      <c r="A59" s="229"/>
      <c r="B59" s="30" t="s">
        <v>492</v>
      </c>
      <c r="C59" s="181" t="s">
        <v>17</v>
      </c>
      <c r="D59" s="182"/>
      <c r="E59" s="183" t="s">
        <v>20</v>
      </c>
      <c r="F59" s="73" t="s">
        <v>499</v>
      </c>
      <c r="G59" s="230" t="s">
        <v>112</v>
      </c>
      <c r="H59" s="181">
        <v>10</v>
      </c>
      <c r="I59" s="231">
        <v>8</v>
      </c>
      <c r="J59" s="190">
        <f>1+8</f>
        <v>9</v>
      </c>
      <c r="K59" s="77">
        <f>1044.98+2096.62</f>
        <v>3141.6</v>
      </c>
      <c r="L59" s="77">
        <f>1044.98+2096.62</f>
        <v>3141.6</v>
      </c>
      <c r="M59" s="78">
        <f t="shared" si="1"/>
        <v>0</v>
      </c>
      <c r="N59" s="100"/>
      <c r="O59" s="224"/>
      <c r="P59" s="224"/>
      <c r="Q59" s="79">
        <f t="shared" si="2"/>
        <v>0</v>
      </c>
    </row>
    <row r="60" spans="1:17" s="13" customFormat="1" x14ac:dyDescent="0.25">
      <c r="A60" s="229"/>
      <c r="B60" s="27" t="s">
        <v>45</v>
      </c>
      <c r="C60" s="181" t="s">
        <v>17</v>
      </c>
      <c r="D60" s="182"/>
      <c r="E60" s="183" t="s">
        <v>20</v>
      </c>
      <c r="F60" s="73" t="s">
        <v>346</v>
      </c>
      <c r="G60" s="74" t="s">
        <v>112</v>
      </c>
      <c r="H60" s="75"/>
      <c r="I60" s="76"/>
      <c r="J60" s="96"/>
      <c r="K60" s="77"/>
      <c r="L60" s="77"/>
      <c r="M60" s="78">
        <f t="shared" si="1"/>
        <v>0</v>
      </c>
      <c r="N60" s="100">
        <f>1</f>
        <v>1</v>
      </c>
      <c r="O60" s="81">
        <f>17995.91+2729.8</f>
        <v>20725.71</v>
      </c>
      <c r="P60" s="81">
        <f>17995.91+2729.8</f>
        <v>20725.71</v>
      </c>
      <c r="Q60" s="79">
        <f t="shared" si="2"/>
        <v>0</v>
      </c>
    </row>
    <row r="61" spans="1:17" s="13" customFormat="1" x14ac:dyDescent="0.25">
      <c r="A61" s="229"/>
      <c r="B61" s="27" t="s">
        <v>45</v>
      </c>
      <c r="C61" s="181" t="s">
        <v>17</v>
      </c>
      <c r="D61" s="182"/>
      <c r="E61" s="183" t="s">
        <v>20</v>
      </c>
      <c r="F61" s="73" t="s">
        <v>484</v>
      </c>
      <c r="G61" s="230" t="s">
        <v>114</v>
      </c>
      <c r="H61" s="181"/>
      <c r="I61" s="231"/>
      <c r="J61" s="190"/>
      <c r="K61" s="77"/>
      <c r="L61" s="77"/>
      <c r="M61" s="78">
        <f t="shared" si="1"/>
        <v>0</v>
      </c>
      <c r="N61" s="100"/>
      <c r="O61" s="224"/>
      <c r="P61" s="224"/>
      <c r="Q61" s="232">
        <f t="shared" si="2"/>
        <v>0</v>
      </c>
    </row>
    <row r="62" spans="1:17" s="15" customFormat="1" x14ac:dyDescent="0.25">
      <c r="A62" s="229"/>
      <c r="B62" s="27" t="s">
        <v>46</v>
      </c>
      <c r="C62" s="181" t="s">
        <v>17</v>
      </c>
      <c r="D62" s="182"/>
      <c r="E62" s="183" t="s">
        <v>20</v>
      </c>
      <c r="F62" s="73" t="s">
        <v>347</v>
      </c>
      <c r="G62" s="74" t="s">
        <v>112</v>
      </c>
      <c r="H62" s="75">
        <v>19</v>
      </c>
      <c r="I62" s="76">
        <v>16</v>
      </c>
      <c r="J62" s="96">
        <f>1+2+3+2+4+1+4+2+1+5+1+1</f>
        <v>27</v>
      </c>
      <c r="K62" s="77">
        <f>1045.98+1068.08+8157.32+1778.85+9152.67+11156.63+11271.63+1490.2+9025.41+10714.36+1457.08</f>
        <v>66318.209999999992</v>
      </c>
      <c r="L62" s="77">
        <f>1045.98+1068.08+8157.32+1778.85+9152.67+11156.63+11271.63+1490.2+9025.41+10714.36</f>
        <v>64861.12999999999</v>
      </c>
      <c r="M62" s="78">
        <f t="shared" si="1"/>
        <v>1457.0800000000017</v>
      </c>
      <c r="N62" s="100">
        <f>4+4+1+1+1+2</f>
        <v>13</v>
      </c>
      <c r="O62" s="81">
        <f>10759.2+10685.34+7362.04+22509.72</f>
        <v>51316.3</v>
      </c>
      <c r="P62" s="81">
        <f>10759.2+10685.34+7362.04+22509.72</f>
        <v>51316.3</v>
      </c>
      <c r="Q62" s="79">
        <f t="shared" si="2"/>
        <v>0</v>
      </c>
    </row>
    <row r="63" spans="1:17" s="15" customFormat="1" x14ac:dyDescent="0.25">
      <c r="A63" s="229"/>
      <c r="B63" s="27" t="s">
        <v>46</v>
      </c>
      <c r="C63" s="181" t="s">
        <v>17</v>
      </c>
      <c r="D63" s="182"/>
      <c r="E63" s="183" t="s">
        <v>20</v>
      </c>
      <c r="F63" s="73" t="s">
        <v>273</v>
      </c>
      <c r="G63" s="230" t="s">
        <v>114</v>
      </c>
      <c r="H63" s="181">
        <v>5</v>
      </c>
      <c r="I63" s="231">
        <v>1</v>
      </c>
      <c r="J63" s="190">
        <v>1</v>
      </c>
      <c r="K63" s="77">
        <v>576.29999999999995</v>
      </c>
      <c r="L63" s="77">
        <v>576.29999999999995</v>
      </c>
      <c r="M63" s="78">
        <f t="shared" si="1"/>
        <v>0</v>
      </c>
      <c r="N63" s="100">
        <v>3</v>
      </c>
      <c r="O63" s="224">
        <v>9356.9</v>
      </c>
      <c r="P63" s="224">
        <v>9356.9</v>
      </c>
      <c r="Q63" s="232">
        <f t="shared" si="2"/>
        <v>0</v>
      </c>
    </row>
    <row r="64" spans="1:17" s="13" customFormat="1" ht="45" x14ac:dyDescent="0.25">
      <c r="A64" s="229"/>
      <c r="B64" s="30" t="s">
        <v>47</v>
      </c>
      <c r="C64" s="181" t="s">
        <v>304</v>
      </c>
      <c r="D64" s="182" t="s">
        <v>474</v>
      </c>
      <c r="E64" s="183" t="s">
        <v>18</v>
      </c>
      <c r="F64" s="73" t="s">
        <v>348</v>
      </c>
      <c r="G64" s="74" t="s">
        <v>112</v>
      </c>
      <c r="H64" s="75">
        <v>56</v>
      </c>
      <c r="I64" s="76">
        <v>40</v>
      </c>
      <c r="J64" s="98">
        <f>1+1+3+21+7+2+5+2+7+15+14+7</f>
        <v>85</v>
      </c>
      <c r="K64" s="77">
        <f>30728.27+19236.99+22614.7+52735.68</f>
        <v>125315.64000000001</v>
      </c>
      <c r="L64" s="77">
        <f>30728.27+19236.99+22614.7+52735.68</f>
        <v>125315.64000000001</v>
      </c>
      <c r="M64" s="78">
        <f t="shared" si="1"/>
        <v>0</v>
      </c>
      <c r="N64" s="100">
        <f>7+3+4+10+6+1+2+1+3+2+5</f>
        <v>44</v>
      </c>
      <c r="O64" s="81">
        <f>8477.51+15159.83+14079.46+15414.2+17995.91+2065.56+1859.53+9543.86+1728.53+14526.84</f>
        <v>100851.23</v>
      </c>
      <c r="P64" s="81">
        <f>8477.51+15159.83+14079.46+15414.2+17995.91+2065.56+1859.53+9543.86+1728.53+14526.84</f>
        <v>100851.23</v>
      </c>
      <c r="Q64" s="79">
        <f t="shared" si="2"/>
        <v>0</v>
      </c>
    </row>
    <row r="65" spans="1:17" s="13" customFormat="1" ht="45" x14ac:dyDescent="0.25">
      <c r="A65" s="229"/>
      <c r="B65" s="62" t="s">
        <v>120</v>
      </c>
      <c r="C65" s="181" t="s">
        <v>304</v>
      </c>
      <c r="D65" s="182" t="s">
        <v>474</v>
      </c>
      <c r="E65" s="183" t="s">
        <v>18</v>
      </c>
      <c r="F65" s="73" t="s">
        <v>334</v>
      </c>
      <c r="G65" s="230" t="s">
        <v>116</v>
      </c>
      <c r="H65" s="181">
        <v>31</v>
      </c>
      <c r="I65" s="234">
        <v>17</v>
      </c>
      <c r="J65" s="98">
        <v>20</v>
      </c>
      <c r="K65" s="77">
        <v>37956</v>
      </c>
      <c r="L65" s="77">
        <v>37956</v>
      </c>
      <c r="M65" s="78">
        <f t="shared" si="1"/>
        <v>0</v>
      </c>
      <c r="N65" s="100">
        <v>15</v>
      </c>
      <c r="O65" s="224">
        <v>60831</v>
      </c>
      <c r="P65" s="224">
        <v>60831</v>
      </c>
      <c r="Q65" s="232">
        <f t="shared" si="2"/>
        <v>0</v>
      </c>
    </row>
    <row r="66" spans="1:17" s="13" customFormat="1" x14ac:dyDescent="0.25">
      <c r="A66" s="229"/>
      <c r="B66" s="30" t="s">
        <v>134</v>
      </c>
      <c r="C66" s="181" t="s">
        <v>17</v>
      </c>
      <c r="D66" s="182"/>
      <c r="E66" s="183" t="s">
        <v>20</v>
      </c>
      <c r="F66" s="73" t="s">
        <v>349</v>
      </c>
      <c r="G66" s="74" t="s">
        <v>112</v>
      </c>
      <c r="H66" s="75">
        <v>21</v>
      </c>
      <c r="I66" s="76">
        <v>21</v>
      </c>
      <c r="J66" s="96">
        <f>1+4+1+1+2+1+1+7+1+1</f>
        <v>20</v>
      </c>
      <c r="K66" s="77">
        <f>7301.48+1473.89+1911.09+1690.48+845.24+6268.51+441.51+1983.45+3361.83+883.11+2668.51+2972.45+3953.39+2549.89</f>
        <v>38304.83</v>
      </c>
      <c r="L66" s="77">
        <f>7301.48+1473.89+1911.09+1690.48+845.24+6268.51+441.51+1983.45+3361.83+883.11+2668.51+2972.45</f>
        <v>31801.55</v>
      </c>
      <c r="M66" s="78">
        <f t="shared" si="1"/>
        <v>6503.2800000000025</v>
      </c>
      <c r="N66" s="100">
        <f>4+1+1+1+1+1</f>
        <v>9</v>
      </c>
      <c r="O66" s="81">
        <f>5020.05+3215.31+12312.39+4648.82+32425.98+7889.42+3294.46</f>
        <v>68806.430000000008</v>
      </c>
      <c r="P66" s="81">
        <f>5020.05+3215.31+12312.39+4648.82+32425.98+7889.42+3294.46</f>
        <v>68806.430000000008</v>
      </c>
      <c r="Q66" s="79">
        <f t="shared" si="2"/>
        <v>0</v>
      </c>
    </row>
    <row r="67" spans="1:17" s="13" customFormat="1" x14ac:dyDescent="0.25">
      <c r="A67" s="229"/>
      <c r="B67" s="30" t="s">
        <v>134</v>
      </c>
      <c r="C67" s="181" t="s">
        <v>17</v>
      </c>
      <c r="D67" s="182"/>
      <c r="E67" s="183" t="s">
        <v>20</v>
      </c>
      <c r="F67" s="73" t="s">
        <v>456</v>
      </c>
      <c r="G67" s="230" t="s">
        <v>114</v>
      </c>
      <c r="H67" s="181">
        <v>24</v>
      </c>
      <c r="I67" s="231">
        <v>7</v>
      </c>
      <c r="J67" s="190">
        <v>7</v>
      </c>
      <c r="K67" s="77">
        <v>17181.12</v>
      </c>
      <c r="L67" s="77">
        <v>17181.12</v>
      </c>
      <c r="M67" s="78">
        <f t="shared" si="1"/>
        <v>0</v>
      </c>
      <c r="N67" s="100">
        <v>27</v>
      </c>
      <c r="O67" s="224">
        <v>61494.8</v>
      </c>
      <c r="P67" s="224">
        <v>61494.8</v>
      </c>
      <c r="Q67" s="232">
        <f t="shared" si="2"/>
        <v>0</v>
      </c>
    </row>
    <row r="68" spans="1:17" s="13" customFormat="1" x14ac:dyDescent="0.25">
      <c r="A68" s="229"/>
      <c r="B68" s="62" t="s">
        <v>48</v>
      </c>
      <c r="C68" s="181" t="s">
        <v>17</v>
      </c>
      <c r="D68" s="182"/>
      <c r="E68" s="183" t="s">
        <v>20</v>
      </c>
      <c r="F68" s="73" t="s">
        <v>350</v>
      </c>
      <c r="G68" s="74" t="s">
        <v>112</v>
      </c>
      <c r="H68" s="75">
        <v>19</v>
      </c>
      <c r="I68" s="76">
        <v>11</v>
      </c>
      <c r="J68" s="96">
        <f>1+1+2+1+3+2</f>
        <v>10</v>
      </c>
      <c r="K68" s="77">
        <f>4805.96+2585.78+3065.92+2588.55+14407.5+9289.05+3030.73+11469.98</f>
        <v>51243.47</v>
      </c>
      <c r="L68" s="77">
        <f>4805.96+2585.78+3065.92+2588.55+14407.5+9289.05+3030.73+11469.98</f>
        <v>51243.47</v>
      </c>
      <c r="M68" s="78">
        <f t="shared" si="1"/>
        <v>0</v>
      </c>
      <c r="N68" s="100">
        <f>2+1+2+1+3</f>
        <v>9</v>
      </c>
      <c r="O68" s="81">
        <f>23174.33+2535.72+11633.02+6993.42+20756.4</f>
        <v>65092.890000000007</v>
      </c>
      <c r="P68" s="81">
        <f>23174.33+2535.72+11633.02+6993.42+20756.4</f>
        <v>65092.890000000007</v>
      </c>
      <c r="Q68" s="79">
        <f t="shared" si="2"/>
        <v>0</v>
      </c>
    </row>
    <row r="69" spans="1:17" s="13" customFormat="1" x14ac:dyDescent="0.25">
      <c r="A69" s="229"/>
      <c r="B69" s="62" t="s">
        <v>49</v>
      </c>
      <c r="C69" s="181" t="s">
        <v>17</v>
      </c>
      <c r="D69" s="182"/>
      <c r="E69" s="183" t="s">
        <v>50</v>
      </c>
      <c r="F69" s="73" t="s">
        <v>351</v>
      </c>
      <c r="G69" s="74" t="s">
        <v>112</v>
      </c>
      <c r="H69" s="75">
        <v>29</v>
      </c>
      <c r="I69" s="76">
        <v>19</v>
      </c>
      <c r="J69" s="96">
        <f>1+4+8+6+5+1</f>
        <v>25</v>
      </c>
      <c r="K69" s="77">
        <f>525.65+1267.86+6544.72+13939.57+2896.54+9712.48+14471.86+991.75</f>
        <v>50350.43</v>
      </c>
      <c r="L69" s="77">
        <f>525.65+1267.86+6544.72+13939.57+2896.54+9712.48+14471.86+991.75</f>
        <v>50350.43</v>
      </c>
      <c r="M69" s="78">
        <f t="shared" si="1"/>
        <v>0</v>
      </c>
      <c r="N69" s="100">
        <f>5+1+3+1+1</f>
        <v>11</v>
      </c>
      <c r="O69" s="81">
        <f>7374+1806.93+7275.53+4666.9+2684.03+6682.03+10412.84</f>
        <v>40902.259999999995</v>
      </c>
      <c r="P69" s="81">
        <f>7374+1806.93+7275.53+4666.9+2684.03+6682.03+10412.84</f>
        <v>40902.259999999995</v>
      </c>
      <c r="Q69" s="232">
        <f t="shared" si="2"/>
        <v>0</v>
      </c>
    </row>
    <row r="70" spans="1:17" s="13" customFormat="1" x14ac:dyDescent="0.25">
      <c r="A70" s="229"/>
      <c r="B70" s="62" t="s">
        <v>49</v>
      </c>
      <c r="C70" s="181" t="s">
        <v>17</v>
      </c>
      <c r="D70" s="182"/>
      <c r="E70" s="183" t="s">
        <v>50</v>
      </c>
      <c r="F70" s="73" t="s">
        <v>427</v>
      </c>
      <c r="G70" s="230" t="s">
        <v>115</v>
      </c>
      <c r="H70" s="181">
        <v>15</v>
      </c>
      <c r="I70" s="231">
        <v>7</v>
      </c>
      <c r="J70" s="96">
        <v>7</v>
      </c>
      <c r="K70" s="77">
        <v>14739.83</v>
      </c>
      <c r="L70" s="77">
        <v>13535.63</v>
      </c>
      <c r="M70" s="78">
        <f t="shared" si="1"/>
        <v>1204.2000000000007</v>
      </c>
      <c r="N70" s="100">
        <v>11</v>
      </c>
      <c r="O70" s="224">
        <v>25688.3</v>
      </c>
      <c r="P70" s="224">
        <v>17660.3</v>
      </c>
      <c r="Q70" s="79">
        <f t="shared" si="2"/>
        <v>8028</v>
      </c>
    </row>
    <row r="71" spans="1:17" s="13" customFormat="1" x14ac:dyDescent="0.25">
      <c r="A71" s="229"/>
      <c r="B71" s="27" t="s">
        <v>51</v>
      </c>
      <c r="C71" s="181" t="s">
        <v>17</v>
      </c>
      <c r="D71" s="182"/>
      <c r="E71" s="183" t="s">
        <v>20</v>
      </c>
      <c r="F71" s="73" t="s">
        <v>186</v>
      </c>
      <c r="G71" s="74" t="s">
        <v>112</v>
      </c>
      <c r="H71" s="75"/>
      <c r="I71" s="76"/>
      <c r="J71" s="96"/>
      <c r="K71" s="77"/>
      <c r="L71" s="77"/>
      <c r="M71" s="78">
        <f t="shared" si="1"/>
        <v>0</v>
      </c>
      <c r="N71" s="100">
        <f>1</f>
        <v>1</v>
      </c>
      <c r="O71" s="81">
        <v>2451.87</v>
      </c>
      <c r="P71" s="81">
        <v>2451.87</v>
      </c>
      <c r="Q71" s="232">
        <f t="shared" si="2"/>
        <v>0</v>
      </c>
    </row>
    <row r="72" spans="1:17" s="13" customFormat="1" x14ac:dyDescent="0.25">
      <c r="A72" s="229"/>
      <c r="B72" s="27" t="s">
        <v>51</v>
      </c>
      <c r="C72" s="181" t="s">
        <v>17</v>
      </c>
      <c r="D72" s="182"/>
      <c r="E72" s="183" t="s">
        <v>20</v>
      </c>
      <c r="F72" s="73" t="s">
        <v>276</v>
      </c>
      <c r="G72" s="230" t="s">
        <v>114</v>
      </c>
      <c r="H72" s="181"/>
      <c r="I72" s="231"/>
      <c r="J72" s="190"/>
      <c r="K72" s="77"/>
      <c r="L72" s="77"/>
      <c r="M72" s="78">
        <f t="shared" si="1"/>
        <v>0</v>
      </c>
      <c r="N72" s="100">
        <v>3</v>
      </c>
      <c r="O72" s="224">
        <v>6763.6</v>
      </c>
      <c r="P72" s="224">
        <v>6763.6</v>
      </c>
      <c r="Q72" s="232">
        <f t="shared" si="2"/>
        <v>0</v>
      </c>
    </row>
    <row r="73" spans="1:17" s="13" customFormat="1" x14ac:dyDescent="0.25">
      <c r="A73" s="229"/>
      <c r="B73" s="62" t="s">
        <v>52</v>
      </c>
      <c r="C73" s="181" t="s">
        <v>17</v>
      </c>
      <c r="D73" s="182"/>
      <c r="E73" s="183" t="s">
        <v>20</v>
      </c>
      <c r="F73" s="73" t="s">
        <v>352</v>
      </c>
      <c r="G73" s="74" t="s">
        <v>112</v>
      </c>
      <c r="H73" s="75">
        <v>16</v>
      </c>
      <c r="I73" s="76">
        <v>12</v>
      </c>
      <c r="J73" s="96">
        <f>1+1+1+1+2+3+1+1+1+2+1</f>
        <v>15</v>
      </c>
      <c r="K73" s="77">
        <f>10714.2+2747.14+2138.07+6709.4+7033.21+883.08+708.47+8516.02</f>
        <v>39449.589999999997</v>
      </c>
      <c r="L73" s="77">
        <f>10714.2+2747.14+2138.07+6709.4+7033.21+883.08+708.47</f>
        <v>30933.57</v>
      </c>
      <c r="M73" s="78">
        <f t="shared" si="1"/>
        <v>8516.0199999999968</v>
      </c>
      <c r="N73" s="100">
        <f>4+3+1+1+2+3+1+1+2+1</f>
        <v>19</v>
      </c>
      <c r="O73" s="81">
        <f>5977.15+48296.91+7596.86+1061.83+8902.9+6856.31+2935.36+8136.06</f>
        <v>89763.38</v>
      </c>
      <c r="P73" s="81">
        <f>5977.15+48296.91+7596.86+1061.83+8902.9+6856.31+2935.36+8136.06</f>
        <v>89763.38</v>
      </c>
      <c r="Q73" s="232">
        <f t="shared" si="2"/>
        <v>0</v>
      </c>
    </row>
    <row r="74" spans="1:17" s="13" customFormat="1" x14ac:dyDescent="0.25">
      <c r="A74" s="229"/>
      <c r="B74" s="62" t="s">
        <v>52</v>
      </c>
      <c r="C74" s="181" t="s">
        <v>17</v>
      </c>
      <c r="D74" s="182"/>
      <c r="E74" s="183" t="s">
        <v>20</v>
      </c>
      <c r="F74" s="73" t="s">
        <v>457</v>
      </c>
      <c r="G74" s="230" t="s">
        <v>114</v>
      </c>
      <c r="H74" s="181">
        <v>16</v>
      </c>
      <c r="I74" s="231">
        <v>4</v>
      </c>
      <c r="J74" s="190">
        <v>4</v>
      </c>
      <c r="K74" s="77">
        <v>15055.4</v>
      </c>
      <c r="L74" s="77">
        <v>15055.4</v>
      </c>
      <c r="M74" s="78">
        <f t="shared" si="1"/>
        <v>0</v>
      </c>
      <c r="N74" s="100">
        <v>21</v>
      </c>
      <c r="O74" s="264">
        <v>57984.82</v>
      </c>
      <c r="P74" s="264">
        <v>57984.82</v>
      </c>
      <c r="Q74" s="232">
        <f t="shared" si="2"/>
        <v>0</v>
      </c>
    </row>
    <row r="75" spans="1:17" s="13" customFormat="1" x14ac:dyDescent="0.25">
      <c r="A75" s="229"/>
      <c r="B75" s="27" t="s">
        <v>53</v>
      </c>
      <c r="C75" s="181" t="s">
        <v>17</v>
      </c>
      <c r="D75" s="182"/>
      <c r="E75" s="183" t="s">
        <v>20</v>
      </c>
      <c r="F75" s="73" t="s">
        <v>353</v>
      </c>
      <c r="G75" s="74" t="s">
        <v>112</v>
      </c>
      <c r="H75" s="75">
        <v>15</v>
      </c>
      <c r="I75" s="76">
        <v>10</v>
      </c>
      <c r="J75" s="96">
        <f>2+2+2+1+2+1+1</f>
        <v>11</v>
      </c>
      <c r="K75" s="77">
        <f>3655.66+6862.24+2535.72+3550.85+401.4</f>
        <v>17005.87</v>
      </c>
      <c r="L75" s="77">
        <f>3655.66+6862.24+2535.72+3550.85+401.4</f>
        <v>17005.87</v>
      </c>
      <c r="M75" s="78">
        <f t="shared" si="1"/>
        <v>0</v>
      </c>
      <c r="N75" s="100">
        <f>1+2+2+1+1+1</f>
        <v>8</v>
      </c>
      <c r="O75" s="81">
        <f>1743.3+3921.71+422.62+5626.45+37901.04</f>
        <v>49615.12</v>
      </c>
      <c r="P75" s="81">
        <f>1743.3+3921.71+422.62+5626.45+37901.04</f>
        <v>49615.12</v>
      </c>
      <c r="Q75" s="232">
        <f t="shared" si="2"/>
        <v>0</v>
      </c>
    </row>
    <row r="76" spans="1:17" s="13" customFormat="1" x14ac:dyDescent="0.25">
      <c r="A76" s="229"/>
      <c r="B76" s="27" t="s">
        <v>149</v>
      </c>
      <c r="C76" s="181" t="s">
        <v>17</v>
      </c>
      <c r="D76" s="182"/>
      <c r="E76" s="183" t="s">
        <v>383</v>
      </c>
      <c r="F76" s="73" t="s">
        <v>354</v>
      </c>
      <c r="G76" s="74" t="s">
        <v>112</v>
      </c>
      <c r="H76" s="75">
        <v>39</v>
      </c>
      <c r="I76" s="76">
        <v>12</v>
      </c>
      <c r="J76" s="96">
        <f>7+3+3</f>
        <v>13</v>
      </c>
      <c r="K76" s="77">
        <f>7743.07+4386.1+10376.2</f>
        <v>22505.370000000003</v>
      </c>
      <c r="L76" s="77">
        <f>7743.07+4386.1+10376.2</f>
        <v>22505.370000000003</v>
      </c>
      <c r="M76" s="78">
        <f t="shared" si="1"/>
        <v>0</v>
      </c>
      <c r="N76" s="100">
        <f>2+2+2+1</f>
        <v>7</v>
      </c>
      <c r="O76" s="81">
        <f>3676.8+3431.65+6320.35+4068.03</f>
        <v>17496.830000000002</v>
      </c>
      <c r="P76" s="81">
        <f>3676.8+3431.65+6320.35+4068.03</f>
        <v>17496.830000000002</v>
      </c>
      <c r="Q76" s="79">
        <f t="shared" si="2"/>
        <v>0</v>
      </c>
    </row>
    <row r="77" spans="1:17" s="13" customFormat="1" x14ac:dyDescent="0.25">
      <c r="A77" s="229"/>
      <c r="B77" s="27" t="s">
        <v>149</v>
      </c>
      <c r="C77" s="181" t="s">
        <v>17</v>
      </c>
      <c r="D77" s="182"/>
      <c r="E77" s="183" t="s">
        <v>383</v>
      </c>
      <c r="F77" s="73" t="s">
        <v>438</v>
      </c>
      <c r="G77" s="230" t="s">
        <v>118</v>
      </c>
      <c r="H77" s="181">
        <v>16</v>
      </c>
      <c r="I77" s="234">
        <v>1</v>
      </c>
      <c r="J77" s="190">
        <v>1</v>
      </c>
      <c r="K77" s="193">
        <v>576.29999999999995</v>
      </c>
      <c r="L77" s="193">
        <v>576.29999999999995</v>
      </c>
      <c r="M77" s="78">
        <f t="shared" si="1"/>
        <v>0</v>
      </c>
      <c r="N77" s="114">
        <v>7</v>
      </c>
      <c r="O77" s="224">
        <v>9835.52</v>
      </c>
      <c r="P77" s="224">
        <v>9835.52</v>
      </c>
      <c r="Q77" s="232">
        <f t="shared" si="2"/>
        <v>0</v>
      </c>
    </row>
    <row r="78" spans="1:17" s="13" customFormat="1" x14ac:dyDescent="0.25">
      <c r="A78" s="229"/>
      <c r="B78" s="62" t="s">
        <v>107</v>
      </c>
      <c r="C78" s="181" t="s">
        <v>17</v>
      </c>
      <c r="D78" s="182"/>
      <c r="E78" s="194" t="s">
        <v>20</v>
      </c>
      <c r="F78" s="73" t="s">
        <v>355</v>
      </c>
      <c r="G78" s="74" t="s">
        <v>112</v>
      </c>
      <c r="H78" s="75">
        <v>14</v>
      </c>
      <c r="I78" s="76">
        <v>10</v>
      </c>
      <c r="J78" s="96">
        <f>1+3+3+2+1+2+1</f>
        <v>13</v>
      </c>
      <c r="K78" s="77">
        <f>666.63+7071.2+5333.38+13316.37+23091.24+4686.95+2216.53+401.4</f>
        <v>56783.700000000004</v>
      </c>
      <c r="L78" s="77">
        <f>666.63+7071.2+5333.38+13316.37+23091.24+4686.95+2216.53</f>
        <v>56382.3</v>
      </c>
      <c r="M78" s="78">
        <f t="shared" ref="M78:M141" si="3">K78-L78</f>
        <v>401.40000000000146</v>
      </c>
      <c r="N78" s="100">
        <f>2+6+1+1+2</f>
        <v>12</v>
      </c>
      <c r="O78" s="81">
        <f>7612.92+18804.48+9163.33+3260.98+6297.63+2609.1</f>
        <v>47748.44</v>
      </c>
      <c r="P78" s="81">
        <f>7612.92+18804.48+9163.33+3260.98+6297.63</f>
        <v>45139.340000000004</v>
      </c>
      <c r="Q78" s="79">
        <f t="shared" si="2"/>
        <v>2609.0999999999985</v>
      </c>
    </row>
    <row r="79" spans="1:17" s="13" customFormat="1" x14ac:dyDescent="0.25">
      <c r="A79" s="229"/>
      <c r="B79" s="30" t="s">
        <v>54</v>
      </c>
      <c r="C79" s="181" t="s">
        <v>17</v>
      </c>
      <c r="D79" s="182"/>
      <c r="E79" s="194" t="s">
        <v>20</v>
      </c>
      <c r="F79" s="73" t="s">
        <v>356</v>
      </c>
      <c r="G79" s="74" t="s">
        <v>112</v>
      </c>
      <c r="H79" s="75"/>
      <c r="I79" s="76"/>
      <c r="J79" s="96"/>
      <c r="K79" s="77">
        <f>9075.37</f>
        <v>9075.3700000000008</v>
      </c>
      <c r="L79" s="77">
        <f>9075.37</f>
        <v>9075.3700000000008</v>
      </c>
      <c r="M79" s="78">
        <f t="shared" si="3"/>
        <v>0</v>
      </c>
      <c r="N79" s="100">
        <f>4+1+1+2+1</f>
        <v>9</v>
      </c>
      <c r="O79" s="81">
        <f>17895.28+17443.73+5473.41+2994.97</f>
        <v>43807.39</v>
      </c>
      <c r="P79" s="81">
        <f>17895.28+17443.73+5473.41+2994.97</f>
        <v>43807.39</v>
      </c>
      <c r="Q79" s="79">
        <f t="shared" si="2"/>
        <v>0</v>
      </c>
    </row>
    <row r="80" spans="1:17" s="13" customFormat="1" ht="30" x14ac:dyDescent="0.25">
      <c r="A80" s="229"/>
      <c r="B80" s="27" t="s">
        <v>55</v>
      </c>
      <c r="C80" s="181" t="s">
        <v>304</v>
      </c>
      <c r="D80" s="182" t="s">
        <v>387</v>
      </c>
      <c r="E80" s="183" t="s">
        <v>20</v>
      </c>
      <c r="F80" s="73" t="s">
        <v>357</v>
      </c>
      <c r="G80" s="74" t="s">
        <v>112</v>
      </c>
      <c r="H80" s="75">
        <v>23</v>
      </c>
      <c r="I80" s="76">
        <v>18</v>
      </c>
      <c r="J80" s="98">
        <f>3+1+1+2+1+1+1+3+3+1</f>
        <v>17</v>
      </c>
      <c r="K80" s="77">
        <f>1267.86+6667.8+5756.15+1180.38+4780.37+4352.43+2850.42+2493.42+1404.9+10097.91</f>
        <v>40851.64</v>
      </c>
      <c r="L80" s="77">
        <f>1267.86+6667.8+5756.15+1180.38+4780.37+4352.43+2850.42+2493.42+1404.9</f>
        <v>30753.729999999996</v>
      </c>
      <c r="M80" s="78">
        <f t="shared" si="3"/>
        <v>10097.910000000003</v>
      </c>
      <c r="N80" s="100">
        <f>2+1+2+2+2+1+2+1+1+1</f>
        <v>15</v>
      </c>
      <c r="O80" s="81">
        <f>34854.19+2113.1+6430.67+5463.42+39145.22+2535.72+5132.44+12985.86</f>
        <v>108660.62000000001</v>
      </c>
      <c r="P80" s="81">
        <f>34854.19+2113.1+6430.67+5463.42+39145.22+2535.72+5132.44+12985.86</f>
        <v>108660.62000000001</v>
      </c>
      <c r="Q80" s="232">
        <f t="shared" si="2"/>
        <v>0</v>
      </c>
    </row>
    <row r="81" spans="1:17" s="13" customFormat="1" ht="30" x14ac:dyDescent="0.25">
      <c r="A81" s="229"/>
      <c r="B81" s="62" t="s">
        <v>56</v>
      </c>
      <c r="C81" s="181" t="s">
        <v>17</v>
      </c>
      <c r="D81" s="182" t="s">
        <v>386</v>
      </c>
      <c r="E81" s="183" t="s">
        <v>18</v>
      </c>
      <c r="F81" s="73" t="s">
        <v>358</v>
      </c>
      <c r="G81" s="74" t="s">
        <v>112</v>
      </c>
      <c r="H81" s="75">
        <v>14</v>
      </c>
      <c r="I81" s="76">
        <v>11</v>
      </c>
      <c r="J81" s="96">
        <f>1+1+2+2+5</f>
        <v>11</v>
      </c>
      <c r="K81" s="77">
        <f>678.11+678.11+4865.7+5265.72+4915.15</f>
        <v>16402.79</v>
      </c>
      <c r="L81" s="77">
        <f>678.11+678.11+4865.7+5265.72</f>
        <v>11487.64</v>
      </c>
      <c r="M81" s="78">
        <f t="shared" si="3"/>
        <v>4915.1500000000015</v>
      </c>
      <c r="N81" s="100">
        <f>1</f>
        <v>1</v>
      </c>
      <c r="O81" s="81">
        <f>4395.5</f>
        <v>4395.5</v>
      </c>
      <c r="P81" s="81">
        <f>4395.5</f>
        <v>4395.5</v>
      </c>
      <c r="Q81" s="79">
        <f t="shared" si="2"/>
        <v>0</v>
      </c>
    </row>
    <row r="82" spans="1:17" s="13" customFormat="1" ht="30" x14ac:dyDescent="0.25">
      <c r="A82" s="229"/>
      <c r="B82" s="62" t="s">
        <v>56</v>
      </c>
      <c r="C82" s="181" t="s">
        <v>304</v>
      </c>
      <c r="D82" s="182" t="s">
        <v>386</v>
      </c>
      <c r="E82" s="183" t="s">
        <v>18</v>
      </c>
      <c r="F82" s="73" t="s">
        <v>476</v>
      </c>
      <c r="G82" s="230" t="s">
        <v>113</v>
      </c>
      <c r="H82" s="181">
        <v>14</v>
      </c>
      <c r="I82" s="231">
        <v>9</v>
      </c>
      <c r="J82" s="96">
        <v>9</v>
      </c>
      <c r="K82" s="77">
        <v>15944</v>
      </c>
      <c r="L82" s="77">
        <v>15944</v>
      </c>
      <c r="M82" s="78">
        <f t="shared" si="3"/>
        <v>0</v>
      </c>
      <c r="N82" s="100"/>
      <c r="O82" s="224">
        <v>7612</v>
      </c>
      <c r="P82" s="224">
        <v>7612</v>
      </c>
      <c r="Q82" s="232">
        <f t="shared" ref="Q82:Q147" si="4">O82-P82</f>
        <v>0</v>
      </c>
    </row>
    <row r="83" spans="1:17" s="13" customFormat="1" x14ac:dyDescent="0.25">
      <c r="A83" s="229"/>
      <c r="B83" s="62" t="s">
        <v>156</v>
      </c>
      <c r="C83" s="181" t="s">
        <v>304</v>
      </c>
      <c r="D83" s="182"/>
      <c r="E83" s="183" t="s">
        <v>20</v>
      </c>
      <c r="F83" s="73" t="s">
        <v>359</v>
      </c>
      <c r="G83" s="74" t="s">
        <v>112</v>
      </c>
      <c r="H83" s="75">
        <v>5</v>
      </c>
      <c r="I83" s="76">
        <v>2</v>
      </c>
      <c r="J83" s="96">
        <f>2</f>
        <v>2</v>
      </c>
      <c r="K83" s="77">
        <f>1690.48+993.47</f>
        <v>2683.95</v>
      </c>
      <c r="L83" s="77">
        <f>1690.48+993.47</f>
        <v>2683.95</v>
      </c>
      <c r="M83" s="78">
        <f t="shared" si="3"/>
        <v>0</v>
      </c>
      <c r="N83" s="100">
        <f>3+1+1</f>
        <v>5</v>
      </c>
      <c r="O83" s="81">
        <f>5488.54+2398.37+422.62+1605.6</f>
        <v>9915.130000000001</v>
      </c>
      <c r="P83" s="81">
        <f>5488.54+2398.37+422.62+1605.6</f>
        <v>9915.130000000001</v>
      </c>
      <c r="Q83" s="79">
        <f t="shared" si="4"/>
        <v>0</v>
      </c>
    </row>
    <row r="84" spans="1:17" s="15" customFormat="1" x14ac:dyDescent="0.25">
      <c r="A84" s="229"/>
      <c r="B84" s="62" t="s">
        <v>57</v>
      </c>
      <c r="C84" s="181" t="s">
        <v>17</v>
      </c>
      <c r="D84" s="182"/>
      <c r="E84" s="183" t="s">
        <v>20</v>
      </c>
      <c r="F84" s="73" t="s">
        <v>360</v>
      </c>
      <c r="G84" s="74" t="s">
        <v>112</v>
      </c>
      <c r="H84" s="75">
        <v>8</v>
      </c>
      <c r="I84" s="76">
        <v>6</v>
      </c>
      <c r="J84" s="96">
        <f>2+1+1+2</f>
        <v>6</v>
      </c>
      <c r="K84" s="77">
        <f>806.82+1728.9+422.62+2958.34</f>
        <v>5916.68</v>
      </c>
      <c r="L84" s="77">
        <f>806.82+1728.9+422.62+2958.34</f>
        <v>5916.68</v>
      </c>
      <c r="M84" s="78">
        <f t="shared" si="3"/>
        <v>0</v>
      </c>
      <c r="N84" s="100">
        <f>2+1</f>
        <v>3</v>
      </c>
      <c r="O84" s="81">
        <f>2745.3</f>
        <v>2745.3</v>
      </c>
      <c r="P84" s="81">
        <f>2745.3</f>
        <v>2745.3</v>
      </c>
      <c r="Q84" s="232">
        <f t="shared" si="4"/>
        <v>0</v>
      </c>
    </row>
    <row r="85" spans="1:17" s="15" customFormat="1" x14ac:dyDescent="0.25">
      <c r="A85" s="229"/>
      <c r="B85" s="62" t="s">
        <v>57</v>
      </c>
      <c r="C85" s="181" t="s">
        <v>17</v>
      </c>
      <c r="D85" s="182"/>
      <c r="E85" s="183" t="s">
        <v>20</v>
      </c>
      <c r="F85" s="73" t="s">
        <v>458</v>
      </c>
      <c r="G85" s="230" t="s">
        <v>114</v>
      </c>
      <c r="H85" s="181">
        <v>36</v>
      </c>
      <c r="I85" s="231">
        <v>14</v>
      </c>
      <c r="J85" s="190">
        <v>14</v>
      </c>
      <c r="K85" s="77">
        <v>42207.27</v>
      </c>
      <c r="L85" s="77">
        <v>42207.27</v>
      </c>
      <c r="M85" s="78">
        <f t="shared" si="3"/>
        <v>0</v>
      </c>
      <c r="N85" s="100">
        <v>20</v>
      </c>
      <c r="O85" s="224">
        <v>42687.199999999997</v>
      </c>
      <c r="P85" s="224">
        <v>42687.199999999997</v>
      </c>
      <c r="Q85" s="232">
        <f t="shared" si="4"/>
        <v>0</v>
      </c>
    </row>
    <row r="86" spans="1:17" s="13" customFormat="1" x14ac:dyDescent="0.25">
      <c r="A86" s="229"/>
      <c r="B86" s="62" t="s">
        <v>58</v>
      </c>
      <c r="C86" s="181" t="s">
        <v>17</v>
      </c>
      <c r="D86" s="182"/>
      <c r="E86" s="183" t="s">
        <v>20</v>
      </c>
      <c r="F86" s="73" t="s">
        <v>361</v>
      </c>
      <c r="G86" s="74" t="s">
        <v>112</v>
      </c>
      <c r="H86" s="75">
        <v>10</v>
      </c>
      <c r="I86" s="76">
        <v>7</v>
      </c>
      <c r="J86" s="96">
        <f>1+2+1+1+1+1</f>
        <v>7</v>
      </c>
      <c r="K86" s="77">
        <f>1892.47+3118.94+422.62+1324.62</f>
        <v>6758.65</v>
      </c>
      <c r="L86" s="77">
        <f>1892.47+3118.94+422.62+1324.62</f>
        <v>6758.65</v>
      </c>
      <c r="M86" s="78">
        <f t="shared" si="3"/>
        <v>0</v>
      </c>
      <c r="N86" s="100">
        <f>1+1+3+1</f>
        <v>6</v>
      </c>
      <c r="O86" s="81">
        <f>9196.24+2480.78+2954.11+15214.32</f>
        <v>29845.45</v>
      </c>
      <c r="P86" s="81">
        <f>9196.24+2480.78+2954.11+15214.32</f>
        <v>29845.45</v>
      </c>
      <c r="Q86" s="232">
        <f t="shared" si="4"/>
        <v>0</v>
      </c>
    </row>
    <row r="87" spans="1:17" s="13" customFormat="1" x14ac:dyDescent="0.25">
      <c r="A87" s="229"/>
      <c r="B87" s="62" t="s">
        <v>58</v>
      </c>
      <c r="C87" s="181" t="s">
        <v>17</v>
      </c>
      <c r="D87" s="182"/>
      <c r="E87" s="183" t="s">
        <v>20</v>
      </c>
      <c r="F87" s="73" t="s">
        <v>478</v>
      </c>
      <c r="G87" s="230" t="s">
        <v>114</v>
      </c>
      <c r="H87" s="181">
        <v>15</v>
      </c>
      <c r="I87" s="231">
        <v>3</v>
      </c>
      <c r="J87" s="190">
        <v>3</v>
      </c>
      <c r="K87" s="77">
        <v>3765.16</v>
      </c>
      <c r="L87" s="77">
        <v>3765.16</v>
      </c>
      <c r="M87" s="78">
        <f t="shared" si="3"/>
        <v>0</v>
      </c>
      <c r="N87" s="100">
        <v>21</v>
      </c>
      <c r="O87" s="224">
        <v>54215.77</v>
      </c>
      <c r="P87" s="224">
        <v>54215.77</v>
      </c>
      <c r="Q87" s="232">
        <f t="shared" si="4"/>
        <v>0</v>
      </c>
    </row>
    <row r="88" spans="1:17" s="13" customFormat="1" x14ac:dyDescent="0.25">
      <c r="A88" s="229"/>
      <c r="B88" s="62" t="s">
        <v>59</v>
      </c>
      <c r="C88" s="181" t="s">
        <v>17</v>
      </c>
      <c r="D88" s="182"/>
      <c r="E88" s="183" t="s">
        <v>20</v>
      </c>
      <c r="F88" s="73" t="s">
        <v>362</v>
      </c>
      <c r="G88" s="74" t="s">
        <v>112</v>
      </c>
      <c r="H88" s="75">
        <v>13</v>
      </c>
      <c r="I88" s="76">
        <v>8</v>
      </c>
      <c r="J88" s="96">
        <f>1+1+1+3+1+1</f>
        <v>8</v>
      </c>
      <c r="K88" s="77">
        <f>403.41+1431.16+845.24+998.92+3059.87</f>
        <v>6738.6</v>
      </c>
      <c r="L88" s="77">
        <f>403.41+1431.16+845.24+998.92+3059.87</f>
        <v>6738.6</v>
      </c>
      <c r="M88" s="78">
        <f t="shared" si="3"/>
        <v>0</v>
      </c>
      <c r="N88" s="100">
        <f>1+2+2+1+1+1+1</f>
        <v>9</v>
      </c>
      <c r="O88" s="81">
        <f>6646.05+1267.86+979.71</f>
        <v>8893.619999999999</v>
      </c>
      <c r="P88" s="81">
        <f>2353.23+5561.68+978.71</f>
        <v>8893.619999999999</v>
      </c>
      <c r="Q88" s="232">
        <f t="shared" si="4"/>
        <v>0</v>
      </c>
    </row>
    <row r="89" spans="1:17" s="13" customFormat="1" x14ac:dyDescent="0.25">
      <c r="A89" s="229"/>
      <c r="B89" s="62" t="s">
        <v>59</v>
      </c>
      <c r="C89" s="181" t="s">
        <v>17</v>
      </c>
      <c r="D89" s="182"/>
      <c r="E89" s="183" t="s">
        <v>20</v>
      </c>
      <c r="F89" s="73" t="s">
        <v>128</v>
      </c>
      <c r="G89" s="230" t="s">
        <v>114</v>
      </c>
      <c r="H89" s="181"/>
      <c r="I89" s="231"/>
      <c r="J89" s="190"/>
      <c r="K89" s="77"/>
      <c r="L89" s="77"/>
      <c r="M89" s="78">
        <f t="shared" si="3"/>
        <v>0</v>
      </c>
      <c r="N89" s="100"/>
      <c r="O89" s="224"/>
      <c r="P89" s="224"/>
      <c r="Q89" s="232">
        <f t="shared" si="4"/>
        <v>0</v>
      </c>
    </row>
    <row r="90" spans="1:17" s="13" customFormat="1" x14ac:dyDescent="0.25">
      <c r="A90" s="229"/>
      <c r="B90" s="27" t="s">
        <v>60</v>
      </c>
      <c r="C90" s="181" t="s">
        <v>17</v>
      </c>
      <c r="D90" s="182"/>
      <c r="E90" s="183" t="s">
        <v>20</v>
      </c>
      <c r="F90" s="73" t="s">
        <v>364</v>
      </c>
      <c r="G90" s="74" t="s">
        <v>112</v>
      </c>
      <c r="H90" s="75">
        <v>20</v>
      </c>
      <c r="I90" s="76">
        <v>11</v>
      </c>
      <c r="J90" s="96">
        <f>1+1+1+4+4+2</f>
        <v>13</v>
      </c>
      <c r="K90" s="77">
        <f>634.93+893.27+2930.22+8503.46</f>
        <v>12961.88</v>
      </c>
      <c r="L90" s="77">
        <f>634.93+893.27+2930.22+8503.46</f>
        <v>12961.88</v>
      </c>
      <c r="M90" s="78">
        <f t="shared" si="3"/>
        <v>0</v>
      </c>
      <c r="N90" s="100">
        <f>4+1+3+1+1+2</f>
        <v>12</v>
      </c>
      <c r="O90" s="81">
        <f>15124.53+2065.75+8492.52+5828.3</f>
        <v>31511.1</v>
      </c>
      <c r="P90" s="81">
        <f>15124.53+2065.75+8492.52+5828.3</f>
        <v>31511.1</v>
      </c>
      <c r="Q90" s="232">
        <f t="shared" si="4"/>
        <v>0</v>
      </c>
    </row>
    <row r="91" spans="1:17" s="13" customFormat="1" x14ac:dyDescent="0.25">
      <c r="A91" s="229"/>
      <c r="B91" s="27" t="s">
        <v>60</v>
      </c>
      <c r="C91" s="181" t="s">
        <v>17</v>
      </c>
      <c r="D91" s="182"/>
      <c r="E91" s="183" t="s">
        <v>20</v>
      </c>
      <c r="F91" s="73" t="s">
        <v>479</v>
      </c>
      <c r="G91" s="230" t="s">
        <v>114</v>
      </c>
      <c r="H91" s="181">
        <v>14</v>
      </c>
      <c r="I91" s="231">
        <v>2</v>
      </c>
      <c r="J91" s="190">
        <v>2</v>
      </c>
      <c r="K91" s="77">
        <v>5186.7</v>
      </c>
      <c r="L91" s="77">
        <v>5186.7</v>
      </c>
      <c r="M91" s="78">
        <f t="shared" si="3"/>
        <v>0</v>
      </c>
      <c r="N91" s="100">
        <v>12</v>
      </c>
      <c r="O91" s="224">
        <v>41221.599999999999</v>
      </c>
      <c r="P91" s="224">
        <v>41221.599999999999</v>
      </c>
      <c r="Q91" s="232">
        <f t="shared" si="4"/>
        <v>0</v>
      </c>
    </row>
    <row r="92" spans="1:17" s="13" customFormat="1" x14ac:dyDescent="0.25">
      <c r="A92" s="229"/>
      <c r="B92" s="27" t="s">
        <v>493</v>
      </c>
      <c r="C92" s="181" t="s">
        <v>17</v>
      </c>
      <c r="D92" s="182"/>
      <c r="E92" s="183" t="s">
        <v>20</v>
      </c>
      <c r="F92" s="73" t="s">
        <v>496</v>
      </c>
      <c r="G92" s="230" t="s">
        <v>112</v>
      </c>
      <c r="H92" s="181">
        <v>15</v>
      </c>
      <c r="I92" s="231">
        <v>11</v>
      </c>
      <c r="J92" s="190">
        <f>3+2+1+3+1+2+1+3</f>
        <v>16</v>
      </c>
      <c r="K92" s="77">
        <f>3387.04+3467.41+1267.86+2218.74+8089.94+1924.71+5638.36</f>
        <v>25994.059999999998</v>
      </c>
      <c r="L92" s="77">
        <f>3387.04+3467.41+1267.86+2218.74+8089.94+1924.71+5638.36</f>
        <v>25994.059999999998</v>
      </c>
      <c r="M92" s="78">
        <f t="shared" si="3"/>
        <v>0</v>
      </c>
      <c r="N92" s="100"/>
      <c r="O92" s="224"/>
      <c r="P92" s="224"/>
      <c r="Q92" s="232">
        <f t="shared" si="4"/>
        <v>0</v>
      </c>
    </row>
    <row r="93" spans="1:17" s="15" customFormat="1" x14ac:dyDescent="0.25">
      <c r="A93" s="229"/>
      <c r="B93" s="27" t="s">
        <v>61</v>
      </c>
      <c r="C93" s="181" t="s">
        <v>17</v>
      </c>
      <c r="D93" s="182"/>
      <c r="E93" s="183" t="s">
        <v>20</v>
      </c>
      <c r="F93" s="73" t="s">
        <v>363</v>
      </c>
      <c r="G93" s="74" t="s">
        <v>112</v>
      </c>
      <c r="H93" s="75"/>
      <c r="I93" s="76"/>
      <c r="J93" s="96"/>
      <c r="K93" s="77"/>
      <c r="L93" s="77"/>
      <c r="M93" s="78">
        <f t="shared" si="3"/>
        <v>0</v>
      </c>
      <c r="N93" s="100"/>
      <c r="O93" s="81"/>
      <c r="P93" s="81"/>
      <c r="Q93" s="232">
        <f t="shared" si="4"/>
        <v>0</v>
      </c>
    </row>
    <row r="94" spans="1:17" s="15" customFormat="1" x14ac:dyDescent="0.25">
      <c r="A94" s="229"/>
      <c r="B94" s="236" t="s">
        <v>306</v>
      </c>
      <c r="C94" s="181" t="s">
        <v>17</v>
      </c>
      <c r="D94" s="182"/>
      <c r="E94" s="183" t="s">
        <v>35</v>
      </c>
      <c r="F94" s="73" t="s">
        <v>365</v>
      </c>
      <c r="G94" s="230" t="s">
        <v>112</v>
      </c>
      <c r="H94" s="181">
        <v>39</v>
      </c>
      <c r="I94" s="231">
        <v>25</v>
      </c>
      <c r="J94" s="190">
        <f>1+2+1+3+3+2+3+1+2+1+3+4</f>
        <v>26</v>
      </c>
      <c r="K94" s="77">
        <f>1045.98+2658.7+35696.14+4892.46+1024.04+2384.53+10793.24+5320.79+2075.24+1324.62+1192.16+2649.24</f>
        <v>71057.14</v>
      </c>
      <c r="L94" s="77">
        <f>1045.98+2658.7+35696.14+4892.46+1024.04+2384.53+10793.24+5320.79+2075.24+1324.62+1192.16+2649.24</f>
        <v>71057.14</v>
      </c>
      <c r="M94" s="78">
        <f t="shared" si="3"/>
        <v>0</v>
      </c>
      <c r="N94" s="114">
        <f>7+2+2+2+1+1+1</f>
        <v>16</v>
      </c>
      <c r="O94" s="224">
        <f>2313.84+6162.57+2330.32+1690.48+3706.14+3107.65+4960.7</f>
        <v>24271.7</v>
      </c>
      <c r="P94" s="224">
        <f>2313.84+6162.57+2330.32+1690.48+3706.14+3107.65+4960.7</f>
        <v>24271.7</v>
      </c>
      <c r="Q94" s="232">
        <f t="shared" si="4"/>
        <v>0</v>
      </c>
    </row>
    <row r="95" spans="1:17" s="13" customFormat="1" x14ac:dyDescent="0.25">
      <c r="A95" s="229"/>
      <c r="B95" s="62" t="s">
        <v>306</v>
      </c>
      <c r="C95" s="181" t="s">
        <v>17</v>
      </c>
      <c r="D95" s="182"/>
      <c r="E95" s="183" t="s">
        <v>27</v>
      </c>
      <c r="F95" s="73" t="s">
        <v>421</v>
      </c>
      <c r="G95" s="230" t="s">
        <v>117</v>
      </c>
      <c r="H95" s="181">
        <v>5</v>
      </c>
      <c r="I95" s="231"/>
      <c r="J95" s="96"/>
      <c r="K95" s="77"/>
      <c r="L95" s="77"/>
      <c r="M95" s="78">
        <f t="shared" si="3"/>
        <v>0</v>
      </c>
      <c r="N95" s="100"/>
      <c r="O95" s="77"/>
      <c r="P95" s="77"/>
      <c r="Q95" s="79">
        <f>O95-P95</f>
        <v>0</v>
      </c>
    </row>
    <row r="96" spans="1:17" s="13" customFormat="1" x14ac:dyDescent="0.25">
      <c r="A96" s="229"/>
      <c r="B96" s="27" t="s">
        <v>62</v>
      </c>
      <c r="C96" s="181" t="s">
        <v>17</v>
      </c>
      <c r="D96" s="182"/>
      <c r="E96" s="183" t="s">
        <v>35</v>
      </c>
      <c r="F96" s="73" t="s">
        <v>366</v>
      </c>
      <c r="G96" s="74" t="s">
        <v>112</v>
      </c>
      <c r="H96" s="75">
        <v>31</v>
      </c>
      <c r="I96" s="76">
        <v>26</v>
      </c>
      <c r="J96" s="96">
        <f>1+3+1+1+2+4+4+3+3+4</f>
        <v>26</v>
      </c>
      <c r="K96" s="77">
        <f>3613.4+1872.01+1394.65+3518.32+15902.72+5370.89+2686.97+19155.26</f>
        <v>53514.22</v>
      </c>
      <c r="L96" s="77">
        <f>3613.4+1872.01+1394.65+3518.32+15902.72+5370.89+2686.97</f>
        <v>34358.959999999999</v>
      </c>
      <c r="M96" s="78">
        <f t="shared" si="3"/>
        <v>19155.260000000002</v>
      </c>
      <c r="N96" s="100">
        <f>6+2+1+2+1+3+1+1</f>
        <v>17</v>
      </c>
      <c r="O96" s="81">
        <f>19511.33+1270.93+3979.74+2500.85+8530.18+845.24+12787.47+17476.07</f>
        <v>66901.81</v>
      </c>
      <c r="P96" s="81">
        <f>19511.33+1270.93+3979.74+2500.85+8530.18+845.24+12787.47+17476.07</f>
        <v>66901.81</v>
      </c>
      <c r="Q96" s="79">
        <f t="shared" si="4"/>
        <v>0</v>
      </c>
    </row>
    <row r="97" spans="1:17" s="13" customFormat="1" x14ac:dyDescent="0.25">
      <c r="A97" s="229"/>
      <c r="B97" s="27" t="s">
        <v>62</v>
      </c>
      <c r="C97" s="181" t="s">
        <v>17</v>
      </c>
      <c r="D97" s="182"/>
      <c r="E97" s="183" t="s">
        <v>35</v>
      </c>
      <c r="F97" s="73" t="s">
        <v>428</v>
      </c>
      <c r="G97" s="230" t="s">
        <v>117</v>
      </c>
      <c r="H97" s="181">
        <v>6</v>
      </c>
      <c r="I97" s="231"/>
      <c r="J97" s="96"/>
      <c r="K97" s="77"/>
      <c r="L97" s="77"/>
      <c r="M97" s="78">
        <f t="shared" si="3"/>
        <v>0</v>
      </c>
      <c r="N97" s="100">
        <v>9</v>
      </c>
      <c r="O97" s="224">
        <v>22788.1</v>
      </c>
      <c r="P97" s="224">
        <v>22788.1</v>
      </c>
      <c r="Q97" s="232">
        <f t="shared" si="4"/>
        <v>0</v>
      </c>
    </row>
    <row r="98" spans="1:17" s="13" customFormat="1" x14ac:dyDescent="0.25">
      <c r="A98" s="229"/>
      <c r="B98" s="27" t="s">
        <v>155</v>
      </c>
      <c r="C98" s="181" t="s">
        <v>17</v>
      </c>
      <c r="D98" s="182"/>
      <c r="E98" s="183" t="s">
        <v>20</v>
      </c>
      <c r="F98" s="73" t="s">
        <v>367</v>
      </c>
      <c r="G98" s="74" t="s">
        <v>112</v>
      </c>
      <c r="H98" s="75">
        <v>14</v>
      </c>
      <c r="I98" s="82">
        <v>9</v>
      </c>
      <c r="J98" s="96">
        <f>1+2+3+1+2+2+1</f>
        <v>12</v>
      </c>
      <c r="K98" s="77">
        <f>3117.56+2266.78+5307.72+3606.94+1494.21+6905.68</f>
        <v>22698.890000000003</v>
      </c>
      <c r="L98" s="77">
        <f>3117.56+2266.78+5307.72+3606.94+1494.21</f>
        <v>15793.210000000003</v>
      </c>
      <c r="M98" s="78">
        <f t="shared" si="3"/>
        <v>6905.68</v>
      </c>
      <c r="N98" s="100">
        <f>1+1+1+1+1</f>
        <v>5</v>
      </c>
      <c r="O98" s="81">
        <f>1798.06+2123.67</f>
        <v>3921.73</v>
      </c>
      <c r="P98" s="81">
        <f>1798.06+2123.67</f>
        <v>3921.73</v>
      </c>
      <c r="Q98" s="232">
        <f t="shared" si="4"/>
        <v>0</v>
      </c>
    </row>
    <row r="99" spans="1:17" s="13" customFormat="1" ht="15.75" x14ac:dyDescent="0.25">
      <c r="A99" s="229"/>
      <c r="B99" s="27" t="s">
        <v>155</v>
      </c>
      <c r="C99" s="181" t="s">
        <v>17</v>
      </c>
      <c r="D99" s="182"/>
      <c r="E99" s="183" t="s">
        <v>20</v>
      </c>
      <c r="F99" s="73" t="s">
        <v>459</v>
      </c>
      <c r="G99" s="230" t="s">
        <v>114</v>
      </c>
      <c r="H99" s="1">
        <v>14</v>
      </c>
      <c r="I99" s="231">
        <v>4</v>
      </c>
      <c r="J99" s="190">
        <v>4</v>
      </c>
      <c r="K99" s="77">
        <v>8816.51</v>
      </c>
      <c r="L99" s="77">
        <v>8816.51</v>
      </c>
      <c r="M99" s="78">
        <f t="shared" si="3"/>
        <v>0</v>
      </c>
      <c r="N99" s="100">
        <v>16</v>
      </c>
      <c r="O99" s="224">
        <v>36413.46</v>
      </c>
      <c r="P99" s="224">
        <v>36413.46</v>
      </c>
      <c r="Q99" s="232">
        <f t="shared" si="4"/>
        <v>0</v>
      </c>
    </row>
    <row r="100" spans="1:17" s="13" customFormat="1" x14ac:dyDescent="0.25">
      <c r="A100" s="229"/>
      <c r="B100" s="30" t="s">
        <v>66</v>
      </c>
      <c r="C100" s="181" t="s">
        <v>17</v>
      </c>
      <c r="D100" s="182"/>
      <c r="E100" s="183" t="s">
        <v>21</v>
      </c>
      <c r="F100" s="73" t="s">
        <v>368</v>
      </c>
      <c r="G100" s="74" t="s">
        <v>112</v>
      </c>
      <c r="H100" s="75">
        <v>35</v>
      </c>
      <c r="I100" s="76">
        <v>31</v>
      </c>
      <c r="J100" s="96">
        <f>1+3+2+3+2+1+2+1+3+7+4+3+2+3+4+5</f>
        <v>46</v>
      </c>
      <c r="K100" s="77">
        <f>1045.98+4309.04+3820.12+1872.01+4253.49+3044.79+1191.19+4942.84+9299.2+9796.16+4139.27+2886.87+11269.91</f>
        <v>61870.87000000001</v>
      </c>
      <c r="L100" s="77">
        <f>1045.98+4309.04+3820.12+1872.01+4253.49+3044.79+1191.19+4942.84+9299.2+9796.16+4139.27+2886.87</f>
        <v>50600.960000000014</v>
      </c>
      <c r="M100" s="78">
        <f t="shared" si="3"/>
        <v>11269.909999999996</v>
      </c>
      <c r="N100" s="100">
        <f>6+3+8+7+1+1+1+2+1+1+1+1+1+1</f>
        <v>35</v>
      </c>
      <c r="O100" s="81">
        <f>11911.17+23136+18060.17+1977.84+2091.97+19535.65+19124.11+3199.71+4430.07+5418.9+2717.24</f>
        <v>111602.83</v>
      </c>
      <c r="P100" s="81">
        <f>11911.17+23136+18060.17+1977.84+2091.97+19535.65+19124.11+3199.71+4430.07+5418.9+2717.24</f>
        <v>111602.83</v>
      </c>
      <c r="Q100" s="232">
        <f t="shared" si="4"/>
        <v>0</v>
      </c>
    </row>
    <row r="101" spans="1:17" s="13" customFormat="1" x14ac:dyDescent="0.25">
      <c r="A101" s="229"/>
      <c r="B101" s="30" t="s">
        <v>66</v>
      </c>
      <c r="C101" s="181" t="s">
        <v>17</v>
      </c>
      <c r="D101" s="182"/>
      <c r="E101" s="183" t="s">
        <v>21</v>
      </c>
      <c r="F101" s="73" t="s">
        <v>439</v>
      </c>
      <c r="G101" s="230" t="s">
        <v>118</v>
      </c>
      <c r="H101" s="181">
        <v>7</v>
      </c>
      <c r="I101" s="231">
        <v>3</v>
      </c>
      <c r="J101" s="96">
        <v>3</v>
      </c>
      <c r="K101" s="77">
        <v>5367.3</v>
      </c>
      <c r="L101" s="77">
        <v>5367.3</v>
      </c>
      <c r="M101" s="78">
        <f t="shared" si="3"/>
        <v>0</v>
      </c>
      <c r="N101" s="100">
        <v>24</v>
      </c>
      <c r="O101" s="224">
        <v>81462.58</v>
      </c>
      <c r="P101" s="224">
        <v>81462.58</v>
      </c>
      <c r="Q101" s="79">
        <f t="shared" si="4"/>
        <v>0</v>
      </c>
    </row>
    <row r="102" spans="1:17" s="13" customFormat="1" x14ac:dyDescent="0.25">
      <c r="A102" s="229"/>
      <c r="B102" s="62" t="s">
        <v>137</v>
      </c>
      <c r="C102" s="181" t="s">
        <v>17</v>
      </c>
      <c r="D102" s="182"/>
      <c r="E102" s="194" t="s">
        <v>35</v>
      </c>
      <c r="F102" s="73" t="s">
        <v>369</v>
      </c>
      <c r="G102" s="74" t="s">
        <v>112</v>
      </c>
      <c r="H102" s="75">
        <v>36</v>
      </c>
      <c r="I102" s="76">
        <v>25</v>
      </c>
      <c r="J102" s="96">
        <f>3+3+1+4+1+3+2+3+6</f>
        <v>26</v>
      </c>
      <c r="K102" s="77">
        <f>504.26+845.24+3380.96+422.62+2535.72+6256.62+883.08+2649.24</f>
        <v>17477.739999999998</v>
      </c>
      <c r="L102" s="77">
        <f>504.26+845.24+3380.96+422.62+2535.72+6256.62+883.08+2649.24</f>
        <v>17477.739999999998</v>
      </c>
      <c r="M102" s="78">
        <f t="shared" si="3"/>
        <v>0</v>
      </c>
      <c r="N102" s="100">
        <f>5+1+1+2+1</f>
        <v>10</v>
      </c>
      <c r="O102" s="81">
        <f>2617.36+422.62+3852.18+3380.96+422.62</f>
        <v>10695.74</v>
      </c>
      <c r="P102" s="81">
        <f>2617.36+422.62+3852.18+3380.96+422.62</f>
        <v>10695.74</v>
      </c>
      <c r="Q102" s="232">
        <f t="shared" si="4"/>
        <v>0</v>
      </c>
    </row>
    <row r="103" spans="1:17" s="13" customFormat="1" x14ac:dyDescent="0.25">
      <c r="A103" s="229"/>
      <c r="B103" s="62" t="s">
        <v>137</v>
      </c>
      <c r="C103" s="181" t="s">
        <v>17</v>
      </c>
      <c r="D103" s="182"/>
      <c r="E103" s="194" t="s">
        <v>35</v>
      </c>
      <c r="F103" s="73" t="s">
        <v>429</v>
      </c>
      <c r="G103" s="230" t="s">
        <v>117</v>
      </c>
      <c r="H103" s="181">
        <v>12</v>
      </c>
      <c r="I103" s="231">
        <v>2</v>
      </c>
      <c r="J103" s="190">
        <v>2</v>
      </c>
      <c r="K103" s="193">
        <v>4530.1000000000004</v>
      </c>
      <c r="L103" s="193">
        <v>4530.1000000000004</v>
      </c>
      <c r="M103" s="78">
        <f t="shared" si="3"/>
        <v>0</v>
      </c>
      <c r="N103" s="114">
        <v>2</v>
      </c>
      <c r="O103" s="224">
        <v>10565.5</v>
      </c>
      <c r="P103" s="224">
        <v>10565.5</v>
      </c>
      <c r="Q103" s="79">
        <f t="shared" si="4"/>
        <v>0</v>
      </c>
    </row>
    <row r="104" spans="1:17" s="13" customFormat="1" x14ac:dyDescent="0.25">
      <c r="A104" s="229"/>
      <c r="B104" s="30" t="s">
        <v>67</v>
      </c>
      <c r="C104" s="181" t="s">
        <v>17</v>
      </c>
      <c r="D104" s="182"/>
      <c r="E104" s="194" t="s">
        <v>21</v>
      </c>
      <c r="F104" s="73" t="s">
        <v>370</v>
      </c>
      <c r="G104" s="74" t="s">
        <v>112</v>
      </c>
      <c r="H104" s="75">
        <v>39</v>
      </c>
      <c r="I104" s="76">
        <v>29</v>
      </c>
      <c r="J104" s="96">
        <f>2+1+1+2+1+1+2+2+1+2+5+5+2+5+3</f>
        <v>35</v>
      </c>
      <c r="K104" s="77">
        <f>3319.85+1198.9+864.45+7235.32+1947.89+5377.75+8701.73+3581.7+8737.54+7647.65</f>
        <v>48612.780000000006</v>
      </c>
      <c r="L104" s="77">
        <f>3319.85+1198.9+864.45+7235.32+1947.89+5377.75+8701.73+3581.7+8737.54+7647.65</f>
        <v>48612.780000000006</v>
      </c>
      <c r="M104" s="78">
        <f t="shared" si="3"/>
        <v>0</v>
      </c>
      <c r="N104" s="100">
        <f>4+9+4+4+1+3+1+3+1+1+1+1+1+1</f>
        <v>35</v>
      </c>
      <c r="O104" s="81">
        <f>29696.65+38129.03+13567.9+20687.05+2022.79+8145.77+17250.05+1233.28+5568.04+11106.62</f>
        <v>147407.18</v>
      </c>
      <c r="P104" s="81">
        <f>29696.65+38129.03+13567.9+20687.05+2022.79+8145.77+17250.05+1233.28+5568.04+11106.62</f>
        <v>147407.18</v>
      </c>
      <c r="Q104" s="232">
        <f t="shared" si="4"/>
        <v>0</v>
      </c>
    </row>
    <row r="105" spans="1:17" s="13" customFormat="1" x14ac:dyDescent="0.25">
      <c r="A105" s="229"/>
      <c r="B105" s="30" t="s">
        <v>67</v>
      </c>
      <c r="C105" s="181" t="s">
        <v>17</v>
      </c>
      <c r="D105" s="182"/>
      <c r="E105" s="194" t="s">
        <v>21</v>
      </c>
      <c r="F105" s="73" t="s">
        <v>440</v>
      </c>
      <c r="G105" s="230" t="s">
        <v>118</v>
      </c>
      <c r="H105" s="181">
        <v>15</v>
      </c>
      <c r="I105" s="231">
        <v>2</v>
      </c>
      <c r="J105" s="96">
        <v>2</v>
      </c>
      <c r="K105" s="77">
        <v>5282.54</v>
      </c>
      <c r="L105" s="77">
        <v>5282.54</v>
      </c>
      <c r="M105" s="78">
        <f t="shared" si="3"/>
        <v>0</v>
      </c>
      <c r="N105" s="100">
        <v>20</v>
      </c>
      <c r="O105" s="224">
        <v>66027.179999999993</v>
      </c>
      <c r="P105" s="224">
        <v>66027.179999999993</v>
      </c>
      <c r="Q105" s="79">
        <f t="shared" si="4"/>
        <v>0</v>
      </c>
    </row>
    <row r="106" spans="1:17" s="13" customFormat="1" x14ac:dyDescent="0.25">
      <c r="A106" s="229"/>
      <c r="B106" s="30" t="s">
        <v>68</v>
      </c>
      <c r="C106" s="181" t="s">
        <v>17</v>
      </c>
      <c r="D106" s="182"/>
      <c r="E106" s="194" t="s">
        <v>32</v>
      </c>
      <c r="F106" s="73" t="s">
        <v>371</v>
      </c>
      <c r="G106" s="74" t="s">
        <v>112</v>
      </c>
      <c r="H106" s="75">
        <v>20</v>
      </c>
      <c r="I106" s="76">
        <v>18</v>
      </c>
      <c r="J106" s="96">
        <f>2+1+2+5+5+3+1+2+2</f>
        <v>23</v>
      </c>
      <c r="K106" s="77">
        <f>1128.59+422.62+1152.6+4557.81+10981.59+5362.88+4996.85+4352.15+3073.96+3697.9+1003.5</f>
        <v>40730.450000000004</v>
      </c>
      <c r="L106" s="77">
        <f>1128.59+422.62+1152.6+4557.81+10981.59+5362.88+4996.85+4352.15+3073.96+3697.9+1003.5</f>
        <v>40730.450000000004</v>
      </c>
      <c r="M106" s="78">
        <f t="shared" si="3"/>
        <v>0</v>
      </c>
      <c r="N106" s="100">
        <f>6+5+1+4+2+2+1</f>
        <v>21</v>
      </c>
      <c r="O106" s="81">
        <f>7813.73+8523.5+1452.28+12582.19+18077.76+4987.46+2373.79</f>
        <v>55810.709999999992</v>
      </c>
      <c r="P106" s="81">
        <f>7813.73+8523.5+1452.28+12582.19+18077.76+4987.46+2373.79</f>
        <v>55810.709999999992</v>
      </c>
      <c r="Q106" s="232">
        <f t="shared" si="4"/>
        <v>0</v>
      </c>
    </row>
    <row r="107" spans="1:17" s="13" customFormat="1" x14ac:dyDescent="0.25">
      <c r="A107" s="229"/>
      <c r="B107" s="30" t="s">
        <v>68</v>
      </c>
      <c r="C107" s="181" t="s">
        <v>17</v>
      </c>
      <c r="D107" s="182"/>
      <c r="E107" s="194" t="s">
        <v>32</v>
      </c>
      <c r="F107" s="73" t="s">
        <v>430</v>
      </c>
      <c r="G107" s="235" t="s">
        <v>117</v>
      </c>
      <c r="H107" s="181">
        <v>4</v>
      </c>
      <c r="I107" s="231">
        <v>1</v>
      </c>
      <c r="J107" s="96">
        <v>1</v>
      </c>
      <c r="K107" s="77">
        <v>1204.2</v>
      </c>
      <c r="L107" s="77"/>
      <c r="M107" s="78">
        <f t="shared" si="3"/>
        <v>1204.2</v>
      </c>
      <c r="N107" s="100"/>
      <c r="O107" s="77"/>
      <c r="P107" s="77"/>
      <c r="Q107" s="79">
        <f t="shared" si="4"/>
        <v>0</v>
      </c>
    </row>
    <row r="108" spans="1:17" s="15" customFormat="1" x14ac:dyDescent="0.25">
      <c r="A108" s="229"/>
      <c r="B108" s="27" t="s">
        <v>69</v>
      </c>
      <c r="C108" s="181" t="s">
        <v>17</v>
      </c>
      <c r="D108" s="182"/>
      <c r="E108" s="183" t="s">
        <v>20</v>
      </c>
      <c r="F108" s="73" t="s">
        <v>372</v>
      </c>
      <c r="G108" s="74" t="s">
        <v>112</v>
      </c>
      <c r="H108" s="75">
        <v>9</v>
      </c>
      <c r="I108" s="76">
        <v>5</v>
      </c>
      <c r="J108" s="96">
        <f>1+1+1+1+3+1</f>
        <v>8</v>
      </c>
      <c r="K108" s="77">
        <f>422.62+17390.69+3114.71+475.45+2326.92</f>
        <v>23730.39</v>
      </c>
      <c r="L108" s="77">
        <f>422.62+17390.69+3114.71+475.45+2326.92</f>
        <v>23730.39</v>
      </c>
      <c r="M108" s="78">
        <f t="shared" si="3"/>
        <v>0</v>
      </c>
      <c r="N108" s="100">
        <f>3+2+1+1+1+1</f>
        <v>9</v>
      </c>
      <c r="O108" s="77">
        <f>7210.31+3647.96+1306.28+1267.86+2697.06</f>
        <v>16129.470000000001</v>
      </c>
      <c r="P108" s="77">
        <f>7210.31+3647.96+1306.28+1267.86+2697.06</f>
        <v>16129.470000000001</v>
      </c>
      <c r="Q108" s="232">
        <f t="shared" si="4"/>
        <v>0</v>
      </c>
    </row>
    <row r="109" spans="1:17" s="15" customFormat="1" x14ac:dyDescent="0.25">
      <c r="A109" s="229"/>
      <c r="B109" s="236" t="s">
        <v>502</v>
      </c>
      <c r="C109" s="181" t="s">
        <v>17</v>
      </c>
      <c r="D109" s="182"/>
      <c r="E109" s="183" t="s">
        <v>20</v>
      </c>
      <c r="F109" s="73" t="s">
        <v>508</v>
      </c>
      <c r="G109" s="74" t="s">
        <v>112</v>
      </c>
      <c r="H109" s="75">
        <v>14</v>
      </c>
      <c r="I109" s="76">
        <v>9</v>
      </c>
      <c r="J109" s="96">
        <f>4+1+4+1</f>
        <v>10</v>
      </c>
      <c r="K109" s="77">
        <f>6145.3+993.47+5403.3+2759.63</f>
        <v>15301.7</v>
      </c>
      <c r="L109" s="77">
        <f>6145.3+993.47+5403.3</f>
        <v>12542.07</v>
      </c>
      <c r="M109" s="78">
        <f t="shared" si="3"/>
        <v>2759.630000000001</v>
      </c>
      <c r="N109" s="100"/>
      <c r="O109" s="77"/>
      <c r="P109" s="77"/>
      <c r="Q109" s="232">
        <f t="shared" si="4"/>
        <v>0</v>
      </c>
    </row>
    <row r="110" spans="1:17" s="15" customFormat="1" x14ac:dyDescent="0.25">
      <c r="A110" s="229"/>
      <c r="B110" s="236" t="s">
        <v>502</v>
      </c>
      <c r="C110" s="181" t="s">
        <v>17</v>
      </c>
      <c r="D110" s="182"/>
      <c r="E110" s="183" t="s">
        <v>32</v>
      </c>
      <c r="F110" s="73" t="s">
        <v>511</v>
      </c>
      <c r="G110" s="235" t="s">
        <v>117</v>
      </c>
      <c r="H110" s="75">
        <v>6</v>
      </c>
      <c r="I110" s="76"/>
      <c r="J110" s="96"/>
      <c r="K110" s="77"/>
      <c r="L110" s="77"/>
      <c r="M110" s="78">
        <f t="shared" si="3"/>
        <v>0</v>
      </c>
      <c r="N110" s="100"/>
      <c r="O110" s="77"/>
      <c r="P110" s="77"/>
      <c r="Q110" s="232">
        <f t="shared" si="4"/>
        <v>0</v>
      </c>
    </row>
    <row r="111" spans="1:17" s="13" customFormat="1" x14ac:dyDescent="0.25">
      <c r="A111" s="229"/>
      <c r="B111" s="62" t="s">
        <v>70</v>
      </c>
      <c r="C111" s="181" t="s">
        <v>17</v>
      </c>
      <c r="D111" s="182"/>
      <c r="E111" s="183" t="s">
        <v>20</v>
      </c>
      <c r="F111" s="73" t="s">
        <v>373</v>
      </c>
      <c r="G111" s="74" t="s">
        <v>112</v>
      </c>
      <c r="H111" s="75">
        <v>17</v>
      </c>
      <c r="I111" s="76">
        <v>10</v>
      </c>
      <c r="J111" s="96">
        <f>2+2+2+3+1+2</f>
        <v>12</v>
      </c>
      <c r="K111" s="77">
        <f>19498+3011.17+8156.45</f>
        <v>30665.62</v>
      </c>
      <c r="L111" s="77">
        <f>19498+3011.17+8156.45</f>
        <v>30665.62</v>
      </c>
      <c r="M111" s="78">
        <f t="shared" si="3"/>
        <v>0</v>
      </c>
      <c r="N111" s="100">
        <f>2+3+4+2+1</f>
        <v>12</v>
      </c>
      <c r="O111" s="81">
        <f>7606.2+16795.84+3492.18</f>
        <v>27894.22</v>
      </c>
      <c r="P111" s="81">
        <f>7606.2+16795.84+3492.18</f>
        <v>27894.22</v>
      </c>
      <c r="Q111" s="79">
        <f t="shared" si="4"/>
        <v>0</v>
      </c>
    </row>
    <row r="112" spans="1:17" s="13" customFormat="1" x14ac:dyDescent="0.25">
      <c r="A112" s="229"/>
      <c r="B112" s="62" t="s">
        <v>70</v>
      </c>
      <c r="C112" s="181" t="s">
        <v>17</v>
      </c>
      <c r="D112" s="182"/>
      <c r="E112" s="183" t="s">
        <v>20</v>
      </c>
      <c r="F112" s="73" t="s">
        <v>460</v>
      </c>
      <c r="G112" s="230" t="s">
        <v>114</v>
      </c>
      <c r="H112" s="181">
        <v>37</v>
      </c>
      <c r="I112" s="231">
        <v>14</v>
      </c>
      <c r="J112" s="190">
        <v>14</v>
      </c>
      <c r="K112" s="77">
        <v>44867.74</v>
      </c>
      <c r="L112" s="77">
        <v>44867.74</v>
      </c>
      <c r="M112" s="78">
        <f t="shared" si="3"/>
        <v>0</v>
      </c>
      <c r="N112" s="100">
        <v>31</v>
      </c>
      <c r="O112" s="224">
        <v>75536.87</v>
      </c>
      <c r="P112" s="224">
        <v>75536.87</v>
      </c>
      <c r="Q112" s="232">
        <f t="shared" si="4"/>
        <v>0</v>
      </c>
    </row>
    <row r="113" spans="1:17" s="15" customFormat="1" x14ac:dyDescent="0.25">
      <c r="A113" s="229"/>
      <c r="B113" s="62" t="s">
        <v>71</v>
      </c>
      <c r="C113" s="181" t="s">
        <v>17</v>
      </c>
      <c r="D113" s="182"/>
      <c r="E113" s="183" t="s">
        <v>32</v>
      </c>
      <c r="F113" s="73" t="s">
        <v>374</v>
      </c>
      <c r="G113" s="74" t="s">
        <v>112</v>
      </c>
      <c r="H113" s="75">
        <v>22</v>
      </c>
      <c r="I113" s="76">
        <v>17</v>
      </c>
      <c r="J113" s="96">
        <f>3+1+2+1+1+3+3+1+3</f>
        <v>18</v>
      </c>
      <c r="K113" s="77">
        <f>1536.8+461.04+1748.88+633.93+3169.65+2435.83+13203.17+728.54</f>
        <v>23917.840000000004</v>
      </c>
      <c r="L113" s="77">
        <f>1536.8+461.04+1748.88+633.93+3169.65+2435.83+13203.17+728.54</f>
        <v>23917.840000000004</v>
      </c>
      <c r="M113" s="78">
        <f t="shared" si="3"/>
        <v>0</v>
      </c>
      <c r="N113" s="100">
        <f>3+2+1+1+2+1</f>
        <v>10</v>
      </c>
      <c r="O113" s="81">
        <f>9567.93+3616.67+403.41+14275.52+10922.18+12907.41</f>
        <v>51693.119999999995</v>
      </c>
      <c r="P113" s="81">
        <f>9567.93+3616.67+403.41+14275.52+10922.18+12907.41</f>
        <v>51693.119999999995</v>
      </c>
      <c r="Q113" s="79">
        <f t="shared" si="4"/>
        <v>0</v>
      </c>
    </row>
    <row r="114" spans="1:17" s="15" customFormat="1" x14ac:dyDescent="0.25">
      <c r="A114" s="229"/>
      <c r="B114" s="62" t="s">
        <v>71</v>
      </c>
      <c r="C114" s="181" t="s">
        <v>17</v>
      </c>
      <c r="D114" s="182"/>
      <c r="E114" s="183" t="s">
        <v>32</v>
      </c>
      <c r="F114" s="73" t="s">
        <v>431</v>
      </c>
      <c r="G114" s="230" t="s">
        <v>115</v>
      </c>
      <c r="H114" s="181">
        <v>8</v>
      </c>
      <c r="I114" s="231">
        <v>4</v>
      </c>
      <c r="J114" s="96">
        <v>4</v>
      </c>
      <c r="K114" s="237">
        <v>6627.45</v>
      </c>
      <c r="L114" s="237">
        <v>6627.45</v>
      </c>
      <c r="M114" s="78">
        <f t="shared" si="3"/>
        <v>0</v>
      </c>
      <c r="N114" s="114">
        <f>5</f>
        <v>5</v>
      </c>
      <c r="O114" s="77">
        <v>6595.5</v>
      </c>
      <c r="P114" s="77">
        <v>6595.5</v>
      </c>
      <c r="Q114" s="232">
        <f t="shared" si="4"/>
        <v>0</v>
      </c>
    </row>
    <row r="115" spans="1:17" s="13" customFormat="1" x14ac:dyDescent="0.25">
      <c r="A115" s="229"/>
      <c r="B115" s="62" t="s">
        <v>319</v>
      </c>
      <c r="C115" s="181" t="s">
        <v>17</v>
      </c>
      <c r="D115" s="182"/>
      <c r="E115" s="183" t="s">
        <v>20</v>
      </c>
      <c r="F115" s="73" t="s">
        <v>375</v>
      </c>
      <c r="G115" s="74" t="s">
        <v>112</v>
      </c>
      <c r="H115" s="75">
        <v>35</v>
      </c>
      <c r="I115" s="76">
        <v>24</v>
      </c>
      <c r="J115" s="96">
        <f>2+1+4+3+6+2+7+1+2+1+1</f>
        <v>30</v>
      </c>
      <c r="K115" s="77">
        <f>710.77+1523.35+6753.23+7215.52+1437.48+28056.52+6091.99+2561.63+3510.24+1726.58+441.54</f>
        <v>60028.849999999991</v>
      </c>
      <c r="L115" s="77">
        <f>710.77+1523.35+6753.23+7215.52+1437.48+28056.52+6091.99+2561.63+3510.24</f>
        <v>57860.729999999989</v>
      </c>
      <c r="M115" s="78">
        <f t="shared" si="3"/>
        <v>2168.1200000000026</v>
      </c>
      <c r="N115" s="100">
        <f>3+1+2+1+2+1</f>
        <v>10</v>
      </c>
      <c r="O115" s="77">
        <f>13419.94+726.71+2846.77+3770.56+4653.31+2237.23</f>
        <v>27654.520000000004</v>
      </c>
      <c r="P115" s="77">
        <f>13419.94+726.71+2846.77+3770.56+4653.31</f>
        <v>25417.290000000005</v>
      </c>
      <c r="Q115" s="79">
        <f>O115-P115</f>
        <v>2237.2299999999996</v>
      </c>
    </row>
    <row r="116" spans="1:17" s="15" customFormat="1" x14ac:dyDescent="0.25">
      <c r="A116" s="229"/>
      <c r="B116" s="62" t="s">
        <v>150</v>
      </c>
      <c r="C116" s="181" t="s">
        <v>17</v>
      </c>
      <c r="D116" s="182"/>
      <c r="E116" s="183" t="s">
        <v>35</v>
      </c>
      <c r="F116" s="73" t="s">
        <v>376</v>
      </c>
      <c r="G116" s="74" t="s">
        <v>112</v>
      </c>
      <c r="H116" s="75">
        <v>33</v>
      </c>
      <c r="I116" s="76">
        <v>18</v>
      </c>
      <c r="J116" s="96">
        <f>1+1+2+2+1+3+1+4+4</f>
        <v>19</v>
      </c>
      <c r="K116" s="77">
        <f>1343.65+384.2+1690.4+4889.84+2417.43+2791.74+5298.48</f>
        <v>18815.739999999998</v>
      </c>
      <c r="L116" s="77">
        <f>1343.65+384.2+1690.4+4889.84+2417.43+2791.74</f>
        <v>13517.26</v>
      </c>
      <c r="M116" s="78">
        <f t="shared" si="3"/>
        <v>5298.4799999999977</v>
      </c>
      <c r="N116" s="114">
        <f>8+1+1+2+3+1+1+1</f>
        <v>18</v>
      </c>
      <c r="O116" s="77">
        <f>5997.32+3719.39+3054.34+13138.17+6578.46+6198.68</f>
        <v>38686.36</v>
      </c>
      <c r="P116" s="77">
        <f>5997.32+3719.39+3054.34+13138.17+6578.46+6198.68</f>
        <v>38686.36</v>
      </c>
      <c r="Q116" s="79">
        <f t="shared" si="4"/>
        <v>0</v>
      </c>
    </row>
    <row r="117" spans="1:17" s="15" customFormat="1" x14ac:dyDescent="0.25">
      <c r="A117" s="229"/>
      <c r="B117" s="233" t="s">
        <v>150</v>
      </c>
      <c r="C117" s="181" t="s">
        <v>17</v>
      </c>
      <c r="D117" s="182"/>
      <c r="E117" s="183" t="s">
        <v>32</v>
      </c>
      <c r="F117" s="73" t="s">
        <v>487</v>
      </c>
      <c r="G117" s="230" t="s">
        <v>117</v>
      </c>
      <c r="H117" s="181">
        <v>6</v>
      </c>
      <c r="I117" s="231">
        <v>4</v>
      </c>
      <c r="J117" s="96">
        <v>5</v>
      </c>
      <c r="K117" s="77">
        <v>16858.8</v>
      </c>
      <c r="L117" s="77">
        <v>16858.8</v>
      </c>
      <c r="M117" s="78">
        <f t="shared" si="3"/>
        <v>0</v>
      </c>
      <c r="N117" s="100">
        <v>3</v>
      </c>
      <c r="O117" s="77">
        <v>9645.1</v>
      </c>
      <c r="P117" s="77">
        <v>9645.1</v>
      </c>
      <c r="Q117" s="232">
        <f t="shared" si="4"/>
        <v>0</v>
      </c>
    </row>
    <row r="118" spans="1:17" s="13" customFormat="1" x14ac:dyDescent="0.25">
      <c r="A118" s="229"/>
      <c r="B118" s="30" t="s">
        <v>72</v>
      </c>
      <c r="C118" s="181" t="s">
        <v>17</v>
      </c>
      <c r="D118" s="182"/>
      <c r="E118" s="183" t="s">
        <v>21</v>
      </c>
      <c r="F118" s="73" t="s">
        <v>377</v>
      </c>
      <c r="G118" s="74" t="s">
        <v>112</v>
      </c>
      <c r="H118" s="75">
        <v>26</v>
      </c>
      <c r="I118" s="76">
        <v>15</v>
      </c>
      <c r="J118" s="96">
        <f>1+1+1+1+6+2+1+2+3+1</f>
        <v>19</v>
      </c>
      <c r="K118" s="77">
        <f>633.93+1415.78+1610.18+1394.65+18140.86+2440.63+4140.81+3166.55</f>
        <v>32943.390000000007</v>
      </c>
      <c r="L118" s="77">
        <f>633.93+1415.78+1610.18+1394.65+18140.86+2440.63+4140.81</f>
        <v>29776.840000000004</v>
      </c>
      <c r="M118" s="78">
        <f t="shared" si="3"/>
        <v>3166.5500000000029</v>
      </c>
      <c r="N118" s="100">
        <f>1+3+1+1+1+3+1+3+1+1+2+1</f>
        <v>19</v>
      </c>
      <c r="O118" s="81">
        <f>1950.74+10237.13+6595.95+3861.21+1348.53+10328.94+50451.86-19567+15859.78+3744.76</f>
        <v>84811.9</v>
      </c>
      <c r="P118" s="81">
        <f>1950.74+10237.13+6595.95+3861.21+1348.53+10328.94+50451.86-19567+15859.78</f>
        <v>81067.14</v>
      </c>
      <c r="Q118" s="79">
        <f t="shared" si="4"/>
        <v>3744.7599999999948</v>
      </c>
    </row>
    <row r="119" spans="1:17" s="13" customFormat="1" x14ac:dyDescent="0.25">
      <c r="A119" s="229"/>
      <c r="B119" s="30" t="s">
        <v>72</v>
      </c>
      <c r="C119" s="181" t="s">
        <v>17</v>
      </c>
      <c r="D119" s="182"/>
      <c r="E119" s="183" t="s">
        <v>21</v>
      </c>
      <c r="F119" s="73" t="s">
        <v>441</v>
      </c>
      <c r="G119" s="230" t="s">
        <v>118</v>
      </c>
      <c r="H119" s="181">
        <v>9</v>
      </c>
      <c r="I119" s="231">
        <v>1</v>
      </c>
      <c r="J119" s="96">
        <v>1</v>
      </c>
      <c r="K119" s="77">
        <v>1728.9</v>
      </c>
      <c r="L119" s="77">
        <v>1728.9</v>
      </c>
      <c r="M119" s="78">
        <f t="shared" si="3"/>
        <v>0</v>
      </c>
      <c r="N119" s="100">
        <v>20</v>
      </c>
      <c r="O119" s="224">
        <v>60401.599999999999</v>
      </c>
      <c r="P119" s="224">
        <v>60401.599999999999</v>
      </c>
      <c r="Q119" s="232">
        <f t="shared" si="4"/>
        <v>0</v>
      </c>
    </row>
    <row r="120" spans="1:17" s="15" customFormat="1" x14ac:dyDescent="0.25">
      <c r="A120" s="229"/>
      <c r="B120" s="30" t="s">
        <v>73</v>
      </c>
      <c r="C120" s="181" t="s">
        <v>17</v>
      </c>
      <c r="D120" s="182"/>
      <c r="E120" s="183" t="s">
        <v>74</v>
      </c>
      <c r="F120" s="73" t="s">
        <v>378</v>
      </c>
      <c r="G120" s="74" t="s">
        <v>112</v>
      </c>
      <c r="H120" s="75">
        <v>36</v>
      </c>
      <c r="I120" s="76">
        <v>28</v>
      </c>
      <c r="J120" s="96">
        <f>9+8+2+2+10+1+6+5</f>
        <v>43</v>
      </c>
      <c r="K120" s="77">
        <f>6305.33+12574.83+14899.84+13657.06+15923.24+7697.06+2858.97</f>
        <v>73916.33</v>
      </c>
      <c r="L120" s="77">
        <f>6305.33+12574.83+14899.84+13657.06+15923.24</f>
        <v>63360.299999999996</v>
      </c>
      <c r="M120" s="78">
        <f t="shared" si="3"/>
        <v>10556.030000000006</v>
      </c>
      <c r="N120" s="100">
        <f>5+3+3+1+1+2</f>
        <v>15</v>
      </c>
      <c r="O120" s="81">
        <f>5416.39+9506.99+12269.39+7610.68+1915.68</f>
        <v>36719.129999999997</v>
      </c>
      <c r="P120" s="81">
        <f>5416.39+9506.99+12269.39+7610.68+1915.68</f>
        <v>36719.129999999997</v>
      </c>
      <c r="Q120" s="79">
        <f t="shared" si="4"/>
        <v>0</v>
      </c>
    </row>
    <row r="121" spans="1:17" s="15" customFormat="1" x14ac:dyDescent="0.25">
      <c r="A121" s="229"/>
      <c r="B121" s="30" t="s">
        <v>73</v>
      </c>
      <c r="C121" s="181" t="s">
        <v>17</v>
      </c>
      <c r="D121" s="182"/>
      <c r="E121" s="183" t="s">
        <v>74</v>
      </c>
      <c r="F121" s="73" t="s">
        <v>282</v>
      </c>
      <c r="G121" s="230" t="s">
        <v>114</v>
      </c>
      <c r="H121" s="181"/>
      <c r="I121" s="231"/>
      <c r="J121" s="190"/>
      <c r="K121" s="77"/>
      <c r="L121" s="77"/>
      <c r="M121" s="78">
        <f t="shared" si="3"/>
        <v>0</v>
      </c>
      <c r="N121" s="100">
        <v>1</v>
      </c>
      <c r="O121" s="224">
        <v>1728.9</v>
      </c>
      <c r="P121" s="224">
        <v>1728.9</v>
      </c>
      <c r="Q121" s="232">
        <f t="shared" si="4"/>
        <v>0</v>
      </c>
    </row>
    <row r="122" spans="1:17" s="13" customFormat="1" x14ac:dyDescent="0.25">
      <c r="A122" s="229"/>
      <c r="B122" s="30" t="s">
        <v>135</v>
      </c>
      <c r="C122" s="181" t="s">
        <v>17</v>
      </c>
      <c r="D122" s="182"/>
      <c r="E122" s="194" t="s">
        <v>35</v>
      </c>
      <c r="F122" s="73" t="s">
        <v>379</v>
      </c>
      <c r="G122" s="74" t="s">
        <v>112</v>
      </c>
      <c r="H122" s="75">
        <v>37</v>
      </c>
      <c r="I122" s="76">
        <v>28</v>
      </c>
      <c r="J122" s="96">
        <f>1+6+5+3+3+5+1+5</f>
        <v>29</v>
      </c>
      <c r="K122" s="77">
        <f>697.32+4374.12+5747.44+4426.94+15712.05+4176.57</f>
        <v>35134.44</v>
      </c>
      <c r="L122" s="77">
        <f>697.32+4374.12+5747.44+4426.94+15712.05+4176.57</f>
        <v>35134.44</v>
      </c>
      <c r="M122" s="78">
        <f t="shared" si="3"/>
        <v>0</v>
      </c>
      <c r="N122" s="100">
        <f>2+5+1+2+2+2</f>
        <v>14</v>
      </c>
      <c r="O122" s="81">
        <f>6432.89+2283.68+4932.13+377</f>
        <v>14025.7</v>
      </c>
      <c r="P122" s="81">
        <f>6432.89+2283.68+4932.13</f>
        <v>13648.7</v>
      </c>
      <c r="Q122" s="232">
        <f t="shared" si="4"/>
        <v>377</v>
      </c>
    </row>
    <row r="123" spans="1:17" s="13" customFormat="1" x14ac:dyDescent="0.25">
      <c r="A123" s="229"/>
      <c r="B123" s="30" t="s">
        <v>135</v>
      </c>
      <c r="C123" s="181" t="s">
        <v>17</v>
      </c>
      <c r="D123" s="182"/>
      <c r="E123" s="194" t="s">
        <v>35</v>
      </c>
      <c r="F123" s="73" t="s">
        <v>432</v>
      </c>
      <c r="G123" s="230" t="s">
        <v>115</v>
      </c>
      <c r="H123" s="181">
        <v>2</v>
      </c>
      <c r="I123" s="231"/>
      <c r="J123" s="96"/>
      <c r="K123" s="77"/>
      <c r="L123" s="77"/>
      <c r="M123" s="78">
        <f t="shared" si="3"/>
        <v>0</v>
      </c>
      <c r="N123" s="100">
        <v>1</v>
      </c>
      <c r="O123" s="224">
        <v>2689.4</v>
      </c>
      <c r="P123" s="224">
        <v>2689.4</v>
      </c>
      <c r="Q123" s="79">
        <f t="shared" si="4"/>
        <v>0</v>
      </c>
    </row>
    <row r="124" spans="1:17" s="13" customFormat="1" x14ac:dyDescent="0.25">
      <c r="A124" s="229"/>
      <c r="B124" s="30" t="s">
        <v>145</v>
      </c>
      <c r="C124" s="181" t="s">
        <v>17</v>
      </c>
      <c r="D124" s="182"/>
      <c r="E124" s="194" t="s">
        <v>20</v>
      </c>
      <c r="F124" s="73" t="s">
        <v>380</v>
      </c>
      <c r="G124" s="74" t="s">
        <v>112</v>
      </c>
      <c r="H124" s="75">
        <v>16</v>
      </c>
      <c r="I124" s="82">
        <v>15</v>
      </c>
      <c r="J124" s="96">
        <f>2+1+1+2+2+5+3+2+3+1+1</f>
        <v>23</v>
      </c>
      <c r="K124" s="77">
        <f>5169.72+1100+538.84+4293.82+3949.22+3361.76+5643.1+4037.33+4704.3</f>
        <v>32798.090000000004</v>
      </c>
      <c r="L124" s="77">
        <f>5169.72+1100+538.84+4293.82+3949.22+3361.76+5643.1+4037.33+4704.3</f>
        <v>32798.090000000004</v>
      </c>
      <c r="M124" s="78">
        <f t="shared" si="3"/>
        <v>0</v>
      </c>
      <c r="N124" s="100">
        <f>1+1+2+1+2+1</f>
        <v>8</v>
      </c>
      <c r="O124" s="81">
        <f>5120.23+3915.15+1114.12+14002.49+7111.04</f>
        <v>31263.03</v>
      </c>
      <c r="P124" s="81">
        <f>5120.23+3915.15+1114.12+14002.49+7111.04</f>
        <v>31263.03</v>
      </c>
      <c r="Q124" s="232">
        <f t="shared" si="4"/>
        <v>0</v>
      </c>
    </row>
    <row r="125" spans="1:17" s="13" customFormat="1" x14ac:dyDescent="0.25">
      <c r="A125" s="229"/>
      <c r="B125" s="30" t="s">
        <v>145</v>
      </c>
      <c r="C125" s="181" t="s">
        <v>17</v>
      </c>
      <c r="D125" s="182"/>
      <c r="E125" s="194" t="s">
        <v>20</v>
      </c>
      <c r="F125" s="73" t="s">
        <v>461</v>
      </c>
      <c r="G125" s="230" t="s">
        <v>114</v>
      </c>
      <c r="H125" s="181">
        <v>6</v>
      </c>
      <c r="I125" s="231">
        <v>4</v>
      </c>
      <c r="J125" s="190">
        <v>4</v>
      </c>
      <c r="K125" s="77">
        <v>6135.7</v>
      </c>
      <c r="L125" s="77">
        <v>6135.7</v>
      </c>
      <c r="M125" s="78">
        <f t="shared" si="3"/>
        <v>0</v>
      </c>
      <c r="N125" s="100">
        <v>11</v>
      </c>
      <c r="O125" s="224">
        <v>24338.15</v>
      </c>
      <c r="P125" s="224">
        <v>24338.15</v>
      </c>
      <c r="Q125" s="232">
        <f t="shared" si="4"/>
        <v>0</v>
      </c>
    </row>
    <row r="126" spans="1:17" s="13" customFormat="1" x14ac:dyDescent="0.25">
      <c r="A126" s="229"/>
      <c r="B126" s="62" t="s">
        <v>76</v>
      </c>
      <c r="C126" s="181" t="s">
        <v>17</v>
      </c>
      <c r="D126" s="182"/>
      <c r="E126" s="183" t="s">
        <v>20</v>
      </c>
      <c r="F126" s="73" t="s">
        <v>381</v>
      </c>
      <c r="G126" s="74" t="s">
        <v>112</v>
      </c>
      <c r="H126" s="75">
        <v>25</v>
      </c>
      <c r="I126" s="76">
        <v>19</v>
      </c>
      <c r="J126" s="96">
        <f>1+6+3+1+3+1+2+2+2+1+1</f>
        <v>23</v>
      </c>
      <c r="K126" s="77">
        <f>6556.06+2806.39+2697.06+1267.86+11775.51+1557.35+2113.1+4117.36+1673.84+1724.01+1457.08+3514.26</f>
        <v>41259.879999999997</v>
      </c>
      <c r="L126" s="77">
        <f>6556.06+2806.39+2697.06+1267.86+11775.51+1557.35+2113.1+4117.36+1673.84+1724.01</f>
        <v>36288.539999999994</v>
      </c>
      <c r="M126" s="78">
        <f t="shared" si="3"/>
        <v>4971.3400000000038</v>
      </c>
      <c r="N126" s="100">
        <f>5+6+2+1+1+1+1+2+2+1</f>
        <v>22</v>
      </c>
      <c r="O126" s="81">
        <f>11527.9+19846.52+1011.91+9641+2451.87+10072.83+11307.66+2243.83+6181.56+5655.45</f>
        <v>79940.53</v>
      </c>
      <c r="P126" s="81">
        <f>11527.9+19846.52+1011.91+9641+2451.87+10072.83+11307.66+2243.83+6181.56+5655.45</f>
        <v>79940.53</v>
      </c>
      <c r="Q126" s="232">
        <f t="shared" si="4"/>
        <v>0</v>
      </c>
    </row>
    <row r="127" spans="1:17" s="13" customFormat="1" x14ac:dyDescent="0.25">
      <c r="A127" s="229"/>
      <c r="B127" s="62" t="s">
        <v>76</v>
      </c>
      <c r="C127" s="181" t="s">
        <v>17</v>
      </c>
      <c r="D127" s="182"/>
      <c r="E127" s="183" t="s">
        <v>20</v>
      </c>
      <c r="F127" s="73" t="s">
        <v>462</v>
      </c>
      <c r="G127" s="230" t="s">
        <v>114</v>
      </c>
      <c r="H127" s="181">
        <v>14</v>
      </c>
      <c r="I127" s="231">
        <v>5</v>
      </c>
      <c r="J127" s="190">
        <v>5</v>
      </c>
      <c r="K127" s="77">
        <v>11144.6</v>
      </c>
      <c r="L127" s="77">
        <v>11144.6</v>
      </c>
      <c r="M127" s="78">
        <f t="shared" si="3"/>
        <v>0</v>
      </c>
      <c r="N127" s="100">
        <v>9</v>
      </c>
      <c r="O127" s="224">
        <v>30007.39</v>
      </c>
      <c r="P127" s="224">
        <v>30007.39</v>
      </c>
      <c r="Q127" s="232">
        <f t="shared" si="4"/>
        <v>0</v>
      </c>
    </row>
    <row r="128" spans="1:17" s="13" customFormat="1" x14ac:dyDescent="0.25">
      <c r="A128" s="229"/>
      <c r="B128" s="30" t="s">
        <v>77</v>
      </c>
      <c r="C128" s="181" t="s">
        <v>17</v>
      </c>
      <c r="D128" s="182"/>
      <c r="E128" s="183" t="s">
        <v>32</v>
      </c>
      <c r="F128" s="73" t="s">
        <v>388</v>
      </c>
      <c r="G128" s="74" t="s">
        <v>112</v>
      </c>
      <c r="H128" s="75">
        <v>21</v>
      </c>
      <c r="I128" s="76">
        <v>12</v>
      </c>
      <c r="J128" s="96">
        <f>2+2+2+6+1+1+1</f>
        <v>15</v>
      </c>
      <c r="K128" s="77">
        <f>2440.63+1507.02+2101.48+13625.7+1324.62+2083.47</f>
        <v>23082.920000000002</v>
      </c>
      <c r="L128" s="77">
        <v>23082.920000000002</v>
      </c>
      <c r="M128" s="78">
        <f t="shared" si="3"/>
        <v>0</v>
      </c>
      <c r="N128" s="100">
        <f>5+2+3+3+1+1</f>
        <v>15</v>
      </c>
      <c r="O128" s="81">
        <f>11716.73+6848.82+4046.18+11166.34+8845.95</f>
        <v>42624.020000000004</v>
      </c>
      <c r="P128" s="81">
        <f>11716.73+6848.82+4046.18+11166.34+8845.95</f>
        <v>42624.020000000004</v>
      </c>
      <c r="Q128" s="232">
        <f t="shared" si="4"/>
        <v>0</v>
      </c>
    </row>
    <row r="129" spans="1:17" s="13" customFormat="1" x14ac:dyDescent="0.25">
      <c r="A129" s="229"/>
      <c r="B129" s="30" t="s">
        <v>77</v>
      </c>
      <c r="C129" s="181" t="s">
        <v>17</v>
      </c>
      <c r="D129" s="182"/>
      <c r="E129" s="183" t="s">
        <v>32</v>
      </c>
      <c r="F129" s="73" t="s">
        <v>433</v>
      </c>
      <c r="G129" s="230" t="s">
        <v>117</v>
      </c>
      <c r="H129" s="181">
        <v>3</v>
      </c>
      <c r="I129" s="231">
        <v>1</v>
      </c>
      <c r="J129" s="96">
        <v>1</v>
      </c>
      <c r="K129" s="77">
        <v>1921</v>
      </c>
      <c r="L129" s="77">
        <v>1921</v>
      </c>
      <c r="M129" s="78">
        <f t="shared" si="3"/>
        <v>0</v>
      </c>
      <c r="N129" s="100">
        <v>6</v>
      </c>
      <c r="O129" s="224">
        <v>18164.11</v>
      </c>
      <c r="P129" s="224">
        <v>18164.11</v>
      </c>
      <c r="Q129" s="79">
        <f t="shared" si="4"/>
        <v>0</v>
      </c>
    </row>
    <row r="130" spans="1:17" s="13" customFormat="1" x14ac:dyDescent="0.25">
      <c r="A130" s="229"/>
      <c r="B130" s="30" t="s">
        <v>321</v>
      </c>
      <c r="C130" s="181" t="s">
        <v>17</v>
      </c>
      <c r="D130" s="182"/>
      <c r="E130" s="183" t="s">
        <v>21</v>
      </c>
      <c r="F130" s="73" t="s">
        <v>489</v>
      </c>
      <c r="G130" s="230" t="s">
        <v>112</v>
      </c>
      <c r="H130" s="181">
        <v>6</v>
      </c>
      <c r="I130" s="231">
        <v>2</v>
      </c>
      <c r="J130" s="96">
        <f>1+1</f>
        <v>2</v>
      </c>
      <c r="K130" s="77">
        <f>2547.89+1766.16</f>
        <v>4314.05</v>
      </c>
      <c r="L130" s="77">
        <f>2547.89+1766.16</f>
        <v>4314.05</v>
      </c>
      <c r="M130" s="78">
        <f t="shared" si="3"/>
        <v>0</v>
      </c>
      <c r="N130" s="100"/>
      <c r="O130" s="224"/>
      <c r="P130" s="224"/>
      <c r="Q130" s="79">
        <f t="shared" si="4"/>
        <v>0</v>
      </c>
    </row>
    <row r="131" spans="1:17" s="13" customFormat="1" ht="30" x14ac:dyDescent="0.25">
      <c r="A131" s="229"/>
      <c r="B131" s="62" t="s">
        <v>79</v>
      </c>
      <c r="C131" s="181" t="s">
        <v>304</v>
      </c>
      <c r="D131" s="182" t="s">
        <v>385</v>
      </c>
      <c r="E131" s="183" t="s">
        <v>18</v>
      </c>
      <c r="F131" s="73" t="s">
        <v>389</v>
      </c>
      <c r="G131" s="74" t="s">
        <v>112</v>
      </c>
      <c r="H131" s="75">
        <v>19</v>
      </c>
      <c r="I131" s="76">
        <v>18</v>
      </c>
      <c r="J131" s="98">
        <f>2+5+2+3+2+2+5+2</f>
        <v>23</v>
      </c>
      <c r="K131" s="77">
        <f>2091.97+3190.2+5703.08+6368.88+4029.68+4560.06</f>
        <v>25943.870000000003</v>
      </c>
      <c r="L131" s="77">
        <f>2091.97+3190.2+5703.08+6368.88+4029.68+4560.06</f>
        <v>25943.870000000003</v>
      </c>
      <c r="M131" s="78">
        <f t="shared" si="3"/>
        <v>0</v>
      </c>
      <c r="N131" s="100">
        <f>2+2+1+2+1+1+3+1+2</f>
        <v>15</v>
      </c>
      <c r="O131" s="81">
        <f>1547.4+4166.12+7835.61+1675.01+4717.63+6039.62+18829.39+23135.63</f>
        <v>67946.41</v>
      </c>
      <c r="P131" s="81">
        <f>1547.4+4166.12+7835.61+1675.01+4717.63+6039.62+18829.39+23135.63</f>
        <v>67946.41</v>
      </c>
      <c r="Q131" s="232">
        <f t="shared" si="4"/>
        <v>0</v>
      </c>
    </row>
    <row r="132" spans="1:17" s="13" customFormat="1" ht="30" x14ac:dyDescent="0.25">
      <c r="A132" s="229"/>
      <c r="B132" s="62" t="s">
        <v>79</v>
      </c>
      <c r="C132" s="181" t="s">
        <v>304</v>
      </c>
      <c r="D132" s="182" t="s">
        <v>475</v>
      </c>
      <c r="E132" s="183" t="s">
        <v>18</v>
      </c>
      <c r="F132" s="73" t="s">
        <v>329</v>
      </c>
      <c r="G132" s="271" t="s">
        <v>116</v>
      </c>
      <c r="H132" s="181">
        <v>45</v>
      </c>
      <c r="I132" s="234">
        <v>30</v>
      </c>
      <c r="J132" s="98">
        <v>34</v>
      </c>
      <c r="K132" s="224">
        <v>66112</v>
      </c>
      <c r="L132" s="224">
        <v>66112</v>
      </c>
      <c r="M132" s="78">
        <f t="shared" si="3"/>
        <v>0</v>
      </c>
      <c r="N132" s="100">
        <v>15</v>
      </c>
      <c r="O132" s="224">
        <v>56311</v>
      </c>
      <c r="P132" s="224">
        <v>56311</v>
      </c>
      <c r="Q132" s="79">
        <f t="shared" si="4"/>
        <v>0</v>
      </c>
    </row>
    <row r="133" spans="1:17" s="13" customFormat="1" x14ac:dyDescent="0.25">
      <c r="A133" s="229"/>
      <c r="B133" s="62" t="s">
        <v>151</v>
      </c>
      <c r="C133" s="181" t="s">
        <v>17</v>
      </c>
      <c r="D133" s="182"/>
      <c r="E133" s="183" t="s">
        <v>32</v>
      </c>
      <c r="F133" s="73" t="s">
        <v>390</v>
      </c>
      <c r="G133" s="74" t="s">
        <v>112</v>
      </c>
      <c r="H133" s="75">
        <v>66</v>
      </c>
      <c r="I133" s="82">
        <v>50</v>
      </c>
      <c r="J133" s="96">
        <f>1+3+3+5+3+9+4+6+3+2+6+5+3+8+4</f>
        <v>65</v>
      </c>
      <c r="K133" s="81">
        <f>2317+4640.19+5864.19+10765+12519.53+4514.35+14486.46+3421.94+27163.56+5180.87+3460.57+13888.56</f>
        <v>108222.22</v>
      </c>
      <c r="L133" s="81">
        <f>2317+4640.19+5864.19+10765+12519.53+4514.35+14486.46+3421.94+27163.56+5180.87+3460.57</f>
        <v>94333.66</v>
      </c>
      <c r="M133" s="78">
        <f t="shared" si="3"/>
        <v>13888.559999999998</v>
      </c>
      <c r="N133" s="100">
        <f>9+3+5+1+4+4+1+2</f>
        <v>29</v>
      </c>
      <c r="O133" s="81">
        <f>10726.94+18822.65+5703.53+12846.53+1320.36+4050.1+22728.38+3733.09</f>
        <v>79931.58</v>
      </c>
      <c r="P133" s="81">
        <f>10726.94+18822.65+5703.53+12846.53+1320.36+4050.1+22728.38</f>
        <v>76198.490000000005</v>
      </c>
      <c r="Q133" s="232">
        <f t="shared" si="4"/>
        <v>3733.0899999999965</v>
      </c>
    </row>
    <row r="134" spans="1:17" s="13" customFormat="1" x14ac:dyDescent="0.25">
      <c r="A134" s="229"/>
      <c r="B134" s="62" t="s">
        <v>151</v>
      </c>
      <c r="C134" s="181" t="s">
        <v>17</v>
      </c>
      <c r="D134" s="182"/>
      <c r="E134" s="183" t="s">
        <v>32</v>
      </c>
      <c r="F134" s="73" t="s">
        <v>434</v>
      </c>
      <c r="G134" s="230" t="s">
        <v>117</v>
      </c>
      <c r="H134" s="181">
        <v>12</v>
      </c>
      <c r="I134" s="231">
        <v>5</v>
      </c>
      <c r="J134" s="96">
        <v>5</v>
      </c>
      <c r="K134" s="77">
        <v>5920.65</v>
      </c>
      <c r="L134" s="77">
        <v>3411.9</v>
      </c>
      <c r="M134" s="78">
        <f t="shared" si="3"/>
        <v>2508.7499999999995</v>
      </c>
      <c r="N134" s="100">
        <v>13</v>
      </c>
      <c r="O134" s="224">
        <v>24537.7</v>
      </c>
      <c r="P134" s="224">
        <v>24537.7</v>
      </c>
      <c r="Q134" s="79">
        <f t="shared" si="4"/>
        <v>0</v>
      </c>
    </row>
    <row r="135" spans="1:17" s="13" customFormat="1" x14ac:dyDescent="0.25">
      <c r="A135" s="229"/>
      <c r="B135" s="62" t="s">
        <v>80</v>
      </c>
      <c r="C135" s="181" t="s">
        <v>17</v>
      </c>
      <c r="D135" s="182"/>
      <c r="E135" s="183" t="s">
        <v>81</v>
      </c>
      <c r="F135" s="73" t="s">
        <v>417</v>
      </c>
      <c r="G135" s="74" t="s">
        <v>112</v>
      </c>
      <c r="H135" s="75"/>
      <c r="I135" s="76"/>
      <c r="J135" s="96"/>
      <c r="K135" s="77">
        <f>749.19+8649.27</f>
        <v>9398.4600000000009</v>
      </c>
      <c r="L135" s="77">
        <f>749.19+8649.27</f>
        <v>9398.4600000000009</v>
      </c>
      <c r="M135" s="78">
        <f t="shared" si="3"/>
        <v>0</v>
      </c>
      <c r="N135" s="100">
        <f>2+2</f>
        <v>4</v>
      </c>
      <c r="O135" s="81">
        <f>3040.94+9398.46</f>
        <v>12439.4</v>
      </c>
      <c r="P135" s="81">
        <f>3040.94+9398.46</f>
        <v>12439.4</v>
      </c>
      <c r="Q135" s="232">
        <f t="shared" si="4"/>
        <v>0</v>
      </c>
    </row>
    <row r="136" spans="1:17" s="13" customFormat="1" x14ac:dyDescent="0.25">
      <c r="A136" s="229"/>
      <c r="B136" s="62" t="s">
        <v>80</v>
      </c>
      <c r="C136" s="181" t="s">
        <v>17</v>
      </c>
      <c r="D136" s="182"/>
      <c r="E136" s="183" t="s">
        <v>81</v>
      </c>
      <c r="F136" s="73" t="s">
        <v>285</v>
      </c>
      <c r="G136" s="230" t="s">
        <v>114</v>
      </c>
      <c r="H136" s="181"/>
      <c r="I136" s="231"/>
      <c r="J136" s="190"/>
      <c r="K136" s="77"/>
      <c r="L136" s="77"/>
      <c r="M136" s="78">
        <f t="shared" si="3"/>
        <v>0</v>
      </c>
      <c r="N136" s="100">
        <v>23</v>
      </c>
      <c r="O136" s="224">
        <v>58735.99</v>
      </c>
      <c r="P136" s="224">
        <v>58735.99</v>
      </c>
      <c r="Q136" s="232">
        <f t="shared" si="4"/>
        <v>0</v>
      </c>
    </row>
    <row r="137" spans="1:17" s="13" customFormat="1" x14ac:dyDescent="0.25">
      <c r="A137" s="229"/>
      <c r="B137" s="30" t="s">
        <v>82</v>
      </c>
      <c r="C137" s="181" t="s">
        <v>17</v>
      </c>
      <c r="D137" s="182"/>
      <c r="E137" s="183" t="s">
        <v>20</v>
      </c>
      <c r="F137" s="73" t="s">
        <v>394</v>
      </c>
      <c r="G137" s="74" t="s">
        <v>112</v>
      </c>
      <c r="H137" s="75">
        <v>14</v>
      </c>
      <c r="I137" s="76">
        <v>12</v>
      </c>
      <c r="J137" s="96">
        <f>4+3+2+2+1+1+1</f>
        <v>14</v>
      </c>
      <c r="K137" s="77">
        <f>20254+3953.39</f>
        <v>24207.39</v>
      </c>
      <c r="L137" s="77">
        <v>20254</v>
      </c>
      <c r="M137" s="78">
        <f t="shared" si="3"/>
        <v>3953.3899999999994</v>
      </c>
      <c r="N137" s="100">
        <f>3+5+1+1+1</f>
        <v>11</v>
      </c>
      <c r="O137" s="81">
        <f>5975.84+23579.15+1426.34</f>
        <v>30981.33</v>
      </c>
      <c r="P137" s="81">
        <f>5975.84+23579.15+1426.34</f>
        <v>30981.33</v>
      </c>
      <c r="Q137" s="232">
        <f t="shared" si="4"/>
        <v>0</v>
      </c>
    </row>
    <row r="138" spans="1:17" s="13" customFormat="1" x14ac:dyDescent="0.25">
      <c r="A138" s="229"/>
      <c r="B138" s="30" t="s">
        <v>82</v>
      </c>
      <c r="C138" s="181" t="s">
        <v>17</v>
      </c>
      <c r="D138" s="182"/>
      <c r="E138" s="183" t="s">
        <v>20</v>
      </c>
      <c r="F138" s="73" t="s">
        <v>463</v>
      </c>
      <c r="G138" s="230" t="s">
        <v>114</v>
      </c>
      <c r="H138" s="181">
        <v>20</v>
      </c>
      <c r="I138" s="231">
        <v>5</v>
      </c>
      <c r="J138" s="190">
        <v>5</v>
      </c>
      <c r="K138" s="77">
        <v>11385.5</v>
      </c>
      <c r="L138" s="77">
        <v>11385.5</v>
      </c>
      <c r="M138" s="78">
        <f t="shared" si="3"/>
        <v>0</v>
      </c>
      <c r="N138" s="100">
        <v>14</v>
      </c>
      <c r="O138" s="224">
        <v>48620.71</v>
      </c>
      <c r="P138" s="224">
        <v>48620.71</v>
      </c>
      <c r="Q138" s="232">
        <f t="shared" si="4"/>
        <v>0</v>
      </c>
    </row>
    <row r="139" spans="1:17" s="13" customFormat="1" x14ac:dyDescent="0.25">
      <c r="A139" s="229"/>
      <c r="B139" s="30" t="s">
        <v>309</v>
      </c>
      <c r="C139" s="181" t="s">
        <v>17</v>
      </c>
      <c r="D139" s="182"/>
      <c r="E139" s="183" t="s">
        <v>20</v>
      </c>
      <c r="F139" s="73" t="s">
        <v>391</v>
      </c>
      <c r="G139" s="230" t="s">
        <v>112</v>
      </c>
      <c r="H139" s="181">
        <v>19</v>
      </c>
      <c r="I139" s="231">
        <v>12</v>
      </c>
      <c r="J139" s="190">
        <f>1+5+2+1+1+1+2</f>
        <v>13</v>
      </c>
      <c r="K139" s="77">
        <f>3606.1+3402.77+2649.24+993.47+441.54</f>
        <v>11093.12</v>
      </c>
      <c r="L139" s="77">
        <f>3606.1+3402.77+2649.24+993.47+441.54</f>
        <v>11093.12</v>
      </c>
      <c r="M139" s="78">
        <f t="shared" si="3"/>
        <v>0</v>
      </c>
      <c r="N139" s="100">
        <f>1+5+1+3</f>
        <v>10</v>
      </c>
      <c r="O139" s="224">
        <f>3088.97+13147.65+1267.86+5955.71</f>
        <v>23460.19</v>
      </c>
      <c r="P139" s="224">
        <f>3088.97+13147.65+1267.86+5955.71</f>
        <v>23460.19</v>
      </c>
      <c r="Q139" s="232">
        <f t="shared" si="4"/>
        <v>0</v>
      </c>
    </row>
    <row r="140" spans="1:17" s="13" customFormat="1" x14ac:dyDescent="0.25">
      <c r="A140" s="229"/>
      <c r="B140" s="30" t="s">
        <v>152</v>
      </c>
      <c r="C140" s="181" t="s">
        <v>17</v>
      </c>
      <c r="D140" s="182"/>
      <c r="E140" s="183" t="s">
        <v>35</v>
      </c>
      <c r="F140" s="73" t="s">
        <v>392</v>
      </c>
      <c r="G140" s="74" t="s">
        <v>112</v>
      </c>
      <c r="H140" s="75">
        <v>7</v>
      </c>
      <c r="I140" s="76">
        <v>6</v>
      </c>
      <c r="J140" s="96">
        <f>1+1+2+1+1+1+2</f>
        <v>9</v>
      </c>
      <c r="K140" s="77">
        <f>403.41+845.24+2113.1+2649.24</f>
        <v>6010.99</v>
      </c>
      <c r="L140" s="77">
        <f>403.41+845.24+2113.1+2649.24</f>
        <v>6010.99</v>
      </c>
      <c r="M140" s="78">
        <f t="shared" si="3"/>
        <v>0</v>
      </c>
      <c r="N140" s="100">
        <f>2+2+2+1+1+1+2</f>
        <v>11</v>
      </c>
      <c r="O140" s="81">
        <f>1690.48+3050.26+3661.61+4648.82+1267.86+1690.48+9282.42+4052.53</f>
        <v>29344.46</v>
      </c>
      <c r="P140" s="81">
        <f>1690.48+3050.26+3661.61+4648.82+1267.86+1690.48+9282.42+4052.53</f>
        <v>29344.46</v>
      </c>
      <c r="Q140" s="232">
        <f t="shared" si="4"/>
        <v>0</v>
      </c>
    </row>
    <row r="141" spans="1:17" s="13" customFormat="1" x14ac:dyDescent="0.25">
      <c r="A141" s="229"/>
      <c r="B141" s="30" t="s">
        <v>83</v>
      </c>
      <c r="C141" s="181" t="s">
        <v>17</v>
      </c>
      <c r="D141" s="182"/>
      <c r="E141" s="183" t="s">
        <v>20</v>
      </c>
      <c r="F141" s="73" t="s">
        <v>393</v>
      </c>
      <c r="G141" s="74" t="s">
        <v>112</v>
      </c>
      <c r="H141" s="75">
        <v>13</v>
      </c>
      <c r="I141" s="76">
        <v>8</v>
      </c>
      <c r="J141" s="96">
        <f>1+1+2+1+1+1+1+1</f>
        <v>9</v>
      </c>
      <c r="K141" s="77">
        <f>768.4+2535.72+845.24+14407.5+883.08</f>
        <v>19439.940000000002</v>
      </c>
      <c r="L141" s="77">
        <f>768.4+2535.72+845.24+14407.5+883.08</f>
        <v>19439.940000000002</v>
      </c>
      <c r="M141" s="78">
        <f t="shared" si="3"/>
        <v>0</v>
      </c>
      <c r="N141" s="100">
        <f>1+2+1+1+1+2</f>
        <v>8</v>
      </c>
      <c r="O141" s="81">
        <f>5837.09+1922.92+4288.54+1686.25</f>
        <v>13734.8</v>
      </c>
      <c r="P141" s="81">
        <f>5837.09+1922.92+4288.54+1686.25</f>
        <v>13734.8</v>
      </c>
      <c r="Q141" s="232">
        <f t="shared" si="4"/>
        <v>0</v>
      </c>
    </row>
    <row r="142" spans="1:17" s="13" customFormat="1" x14ac:dyDescent="0.25">
      <c r="A142" s="229"/>
      <c r="B142" s="30" t="s">
        <v>83</v>
      </c>
      <c r="C142" s="181" t="s">
        <v>17</v>
      </c>
      <c r="D142" s="182"/>
      <c r="E142" s="183" t="s">
        <v>20</v>
      </c>
      <c r="F142" s="73" t="s">
        <v>464</v>
      </c>
      <c r="G142" s="230" t="s">
        <v>114</v>
      </c>
      <c r="H142" s="181">
        <v>31</v>
      </c>
      <c r="I142" s="231">
        <v>18</v>
      </c>
      <c r="J142" s="190">
        <v>18</v>
      </c>
      <c r="K142" s="77">
        <v>43462.59</v>
      </c>
      <c r="L142" s="77">
        <v>43462.59</v>
      </c>
      <c r="M142" s="78">
        <f t="shared" ref="M142:M192" si="5">K142-L142</f>
        <v>0</v>
      </c>
      <c r="N142" s="100">
        <v>29</v>
      </c>
      <c r="O142" s="224">
        <v>110563.92</v>
      </c>
      <c r="P142" s="224">
        <v>110563.92</v>
      </c>
      <c r="Q142" s="232">
        <f t="shared" si="4"/>
        <v>0</v>
      </c>
    </row>
    <row r="143" spans="1:17" s="13" customFormat="1" ht="45" x14ac:dyDescent="0.25">
      <c r="A143" s="229"/>
      <c r="B143" s="30" t="s">
        <v>85</v>
      </c>
      <c r="C143" s="181" t="s">
        <v>304</v>
      </c>
      <c r="D143" s="182" t="s">
        <v>415</v>
      </c>
      <c r="E143" s="183" t="s">
        <v>20</v>
      </c>
      <c r="F143" s="73" t="s">
        <v>395</v>
      </c>
      <c r="G143" s="74" t="s">
        <v>112</v>
      </c>
      <c r="H143" s="75">
        <v>20</v>
      </c>
      <c r="I143" s="76">
        <v>9</v>
      </c>
      <c r="J143" s="98">
        <f>2+1+1+1</f>
        <v>5</v>
      </c>
      <c r="K143" s="77">
        <f>4800.58+2591.84+7239.38+3534.03</f>
        <v>18165.829999999998</v>
      </c>
      <c r="L143" s="77">
        <f>4800.58+2591.84+7239.38</f>
        <v>14631.8</v>
      </c>
      <c r="M143" s="78">
        <f t="shared" si="5"/>
        <v>3534.0299999999988</v>
      </c>
      <c r="N143" s="100">
        <f>2+1+2</f>
        <v>5</v>
      </c>
      <c r="O143" s="81">
        <f>3917.73+8936.21+5669.37+31185.72+18292.46</f>
        <v>68001.489999999991</v>
      </c>
      <c r="P143" s="81">
        <f>3917.73+8936.21+5669.37+31185.72+18292.46</f>
        <v>68001.489999999991</v>
      </c>
      <c r="Q143" s="79">
        <f t="shared" si="4"/>
        <v>0</v>
      </c>
    </row>
    <row r="144" spans="1:17" s="13" customFormat="1" x14ac:dyDescent="0.25">
      <c r="A144" s="229"/>
      <c r="B144" s="27" t="s">
        <v>86</v>
      </c>
      <c r="C144" s="181" t="s">
        <v>17</v>
      </c>
      <c r="D144" s="182"/>
      <c r="E144" s="194" t="s">
        <v>20</v>
      </c>
      <c r="F144" s="73" t="s">
        <v>396</v>
      </c>
      <c r="G144" s="74" t="s">
        <v>112</v>
      </c>
      <c r="H144" s="75">
        <v>22</v>
      </c>
      <c r="I144" s="76">
        <v>18</v>
      </c>
      <c r="J144" s="96">
        <f>1+3+1+7+2+2+5+5+1</f>
        <v>27</v>
      </c>
      <c r="K144" s="77">
        <f>950.9+5134.06+2091.97+528.03+8954.46+5719.74+9578.1</f>
        <v>32957.259999999995</v>
      </c>
      <c r="L144" s="77">
        <f>950.9+5134.06+2091.97+528.03+8954.46+5719.74+9578.1</f>
        <v>32957.259999999995</v>
      </c>
      <c r="M144" s="78">
        <f t="shared" si="5"/>
        <v>0</v>
      </c>
      <c r="N144" s="100">
        <f>15+4+2+1+2+2</f>
        <v>26</v>
      </c>
      <c r="O144" s="81">
        <f>30236.61+18366.75+8887.09+1077.68+8961.95</f>
        <v>67530.080000000002</v>
      </c>
      <c r="P144" s="81">
        <f>30236.61+18366.75+8887.09+1077.68+8961.95</f>
        <v>67530.080000000002</v>
      </c>
      <c r="Q144" s="232">
        <f t="shared" si="4"/>
        <v>0</v>
      </c>
    </row>
    <row r="145" spans="1:17" s="13" customFormat="1" x14ac:dyDescent="0.25">
      <c r="A145" s="229"/>
      <c r="B145" s="27" t="s">
        <v>86</v>
      </c>
      <c r="C145" s="181" t="s">
        <v>17</v>
      </c>
      <c r="D145" s="182"/>
      <c r="E145" s="194" t="s">
        <v>20</v>
      </c>
      <c r="F145" s="73" t="s">
        <v>465</v>
      </c>
      <c r="G145" s="230" t="s">
        <v>114</v>
      </c>
      <c r="H145" s="181">
        <v>9</v>
      </c>
      <c r="I145" s="231">
        <v>3</v>
      </c>
      <c r="J145" s="190">
        <v>3</v>
      </c>
      <c r="K145" s="77">
        <v>5338.62</v>
      </c>
      <c r="L145" s="77">
        <v>5338.62</v>
      </c>
      <c r="M145" s="78">
        <f t="shared" si="5"/>
        <v>0</v>
      </c>
      <c r="N145" s="100">
        <v>10</v>
      </c>
      <c r="O145" s="224">
        <v>22234.03</v>
      </c>
      <c r="P145" s="224">
        <v>22234.03</v>
      </c>
      <c r="Q145" s="232">
        <f t="shared" si="4"/>
        <v>0</v>
      </c>
    </row>
    <row r="146" spans="1:17" s="13" customFormat="1" x14ac:dyDescent="0.25">
      <c r="A146" s="229"/>
      <c r="B146" s="27" t="s">
        <v>87</v>
      </c>
      <c r="C146" s="181"/>
      <c r="D146" s="182"/>
      <c r="E146" s="194"/>
      <c r="F146" s="73"/>
      <c r="G146" s="294" t="s">
        <v>112</v>
      </c>
      <c r="H146" s="181">
        <v>2</v>
      </c>
      <c r="I146" s="231"/>
      <c r="J146" s="190"/>
      <c r="K146" s="77"/>
      <c r="L146" s="77"/>
      <c r="M146" s="78"/>
      <c r="N146" s="100"/>
      <c r="O146" s="224"/>
      <c r="P146" s="224"/>
      <c r="Q146" s="232"/>
    </row>
    <row r="147" spans="1:17" s="13" customFormat="1" x14ac:dyDescent="0.25">
      <c r="A147" s="229"/>
      <c r="B147" s="62" t="s">
        <v>312</v>
      </c>
      <c r="C147" s="181" t="s">
        <v>17</v>
      </c>
      <c r="D147" s="182"/>
      <c r="E147" s="194" t="s">
        <v>20</v>
      </c>
      <c r="F147" s="73" t="s">
        <v>320</v>
      </c>
      <c r="G147" s="74" t="s">
        <v>112</v>
      </c>
      <c r="H147" s="75">
        <v>22</v>
      </c>
      <c r="I147" s="76">
        <v>13</v>
      </c>
      <c r="J147" s="96">
        <f>1+1+1+2+3+4</f>
        <v>12</v>
      </c>
      <c r="K147" s="77">
        <f>3319.49+845.24+4965.79+4415.4</f>
        <v>13545.92</v>
      </c>
      <c r="L147" s="77">
        <f>3319.49+845.24+4965.79+4415.4</f>
        <v>13545.92</v>
      </c>
      <c r="M147" s="78">
        <f t="shared" si="5"/>
        <v>0</v>
      </c>
      <c r="N147" s="100">
        <f>5+6+1+1</f>
        <v>13</v>
      </c>
      <c r="O147" s="81">
        <f>4226.2+6627.45+4360.59+6336.1</f>
        <v>21550.34</v>
      </c>
      <c r="P147" s="81">
        <f>4226.2+6627.45+4360.59+6336.1</f>
        <v>21550.34</v>
      </c>
      <c r="Q147" s="232">
        <f t="shared" si="4"/>
        <v>0</v>
      </c>
    </row>
    <row r="148" spans="1:17" s="13" customFormat="1" x14ac:dyDescent="0.25">
      <c r="A148" s="229"/>
      <c r="B148" s="62" t="s">
        <v>494</v>
      </c>
      <c r="C148" s="181" t="s">
        <v>17</v>
      </c>
      <c r="D148" s="182"/>
      <c r="E148" s="194" t="s">
        <v>20</v>
      </c>
      <c r="F148" s="73" t="s">
        <v>497</v>
      </c>
      <c r="G148" s="74" t="s">
        <v>112</v>
      </c>
      <c r="H148" s="75">
        <v>14</v>
      </c>
      <c r="I148" s="76">
        <v>11</v>
      </c>
      <c r="J148" s="96">
        <f>1+1+1+1+2+1+2+2</f>
        <v>11</v>
      </c>
      <c r="K148" s="77">
        <f>3379+5494.06+576.3+2417.43+3057.66+2384.32</f>
        <v>17308.77</v>
      </c>
      <c r="L148" s="77">
        <f>3379+5494.06+576.3+2417.43+3057.66+2384.32</f>
        <v>17308.77</v>
      </c>
      <c r="M148" s="78">
        <f t="shared" si="5"/>
        <v>0</v>
      </c>
      <c r="N148" s="100"/>
      <c r="O148" s="81"/>
      <c r="P148" s="81"/>
      <c r="Q148" s="232">
        <f t="shared" ref="Q148:Q193" si="6">O148-P148</f>
        <v>0</v>
      </c>
    </row>
    <row r="149" spans="1:17" s="13" customFormat="1" x14ac:dyDescent="0.25">
      <c r="A149" s="229"/>
      <c r="B149" s="62" t="s">
        <v>494</v>
      </c>
      <c r="C149" s="181" t="s">
        <v>17</v>
      </c>
      <c r="D149" s="182"/>
      <c r="E149" s="194" t="s">
        <v>20</v>
      </c>
      <c r="F149" s="73" t="s">
        <v>507</v>
      </c>
      <c r="G149" s="74" t="s">
        <v>114</v>
      </c>
      <c r="H149" s="75">
        <v>36</v>
      </c>
      <c r="I149" s="76">
        <v>10</v>
      </c>
      <c r="J149" s="96">
        <v>10</v>
      </c>
      <c r="K149" s="77">
        <v>24597.26</v>
      </c>
      <c r="L149" s="77">
        <v>24597.26</v>
      </c>
      <c r="M149" s="78">
        <f t="shared" si="5"/>
        <v>0</v>
      </c>
      <c r="N149" s="100"/>
      <c r="O149" s="81"/>
      <c r="P149" s="81"/>
      <c r="Q149" s="232">
        <f t="shared" si="6"/>
        <v>0</v>
      </c>
    </row>
    <row r="150" spans="1:17" s="13" customFormat="1" x14ac:dyDescent="0.25">
      <c r="A150" s="229"/>
      <c r="B150" s="30" t="s">
        <v>88</v>
      </c>
      <c r="C150" s="181" t="s">
        <v>17</v>
      </c>
      <c r="D150" s="182"/>
      <c r="E150" s="183" t="s">
        <v>89</v>
      </c>
      <c r="F150" s="73" t="s">
        <v>397</v>
      </c>
      <c r="G150" s="74" t="s">
        <v>112</v>
      </c>
      <c r="H150" s="75">
        <v>25</v>
      </c>
      <c r="I150" s="76">
        <v>14</v>
      </c>
      <c r="J150" s="96">
        <f>1+3+1+2+4+1+2</f>
        <v>14</v>
      </c>
      <c r="K150" s="77">
        <f>4226.2+2394.91+6485.1+556.71+4126.31+9704.16+1282.67+1282.67+2185.62</f>
        <v>32244.349999999995</v>
      </c>
      <c r="L150" s="77">
        <f>4226.2+2394.91+6485.1+556.71+4126.31+9704.16+1282.67+1282.67</f>
        <v>30058.729999999996</v>
      </c>
      <c r="M150" s="78">
        <f t="shared" si="5"/>
        <v>2185.619999999999</v>
      </c>
      <c r="N150" s="100">
        <f>4+1+3+1+2+2+1+1+2</f>
        <v>17</v>
      </c>
      <c r="O150" s="81">
        <f>11967.83+2831.55+10544.37+9418.99+3799.13+1798.04+2548.4-12193.52+4083.77</f>
        <v>34798.559999999998</v>
      </c>
      <c r="P150" s="81">
        <f>11967.83+2831.55+10544.37+9418.99+3799.13+1798.04+2548.4-12193.52+4083.77</f>
        <v>34798.559999999998</v>
      </c>
      <c r="Q150" s="79">
        <f t="shared" si="6"/>
        <v>0</v>
      </c>
    </row>
    <row r="151" spans="1:17" s="13" customFormat="1" x14ac:dyDescent="0.25">
      <c r="A151" s="229"/>
      <c r="B151" s="30" t="s">
        <v>88</v>
      </c>
      <c r="C151" s="181" t="s">
        <v>17</v>
      </c>
      <c r="D151" s="182"/>
      <c r="E151" s="183" t="s">
        <v>89</v>
      </c>
      <c r="F151" s="73" t="s">
        <v>442</v>
      </c>
      <c r="G151" s="230" t="s">
        <v>118</v>
      </c>
      <c r="H151" s="181">
        <v>7</v>
      </c>
      <c r="I151" s="231">
        <v>1</v>
      </c>
      <c r="J151" s="96">
        <v>1</v>
      </c>
      <c r="K151" s="77">
        <v>2116.96</v>
      </c>
      <c r="L151" s="77">
        <v>2116.96</v>
      </c>
      <c r="M151" s="78">
        <f t="shared" si="5"/>
        <v>0</v>
      </c>
      <c r="N151" s="100">
        <v>4</v>
      </c>
      <c r="O151" s="224">
        <v>19245.009999999998</v>
      </c>
      <c r="P151" s="224">
        <v>19245.009999999998</v>
      </c>
      <c r="Q151" s="232">
        <f t="shared" si="6"/>
        <v>0</v>
      </c>
    </row>
    <row r="152" spans="1:17" s="13" customFormat="1" x14ac:dyDescent="0.25">
      <c r="A152" s="229"/>
      <c r="B152" s="30" t="s">
        <v>88</v>
      </c>
      <c r="C152" s="181" t="s">
        <v>17</v>
      </c>
      <c r="D152" s="182"/>
      <c r="E152" s="194" t="s">
        <v>505</v>
      </c>
      <c r="F152" s="73" t="s">
        <v>506</v>
      </c>
      <c r="G152" s="230" t="s">
        <v>114</v>
      </c>
      <c r="H152" s="181">
        <v>9</v>
      </c>
      <c r="I152" s="231">
        <v>2</v>
      </c>
      <c r="J152" s="96">
        <v>2</v>
      </c>
      <c r="K152" s="77">
        <v>6559.74</v>
      </c>
      <c r="L152" s="77">
        <v>6559.74</v>
      </c>
      <c r="M152" s="78">
        <f t="shared" si="5"/>
        <v>0</v>
      </c>
      <c r="N152" s="100"/>
      <c r="O152" s="224"/>
      <c r="P152" s="224"/>
      <c r="Q152" s="232">
        <f t="shared" si="6"/>
        <v>0</v>
      </c>
    </row>
    <row r="153" spans="1:17" s="13" customFormat="1" x14ac:dyDescent="0.25">
      <c r="A153" s="229"/>
      <c r="B153" s="30" t="s">
        <v>90</v>
      </c>
      <c r="C153" s="181" t="s">
        <v>17</v>
      </c>
      <c r="D153" s="182"/>
      <c r="E153" s="194" t="s">
        <v>20</v>
      </c>
      <c r="F153" s="73" t="s">
        <v>398</v>
      </c>
      <c r="G153" s="74" t="s">
        <v>112</v>
      </c>
      <c r="H153" s="75">
        <v>14</v>
      </c>
      <c r="I153" s="76">
        <v>8</v>
      </c>
      <c r="J153" s="96">
        <f>1+1+1+4+1</f>
        <v>8</v>
      </c>
      <c r="K153" s="77">
        <f>422.62+4662.44+7580.13+2408.4</f>
        <v>15073.589999999998</v>
      </c>
      <c r="L153" s="77">
        <f>422.62+4662.44+7580.13+2408.4</f>
        <v>15073.589999999998</v>
      </c>
      <c r="M153" s="78">
        <f t="shared" si="5"/>
        <v>0</v>
      </c>
      <c r="N153" s="100">
        <f>1+1+1+1+2+1</f>
        <v>7</v>
      </c>
      <c r="O153" s="81">
        <f>2122.67+787.61+15453.48+6194.26+37549.5</f>
        <v>62107.519999999997</v>
      </c>
      <c r="P153" s="81">
        <f>2122.67+787.61+15453.48+6194.26+37549.5</f>
        <v>62107.519999999997</v>
      </c>
      <c r="Q153" s="79">
        <f t="shared" si="6"/>
        <v>0</v>
      </c>
    </row>
    <row r="154" spans="1:17" s="13" customFormat="1" x14ac:dyDescent="0.25">
      <c r="A154" s="229"/>
      <c r="B154" s="30" t="s">
        <v>90</v>
      </c>
      <c r="C154" s="181" t="s">
        <v>17</v>
      </c>
      <c r="D154" s="182"/>
      <c r="E154" s="194" t="s">
        <v>20</v>
      </c>
      <c r="F154" s="73" t="s">
        <v>466</v>
      </c>
      <c r="G154" s="230" t="s">
        <v>114</v>
      </c>
      <c r="H154" s="181">
        <v>19</v>
      </c>
      <c r="I154" s="231">
        <v>8</v>
      </c>
      <c r="J154" s="190">
        <v>8</v>
      </c>
      <c r="K154" s="77">
        <v>18496.560000000001</v>
      </c>
      <c r="L154" s="77">
        <v>18496.560000000001</v>
      </c>
      <c r="M154" s="78">
        <f t="shared" si="5"/>
        <v>0</v>
      </c>
      <c r="N154" s="100">
        <v>28</v>
      </c>
      <c r="O154" s="224">
        <v>115855.1</v>
      </c>
      <c r="P154" s="224">
        <v>115855.1</v>
      </c>
      <c r="Q154" s="232">
        <f t="shared" si="6"/>
        <v>0</v>
      </c>
    </row>
    <row r="155" spans="1:17" s="13" customFormat="1" x14ac:dyDescent="0.25">
      <c r="A155" s="229"/>
      <c r="B155" s="30" t="s">
        <v>91</v>
      </c>
      <c r="C155" s="181" t="s">
        <v>17</v>
      </c>
      <c r="D155" s="182"/>
      <c r="E155" s="194" t="s">
        <v>20</v>
      </c>
      <c r="F155" s="73" t="s">
        <v>399</v>
      </c>
      <c r="G155" s="74" t="s">
        <v>112</v>
      </c>
      <c r="H155" s="75"/>
      <c r="I155" s="76"/>
      <c r="J155" s="96"/>
      <c r="K155" s="77">
        <f>1091.81</f>
        <v>1091.81</v>
      </c>
      <c r="L155" s="77"/>
      <c r="M155" s="78">
        <f t="shared" si="5"/>
        <v>1091.81</v>
      </c>
      <c r="N155" s="100"/>
      <c r="O155" s="81"/>
      <c r="P155" s="81"/>
      <c r="Q155" s="79">
        <f t="shared" si="6"/>
        <v>0</v>
      </c>
    </row>
    <row r="156" spans="1:17" s="13" customFormat="1" x14ac:dyDescent="0.25">
      <c r="A156" s="229"/>
      <c r="B156" s="62" t="s">
        <v>138</v>
      </c>
      <c r="C156" s="181" t="s">
        <v>17</v>
      </c>
      <c r="D156" s="182"/>
      <c r="E156" s="194" t="s">
        <v>20</v>
      </c>
      <c r="F156" s="73" t="s">
        <v>467</v>
      </c>
      <c r="G156" s="230" t="s">
        <v>114</v>
      </c>
      <c r="H156" s="181">
        <v>18</v>
      </c>
      <c r="I156" s="231">
        <v>3</v>
      </c>
      <c r="J156" s="190">
        <v>3</v>
      </c>
      <c r="K156" s="193">
        <v>5542.2</v>
      </c>
      <c r="L156" s="193">
        <v>5542.2</v>
      </c>
      <c r="M156" s="78">
        <f t="shared" si="5"/>
        <v>0</v>
      </c>
      <c r="N156" s="114">
        <v>7</v>
      </c>
      <c r="O156" s="224">
        <v>16429.099999999999</v>
      </c>
      <c r="P156" s="224">
        <v>16429.099999999999</v>
      </c>
      <c r="Q156" s="232">
        <f t="shared" si="6"/>
        <v>0</v>
      </c>
    </row>
    <row r="157" spans="1:17" s="13" customFormat="1" x14ac:dyDescent="0.25">
      <c r="A157" s="229"/>
      <c r="B157" s="62" t="s">
        <v>138</v>
      </c>
      <c r="C157" s="181" t="s">
        <v>17</v>
      </c>
      <c r="D157" s="182"/>
      <c r="E157" s="194" t="s">
        <v>20</v>
      </c>
      <c r="F157" s="73" t="s">
        <v>400</v>
      </c>
      <c r="G157" s="74" t="s">
        <v>112</v>
      </c>
      <c r="H157" s="75">
        <v>12</v>
      </c>
      <c r="I157" s="82">
        <v>8</v>
      </c>
      <c r="J157" s="96">
        <f>3+1+1+2+2</f>
        <v>9</v>
      </c>
      <c r="K157" s="77">
        <f>2224.52+9639.33+3232.07+1625.67+1324.62</f>
        <v>18046.21</v>
      </c>
      <c r="L157" s="77">
        <f>2224.52+9639.33+3232.07+1625.67+1324.62</f>
        <v>18046.21</v>
      </c>
      <c r="M157" s="78">
        <f t="shared" si="5"/>
        <v>0</v>
      </c>
      <c r="N157" s="100">
        <f>5+4+2</f>
        <v>11</v>
      </c>
      <c r="O157" s="81">
        <f>8995.87+8641.99+5740.02</f>
        <v>23377.88</v>
      </c>
      <c r="P157" s="81">
        <f>8995.87+8641.99+5740.02</f>
        <v>23377.88</v>
      </c>
      <c r="Q157" s="79">
        <f t="shared" si="6"/>
        <v>0</v>
      </c>
    </row>
    <row r="158" spans="1:17" s="13" customFormat="1" x14ac:dyDescent="0.25">
      <c r="A158" s="229"/>
      <c r="B158" s="62" t="s">
        <v>157</v>
      </c>
      <c r="C158" s="181" t="s">
        <v>17</v>
      </c>
      <c r="D158" s="182"/>
      <c r="E158" s="194" t="s">
        <v>20</v>
      </c>
      <c r="F158" s="73" t="s">
        <v>401</v>
      </c>
      <c r="G158" s="74" t="s">
        <v>112</v>
      </c>
      <c r="H158" s="75">
        <v>15</v>
      </c>
      <c r="I158" s="82"/>
      <c r="J158" s="96"/>
      <c r="K158" s="77"/>
      <c r="L158" s="77"/>
      <c r="M158" s="78">
        <f t="shared" si="5"/>
        <v>0</v>
      </c>
      <c r="N158" s="100"/>
      <c r="O158" s="81"/>
      <c r="P158" s="81"/>
      <c r="Q158" s="232">
        <f t="shared" si="6"/>
        <v>0</v>
      </c>
    </row>
    <row r="159" spans="1:17" s="13" customFormat="1" x14ac:dyDescent="0.25">
      <c r="A159" s="229"/>
      <c r="B159" s="62" t="s">
        <v>515</v>
      </c>
      <c r="C159" s="181"/>
      <c r="D159" s="182"/>
      <c r="E159" s="194" t="s">
        <v>20</v>
      </c>
      <c r="F159" s="73"/>
      <c r="G159" s="74" t="s">
        <v>112</v>
      </c>
      <c r="H159" s="75">
        <v>6</v>
      </c>
      <c r="I159" s="82">
        <v>1</v>
      </c>
      <c r="J159" s="96">
        <f>1</f>
        <v>1</v>
      </c>
      <c r="K159" s="77"/>
      <c r="L159" s="77"/>
      <c r="M159" s="78">
        <f t="shared" si="5"/>
        <v>0</v>
      </c>
      <c r="N159" s="100"/>
      <c r="O159" s="81"/>
      <c r="P159" s="81"/>
      <c r="Q159" s="232"/>
    </row>
    <row r="160" spans="1:17" s="15" customFormat="1" x14ac:dyDescent="0.25">
      <c r="A160" s="229"/>
      <c r="B160" s="62" t="s">
        <v>92</v>
      </c>
      <c r="C160" s="181" t="s">
        <v>17</v>
      </c>
      <c r="D160" s="182"/>
      <c r="E160" s="194" t="s">
        <v>20</v>
      </c>
      <c r="F160" s="73" t="s">
        <v>402</v>
      </c>
      <c r="G160" s="74" t="s">
        <v>112</v>
      </c>
      <c r="H160" s="75">
        <v>13</v>
      </c>
      <c r="I160" s="76">
        <v>12</v>
      </c>
      <c r="J160" s="96">
        <f>1+2+5+2+2</f>
        <v>12</v>
      </c>
      <c r="K160" s="77">
        <f>1951.74+1335.1+2996.76+883.08+842.94</f>
        <v>8009.6200000000008</v>
      </c>
      <c r="L160" s="77">
        <f>1951.74+1335.1+2996.76+883.08</f>
        <v>7166.68</v>
      </c>
      <c r="M160" s="78">
        <f t="shared" si="5"/>
        <v>842.94000000000051</v>
      </c>
      <c r="N160" s="100">
        <f>4+1+1</f>
        <v>6</v>
      </c>
      <c r="O160" s="81">
        <f>12624.74+2697.06+1225.93</f>
        <v>16547.73</v>
      </c>
      <c r="P160" s="81">
        <f>12624.74+2697.06+1225.93</f>
        <v>16547.73</v>
      </c>
      <c r="Q160" s="232">
        <f t="shared" si="6"/>
        <v>0</v>
      </c>
    </row>
    <row r="161" spans="1:17" s="15" customFormat="1" x14ac:dyDescent="0.25">
      <c r="A161" s="229"/>
      <c r="B161" s="62" t="s">
        <v>92</v>
      </c>
      <c r="C161" s="181" t="s">
        <v>17</v>
      </c>
      <c r="D161" s="182"/>
      <c r="E161" s="194" t="s">
        <v>20</v>
      </c>
      <c r="F161" s="73" t="s">
        <v>129</v>
      </c>
      <c r="G161" s="230" t="s">
        <v>114</v>
      </c>
      <c r="H161" s="181"/>
      <c r="I161" s="231"/>
      <c r="J161" s="190"/>
      <c r="K161" s="77"/>
      <c r="L161" s="77"/>
      <c r="M161" s="78">
        <f t="shared" si="5"/>
        <v>0</v>
      </c>
      <c r="N161" s="114"/>
      <c r="O161" s="224"/>
      <c r="P161" s="224"/>
      <c r="Q161" s="232">
        <f t="shared" si="6"/>
        <v>0</v>
      </c>
    </row>
    <row r="162" spans="1:17" s="13" customFormat="1" x14ac:dyDescent="0.25">
      <c r="A162" s="229"/>
      <c r="B162" s="30" t="s">
        <v>93</v>
      </c>
      <c r="C162" s="181" t="s">
        <v>17</v>
      </c>
      <c r="D162" s="182"/>
      <c r="E162" s="183" t="s">
        <v>94</v>
      </c>
      <c r="F162" s="73" t="s">
        <v>403</v>
      </c>
      <c r="G162" s="74" t="s">
        <v>112</v>
      </c>
      <c r="H162" s="75">
        <v>7</v>
      </c>
      <c r="I162" s="76">
        <v>2</v>
      </c>
      <c r="J162" s="96">
        <f>2</f>
        <v>2</v>
      </c>
      <c r="K162" s="77">
        <f>2336.84</f>
        <v>2336.84</v>
      </c>
      <c r="L162" s="77">
        <f>2336.84</f>
        <v>2336.84</v>
      </c>
      <c r="M162" s="78">
        <f t="shared" si="5"/>
        <v>0</v>
      </c>
      <c r="N162" s="100">
        <f>3+8</f>
        <v>11</v>
      </c>
      <c r="O162" s="81">
        <f>20117.75</f>
        <v>20117.75</v>
      </c>
      <c r="P162" s="81">
        <f>20117.75</f>
        <v>20117.75</v>
      </c>
      <c r="Q162" s="232">
        <f t="shared" si="6"/>
        <v>0</v>
      </c>
    </row>
    <row r="163" spans="1:17" s="13" customFormat="1" x14ac:dyDescent="0.25">
      <c r="A163" s="229"/>
      <c r="B163" s="30" t="s">
        <v>93</v>
      </c>
      <c r="C163" s="181" t="s">
        <v>17</v>
      </c>
      <c r="D163" s="182"/>
      <c r="E163" s="183" t="s">
        <v>94</v>
      </c>
      <c r="F163" s="73" t="s">
        <v>130</v>
      </c>
      <c r="G163" s="230" t="s">
        <v>114</v>
      </c>
      <c r="H163" s="181"/>
      <c r="I163" s="231"/>
      <c r="J163" s="190"/>
      <c r="K163" s="77"/>
      <c r="L163" s="77"/>
      <c r="M163" s="78">
        <f t="shared" si="5"/>
        <v>0</v>
      </c>
      <c r="N163" s="100"/>
      <c r="O163" s="224"/>
      <c r="P163" s="224"/>
      <c r="Q163" s="232">
        <f t="shared" si="6"/>
        <v>0</v>
      </c>
    </row>
    <row r="164" spans="1:17" s="13" customFormat="1" x14ac:dyDescent="0.25">
      <c r="A164" s="229"/>
      <c r="B164" s="30" t="s">
        <v>93</v>
      </c>
      <c r="C164" s="181" t="s">
        <v>17</v>
      </c>
      <c r="D164" s="182"/>
      <c r="E164" s="183" t="s">
        <v>94</v>
      </c>
      <c r="F164" s="73" t="s">
        <v>240</v>
      </c>
      <c r="G164" s="230" t="s">
        <v>118</v>
      </c>
      <c r="H164" s="181"/>
      <c r="I164" s="231"/>
      <c r="J164" s="96"/>
      <c r="K164" s="77"/>
      <c r="L164" s="77"/>
      <c r="M164" s="78">
        <f t="shared" si="5"/>
        <v>0</v>
      </c>
      <c r="N164" s="100"/>
      <c r="O164" s="224"/>
      <c r="P164" s="224"/>
      <c r="Q164" s="232">
        <f t="shared" si="6"/>
        <v>0</v>
      </c>
    </row>
    <row r="165" spans="1:17" s="13" customFormat="1" x14ac:dyDescent="0.25">
      <c r="A165" s="229"/>
      <c r="B165" s="30" t="s">
        <v>95</v>
      </c>
      <c r="C165" s="181" t="s">
        <v>17</v>
      </c>
      <c r="D165" s="182"/>
      <c r="E165" s="194" t="s">
        <v>20</v>
      </c>
      <c r="F165" s="73" t="s">
        <v>404</v>
      </c>
      <c r="G165" s="74" t="s">
        <v>112</v>
      </c>
      <c r="H165" s="75">
        <v>20</v>
      </c>
      <c r="I165" s="76">
        <v>11</v>
      </c>
      <c r="J165" s="96">
        <f>1+4+4+5+2+1</f>
        <v>17</v>
      </c>
      <c r="K165" s="77">
        <f>1061.35+5770.05+5238.9+6606.04+6345.59</f>
        <v>25021.93</v>
      </c>
      <c r="L165" s="77">
        <f>1061.35+5770.05+5238.9+6606.04</f>
        <v>18676.34</v>
      </c>
      <c r="M165" s="78">
        <f t="shared" si="5"/>
        <v>6345.59</v>
      </c>
      <c r="N165" s="100">
        <f>1+6+1+4+1+1+1</f>
        <v>15</v>
      </c>
      <c r="O165" s="81">
        <f>11603.82+7559.28+6777.29+24757.02+4991.61</f>
        <v>55689.020000000004</v>
      </c>
      <c r="P165" s="81">
        <f>11603.82+7559.28+6777.29+24757.02</f>
        <v>50697.41</v>
      </c>
      <c r="Q165" s="79">
        <f t="shared" si="6"/>
        <v>4991.6100000000006</v>
      </c>
    </row>
    <row r="166" spans="1:17" s="13" customFormat="1" x14ac:dyDescent="0.25">
      <c r="A166" s="229"/>
      <c r="B166" s="30" t="s">
        <v>95</v>
      </c>
      <c r="C166" s="181" t="s">
        <v>17</v>
      </c>
      <c r="D166" s="182"/>
      <c r="E166" s="194" t="s">
        <v>20</v>
      </c>
      <c r="F166" s="73" t="s">
        <v>291</v>
      </c>
      <c r="G166" s="230" t="s">
        <v>114</v>
      </c>
      <c r="H166" s="181">
        <v>11</v>
      </c>
      <c r="I166" s="231">
        <v>5</v>
      </c>
      <c r="J166" s="190">
        <v>5</v>
      </c>
      <c r="K166" s="77">
        <v>5367.31</v>
      </c>
      <c r="L166" s="77">
        <v>5367.31</v>
      </c>
      <c r="M166" s="78">
        <f t="shared" si="5"/>
        <v>0</v>
      </c>
      <c r="N166" s="100">
        <v>14</v>
      </c>
      <c r="O166" s="224">
        <v>32601.05</v>
      </c>
      <c r="P166" s="224">
        <v>32601.05</v>
      </c>
      <c r="Q166" s="232">
        <f t="shared" si="6"/>
        <v>0</v>
      </c>
    </row>
    <row r="167" spans="1:17" s="13" customFormat="1" x14ac:dyDescent="0.25">
      <c r="A167" s="229"/>
      <c r="B167" s="30" t="s">
        <v>96</v>
      </c>
      <c r="C167" s="181" t="s">
        <v>17</v>
      </c>
      <c r="D167" s="182"/>
      <c r="E167" s="194" t="s">
        <v>97</v>
      </c>
      <c r="F167" s="73" t="s">
        <v>405</v>
      </c>
      <c r="G167" s="74" t="s">
        <v>112</v>
      </c>
      <c r="H167" s="75">
        <v>1</v>
      </c>
      <c r="I167" s="76">
        <v>1</v>
      </c>
      <c r="J167" s="96">
        <f>2</f>
        <v>2</v>
      </c>
      <c r="K167" s="77">
        <f>3187.92</f>
        <v>3187.92</v>
      </c>
      <c r="L167" s="77"/>
      <c r="M167" s="78">
        <f t="shared" si="5"/>
        <v>3187.92</v>
      </c>
      <c r="N167" s="103">
        <f>1+2+1+2</f>
        <v>6</v>
      </c>
      <c r="O167" s="77">
        <f>1742.31+9358.48+3187.92</f>
        <v>14288.71</v>
      </c>
      <c r="P167" s="77">
        <f>1742.31+9358.48</f>
        <v>11100.789999999999</v>
      </c>
      <c r="Q167" s="79">
        <f t="shared" si="6"/>
        <v>3187.92</v>
      </c>
    </row>
    <row r="168" spans="1:17" s="13" customFormat="1" x14ac:dyDescent="0.25">
      <c r="A168" s="229"/>
      <c r="B168" s="30" t="s">
        <v>96</v>
      </c>
      <c r="C168" s="181" t="s">
        <v>17</v>
      </c>
      <c r="D168" s="182"/>
      <c r="E168" s="194" t="s">
        <v>97</v>
      </c>
      <c r="F168" s="73" t="s">
        <v>468</v>
      </c>
      <c r="G168" s="230" t="s">
        <v>114</v>
      </c>
      <c r="H168" s="181">
        <v>1</v>
      </c>
      <c r="I168" s="231">
        <v>1</v>
      </c>
      <c r="J168" s="190">
        <v>1</v>
      </c>
      <c r="K168" s="77"/>
      <c r="L168" s="77"/>
      <c r="M168" s="78">
        <f t="shared" si="5"/>
        <v>0</v>
      </c>
      <c r="N168" s="100">
        <v>6</v>
      </c>
      <c r="O168" s="224">
        <v>11285.7</v>
      </c>
      <c r="P168" s="224">
        <v>11285.7</v>
      </c>
      <c r="Q168" s="232">
        <f t="shared" si="6"/>
        <v>0</v>
      </c>
    </row>
    <row r="169" spans="1:17" s="13" customFormat="1" x14ac:dyDescent="0.25">
      <c r="A169" s="229"/>
      <c r="B169" s="30" t="s">
        <v>98</v>
      </c>
      <c r="C169" s="181" t="s">
        <v>17</v>
      </c>
      <c r="D169" s="182"/>
      <c r="E169" s="194" t="s">
        <v>35</v>
      </c>
      <c r="F169" s="73" t="s">
        <v>406</v>
      </c>
      <c r="G169" s="74" t="s">
        <v>112</v>
      </c>
      <c r="H169" s="75">
        <v>43</v>
      </c>
      <c r="I169" s="76">
        <v>26</v>
      </c>
      <c r="J169" s="96">
        <f>1+2+1+1+4+4+1+2+1+5</f>
        <v>22</v>
      </c>
      <c r="K169" s="77">
        <f>845.24+1764.25+8353.03+1298.98+7610.68+13826.64+2752.31+9720.26+116979.76-2616.91+4851.2+993.47+3498.2</f>
        <v>169877.11000000002</v>
      </c>
      <c r="L169" s="77">
        <f>845.24+1764.25+8353.03+1298.98+7610.68+13826.64+2752.31+9720.26+116979.76-2616.91+4851.2+993.47+3498.2</f>
        <v>169877.11000000002</v>
      </c>
      <c r="M169" s="78">
        <f t="shared" si="5"/>
        <v>0</v>
      </c>
      <c r="N169" s="100">
        <f>9+1+1+4+2+1+2+4+2+1+1</f>
        <v>28</v>
      </c>
      <c r="O169" s="81">
        <f>76864.27+883.08+47501.34+5480.06</f>
        <v>130728.75</v>
      </c>
      <c r="P169" s="81">
        <f>76864.27+883.08+47501.34+5480.06</f>
        <v>130728.75</v>
      </c>
      <c r="Q169" s="79">
        <f t="shared" si="6"/>
        <v>0</v>
      </c>
    </row>
    <row r="170" spans="1:17" s="13" customFormat="1" x14ac:dyDescent="0.25">
      <c r="A170" s="229"/>
      <c r="B170" s="30" t="s">
        <v>98</v>
      </c>
      <c r="C170" s="181" t="s">
        <v>17</v>
      </c>
      <c r="D170" s="182"/>
      <c r="E170" s="194" t="s">
        <v>35</v>
      </c>
      <c r="F170" s="73" t="s">
        <v>435</v>
      </c>
      <c r="G170" s="235" t="s">
        <v>117</v>
      </c>
      <c r="H170" s="181">
        <v>6</v>
      </c>
      <c r="I170" s="231">
        <v>2</v>
      </c>
      <c r="J170" s="96">
        <v>2</v>
      </c>
      <c r="K170" s="77">
        <v>2486.83</v>
      </c>
      <c r="L170" s="77">
        <v>2486.83</v>
      </c>
      <c r="M170" s="78">
        <f t="shared" si="5"/>
        <v>0</v>
      </c>
      <c r="N170" s="100">
        <v>5</v>
      </c>
      <c r="O170" s="77">
        <v>18950.45</v>
      </c>
      <c r="P170" s="77">
        <v>18950.45</v>
      </c>
      <c r="Q170" s="232">
        <f t="shared" si="6"/>
        <v>0</v>
      </c>
    </row>
    <row r="171" spans="1:17" s="13" customFormat="1" x14ac:dyDescent="0.25">
      <c r="A171" s="229"/>
      <c r="B171" s="30" t="s">
        <v>488</v>
      </c>
      <c r="C171" s="181" t="s">
        <v>17</v>
      </c>
      <c r="D171" s="182"/>
      <c r="E171" s="194" t="s">
        <v>97</v>
      </c>
      <c r="F171" s="73" t="s">
        <v>498</v>
      </c>
      <c r="G171" s="235" t="s">
        <v>112</v>
      </c>
      <c r="H171" s="181">
        <v>16</v>
      </c>
      <c r="I171" s="231">
        <v>12</v>
      </c>
      <c r="J171" s="96">
        <f>4+1+1+2+3+1</f>
        <v>12</v>
      </c>
      <c r="K171" s="77">
        <f>1535.8+576.3+802.8+4667.08</f>
        <v>7581.98</v>
      </c>
      <c r="L171" s="77">
        <f>1535.8+576.3+802.8</f>
        <v>2914.8999999999996</v>
      </c>
      <c r="M171" s="78">
        <f t="shared" si="5"/>
        <v>4667.08</v>
      </c>
      <c r="N171" s="100"/>
      <c r="O171" s="77"/>
      <c r="P171" s="77"/>
      <c r="Q171" s="232"/>
    </row>
    <row r="172" spans="1:17" s="15" customFormat="1" x14ac:dyDescent="0.25">
      <c r="A172" s="229"/>
      <c r="B172" s="30" t="s">
        <v>99</v>
      </c>
      <c r="C172" s="181" t="s">
        <v>17</v>
      </c>
      <c r="D172" s="182"/>
      <c r="E172" s="183" t="s">
        <v>32</v>
      </c>
      <c r="F172" s="73" t="s">
        <v>418</v>
      </c>
      <c r="G172" s="74" t="s">
        <v>112</v>
      </c>
      <c r="H172" s="75"/>
      <c r="I172" s="76"/>
      <c r="J172" s="96"/>
      <c r="K172" s="77"/>
      <c r="L172" s="77"/>
      <c r="M172" s="78">
        <f t="shared" si="5"/>
        <v>0</v>
      </c>
      <c r="N172" s="100"/>
      <c r="O172" s="81"/>
      <c r="P172" s="81"/>
      <c r="Q172" s="79">
        <f t="shared" si="6"/>
        <v>0</v>
      </c>
    </row>
    <row r="173" spans="1:17" s="15" customFormat="1" x14ac:dyDescent="0.25">
      <c r="A173" s="229"/>
      <c r="B173" s="30" t="s">
        <v>99</v>
      </c>
      <c r="C173" s="181" t="s">
        <v>17</v>
      </c>
      <c r="D173" s="182"/>
      <c r="E173" s="183" t="s">
        <v>32</v>
      </c>
      <c r="F173" s="73" t="s">
        <v>423</v>
      </c>
      <c r="G173" s="235" t="s">
        <v>117</v>
      </c>
      <c r="H173" s="181"/>
      <c r="I173" s="231"/>
      <c r="J173" s="190"/>
      <c r="K173" s="77"/>
      <c r="L173" s="77"/>
      <c r="M173" s="78">
        <f t="shared" si="5"/>
        <v>0</v>
      </c>
      <c r="N173" s="114"/>
      <c r="O173" s="77"/>
      <c r="P173" s="77"/>
      <c r="Q173" s="232">
        <f t="shared" si="6"/>
        <v>0</v>
      </c>
    </row>
    <row r="174" spans="1:17" s="15" customFormat="1" ht="30" x14ac:dyDescent="0.25">
      <c r="A174" s="229"/>
      <c r="B174" s="30" t="s">
        <v>144</v>
      </c>
      <c r="C174" s="181" t="s">
        <v>304</v>
      </c>
      <c r="D174" s="182" t="s">
        <v>313</v>
      </c>
      <c r="E174" s="194" t="s">
        <v>97</v>
      </c>
      <c r="F174" s="73" t="s">
        <v>407</v>
      </c>
      <c r="G174" s="66" t="s">
        <v>112</v>
      </c>
      <c r="H174" s="75">
        <v>21</v>
      </c>
      <c r="I174" s="76">
        <v>21</v>
      </c>
      <c r="J174" s="98">
        <f>2+2+1+3+1+1+5+2+1+4+2+4+1</f>
        <v>29</v>
      </c>
      <c r="K174" s="77">
        <f>950.9+1449.39+2272.32+2785.92+5112.01+6655.23+3700.19+4208.95</f>
        <v>27134.91</v>
      </c>
      <c r="L174" s="77">
        <f>950.9+1449.39+2272.32+2785.92+5112.01+6655.23+3700.19+4208.95</f>
        <v>27134.91</v>
      </c>
      <c r="M174" s="78">
        <f t="shared" si="5"/>
        <v>0</v>
      </c>
      <c r="N174" s="100">
        <f>3+2+1+1+1+1+1</f>
        <v>10</v>
      </c>
      <c r="O174" s="77">
        <f>5020.57+5566.06+2694.94+845.24+2460.18</f>
        <v>16586.990000000002</v>
      </c>
      <c r="P174" s="77">
        <f>5020.57+5566.06+2694.94+845.24+2460.18</f>
        <v>16586.990000000002</v>
      </c>
      <c r="Q174" s="79">
        <f t="shared" si="6"/>
        <v>0</v>
      </c>
    </row>
    <row r="175" spans="1:17" s="15" customFormat="1" x14ac:dyDescent="0.25">
      <c r="A175" s="229"/>
      <c r="B175" s="30" t="s">
        <v>488</v>
      </c>
      <c r="C175" s="181"/>
      <c r="D175" s="182"/>
      <c r="E175" s="194"/>
      <c r="F175" s="73" t="s">
        <v>509</v>
      </c>
      <c r="G175" s="66" t="s">
        <v>114</v>
      </c>
      <c r="H175" s="75">
        <v>25</v>
      </c>
      <c r="I175" s="76">
        <v>12</v>
      </c>
      <c r="J175" s="98">
        <v>12</v>
      </c>
      <c r="K175" s="77">
        <v>29391.64</v>
      </c>
      <c r="L175" s="77">
        <v>29391.64</v>
      </c>
      <c r="M175" s="78">
        <f t="shared" si="5"/>
        <v>0</v>
      </c>
      <c r="N175" s="100"/>
      <c r="O175" s="77"/>
      <c r="P175" s="77"/>
      <c r="Q175" s="232">
        <f t="shared" si="6"/>
        <v>0</v>
      </c>
    </row>
    <row r="176" spans="1:17" s="15" customFormat="1" x14ac:dyDescent="0.25">
      <c r="A176" s="229"/>
      <c r="B176" s="30" t="s">
        <v>514</v>
      </c>
      <c r="C176" s="181"/>
      <c r="D176" s="182"/>
      <c r="E176" s="194" t="s">
        <v>18</v>
      </c>
      <c r="F176" s="73"/>
      <c r="G176" s="66" t="s">
        <v>116</v>
      </c>
      <c r="H176" s="75">
        <v>5</v>
      </c>
      <c r="I176" s="76">
        <v>1</v>
      </c>
      <c r="J176" s="98">
        <v>1</v>
      </c>
      <c r="K176" s="77">
        <v>1766</v>
      </c>
      <c r="L176" s="77">
        <v>1764.13</v>
      </c>
      <c r="M176" s="78">
        <f t="shared" si="5"/>
        <v>1.8699999999998909</v>
      </c>
      <c r="N176" s="100"/>
      <c r="O176" s="77"/>
      <c r="P176" s="77"/>
      <c r="Q176" s="232"/>
    </row>
    <row r="177" spans="1:17" s="15" customFormat="1" x14ac:dyDescent="0.25">
      <c r="A177" s="229"/>
      <c r="B177" s="30" t="s">
        <v>488</v>
      </c>
      <c r="C177" s="181"/>
      <c r="D177" s="182"/>
      <c r="E177" s="194"/>
      <c r="F177" s="73" t="s">
        <v>512</v>
      </c>
      <c r="G177" s="66" t="s">
        <v>116</v>
      </c>
      <c r="H177" s="75">
        <v>12</v>
      </c>
      <c r="I177" s="76">
        <v>7</v>
      </c>
      <c r="J177" s="98">
        <v>7</v>
      </c>
      <c r="K177" s="77">
        <v>12080</v>
      </c>
      <c r="L177" s="77">
        <v>12080</v>
      </c>
      <c r="M177" s="78">
        <f t="shared" si="5"/>
        <v>0</v>
      </c>
      <c r="N177" s="100"/>
      <c r="O177" s="77"/>
      <c r="P177" s="77"/>
      <c r="Q177" s="79"/>
    </row>
    <row r="178" spans="1:17" s="15" customFormat="1" ht="30" x14ac:dyDescent="0.25">
      <c r="A178" s="229"/>
      <c r="B178" s="238" t="s">
        <v>144</v>
      </c>
      <c r="C178" s="181" t="s">
        <v>446</v>
      </c>
      <c r="D178" s="182" t="s">
        <v>313</v>
      </c>
      <c r="E178" s="183" t="s">
        <v>20</v>
      </c>
      <c r="F178" s="73" t="s">
        <v>485</v>
      </c>
      <c r="G178" s="235" t="s">
        <v>114</v>
      </c>
      <c r="H178" s="181">
        <v>38</v>
      </c>
      <c r="I178" s="234">
        <v>17</v>
      </c>
      <c r="J178" s="202">
        <v>17</v>
      </c>
      <c r="K178" s="77">
        <v>45938.83</v>
      </c>
      <c r="L178" s="77">
        <v>45938.83</v>
      </c>
      <c r="M178" s="78">
        <f t="shared" si="5"/>
        <v>0</v>
      </c>
      <c r="N178" s="100">
        <v>21</v>
      </c>
      <c r="O178" s="224">
        <v>53276.800000000003</v>
      </c>
      <c r="P178" s="224">
        <v>53276.800000000003</v>
      </c>
      <c r="Q178" s="232">
        <f t="shared" ref="Q178" si="7">O178-P178</f>
        <v>0</v>
      </c>
    </row>
    <row r="179" spans="1:17" s="21" customFormat="1" ht="45" x14ac:dyDescent="0.25">
      <c r="A179" s="181"/>
      <c r="B179" s="30" t="s">
        <v>100</v>
      </c>
      <c r="C179" s="181" t="s">
        <v>304</v>
      </c>
      <c r="D179" s="182" t="s">
        <v>416</v>
      </c>
      <c r="E179" s="194" t="s">
        <v>20</v>
      </c>
      <c r="F179" s="73" t="s">
        <v>408</v>
      </c>
      <c r="G179" s="27" t="s">
        <v>112</v>
      </c>
      <c r="H179" s="75">
        <v>30</v>
      </c>
      <c r="I179" s="76">
        <v>20</v>
      </c>
      <c r="J179" s="98">
        <f>5+1+4+6+4+2</f>
        <v>22</v>
      </c>
      <c r="K179" s="86">
        <f>6524.55+600.31+19349.45+15377.18+2248.86</f>
        <v>44100.350000000006</v>
      </c>
      <c r="L179" s="86">
        <f>6524.55+600.31+19349.45+15377.18</f>
        <v>41851.490000000005</v>
      </c>
      <c r="M179" s="78">
        <f t="shared" si="5"/>
        <v>2248.8600000000006</v>
      </c>
      <c r="N179" s="100">
        <f>1+3+2+3+1+1</f>
        <v>11</v>
      </c>
      <c r="O179" s="87">
        <f>10770.58+2113.01+3508.24+19305.88+22849.19+23443.77</f>
        <v>81990.670000000013</v>
      </c>
      <c r="P179" s="87">
        <f>10770.58+2113.01+3508.24+19305.88+22849.19</f>
        <v>58546.900000000009</v>
      </c>
      <c r="Q179" s="79">
        <f t="shared" si="6"/>
        <v>23443.770000000004</v>
      </c>
    </row>
    <row r="180" spans="1:17" s="21" customFormat="1" ht="60" x14ac:dyDescent="0.25">
      <c r="A180" s="181"/>
      <c r="B180" s="30" t="s">
        <v>100</v>
      </c>
      <c r="C180" s="203" t="s">
        <v>125</v>
      </c>
      <c r="D180" s="182" t="s">
        <v>126</v>
      </c>
      <c r="E180" s="194" t="s">
        <v>20</v>
      </c>
      <c r="F180" s="73" t="s">
        <v>486</v>
      </c>
      <c r="G180" s="236" t="s">
        <v>114</v>
      </c>
      <c r="H180" s="181">
        <v>11</v>
      </c>
      <c r="I180" s="234">
        <v>2</v>
      </c>
      <c r="J180" s="202">
        <v>2</v>
      </c>
      <c r="K180" s="86">
        <v>17316</v>
      </c>
      <c r="L180" s="86">
        <v>17316</v>
      </c>
      <c r="M180" s="78">
        <f t="shared" si="5"/>
        <v>0</v>
      </c>
      <c r="N180" s="100"/>
      <c r="O180" s="239">
        <v>71568.429999999993</v>
      </c>
      <c r="P180" s="239">
        <v>71568.429999999993</v>
      </c>
      <c r="Q180" s="232">
        <f t="shared" si="6"/>
        <v>0</v>
      </c>
    </row>
    <row r="181" spans="1:17" s="13" customFormat="1" x14ac:dyDescent="0.25">
      <c r="A181" s="229"/>
      <c r="B181" s="62" t="s">
        <v>101</v>
      </c>
      <c r="C181" s="181" t="s">
        <v>17</v>
      </c>
      <c r="D181" s="182"/>
      <c r="E181" s="194" t="s">
        <v>20</v>
      </c>
      <c r="F181" s="73" t="s">
        <v>409</v>
      </c>
      <c r="G181" s="74" t="s">
        <v>112</v>
      </c>
      <c r="H181" s="75">
        <v>17</v>
      </c>
      <c r="I181" s="76">
        <v>8</v>
      </c>
      <c r="J181" s="96">
        <f>1+5+1+1+2+2+1</f>
        <v>13</v>
      </c>
      <c r="K181" s="77">
        <v>9863.65</v>
      </c>
      <c r="L181" s="77">
        <v>9863.65</v>
      </c>
      <c r="M181" s="78">
        <f t="shared" si="5"/>
        <v>0</v>
      </c>
      <c r="N181" s="100">
        <f>5+2+1+1+1</f>
        <v>10</v>
      </c>
      <c r="O181" s="81">
        <f>6288.07+3061.62+3426.18+12951.18</f>
        <v>25727.05</v>
      </c>
      <c r="P181" s="81">
        <f>6288.07+3061.62+3426.18+12951.18</f>
        <v>25727.05</v>
      </c>
      <c r="Q181" s="79">
        <f t="shared" si="6"/>
        <v>0</v>
      </c>
    </row>
    <row r="182" spans="1:17" s="13" customFormat="1" x14ac:dyDescent="0.25">
      <c r="A182" s="229"/>
      <c r="B182" s="62" t="s">
        <v>146</v>
      </c>
      <c r="C182" s="181" t="s">
        <v>17</v>
      </c>
      <c r="D182" s="182"/>
      <c r="E182" s="194" t="s">
        <v>20</v>
      </c>
      <c r="F182" s="73" t="s">
        <v>410</v>
      </c>
      <c r="G182" s="74" t="s">
        <v>112</v>
      </c>
      <c r="H182" s="75">
        <v>16</v>
      </c>
      <c r="I182" s="76">
        <v>13</v>
      </c>
      <c r="J182" s="96">
        <f>4+1+1+2+1+2+1+1+1</f>
        <v>14</v>
      </c>
      <c r="K182" s="77">
        <f>4610.77+1568.98+1854.88+422.62+1334.13+2599.07+5262.18+1092.81+1092.81</f>
        <v>19838.250000000004</v>
      </c>
      <c r="L182" s="77">
        <f>4610.77+1568.98+1854.88+422.62+1334.13+2599.07+5262.18+1092.81</f>
        <v>18745.440000000002</v>
      </c>
      <c r="M182" s="78">
        <f t="shared" si="5"/>
        <v>1092.8100000000013</v>
      </c>
      <c r="N182" s="100">
        <f>5+1+1+2+1+1+1</f>
        <v>12</v>
      </c>
      <c r="O182" s="81">
        <f>13579.06+1287.07+2636.18+26196.83</f>
        <v>43699.14</v>
      </c>
      <c r="P182" s="81">
        <f>13579.06+1287.07+2636.18+26196.83</f>
        <v>43699.14</v>
      </c>
      <c r="Q182" s="232">
        <f t="shared" si="6"/>
        <v>0</v>
      </c>
    </row>
    <row r="183" spans="1:17" s="13" customFormat="1" x14ac:dyDescent="0.25">
      <c r="A183" s="229"/>
      <c r="B183" s="62" t="s">
        <v>146</v>
      </c>
      <c r="C183" s="181" t="s">
        <v>17</v>
      </c>
      <c r="D183" s="182"/>
      <c r="E183" s="183" t="s">
        <v>21</v>
      </c>
      <c r="F183" s="73" t="s">
        <v>443</v>
      </c>
      <c r="G183" s="230" t="s">
        <v>118</v>
      </c>
      <c r="H183" s="181">
        <v>14</v>
      </c>
      <c r="I183" s="234">
        <v>5</v>
      </c>
      <c r="J183" s="190">
        <v>5</v>
      </c>
      <c r="K183" s="193">
        <v>9341.1299999999992</v>
      </c>
      <c r="L183" s="193">
        <v>9341.1299999999992</v>
      </c>
      <c r="M183" s="78">
        <f t="shared" si="5"/>
        <v>0</v>
      </c>
      <c r="N183" s="114">
        <v>6</v>
      </c>
      <c r="O183" s="224">
        <v>3363.06</v>
      </c>
      <c r="P183" s="224">
        <v>3363.06</v>
      </c>
      <c r="Q183" s="79">
        <f t="shared" si="6"/>
        <v>0</v>
      </c>
    </row>
    <row r="184" spans="1:17" s="13" customFormat="1" x14ac:dyDescent="0.25">
      <c r="A184" s="229"/>
      <c r="B184" s="27" t="s">
        <v>102</v>
      </c>
      <c r="C184" s="181" t="s">
        <v>17</v>
      </c>
      <c r="D184" s="182"/>
      <c r="E184" s="194" t="s">
        <v>20</v>
      </c>
      <c r="F184" s="73" t="s">
        <v>411</v>
      </c>
      <c r="G184" s="74" t="s">
        <v>112</v>
      </c>
      <c r="H184" s="75">
        <v>14</v>
      </c>
      <c r="I184" s="76">
        <v>11</v>
      </c>
      <c r="J184" s="96">
        <f>1+1+2+1+2+1+3</f>
        <v>11</v>
      </c>
      <c r="K184" s="77">
        <f>845.24+845.24+1690.48+1394.65+2689.38+1324.62</f>
        <v>8789.61</v>
      </c>
      <c r="L184" s="77">
        <f>845.24+845.24+1690.48+1394.65+2689.38+1324.62</f>
        <v>8789.61</v>
      </c>
      <c r="M184" s="78">
        <f t="shared" si="5"/>
        <v>0</v>
      </c>
      <c r="N184" s="100">
        <f>3+1+1+1+1</f>
        <v>7</v>
      </c>
      <c r="O184" s="81">
        <f>7808.21+30833.77-12193.52+9963.17+5385.9</f>
        <v>41797.530000000006</v>
      </c>
      <c r="P184" s="81">
        <f>7808.21+30833.77-12193.52+9963.17+5385.9</f>
        <v>41797.530000000006</v>
      </c>
      <c r="Q184" s="232">
        <f t="shared" si="6"/>
        <v>0</v>
      </c>
    </row>
    <row r="185" spans="1:17" s="13" customFormat="1" x14ac:dyDescent="0.25">
      <c r="A185" s="229"/>
      <c r="B185" s="27" t="s">
        <v>102</v>
      </c>
      <c r="C185" s="181" t="s">
        <v>17</v>
      </c>
      <c r="D185" s="182"/>
      <c r="E185" s="194" t="s">
        <v>20</v>
      </c>
      <c r="F185" s="73" t="s">
        <v>469</v>
      </c>
      <c r="G185" s="230" t="s">
        <v>114</v>
      </c>
      <c r="H185" s="181">
        <v>10</v>
      </c>
      <c r="I185" s="231">
        <v>3</v>
      </c>
      <c r="J185" s="190">
        <v>3</v>
      </c>
      <c r="K185" s="77">
        <v>7690.26</v>
      </c>
      <c r="L185" s="77">
        <v>7690.26</v>
      </c>
      <c r="M185" s="78">
        <f t="shared" si="5"/>
        <v>0</v>
      </c>
      <c r="N185" s="100">
        <v>8</v>
      </c>
      <c r="O185" s="224">
        <v>31700.42</v>
      </c>
      <c r="P185" s="224">
        <v>31700.42</v>
      </c>
      <c r="Q185" s="232">
        <f t="shared" si="6"/>
        <v>0</v>
      </c>
    </row>
    <row r="186" spans="1:17" s="13" customFormat="1" x14ac:dyDescent="0.25">
      <c r="A186" s="229"/>
      <c r="B186" s="27" t="s">
        <v>103</v>
      </c>
      <c r="C186" s="181" t="s">
        <v>17</v>
      </c>
      <c r="D186" s="182"/>
      <c r="E186" s="183" t="s">
        <v>20</v>
      </c>
      <c r="F186" s="73" t="s">
        <v>412</v>
      </c>
      <c r="G186" s="74" t="s">
        <v>112</v>
      </c>
      <c r="H186" s="75">
        <v>15</v>
      </c>
      <c r="I186" s="76">
        <v>10</v>
      </c>
      <c r="J186" s="96">
        <f>4+1+2+3+1</f>
        <v>11</v>
      </c>
      <c r="K186" s="77">
        <f>16248.67+1092.81+2003.49+401.4</f>
        <v>19746.370000000003</v>
      </c>
      <c r="L186" s="77">
        <f>16248.67+1092.81+2003.49+401.4</f>
        <v>19746.370000000003</v>
      </c>
      <c r="M186" s="78">
        <f t="shared" si="5"/>
        <v>0</v>
      </c>
      <c r="N186" s="100">
        <f>7+2+1+1+2+1</f>
        <v>14</v>
      </c>
      <c r="O186" s="77">
        <f>20193.14+7541.5+685.38</f>
        <v>28420.02</v>
      </c>
      <c r="P186" s="77">
        <f>20193.14+7541.5+685.38</f>
        <v>28420.02</v>
      </c>
      <c r="Q186" s="232">
        <f t="shared" si="6"/>
        <v>0</v>
      </c>
    </row>
    <row r="187" spans="1:17" s="13" customFormat="1" x14ac:dyDescent="0.25">
      <c r="A187" s="229"/>
      <c r="B187" s="27" t="s">
        <v>103</v>
      </c>
      <c r="C187" s="181" t="s">
        <v>17</v>
      </c>
      <c r="D187" s="182"/>
      <c r="E187" s="183" t="s">
        <v>20</v>
      </c>
      <c r="F187" s="73" t="s">
        <v>470</v>
      </c>
      <c r="G187" s="230" t="s">
        <v>114</v>
      </c>
      <c r="H187" s="181">
        <v>16</v>
      </c>
      <c r="I187" s="231">
        <v>3</v>
      </c>
      <c r="J187" s="190">
        <v>3</v>
      </c>
      <c r="K187" s="77">
        <v>4940.1000000000004</v>
      </c>
      <c r="L187" s="77">
        <v>4940.1000000000004</v>
      </c>
      <c r="M187" s="78">
        <f t="shared" si="5"/>
        <v>0</v>
      </c>
      <c r="N187" s="100">
        <v>4</v>
      </c>
      <c r="O187" s="224">
        <v>10434.89</v>
      </c>
      <c r="P187" s="224">
        <v>10434.89</v>
      </c>
      <c r="Q187" s="232">
        <f t="shared" si="6"/>
        <v>0</v>
      </c>
    </row>
    <row r="188" spans="1:17" s="15" customFormat="1" x14ac:dyDescent="0.25">
      <c r="A188" s="229"/>
      <c r="B188" s="27" t="s">
        <v>104</v>
      </c>
      <c r="C188" s="181" t="s">
        <v>17</v>
      </c>
      <c r="D188" s="182"/>
      <c r="E188" s="183" t="s">
        <v>20</v>
      </c>
      <c r="F188" s="73" t="s">
        <v>413</v>
      </c>
      <c r="G188" s="74" t="s">
        <v>112</v>
      </c>
      <c r="H188" s="75">
        <v>18</v>
      </c>
      <c r="I188" s="76">
        <v>14</v>
      </c>
      <c r="J188" s="96">
        <f>3+1+2+4+1+1+1</f>
        <v>13</v>
      </c>
      <c r="K188" s="77">
        <f>5112.82+422.64+8302.14+1605.5+1092.81</f>
        <v>16535.91</v>
      </c>
      <c r="L188" s="77">
        <f>5112.82+422.64+8302.14+1605.5+1092.81</f>
        <v>16535.91</v>
      </c>
      <c r="M188" s="78">
        <f t="shared" si="5"/>
        <v>0</v>
      </c>
      <c r="N188" s="100">
        <f>4+1+1+2+1</f>
        <v>9</v>
      </c>
      <c r="O188" s="81">
        <f>7087.22+3426.18+3496.22</f>
        <v>14009.619999999999</v>
      </c>
      <c r="P188" s="81">
        <f>7087.22+3426.18+3496.22</f>
        <v>14009.619999999999</v>
      </c>
      <c r="Q188" s="232">
        <f t="shared" si="6"/>
        <v>0</v>
      </c>
    </row>
    <row r="189" spans="1:17" s="15" customFormat="1" x14ac:dyDescent="0.25">
      <c r="A189" s="229"/>
      <c r="B189" s="27" t="s">
        <v>104</v>
      </c>
      <c r="C189" s="181" t="s">
        <v>17</v>
      </c>
      <c r="D189" s="182"/>
      <c r="E189" s="183" t="s">
        <v>20</v>
      </c>
      <c r="F189" s="73" t="s">
        <v>471</v>
      </c>
      <c r="G189" s="230" t="s">
        <v>114</v>
      </c>
      <c r="H189" s="181">
        <v>40</v>
      </c>
      <c r="I189" s="231">
        <v>10</v>
      </c>
      <c r="J189" s="190">
        <v>10</v>
      </c>
      <c r="K189" s="77">
        <v>28101.31</v>
      </c>
      <c r="L189" s="77">
        <v>28101.31</v>
      </c>
      <c r="M189" s="78">
        <f t="shared" si="5"/>
        <v>0</v>
      </c>
      <c r="N189" s="114">
        <v>18</v>
      </c>
      <c r="O189" s="224">
        <v>40887.050000000003</v>
      </c>
      <c r="P189" s="224">
        <v>40887.050000000003</v>
      </c>
      <c r="Q189" s="232">
        <f t="shared" si="6"/>
        <v>0</v>
      </c>
    </row>
    <row r="190" spans="1:17" s="13" customFormat="1" x14ac:dyDescent="0.25">
      <c r="A190" s="229"/>
      <c r="B190" s="30" t="s">
        <v>26</v>
      </c>
      <c r="C190" s="181" t="s">
        <v>17</v>
      </c>
      <c r="D190" s="182"/>
      <c r="E190" s="183" t="s">
        <v>32</v>
      </c>
      <c r="F190" s="73" t="s">
        <v>246</v>
      </c>
      <c r="G190" s="74" t="s">
        <v>117</v>
      </c>
      <c r="H190" s="75"/>
      <c r="I190" s="76"/>
      <c r="J190" s="96"/>
      <c r="K190" s="77"/>
      <c r="L190" s="77"/>
      <c r="M190" s="78">
        <f t="shared" si="5"/>
        <v>0</v>
      </c>
      <c r="N190" s="100">
        <v>5</v>
      </c>
      <c r="O190" s="81">
        <v>7808.15</v>
      </c>
      <c r="P190" s="81">
        <v>7808.15</v>
      </c>
      <c r="Q190" s="232">
        <f t="shared" si="6"/>
        <v>0</v>
      </c>
    </row>
    <row r="191" spans="1:17" s="13" customFormat="1" x14ac:dyDescent="0.25">
      <c r="A191" s="229"/>
      <c r="B191" s="30" t="s">
        <v>105</v>
      </c>
      <c r="C191" s="181"/>
      <c r="D191" s="182"/>
      <c r="E191" s="183"/>
      <c r="F191" s="73"/>
      <c r="G191" s="74" t="s">
        <v>112</v>
      </c>
      <c r="H191" s="75">
        <v>2</v>
      </c>
      <c r="I191" s="76"/>
      <c r="J191" s="96"/>
      <c r="K191" s="77"/>
      <c r="L191" s="77"/>
      <c r="M191" s="78"/>
      <c r="N191" s="100"/>
      <c r="O191" s="81"/>
      <c r="P191" s="81"/>
      <c r="Q191" s="232"/>
    </row>
    <row r="192" spans="1:17" s="13" customFormat="1" x14ac:dyDescent="0.25">
      <c r="A192" s="229"/>
      <c r="B192" s="62" t="s">
        <v>106</v>
      </c>
      <c r="C192" s="181" t="s">
        <v>17</v>
      </c>
      <c r="D192" s="205"/>
      <c r="E192" s="194" t="s">
        <v>20</v>
      </c>
      <c r="F192" s="73" t="s">
        <v>414</v>
      </c>
      <c r="G192" s="74" t="s">
        <v>112</v>
      </c>
      <c r="H192" s="75">
        <v>14</v>
      </c>
      <c r="I192" s="76">
        <f>8</f>
        <v>8</v>
      </c>
      <c r="J192" s="96">
        <f>1+4+2+2+1</f>
        <v>10</v>
      </c>
      <c r="K192" s="77">
        <v>4901.5</v>
      </c>
      <c r="L192" s="77">
        <v>4901.5</v>
      </c>
      <c r="M192" s="78">
        <f t="shared" si="5"/>
        <v>0</v>
      </c>
      <c r="N192" s="100">
        <f>3+1+1</f>
        <v>5</v>
      </c>
      <c r="O192" s="81">
        <v>49473.81</v>
      </c>
      <c r="P192" s="81">
        <v>49473.81</v>
      </c>
      <c r="Q192" s="232">
        <f t="shared" si="6"/>
        <v>0</v>
      </c>
    </row>
    <row r="193" spans="1:17" x14ac:dyDescent="0.25">
      <c r="A193" s="292"/>
      <c r="B193" s="66"/>
      <c r="C193" s="293"/>
      <c r="D193" s="235"/>
      <c r="E193" s="235"/>
      <c r="F193" s="73"/>
      <c r="G193" s="235" t="s">
        <v>131</v>
      </c>
      <c r="H193" s="240">
        <f>SUM(H10:H192)</f>
        <v>2904</v>
      </c>
      <c r="I193" s="291">
        <f>SUM(I10:I192)</f>
        <v>1671</v>
      </c>
      <c r="J193" s="208">
        <f>SUM(J10:J192)</f>
        <v>1998</v>
      </c>
      <c r="K193" s="209">
        <f>SUM(K10:K192)</f>
        <v>3627985.3550000009</v>
      </c>
      <c r="L193" s="209">
        <f>SUM(L10:L192)</f>
        <v>3419801.6149999988</v>
      </c>
      <c r="M193" s="210">
        <f>K193-L193</f>
        <v>208183.74000000209</v>
      </c>
      <c r="N193" s="208">
        <f>SUM(N10:N192)</f>
        <v>1829</v>
      </c>
      <c r="O193" s="241">
        <f>SUM(O10:O192)</f>
        <v>5814830.1199999992</v>
      </c>
      <c r="P193" s="241">
        <f>SUM(P10:P192)</f>
        <v>5749472.8900000006</v>
      </c>
      <c r="Q193" s="79">
        <f t="shared" si="6"/>
        <v>65357.229999998584</v>
      </c>
    </row>
    <row r="194" spans="1:17" x14ac:dyDescent="0.25">
      <c r="K194" s="91" t="s">
        <v>305</v>
      </c>
    </row>
    <row r="195" spans="1:17" ht="45" x14ac:dyDescent="0.25">
      <c r="B195" s="89" t="s">
        <v>316</v>
      </c>
      <c r="F195" s="104" t="s">
        <v>317</v>
      </c>
      <c r="M195" s="142"/>
      <c r="N195" s="277"/>
      <c r="O195" s="278"/>
      <c r="P195" s="279"/>
      <c r="Q195" s="133"/>
    </row>
    <row r="196" spans="1:17" x14ac:dyDescent="0.25"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216"/>
      <c r="N196" s="6"/>
      <c r="O196" s="6"/>
      <c r="P196" s="6"/>
      <c r="Q196" s="6"/>
    </row>
    <row r="197" spans="1:17" x14ac:dyDescent="0.25">
      <c r="M197" s="216"/>
    </row>
    <row r="198" spans="1:17" x14ac:dyDescent="0.25">
      <c r="M198" s="216"/>
    </row>
    <row r="199" spans="1:17" x14ac:dyDescent="0.25">
      <c r="M199" s="216"/>
    </row>
    <row r="200" spans="1:17" x14ac:dyDescent="0.25">
      <c r="M200" s="216"/>
    </row>
  </sheetData>
  <autoFilter ref="A8:Q195"/>
  <mergeCells count="7">
    <mergeCell ref="O1:Q1"/>
    <mergeCell ref="A3:Q3"/>
    <mergeCell ref="A4:Q4"/>
    <mergeCell ref="A5:Q5"/>
    <mergeCell ref="B7:G7"/>
    <mergeCell ref="H7:M7"/>
    <mergeCell ref="N7:Q7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00"/>
  <sheetViews>
    <sheetView topLeftCell="G157" workbookViewId="0">
      <selection activeCell="M157" sqref="M1:M1048576"/>
    </sheetView>
  </sheetViews>
  <sheetFormatPr defaultRowHeight="15" x14ac:dyDescent="0.25"/>
  <cols>
    <col min="1" max="1" width="1.85546875" style="6" customWidth="1"/>
    <col min="2" max="2" width="38.28515625" style="88" customWidth="1"/>
    <col min="3" max="3" width="6.5703125" style="19" customWidth="1"/>
    <col min="4" max="4" width="17.42578125" style="19" customWidth="1"/>
    <col min="5" max="5" width="19" style="19" customWidth="1"/>
    <col min="6" max="6" width="19" style="89" customWidth="1"/>
    <col min="7" max="7" width="20.140625" style="89" customWidth="1"/>
    <col min="8" max="9" width="15.7109375" style="90" customWidth="1"/>
    <col min="10" max="10" width="15.7109375" style="99" customWidth="1"/>
    <col min="11" max="13" width="15.7109375" style="91" customWidth="1"/>
    <col min="14" max="14" width="15.7109375" style="99" customWidth="1"/>
    <col min="15" max="17" width="15.7109375" style="92" customWidth="1"/>
    <col min="18" max="18" width="8.85546875" style="6" customWidth="1"/>
    <col min="19" max="16384" width="9.140625" style="6"/>
  </cols>
  <sheetData>
    <row r="1" spans="1:17" s="105" customFormat="1" x14ac:dyDescent="0.25">
      <c r="A1" s="60"/>
      <c r="B1" s="60"/>
      <c r="C1" s="225"/>
      <c r="D1" s="225"/>
      <c r="E1" s="225"/>
      <c r="F1" s="63"/>
      <c r="G1" s="63"/>
      <c r="H1" s="64"/>
      <c r="I1" s="64"/>
      <c r="J1" s="93"/>
      <c r="K1" s="65"/>
      <c r="L1" s="65"/>
      <c r="M1" s="65"/>
      <c r="N1" s="93"/>
      <c r="O1" s="362" t="s">
        <v>15</v>
      </c>
      <c r="P1" s="362"/>
      <c r="Q1" s="362"/>
    </row>
    <row r="2" spans="1:17" s="105" customFormat="1" x14ac:dyDescent="0.25">
      <c r="A2" s="296"/>
      <c r="B2" s="296"/>
      <c r="C2" s="297"/>
      <c r="D2" s="297"/>
      <c r="E2" s="297"/>
      <c r="F2" s="66"/>
      <c r="G2" s="66"/>
      <c r="H2" s="295"/>
      <c r="I2" s="295"/>
      <c r="J2" s="94"/>
      <c r="K2" s="67"/>
      <c r="L2" s="67"/>
      <c r="M2" s="67"/>
      <c r="N2" s="94"/>
      <c r="O2" s="68"/>
      <c r="P2" s="68"/>
      <c r="Q2" s="68"/>
    </row>
    <row r="3" spans="1:17" s="105" customFormat="1" x14ac:dyDescent="0.25">
      <c r="A3" s="380" t="s">
        <v>318</v>
      </c>
      <c r="B3" s="367"/>
      <c r="C3" s="380"/>
      <c r="D3" s="380"/>
      <c r="E3" s="380"/>
      <c r="F3" s="367"/>
      <c r="G3" s="367"/>
      <c r="H3" s="366"/>
      <c r="I3" s="366"/>
      <c r="J3" s="367"/>
      <c r="K3" s="367"/>
      <c r="L3" s="367"/>
      <c r="M3" s="367"/>
      <c r="N3" s="367"/>
      <c r="O3" s="367"/>
      <c r="P3" s="367"/>
      <c r="Q3" s="367"/>
    </row>
    <row r="4" spans="1:17" s="105" customFormat="1" x14ac:dyDescent="0.25">
      <c r="A4" s="381">
        <v>43766</v>
      </c>
      <c r="B4" s="373"/>
      <c r="C4" s="382"/>
      <c r="D4" s="382"/>
      <c r="E4" s="382"/>
      <c r="F4" s="373"/>
      <c r="G4" s="373"/>
      <c r="H4" s="372"/>
      <c r="I4" s="372"/>
      <c r="J4" s="373"/>
      <c r="K4" s="373"/>
      <c r="L4" s="373"/>
      <c r="M4" s="373"/>
      <c r="N4" s="373"/>
      <c r="O4" s="373"/>
      <c r="P4" s="373"/>
      <c r="Q4" s="373"/>
    </row>
    <row r="5" spans="1:17" s="105" customFormat="1" x14ac:dyDescent="0.25">
      <c r="A5" s="367" t="s">
        <v>14</v>
      </c>
      <c r="B5" s="367"/>
      <c r="C5" s="367"/>
      <c r="D5" s="367"/>
      <c r="E5" s="367"/>
      <c r="F5" s="367"/>
      <c r="G5" s="367"/>
      <c r="H5" s="366"/>
      <c r="I5" s="366"/>
      <c r="J5" s="367"/>
      <c r="K5" s="367"/>
      <c r="L5" s="367"/>
      <c r="M5" s="367"/>
      <c r="N5" s="367"/>
      <c r="O5" s="367"/>
      <c r="P5" s="367"/>
      <c r="Q5" s="367"/>
    </row>
    <row r="6" spans="1:17" s="105" customFormat="1" x14ac:dyDescent="0.25">
      <c r="A6" s="296"/>
      <c r="B6" s="296"/>
      <c r="C6" s="297"/>
      <c r="D6" s="297"/>
      <c r="E6" s="297"/>
      <c r="F6" s="66"/>
      <c r="G6" s="66"/>
      <c r="H6" s="295"/>
      <c r="I6" s="295"/>
      <c r="J6" s="94"/>
      <c r="K6" s="67"/>
      <c r="L6" s="67"/>
      <c r="M6" s="67"/>
      <c r="N6" s="94"/>
      <c r="O6" s="68"/>
      <c r="P6" s="68"/>
      <c r="Q6" s="68"/>
    </row>
    <row r="7" spans="1:17" x14ac:dyDescent="0.25">
      <c r="A7" s="227" t="s">
        <v>0</v>
      </c>
      <c r="B7" s="367" t="s">
        <v>10</v>
      </c>
      <c r="C7" s="380"/>
      <c r="D7" s="380"/>
      <c r="E7" s="380"/>
      <c r="F7" s="367"/>
      <c r="G7" s="367"/>
      <c r="H7" s="366" t="s">
        <v>472</v>
      </c>
      <c r="I7" s="366"/>
      <c r="J7" s="367"/>
      <c r="K7" s="367"/>
      <c r="L7" s="367"/>
      <c r="M7" s="367"/>
      <c r="N7" s="367" t="s">
        <v>132</v>
      </c>
      <c r="O7" s="367"/>
      <c r="P7" s="367"/>
      <c r="Q7" s="367"/>
    </row>
    <row r="8" spans="1:17" ht="195" x14ac:dyDescent="0.25">
      <c r="A8" s="227"/>
      <c r="B8" s="296" t="s">
        <v>4</v>
      </c>
      <c r="C8" s="297" t="s">
        <v>1</v>
      </c>
      <c r="D8" s="297" t="s">
        <v>3</v>
      </c>
      <c r="E8" s="297" t="s">
        <v>2</v>
      </c>
      <c r="F8" s="296" t="s">
        <v>6</v>
      </c>
      <c r="G8" s="66" t="s">
        <v>5</v>
      </c>
      <c r="H8" s="296" t="s">
        <v>7</v>
      </c>
      <c r="I8" s="296" t="s">
        <v>8</v>
      </c>
      <c r="J8" s="94" t="s">
        <v>9</v>
      </c>
      <c r="K8" s="67" t="s">
        <v>11</v>
      </c>
      <c r="L8" s="67" t="s">
        <v>12</v>
      </c>
      <c r="M8" s="67" t="s">
        <v>13</v>
      </c>
      <c r="N8" s="94" t="s">
        <v>9</v>
      </c>
      <c r="O8" s="68" t="s">
        <v>11</v>
      </c>
      <c r="P8" s="68" t="s">
        <v>12</v>
      </c>
      <c r="Q8" s="68" t="s">
        <v>13</v>
      </c>
    </row>
    <row r="9" spans="1:17" x14ac:dyDescent="0.25">
      <c r="A9" s="228">
        <v>1</v>
      </c>
      <c r="B9" s="61">
        <f>A9+1</f>
        <v>2</v>
      </c>
      <c r="C9" s="228">
        <f t="shared" ref="C9:Q9" si="0">B9+1</f>
        <v>3</v>
      </c>
      <c r="D9" s="228">
        <f t="shared" si="0"/>
        <v>4</v>
      </c>
      <c r="E9" s="228">
        <f t="shared" si="0"/>
        <v>5</v>
      </c>
      <c r="F9" s="69">
        <f t="shared" si="0"/>
        <v>6</v>
      </c>
      <c r="G9" s="69">
        <f t="shared" si="0"/>
        <v>7</v>
      </c>
      <c r="H9" s="70">
        <f t="shared" si="0"/>
        <v>8</v>
      </c>
      <c r="I9" s="70">
        <f t="shared" si="0"/>
        <v>9</v>
      </c>
      <c r="J9" s="95">
        <f t="shared" si="0"/>
        <v>10</v>
      </c>
      <c r="K9" s="71">
        <f t="shared" si="0"/>
        <v>11</v>
      </c>
      <c r="L9" s="71">
        <f t="shared" si="0"/>
        <v>12</v>
      </c>
      <c r="M9" s="71">
        <f t="shared" si="0"/>
        <v>13</v>
      </c>
      <c r="N9" s="95">
        <f t="shared" si="0"/>
        <v>14</v>
      </c>
      <c r="O9" s="72">
        <f t="shared" si="0"/>
        <v>15</v>
      </c>
      <c r="P9" s="72">
        <f t="shared" si="0"/>
        <v>16</v>
      </c>
      <c r="Q9" s="72">
        <f t="shared" si="0"/>
        <v>17</v>
      </c>
    </row>
    <row r="10" spans="1:17" s="13" customFormat="1" ht="30" x14ac:dyDescent="0.25">
      <c r="A10" s="229"/>
      <c r="B10" s="62" t="s">
        <v>16</v>
      </c>
      <c r="C10" s="181" t="s">
        <v>304</v>
      </c>
      <c r="D10" s="182" t="s">
        <v>315</v>
      </c>
      <c r="E10" s="183" t="s">
        <v>18</v>
      </c>
      <c r="F10" s="73" t="s">
        <v>322</v>
      </c>
      <c r="G10" s="74" t="s">
        <v>112</v>
      </c>
      <c r="H10" s="75">
        <v>12</v>
      </c>
      <c r="I10" s="76">
        <v>11</v>
      </c>
      <c r="J10" s="98">
        <f>2+1+3+3+1+3</f>
        <v>13</v>
      </c>
      <c r="K10" s="77">
        <f>4792.51+1138.19+504.26+11366.06+4859.68+3954.5+12023.46</f>
        <v>38638.660000000003</v>
      </c>
      <c r="L10" s="77">
        <f>4792.51+1138.19+504.26+11366.06+4859.68+3954.5+12023.46</f>
        <v>38638.660000000003</v>
      </c>
      <c r="M10" s="78">
        <f>K10-L10</f>
        <v>0</v>
      </c>
      <c r="N10" s="100">
        <f>2+5+1+2+1</f>
        <v>11</v>
      </c>
      <c r="O10" s="77">
        <f>9108.77+6924.32+22366.06+8197.52</f>
        <v>46596.67</v>
      </c>
      <c r="P10" s="77">
        <f>9108.77+6924.32+22366.06+8197.52</f>
        <v>46596.67</v>
      </c>
      <c r="Q10" s="79">
        <f>O10-P10</f>
        <v>0</v>
      </c>
    </row>
    <row r="11" spans="1:17" s="13" customFormat="1" ht="30" x14ac:dyDescent="0.25">
      <c r="A11" s="229"/>
      <c r="B11" s="62" t="s">
        <v>16</v>
      </c>
      <c r="C11" s="181" t="s">
        <v>304</v>
      </c>
      <c r="D11" s="182" t="s">
        <v>315</v>
      </c>
      <c r="E11" s="183" t="s">
        <v>18</v>
      </c>
      <c r="F11" s="73" t="s">
        <v>322</v>
      </c>
      <c r="G11" s="230" t="s">
        <v>116</v>
      </c>
      <c r="H11" s="181">
        <v>11</v>
      </c>
      <c r="I11" s="231">
        <v>6</v>
      </c>
      <c r="J11" s="96">
        <v>6</v>
      </c>
      <c r="K11" s="224">
        <v>11526</v>
      </c>
      <c r="L11" s="224">
        <v>11526</v>
      </c>
      <c r="M11" s="78">
        <f t="shared" ref="M11:M77" si="1">K11-L11</f>
        <v>0</v>
      </c>
      <c r="N11" s="100"/>
      <c r="O11" s="224">
        <v>2945</v>
      </c>
      <c r="P11" s="224">
        <v>2945</v>
      </c>
      <c r="Q11" s="232">
        <f t="shared" ref="Q11:Q81" si="2">O11-P11</f>
        <v>0</v>
      </c>
    </row>
    <row r="12" spans="1:17" s="13" customFormat="1" x14ac:dyDescent="0.25">
      <c r="A12" s="229"/>
      <c r="B12" s="62" t="s">
        <v>490</v>
      </c>
      <c r="C12" s="181" t="s">
        <v>304</v>
      </c>
      <c r="D12" s="182"/>
      <c r="E12" s="183"/>
      <c r="F12" s="189" t="s">
        <v>501</v>
      </c>
      <c r="G12" s="230" t="s">
        <v>112</v>
      </c>
      <c r="H12" s="181">
        <v>18</v>
      </c>
      <c r="I12" s="231">
        <v>14</v>
      </c>
      <c r="J12" s="96">
        <f>5+1+3+1+1+2+2+1</f>
        <v>16</v>
      </c>
      <c r="K12" s="224">
        <f>8352.39+384.2+1463.8+3720.67+546.41+5470.48+13100.4+2207.7</f>
        <v>35246.049999999996</v>
      </c>
      <c r="L12" s="224">
        <f>8352.39+384.2+1463.8+3720.67+546.41+5470.48+13100.4</f>
        <v>33038.35</v>
      </c>
      <c r="M12" s="78">
        <f t="shared" si="1"/>
        <v>2207.6999999999971</v>
      </c>
      <c r="N12" s="100"/>
      <c r="O12" s="224"/>
      <c r="P12" s="224"/>
      <c r="Q12" s="79">
        <f t="shared" si="2"/>
        <v>0</v>
      </c>
    </row>
    <row r="13" spans="1:17" s="15" customFormat="1" x14ac:dyDescent="0.25">
      <c r="A13" s="229"/>
      <c r="B13" s="62" t="s">
        <v>19</v>
      </c>
      <c r="C13" s="181" t="s">
        <v>17</v>
      </c>
      <c r="D13" s="182"/>
      <c r="E13" s="183" t="s">
        <v>20</v>
      </c>
      <c r="F13" s="73" t="s">
        <v>323</v>
      </c>
      <c r="G13" s="74" t="s">
        <v>112</v>
      </c>
      <c r="H13" s="75">
        <v>16</v>
      </c>
      <c r="I13" s="76">
        <v>14</v>
      </c>
      <c r="J13" s="96">
        <f>1+2+5+2+1+5+1+3+1</f>
        <v>21</v>
      </c>
      <c r="K13" s="77">
        <f>422.62+4792.51+1796.14+1373.52+5511.59+1707.76</f>
        <v>15604.140000000001</v>
      </c>
      <c r="L13" s="77">
        <f>422.62+4792.51+1796.14+1373.52+5511.59+1707.76</f>
        <v>15604.140000000001</v>
      </c>
      <c r="M13" s="78">
        <f t="shared" si="1"/>
        <v>0</v>
      </c>
      <c r="N13" s="100">
        <f>8+3+1+2</f>
        <v>14</v>
      </c>
      <c r="O13" s="81">
        <f>6459.36+7124.45</f>
        <v>13583.81</v>
      </c>
      <c r="P13" s="81">
        <f>6459.36+7124.45</f>
        <v>13583.81</v>
      </c>
      <c r="Q13" s="79">
        <f t="shared" si="2"/>
        <v>0</v>
      </c>
    </row>
    <row r="14" spans="1:17" s="15" customFormat="1" x14ac:dyDescent="0.25">
      <c r="A14" s="229"/>
      <c r="B14" s="62" t="s">
        <v>19</v>
      </c>
      <c r="C14" s="181" t="s">
        <v>17</v>
      </c>
      <c r="D14" s="182"/>
      <c r="E14" s="183" t="s">
        <v>20</v>
      </c>
      <c r="F14" s="73" t="s">
        <v>451</v>
      </c>
      <c r="G14" s="230" t="s">
        <v>114</v>
      </c>
      <c r="H14" s="181">
        <v>13</v>
      </c>
      <c r="I14" s="231">
        <v>4</v>
      </c>
      <c r="J14" s="190">
        <v>4</v>
      </c>
      <c r="K14" s="77">
        <v>5843.64</v>
      </c>
      <c r="L14" s="77">
        <v>5843.64</v>
      </c>
      <c r="M14" s="78">
        <f t="shared" si="1"/>
        <v>0</v>
      </c>
      <c r="N14" s="100">
        <v>10</v>
      </c>
      <c r="O14" s="224">
        <v>18093.599999999999</v>
      </c>
      <c r="P14" s="224">
        <v>18093.599999999999</v>
      </c>
      <c r="Q14" s="232">
        <f t="shared" si="2"/>
        <v>0</v>
      </c>
    </row>
    <row r="15" spans="1:17" s="15" customFormat="1" x14ac:dyDescent="0.25">
      <c r="A15" s="229"/>
      <c r="B15" s="62" t="s">
        <v>153</v>
      </c>
      <c r="C15" s="181" t="s">
        <v>17</v>
      </c>
      <c r="D15" s="182"/>
      <c r="E15" s="183" t="s">
        <v>20</v>
      </c>
      <c r="F15" s="73" t="s">
        <v>324</v>
      </c>
      <c r="G15" s="74" t="s">
        <v>112</v>
      </c>
      <c r="H15" s="75">
        <v>17</v>
      </c>
      <c r="I15" s="82">
        <v>10</v>
      </c>
      <c r="J15" s="96">
        <f>1+1+2+1+1+2+1+1+1+1</f>
        <v>12</v>
      </c>
      <c r="K15" s="77">
        <f>950.9+2451.87+3074.57+845.24+1977.86+1284.48+883.08+401.4+1357.13+421.47</f>
        <v>13647.999999999998</v>
      </c>
      <c r="L15" s="77">
        <f>950.9+2451.87+3074.57+845.24+1977.86+1284.48+883.08+401.4+1357.13+421.47</f>
        <v>13647.999999999998</v>
      </c>
      <c r="M15" s="78">
        <f t="shared" si="1"/>
        <v>0</v>
      </c>
      <c r="N15" s="114">
        <f>1+2+1+2+1+1</f>
        <v>8</v>
      </c>
      <c r="O15" s="81">
        <f>422.62+945.61+2484.69+7964.81+1536.8+2498.17</f>
        <v>15852.699999999999</v>
      </c>
      <c r="P15" s="81">
        <f>422.62+945.61+2484.69+7964.81+1536.8+2498.17</f>
        <v>15852.699999999999</v>
      </c>
      <c r="Q15" s="79">
        <f t="shared" si="2"/>
        <v>0</v>
      </c>
    </row>
    <row r="16" spans="1:17" s="15" customFormat="1" x14ac:dyDescent="0.25">
      <c r="A16" s="229"/>
      <c r="B16" s="233" t="s">
        <v>153</v>
      </c>
      <c r="C16" s="181" t="s">
        <v>17</v>
      </c>
      <c r="D16" s="182"/>
      <c r="E16" s="183" t="s">
        <v>20</v>
      </c>
      <c r="F16" s="73" t="s">
        <v>452</v>
      </c>
      <c r="G16" s="230" t="s">
        <v>114</v>
      </c>
      <c r="H16" s="181">
        <v>17</v>
      </c>
      <c r="I16" s="231">
        <v>5</v>
      </c>
      <c r="J16" s="190">
        <v>5</v>
      </c>
      <c r="K16" s="77">
        <v>16581.29</v>
      </c>
      <c r="L16" s="77">
        <v>16581.29</v>
      </c>
      <c r="M16" s="78">
        <f t="shared" si="1"/>
        <v>0</v>
      </c>
      <c r="N16" s="100">
        <v>9</v>
      </c>
      <c r="O16" s="224">
        <v>23692.400000000001</v>
      </c>
      <c r="P16" s="224">
        <v>23692.400000000001</v>
      </c>
      <c r="Q16" s="232">
        <f t="shared" si="2"/>
        <v>0</v>
      </c>
    </row>
    <row r="17" spans="1:17" s="13" customFormat="1" x14ac:dyDescent="0.25">
      <c r="A17" s="229"/>
      <c r="B17" s="30" t="s">
        <v>22</v>
      </c>
      <c r="C17" s="181" t="s">
        <v>17</v>
      </c>
      <c r="D17" s="182"/>
      <c r="E17" s="183" t="s">
        <v>23</v>
      </c>
      <c r="F17" s="73" t="s">
        <v>325</v>
      </c>
      <c r="G17" s="74" t="s">
        <v>112</v>
      </c>
      <c r="H17" s="75">
        <v>50</v>
      </c>
      <c r="I17" s="76">
        <v>10</v>
      </c>
      <c r="J17" s="96">
        <f>1+2+1+9</f>
        <v>13</v>
      </c>
      <c r="K17" s="77">
        <f>2698.64+1402.33+11601.84+8586.48</f>
        <v>24289.29</v>
      </c>
      <c r="L17" s="77">
        <f>2698.64+1402.33+11601.84+8586.48</f>
        <v>24289.29</v>
      </c>
      <c r="M17" s="78">
        <f t="shared" si="1"/>
        <v>0</v>
      </c>
      <c r="N17" s="100">
        <f>14+3+7+1+1</f>
        <v>26</v>
      </c>
      <c r="O17" s="81">
        <f>22716.4+4171.06+18768.39+8172.47</f>
        <v>53828.320000000007</v>
      </c>
      <c r="P17" s="81">
        <f>22716.4+4171.06+18768.39+8172.47</f>
        <v>53828.320000000007</v>
      </c>
      <c r="Q17" s="79">
        <f t="shared" si="2"/>
        <v>0</v>
      </c>
    </row>
    <row r="18" spans="1:17" s="13" customFormat="1" x14ac:dyDescent="0.25">
      <c r="A18" s="229"/>
      <c r="B18" s="30" t="s">
        <v>154</v>
      </c>
      <c r="C18" s="181" t="s">
        <v>17</v>
      </c>
      <c r="D18" s="182"/>
      <c r="E18" s="183" t="s">
        <v>20</v>
      </c>
      <c r="F18" s="73" t="s">
        <v>453</v>
      </c>
      <c r="G18" s="230" t="s">
        <v>114</v>
      </c>
      <c r="H18" s="181">
        <v>34</v>
      </c>
      <c r="I18" s="234">
        <v>2</v>
      </c>
      <c r="J18" s="190">
        <v>2</v>
      </c>
      <c r="K18" s="193">
        <v>2938.2</v>
      </c>
      <c r="L18" s="193">
        <v>2938.2</v>
      </c>
      <c r="M18" s="78">
        <f t="shared" si="1"/>
        <v>0</v>
      </c>
      <c r="N18" s="114">
        <v>16</v>
      </c>
      <c r="O18" s="224">
        <v>41112.769999999997</v>
      </c>
      <c r="P18" s="224">
        <v>41112.769999999997</v>
      </c>
      <c r="Q18" s="232">
        <f t="shared" si="2"/>
        <v>0</v>
      </c>
    </row>
    <row r="19" spans="1:17" s="13" customFormat="1" x14ac:dyDescent="0.25">
      <c r="A19" s="229"/>
      <c r="B19" s="30" t="s">
        <v>154</v>
      </c>
      <c r="C19" s="181" t="s">
        <v>17</v>
      </c>
      <c r="D19" s="182"/>
      <c r="E19" s="183" t="s">
        <v>20</v>
      </c>
      <c r="F19" s="73" t="s">
        <v>326</v>
      </c>
      <c r="G19" s="74" t="s">
        <v>112</v>
      </c>
      <c r="H19" s="75">
        <v>28</v>
      </c>
      <c r="I19" s="76">
        <v>23</v>
      </c>
      <c r="J19" s="96">
        <f>1+1+2+2+2+6+1+4+1+2+2+3+1+1+1</f>
        <v>30</v>
      </c>
      <c r="K19" s="77">
        <f>950.9+864.46+845.24+405.02+739.59+6850.57+12952.58+883.08+2185.62+1053.68+5958.27</f>
        <v>33689.01</v>
      </c>
      <c r="L19" s="77">
        <f>950.9+864.46+845.24+405.02+739.59+6850.57+12952.58+883.08+2185.62</f>
        <v>26677.06</v>
      </c>
      <c r="M19" s="78">
        <f t="shared" si="1"/>
        <v>7011.9500000000007</v>
      </c>
      <c r="N19" s="100">
        <f>6+3+1+1+1+2+1+1</f>
        <v>16</v>
      </c>
      <c r="O19" s="81">
        <f>6681.33+7017+1523.5+9094.74+3532.32</f>
        <v>27848.89</v>
      </c>
      <c r="P19" s="81">
        <f>6681.33+7017+1523.5+9094.74+3532.32</f>
        <v>27848.89</v>
      </c>
      <c r="Q19" s="79">
        <f t="shared" si="2"/>
        <v>0</v>
      </c>
    </row>
    <row r="20" spans="1:17" s="13" customFormat="1" x14ac:dyDescent="0.25">
      <c r="A20" s="229"/>
      <c r="B20" s="62" t="s">
        <v>24</v>
      </c>
      <c r="C20" s="181" t="s">
        <v>17</v>
      </c>
      <c r="D20" s="182"/>
      <c r="E20" s="183" t="s">
        <v>20</v>
      </c>
      <c r="F20" s="73" t="s">
        <v>327</v>
      </c>
      <c r="G20" s="74" t="s">
        <v>112</v>
      </c>
      <c r="H20" s="75">
        <v>8</v>
      </c>
      <c r="I20" s="76">
        <v>4</v>
      </c>
      <c r="J20" s="96">
        <f>3+1+1</f>
        <v>5</v>
      </c>
      <c r="K20" s="77">
        <f>1191.02</f>
        <v>1191.02</v>
      </c>
      <c r="L20" s="77">
        <f>1191.02</f>
        <v>1191.02</v>
      </c>
      <c r="M20" s="78">
        <f t="shared" si="1"/>
        <v>0</v>
      </c>
      <c r="N20" s="100">
        <f>1+1</f>
        <v>2</v>
      </c>
      <c r="O20" s="81">
        <f>576.3+1810.93</f>
        <v>2387.23</v>
      </c>
      <c r="P20" s="81">
        <f>576.3+1810.93</f>
        <v>2387.23</v>
      </c>
      <c r="Q20" s="232">
        <f t="shared" si="2"/>
        <v>0</v>
      </c>
    </row>
    <row r="21" spans="1:17" s="13" customFormat="1" x14ac:dyDescent="0.25">
      <c r="A21" s="229"/>
      <c r="B21" s="62" t="s">
        <v>24</v>
      </c>
      <c r="C21" s="181" t="s">
        <v>17</v>
      </c>
      <c r="D21" s="182"/>
      <c r="E21" s="183" t="s">
        <v>20</v>
      </c>
      <c r="F21" s="73" t="s">
        <v>454</v>
      </c>
      <c r="G21" s="230" t="s">
        <v>114</v>
      </c>
      <c r="H21" s="181">
        <v>14</v>
      </c>
      <c r="I21" s="231"/>
      <c r="J21" s="190"/>
      <c r="K21" s="77"/>
      <c r="L21" s="77"/>
      <c r="M21" s="78">
        <f t="shared" si="1"/>
        <v>0</v>
      </c>
      <c r="N21" s="100">
        <v>16</v>
      </c>
      <c r="O21" s="224">
        <v>35336.5</v>
      </c>
      <c r="P21" s="224">
        <v>35336.5</v>
      </c>
      <c r="Q21" s="232">
        <f t="shared" si="2"/>
        <v>0</v>
      </c>
    </row>
    <row r="22" spans="1:17" s="13" customFormat="1" x14ac:dyDescent="0.25">
      <c r="A22" s="229"/>
      <c r="B22" s="62" t="s">
        <v>25</v>
      </c>
      <c r="C22" s="181" t="s">
        <v>17</v>
      </c>
      <c r="D22" s="182"/>
      <c r="E22" s="183" t="s">
        <v>20</v>
      </c>
      <c r="F22" s="73" t="s">
        <v>328</v>
      </c>
      <c r="G22" s="74" t="s">
        <v>112</v>
      </c>
      <c r="H22" s="75">
        <v>16</v>
      </c>
      <c r="I22" s="76">
        <v>12</v>
      </c>
      <c r="J22" s="96">
        <f>1+1+1+1+1+1+1+2+1+2+1</f>
        <v>13</v>
      </c>
      <c r="K22" s="173">
        <f>403.41+1605.6+3697.9+1204.2+1092.81+3022.24+4486.05+4612.57</f>
        <v>20124.78</v>
      </c>
      <c r="L22" s="173">
        <f>403.41+1605.6+3697.9+1204.2+1092.81+3022.24+4486.05</f>
        <v>15512.21</v>
      </c>
      <c r="M22" s="78">
        <f t="shared" si="1"/>
        <v>4612.57</v>
      </c>
      <c r="N22" s="100">
        <f>6+1+2+2+1</f>
        <v>12</v>
      </c>
      <c r="O22" s="81">
        <f>14526.7+5595.3+2440.62+2839.24</f>
        <v>25401.86</v>
      </c>
      <c r="P22" s="81">
        <f>14526.7+5595.3+2440.62+2839.24</f>
        <v>25401.86</v>
      </c>
      <c r="Q22" s="232">
        <f t="shared" si="2"/>
        <v>0</v>
      </c>
    </row>
    <row r="23" spans="1:17" s="13" customFormat="1" x14ac:dyDescent="0.25">
      <c r="A23" s="229"/>
      <c r="B23" s="62" t="s">
        <v>25</v>
      </c>
      <c r="C23" s="181" t="s">
        <v>17</v>
      </c>
      <c r="D23" s="182"/>
      <c r="E23" s="183" t="s">
        <v>20</v>
      </c>
      <c r="F23" s="73" t="s">
        <v>455</v>
      </c>
      <c r="G23" s="230" t="s">
        <v>114</v>
      </c>
      <c r="H23" s="181">
        <v>6</v>
      </c>
      <c r="I23" s="231"/>
      <c r="J23" s="190">
        <f>1</f>
        <v>1</v>
      </c>
      <c r="K23" s="77"/>
      <c r="L23" s="77"/>
      <c r="M23" s="78">
        <f t="shared" si="1"/>
        <v>0</v>
      </c>
      <c r="N23" s="100">
        <v>3</v>
      </c>
      <c r="O23" s="224">
        <v>7219.8</v>
      </c>
      <c r="P23" s="224">
        <v>7219.8</v>
      </c>
      <c r="Q23" s="232">
        <f t="shared" si="2"/>
        <v>0</v>
      </c>
    </row>
    <row r="24" spans="1:17" s="13" customFormat="1" x14ac:dyDescent="0.25">
      <c r="A24" s="229"/>
      <c r="B24" s="62" t="s">
        <v>516</v>
      </c>
      <c r="C24" s="181"/>
      <c r="D24" s="182"/>
      <c r="E24" s="183"/>
      <c r="F24" s="73"/>
      <c r="G24" s="287" t="s">
        <v>112</v>
      </c>
      <c r="H24" s="181">
        <v>6</v>
      </c>
      <c r="I24" s="231"/>
      <c r="J24" s="190"/>
      <c r="K24" s="77"/>
      <c r="L24" s="77"/>
      <c r="M24" s="78"/>
      <c r="N24" s="100"/>
      <c r="O24" s="224"/>
      <c r="P24" s="224"/>
      <c r="Q24" s="232"/>
    </row>
    <row r="25" spans="1:17" s="13" customFormat="1" x14ac:dyDescent="0.25">
      <c r="A25" s="229"/>
      <c r="B25" s="62" t="s">
        <v>26</v>
      </c>
      <c r="C25" s="181" t="s">
        <v>17</v>
      </c>
      <c r="D25" s="182"/>
      <c r="E25" s="183" t="s">
        <v>27</v>
      </c>
      <c r="F25" s="73" t="s">
        <v>329</v>
      </c>
      <c r="G25" s="74" t="s">
        <v>112</v>
      </c>
      <c r="H25" s="75">
        <v>19</v>
      </c>
      <c r="I25" s="76">
        <v>15</v>
      </c>
      <c r="J25" s="96">
        <f>2+2+4+1+4+1+1+3</f>
        <v>18</v>
      </c>
      <c r="K25" s="77">
        <f>845.24+1056.55+5121.1+26225.35+422.62+16490.35+1457.08+1479.16+11270.02</f>
        <v>64367.47</v>
      </c>
      <c r="L25" s="77">
        <f>845.24+1056.55+5121.1+26225.35+422.62+16490.35+1457.08+1479.16+11270.02</f>
        <v>64367.47</v>
      </c>
      <c r="M25" s="78">
        <f t="shared" si="1"/>
        <v>0</v>
      </c>
      <c r="N25" s="100">
        <f>6+1+1+2+1+1</f>
        <v>12</v>
      </c>
      <c r="O25" s="81">
        <f>17838.53+2535.75+7238.9+9569.44</f>
        <v>37182.620000000003</v>
      </c>
      <c r="P25" s="81">
        <f>17838.53+2535.75+7238.9</f>
        <v>27613.18</v>
      </c>
      <c r="Q25" s="232">
        <f t="shared" si="2"/>
        <v>9569.4400000000023</v>
      </c>
    </row>
    <row r="26" spans="1:17" s="15" customFormat="1" x14ac:dyDescent="0.25">
      <c r="A26" s="229"/>
      <c r="B26" s="62" t="s">
        <v>28</v>
      </c>
      <c r="C26" s="181" t="s">
        <v>17</v>
      </c>
      <c r="D26" s="182"/>
      <c r="E26" s="194" t="s">
        <v>29</v>
      </c>
      <c r="F26" s="73" t="s">
        <v>330</v>
      </c>
      <c r="G26" s="74" t="s">
        <v>112</v>
      </c>
      <c r="H26" s="75">
        <v>10</v>
      </c>
      <c r="I26" s="76">
        <v>10</v>
      </c>
      <c r="J26" s="96">
        <f>2+1+2+1+1+1+2+1</f>
        <v>11</v>
      </c>
      <c r="K26" s="77">
        <f>6135.14+2440.63+9722.07+968.96+2258.48+3607.78</f>
        <v>25133.059999999998</v>
      </c>
      <c r="L26" s="77">
        <f>6135.14+2440.63+9722.07+968.96+2258.48+3607.78</f>
        <v>25133.059999999998</v>
      </c>
      <c r="M26" s="78">
        <f t="shared" si="1"/>
        <v>0</v>
      </c>
      <c r="N26" s="100">
        <f>3+2+4+3+1+1+3</f>
        <v>17</v>
      </c>
      <c r="O26" s="81">
        <f>5310.83+4630.52+14679.01+36087.29+8956.5+10112.26+3030.29</f>
        <v>82806.699999999983</v>
      </c>
      <c r="P26" s="81">
        <f>5310.83+4630.52+14679.01+36087.29+8956.5+10112.26+3030.29</f>
        <v>82806.699999999983</v>
      </c>
      <c r="Q26" s="232">
        <f t="shared" si="2"/>
        <v>0</v>
      </c>
    </row>
    <row r="27" spans="1:17" s="15" customFormat="1" x14ac:dyDescent="0.25">
      <c r="A27" s="229"/>
      <c r="B27" s="62" t="s">
        <v>28</v>
      </c>
      <c r="C27" s="181" t="s">
        <v>17</v>
      </c>
      <c r="D27" s="182"/>
      <c r="E27" s="194" t="s">
        <v>29</v>
      </c>
      <c r="F27" s="73" t="s">
        <v>420</v>
      </c>
      <c r="G27" s="235" t="s">
        <v>117</v>
      </c>
      <c r="H27" s="181">
        <v>2</v>
      </c>
      <c r="I27" s="231"/>
      <c r="J27" s="96"/>
      <c r="K27" s="77"/>
      <c r="L27" s="77"/>
      <c r="M27" s="78">
        <f t="shared" si="1"/>
        <v>0</v>
      </c>
      <c r="N27" s="100">
        <v>2</v>
      </c>
      <c r="O27" s="224">
        <v>2766.24</v>
      </c>
      <c r="P27" s="224">
        <v>2766.24</v>
      </c>
      <c r="Q27" s="79">
        <f t="shared" si="2"/>
        <v>0</v>
      </c>
    </row>
    <row r="28" spans="1:17" s="15" customFormat="1" x14ac:dyDescent="0.25">
      <c r="A28" s="229"/>
      <c r="B28" s="233" t="s">
        <v>500</v>
      </c>
      <c r="C28" s="181" t="s">
        <v>17</v>
      </c>
      <c r="D28" s="182"/>
      <c r="E28" s="194"/>
      <c r="F28" s="73" t="s">
        <v>503</v>
      </c>
      <c r="G28" s="235" t="s">
        <v>112</v>
      </c>
      <c r="H28" s="181">
        <v>28</v>
      </c>
      <c r="I28" s="231">
        <v>17</v>
      </c>
      <c r="J28" s="96">
        <f>2+2+2+1+3+5+2+1+5+1</f>
        <v>24</v>
      </c>
      <c r="K28" s="77">
        <f>1202.51+3555.1+602.1+708.47+7232.25+1003.5+1938.63+15028.21</f>
        <v>31270.77</v>
      </c>
      <c r="L28" s="77">
        <f>1202.51+3555.1+602.1+708.47+7232.25+1003.5+1938.63</f>
        <v>16242.560000000001</v>
      </c>
      <c r="M28" s="78">
        <f t="shared" si="1"/>
        <v>15028.21</v>
      </c>
      <c r="N28" s="100">
        <f>1</f>
        <v>1</v>
      </c>
      <c r="O28" s="224"/>
      <c r="P28" s="224"/>
      <c r="Q28" s="79">
        <f t="shared" si="2"/>
        <v>0</v>
      </c>
    </row>
    <row r="29" spans="1:17" s="13" customFormat="1" x14ac:dyDescent="0.25">
      <c r="A29" s="229"/>
      <c r="B29" s="27" t="s">
        <v>30</v>
      </c>
      <c r="C29" s="181" t="s">
        <v>17</v>
      </c>
      <c r="D29" s="182"/>
      <c r="E29" s="194" t="s">
        <v>21</v>
      </c>
      <c r="F29" s="73" t="s">
        <v>333</v>
      </c>
      <c r="G29" s="74" t="s">
        <v>112</v>
      </c>
      <c r="H29" s="75">
        <v>23</v>
      </c>
      <c r="I29" s="76">
        <v>15</v>
      </c>
      <c r="J29" s="96">
        <f>3+1+3+1+4+1+1+2+1+3</f>
        <v>20</v>
      </c>
      <c r="K29" s="77">
        <f>16637.24+1045.98+2789.73+1629.68+3146.97</f>
        <v>25249.600000000002</v>
      </c>
      <c r="L29" s="77">
        <f>16637.24+1045.98+2789.73+1629.68+3146.97</f>
        <v>25249.600000000002</v>
      </c>
      <c r="M29" s="78">
        <f t="shared" si="1"/>
        <v>0</v>
      </c>
      <c r="N29" s="100">
        <f>9+1+3+1+1+1+2+1+1+2+1+1</f>
        <v>24</v>
      </c>
      <c r="O29" s="81">
        <f>77047.8+15703.07+7288.94+1341.33+1730.62</f>
        <v>103111.76</v>
      </c>
      <c r="P29" s="81">
        <f>77047.8+15703.07+7288.94+1341.33+1730.62</f>
        <v>103111.76</v>
      </c>
      <c r="Q29" s="79">
        <f>O29-P29</f>
        <v>0</v>
      </c>
    </row>
    <row r="30" spans="1:17" s="13" customFormat="1" x14ac:dyDescent="0.25">
      <c r="A30" s="229"/>
      <c r="B30" s="27" t="s">
        <v>491</v>
      </c>
      <c r="C30" s="181" t="s">
        <v>17</v>
      </c>
      <c r="D30" s="182"/>
      <c r="E30" s="183" t="s">
        <v>20</v>
      </c>
      <c r="F30" s="73" t="s">
        <v>495</v>
      </c>
      <c r="G30" s="74" t="s">
        <v>112</v>
      </c>
      <c r="H30" s="75">
        <v>17</v>
      </c>
      <c r="I30" s="76">
        <v>10</v>
      </c>
      <c r="J30" s="96">
        <f>2+2+1+1+1+1+1+1</f>
        <v>10</v>
      </c>
      <c r="K30" s="77">
        <f>1727.9+2093.89+728.54+3535.53+2649.24+401.4</f>
        <v>11136.5</v>
      </c>
      <c r="L30" s="77">
        <f>1727.9+2093.89+728.54+3535.53</f>
        <v>8085.8600000000006</v>
      </c>
      <c r="M30" s="78">
        <f t="shared" si="1"/>
        <v>3050.6399999999994</v>
      </c>
      <c r="N30" s="100"/>
      <c r="O30" s="81"/>
      <c r="P30" s="81"/>
      <c r="Q30" s="79">
        <f t="shared" si="2"/>
        <v>0</v>
      </c>
    </row>
    <row r="31" spans="1:17" s="13" customFormat="1" x14ac:dyDescent="0.25">
      <c r="A31" s="229"/>
      <c r="B31" s="27" t="s">
        <v>491</v>
      </c>
      <c r="C31" s="181" t="s">
        <v>17</v>
      </c>
      <c r="D31" s="182"/>
      <c r="E31" s="183" t="s">
        <v>20</v>
      </c>
      <c r="F31" s="73" t="s">
        <v>504</v>
      </c>
      <c r="G31" s="74" t="s">
        <v>114</v>
      </c>
      <c r="H31" s="75">
        <v>8</v>
      </c>
      <c r="I31" s="76">
        <v>1</v>
      </c>
      <c r="J31" s="96">
        <v>1</v>
      </c>
      <c r="K31" s="77">
        <v>1267.8599999999999</v>
      </c>
      <c r="L31" s="77">
        <v>1267.8599999999999</v>
      </c>
      <c r="M31" s="78">
        <f t="shared" si="1"/>
        <v>0</v>
      </c>
      <c r="N31" s="100"/>
      <c r="O31" s="81"/>
      <c r="P31" s="81"/>
      <c r="Q31" s="232">
        <f t="shared" si="2"/>
        <v>0</v>
      </c>
    </row>
    <row r="32" spans="1:17" s="13" customFormat="1" x14ac:dyDescent="0.25">
      <c r="A32" s="229"/>
      <c r="B32" s="27" t="s">
        <v>491</v>
      </c>
      <c r="C32" s="181" t="s">
        <v>17</v>
      </c>
      <c r="D32" s="182"/>
      <c r="E32" s="183"/>
      <c r="F32" s="73" t="s">
        <v>510</v>
      </c>
      <c r="G32" s="235" t="s">
        <v>117</v>
      </c>
      <c r="H32" s="75">
        <v>1</v>
      </c>
      <c r="I32" s="76"/>
      <c r="J32" s="96"/>
      <c r="K32" s="77"/>
      <c r="L32" s="77"/>
      <c r="M32" s="78">
        <f t="shared" si="1"/>
        <v>0</v>
      </c>
      <c r="N32" s="100"/>
      <c r="O32" s="81"/>
      <c r="P32" s="81"/>
      <c r="Q32" s="232">
        <f t="shared" si="2"/>
        <v>0</v>
      </c>
    </row>
    <row r="33" spans="1:17" s="13" customFormat="1" x14ac:dyDescent="0.25">
      <c r="A33" s="229"/>
      <c r="B33" s="30" t="s">
        <v>31</v>
      </c>
      <c r="C33" s="181" t="s">
        <v>17</v>
      </c>
      <c r="D33" s="182"/>
      <c r="E33" s="183" t="s">
        <v>32</v>
      </c>
      <c r="F33" s="73" t="s">
        <v>331</v>
      </c>
      <c r="G33" s="74" t="s">
        <v>112</v>
      </c>
      <c r="H33" s="75">
        <v>17</v>
      </c>
      <c r="I33" s="76">
        <v>14</v>
      </c>
      <c r="J33" s="96">
        <f>1+2+3+1+4+3+3+3</f>
        <v>20</v>
      </c>
      <c r="K33" s="77">
        <f>633.93+1045.98+5377.62+950.9+6004.09+4598.82+8410.14+1846.04+4737.83</f>
        <v>33605.35</v>
      </c>
      <c r="L33" s="77">
        <f>633.93+1045.98+5377.62+950.9+6004.09+4598.82+8410.14+1846.04</f>
        <v>28867.52</v>
      </c>
      <c r="M33" s="78">
        <f t="shared" si="1"/>
        <v>4737.8299999999981</v>
      </c>
      <c r="N33" s="100">
        <f>1+3+3+1+1+2+1</f>
        <v>12</v>
      </c>
      <c r="O33" s="81">
        <f>2299.8+15239.58+6152.75+2720.49+1483.38+7043.49+11175.04</f>
        <v>46114.530000000006</v>
      </c>
      <c r="P33" s="81">
        <f>2299.8+15239.58+6152.75+2720.49+1483.38+7043.49+11175.04</f>
        <v>46114.530000000006</v>
      </c>
      <c r="Q33" s="232">
        <f t="shared" si="2"/>
        <v>0</v>
      </c>
    </row>
    <row r="34" spans="1:17" s="13" customFormat="1" x14ac:dyDescent="0.25">
      <c r="A34" s="229"/>
      <c r="B34" s="30" t="s">
        <v>31</v>
      </c>
      <c r="C34" s="181" t="s">
        <v>17</v>
      </c>
      <c r="D34" s="182"/>
      <c r="E34" s="183" t="s">
        <v>32</v>
      </c>
      <c r="F34" s="73" t="s">
        <v>422</v>
      </c>
      <c r="G34" s="235" t="s">
        <v>117</v>
      </c>
      <c r="H34" s="181">
        <v>16</v>
      </c>
      <c r="I34" s="231">
        <v>4</v>
      </c>
      <c r="J34" s="96">
        <v>4</v>
      </c>
      <c r="K34" s="77">
        <v>9994.9</v>
      </c>
      <c r="L34" s="77">
        <v>7586.5</v>
      </c>
      <c r="M34" s="78">
        <f t="shared" si="1"/>
        <v>2408.3999999999996</v>
      </c>
      <c r="N34" s="100">
        <v>10</v>
      </c>
      <c r="O34" s="77">
        <v>21507.42</v>
      </c>
      <c r="P34" s="77">
        <v>21507.42</v>
      </c>
      <c r="Q34" s="232">
        <f t="shared" si="2"/>
        <v>0</v>
      </c>
    </row>
    <row r="35" spans="1:17" s="15" customFormat="1" x14ac:dyDescent="0.25">
      <c r="A35" s="229"/>
      <c r="B35" s="62" t="s">
        <v>33</v>
      </c>
      <c r="C35" s="181" t="s">
        <v>17</v>
      </c>
      <c r="D35" s="182"/>
      <c r="E35" s="183" t="s">
        <v>20</v>
      </c>
      <c r="F35" s="73" t="s">
        <v>332</v>
      </c>
      <c r="G35" s="74" t="s">
        <v>112</v>
      </c>
      <c r="H35" s="75">
        <v>12</v>
      </c>
      <c r="I35" s="76">
        <v>9</v>
      </c>
      <c r="J35" s="96">
        <f>1+1+1+1+1+2+1+1+1</f>
        <v>10</v>
      </c>
      <c r="K35" s="77">
        <f>845.245+5363.43+5912.72+845.24+12887.16+2852.15+6514.08</f>
        <v>35220.025000000001</v>
      </c>
      <c r="L35" s="77">
        <f>845.245+5363.43+5912.72+845.24+12887.16+2852.15+6514.08</f>
        <v>35220.025000000001</v>
      </c>
      <c r="M35" s="78">
        <f t="shared" si="1"/>
        <v>0</v>
      </c>
      <c r="N35" s="100">
        <f>2+1+1+1+1+2+1+1+1</f>
        <v>11</v>
      </c>
      <c r="O35" s="81">
        <f>845.24+1613.64+3380.96+3639.33+1152.6</f>
        <v>10631.77</v>
      </c>
      <c r="P35" s="81">
        <f>845.24+1613.64+3380.96+3639.33+1152.6</f>
        <v>10631.77</v>
      </c>
      <c r="Q35" s="79">
        <f t="shared" si="2"/>
        <v>0</v>
      </c>
    </row>
    <row r="36" spans="1:17" s="15" customFormat="1" x14ac:dyDescent="0.25">
      <c r="A36" s="229"/>
      <c r="B36" s="62" t="s">
        <v>33</v>
      </c>
      <c r="C36" s="181" t="s">
        <v>17</v>
      </c>
      <c r="D36" s="182"/>
      <c r="E36" s="183" t="s">
        <v>20</v>
      </c>
      <c r="F36" s="73" t="s">
        <v>481</v>
      </c>
      <c r="G36" s="230" t="s">
        <v>114</v>
      </c>
      <c r="H36" s="181">
        <v>8</v>
      </c>
      <c r="I36" s="231">
        <v>1</v>
      </c>
      <c r="J36" s="190">
        <v>1</v>
      </c>
      <c r="K36" s="77">
        <v>3472.11</v>
      </c>
      <c r="L36" s="77">
        <v>3472.11</v>
      </c>
      <c r="M36" s="78">
        <f t="shared" si="1"/>
        <v>0</v>
      </c>
      <c r="N36" s="100">
        <v>15</v>
      </c>
      <c r="O36" s="224">
        <v>43782.74</v>
      </c>
      <c r="P36" s="224">
        <v>43782.74</v>
      </c>
      <c r="Q36" s="232">
        <f t="shared" si="2"/>
        <v>0</v>
      </c>
    </row>
    <row r="37" spans="1:17" s="15" customFormat="1" x14ac:dyDescent="0.25">
      <c r="A37" s="229"/>
      <c r="B37" s="62" t="s">
        <v>147</v>
      </c>
      <c r="C37" s="181" t="s">
        <v>17</v>
      </c>
      <c r="D37" s="182"/>
      <c r="E37" s="183" t="s">
        <v>29</v>
      </c>
      <c r="F37" s="73" t="s">
        <v>334</v>
      </c>
      <c r="G37" s="74" t="s">
        <v>112</v>
      </c>
      <c r="H37" s="75">
        <v>9</v>
      </c>
      <c r="I37" s="234">
        <v>6</v>
      </c>
      <c r="J37" s="96">
        <f>1+1+2+1+3</f>
        <v>8</v>
      </c>
      <c r="K37" s="77">
        <f>1854.88+2824.48+3058.67</f>
        <v>7738.0300000000007</v>
      </c>
      <c r="L37" s="77">
        <f>1854.88+2824.48+3058.67</f>
        <v>7738.0300000000007</v>
      </c>
      <c r="M37" s="78">
        <f t="shared" si="1"/>
        <v>0</v>
      </c>
      <c r="N37" s="114">
        <f>1+1+1</f>
        <v>3</v>
      </c>
      <c r="O37" s="81">
        <f>1394.65+2473.17+1961.49</f>
        <v>5829.31</v>
      </c>
      <c r="P37" s="81">
        <f>1394.65+2473.17+1961.49</f>
        <v>5829.31</v>
      </c>
      <c r="Q37" s="79">
        <f t="shared" si="2"/>
        <v>0</v>
      </c>
    </row>
    <row r="38" spans="1:17" s="15" customFormat="1" x14ac:dyDescent="0.25">
      <c r="A38" s="229"/>
      <c r="B38" s="233" t="s">
        <v>147</v>
      </c>
      <c r="C38" s="181" t="s">
        <v>17</v>
      </c>
      <c r="D38" s="182"/>
      <c r="E38" s="183" t="s">
        <v>29</v>
      </c>
      <c r="F38" s="73" t="s">
        <v>423</v>
      </c>
      <c r="G38" s="230" t="s">
        <v>117</v>
      </c>
      <c r="H38" s="181">
        <v>11</v>
      </c>
      <c r="I38" s="231">
        <v>4</v>
      </c>
      <c r="J38" s="96">
        <v>4</v>
      </c>
      <c r="K38" s="77">
        <v>6847.1</v>
      </c>
      <c r="L38" s="77">
        <v>6847.1</v>
      </c>
      <c r="M38" s="78">
        <f t="shared" si="1"/>
        <v>0</v>
      </c>
      <c r="N38" s="100">
        <v>4</v>
      </c>
      <c r="O38" s="224">
        <v>4706.45</v>
      </c>
      <c r="P38" s="224">
        <v>4706.45</v>
      </c>
      <c r="Q38" s="232">
        <f t="shared" si="2"/>
        <v>0</v>
      </c>
    </row>
    <row r="39" spans="1:17" s="13" customFormat="1" x14ac:dyDescent="0.25">
      <c r="A39" s="229"/>
      <c r="B39" s="62" t="s">
        <v>34</v>
      </c>
      <c r="C39" s="181" t="s">
        <v>17</v>
      </c>
      <c r="D39" s="182"/>
      <c r="E39" s="194" t="s">
        <v>35</v>
      </c>
      <c r="F39" s="73" t="s">
        <v>335</v>
      </c>
      <c r="G39" s="74" t="s">
        <v>112</v>
      </c>
      <c r="H39" s="75">
        <v>33</v>
      </c>
      <c r="I39" s="76">
        <v>20</v>
      </c>
      <c r="J39" s="96">
        <f>4+2+2+7+4+1+1+2</f>
        <v>23</v>
      </c>
      <c r="K39" s="77">
        <f>8288.4+1267.86+845.24+13964.6+11418.26+21175.62+1092.81+2207.7+6312.67</f>
        <v>66573.159999999989</v>
      </c>
      <c r="L39" s="77">
        <f>8288.4+1267.86+845.24+13964.6+11418.26+21175.62+1092.81+2207.7</f>
        <v>60260.489999999991</v>
      </c>
      <c r="M39" s="78">
        <f t="shared" si="1"/>
        <v>6312.6699999999983</v>
      </c>
      <c r="N39" s="100">
        <f>4+4+6+1+3+1+3+1+2+1+1</f>
        <v>27</v>
      </c>
      <c r="O39" s="81">
        <f>23915.04+21171.88+6399.1+11460.81+1501.24+2795.71</f>
        <v>67243.78</v>
      </c>
      <c r="P39" s="81">
        <f>23915.04+21171.88+6399.1+11460.81+1501.24+2795.71</f>
        <v>67243.78</v>
      </c>
      <c r="Q39" s="79">
        <f t="shared" si="2"/>
        <v>0</v>
      </c>
    </row>
    <row r="40" spans="1:17" s="13" customFormat="1" x14ac:dyDescent="0.25">
      <c r="A40" s="229"/>
      <c r="B40" s="62" t="s">
        <v>34</v>
      </c>
      <c r="C40" s="181" t="s">
        <v>17</v>
      </c>
      <c r="D40" s="182"/>
      <c r="E40" s="194" t="s">
        <v>35</v>
      </c>
      <c r="F40" s="73" t="s">
        <v>424</v>
      </c>
      <c r="G40" s="235" t="s">
        <v>117</v>
      </c>
      <c r="H40" s="181">
        <v>2</v>
      </c>
      <c r="I40" s="231">
        <v>1</v>
      </c>
      <c r="J40" s="96">
        <v>2</v>
      </c>
      <c r="K40" s="77">
        <v>3842</v>
      </c>
      <c r="L40" s="77">
        <v>3842</v>
      </c>
      <c r="M40" s="78">
        <f t="shared" si="1"/>
        <v>0</v>
      </c>
      <c r="N40" s="100">
        <v>3</v>
      </c>
      <c r="O40" s="224">
        <v>9220.7999999999993</v>
      </c>
      <c r="P40" s="224">
        <v>9220.7999999999993</v>
      </c>
      <c r="Q40" s="232">
        <f t="shared" si="2"/>
        <v>0</v>
      </c>
    </row>
    <row r="41" spans="1:17" s="13" customFormat="1" x14ac:dyDescent="0.25">
      <c r="A41" s="229"/>
      <c r="B41" s="27" t="s">
        <v>36</v>
      </c>
      <c r="C41" s="181" t="s">
        <v>17</v>
      </c>
      <c r="D41" s="182"/>
      <c r="E41" s="194" t="s">
        <v>32</v>
      </c>
      <c r="F41" s="73" t="s">
        <v>336</v>
      </c>
      <c r="G41" s="74" t="s">
        <v>112</v>
      </c>
      <c r="H41" s="75">
        <v>28</v>
      </c>
      <c r="I41" s="76">
        <v>21</v>
      </c>
      <c r="J41" s="96">
        <f>1+3+4+2+2+7+6+2</f>
        <v>27</v>
      </c>
      <c r="K41" s="77">
        <f>2091.97+4201.22+3643.94+998.92+6188.59+7556.35+3399.86</f>
        <v>28080.85</v>
      </c>
      <c r="L41" s="77">
        <f>2091.97+4201.22+3643.94+998.92+6188.59+7556.35</f>
        <v>24680.989999999998</v>
      </c>
      <c r="M41" s="78">
        <f t="shared" si="1"/>
        <v>3399.8600000000006</v>
      </c>
      <c r="N41" s="100">
        <f>4+2+5+1+1+4+1+1</f>
        <v>19</v>
      </c>
      <c r="O41" s="81">
        <f>26828.22+3116.2+14162+4691+13237.22+22342.31+1888.86</f>
        <v>86265.81</v>
      </c>
      <c r="P41" s="81">
        <f>26828.22+3116.2+14162+4691+13237.22+22342.31+1888.86</f>
        <v>86265.81</v>
      </c>
      <c r="Q41" s="79">
        <f t="shared" si="2"/>
        <v>0</v>
      </c>
    </row>
    <row r="42" spans="1:17" s="13" customFormat="1" x14ac:dyDescent="0.25">
      <c r="A42" s="229"/>
      <c r="B42" s="27" t="s">
        <v>38</v>
      </c>
      <c r="C42" s="181" t="s">
        <v>17</v>
      </c>
      <c r="D42" s="182"/>
      <c r="E42" s="183" t="s">
        <v>20</v>
      </c>
      <c r="F42" s="73" t="s">
        <v>338</v>
      </c>
      <c r="G42" s="74" t="s">
        <v>112</v>
      </c>
      <c r="H42" s="75">
        <v>47</v>
      </c>
      <c r="I42" s="76">
        <v>40</v>
      </c>
      <c r="J42" s="96">
        <f>5+9+3+4+4+2+3+3+11+3+4+4+1</f>
        <v>56</v>
      </c>
      <c r="K42" s="77">
        <f>4427.07+14262.52+23391.74+11108.38+9141.17+3923.07+23674.29+5445.61</f>
        <v>95373.849999999991</v>
      </c>
      <c r="L42" s="77">
        <f>4427.07+14262.52+23391.74+11108.38+9141.17+3923.07+23674.29+5445.61</f>
        <v>95373.849999999991</v>
      </c>
      <c r="M42" s="78">
        <f t="shared" si="1"/>
        <v>0</v>
      </c>
      <c r="N42" s="100">
        <f>1+14+2+2+2+3+1+1+2+1</f>
        <v>29</v>
      </c>
      <c r="O42" s="81">
        <f>34449.99+27363.78+23604.86+16739.26+15240.34+16003.48+4203.85</f>
        <v>137605.56</v>
      </c>
      <c r="P42" s="81">
        <f>34449.99+27363.78+23604.86+16739.26+15240.34+16003.48+4203.85</f>
        <v>137605.56</v>
      </c>
      <c r="Q42" s="79">
        <f t="shared" si="2"/>
        <v>0</v>
      </c>
    </row>
    <row r="43" spans="1:17" s="13" customFormat="1" x14ac:dyDescent="0.25">
      <c r="A43" s="229"/>
      <c r="B43" s="27" t="s">
        <v>38</v>
      </c>
      <c r="C43" s="181" t="s">
        <v>17</v>
      </c>
      <c r="D43" s="182"/>
      <c r="E43" s="183" t="s">
        <v>20</v>
      </c>
      <c r="F43" s="73" t="s">
        <v>268</v>
      </c>
      <c r="G43" s="230" t="s">
        <v>114</v>
      </c>
      <c r="H43" s="181"/>
      <c r="I43" s="231"/>
      <c r="J43" s="190"/>
      <c r="K43" s="77"/>
      <c r="L43" s="77"/>
      <c r="M43" s="78">
        <f t="shared" si="1"/>
        <v>0</v>
      </c>
      <c r="N43" s="100"/>
      <c r="O43" s="224"/>
      <c r="P43" s="224"/>
      <c r="Q43" s="232">
        <f t="shared" si="2"/>
        <v>0</v>
      </c>
    </row>
    <row r="44" spans="1:17" s="13" customFormat="1" x14ac:dyDescent="0.25">
      <c r="A44" s="229"/>
      <c r="B44" s="27" t="s">
        <v>38</v>
      </c>
      <c r="C44" s="181" t="s">
        <v>17</v>
      </c>
      <c r="D44" s="182"/>
      <c r="E44" s="183" t="s">
        <v>18</v>
      </c>
      <c r="F44" s="73" t="s">
        <v>324</v>
      </c>
      <c r="G44" s="230" t="s">
        <v>116</v>
      </c>
      <c r="H44" s="181">
        <v>3</v>
      </c>
      <c r="I44" s="231">
        <v>3</v>
      </c>
      <c r="J44" s="190">
        <v>3</v>
      </c>
      <c r="K44" s="77">
        <v>4098</v>
      </c>
      <c r="L44" s="77">
        <v>4098</v>
      </c>
      <c r="M44" s="78">
        <f t="shared" si="1"/>
        <v>0</v>
      </c>
      <c r="N44" s="100"/>
      <c r="O44" s="224"/>
      <c r="P44" s="224"/>
      <c r="Q44" s="232">
        <f t="shared" si="2"/>
        <v>0</v>
      </c>
    </row>
    <row r="45" spans="1:17" s="13" customFormat="1" x14ac:dyDescent="0.25">
      <c r="A45" s="229"/>
      <c r="B45" s="62" t="s">
        <v>39</v>
      </c>
      <c r="C45" s="181" t="s">
        <v>17</v>
      </c>
      <c r="D45" s="182"/>
      <c r="E45" s="183" t="s">
        <v>20</v>
      </c>
      <c r="F45" s="73" t="s">
        <v>269</v>
      </c>
      <c r="G45" s="230" t="s">
        <v>114</v>
      </c>
      <c r="H45" s="181"/>
      <c r="I45" s="231"/>
      <c r="J45" s="190"/>
      <c r="K45" s="77"/>
      <c r="L45" s="77"/>
      <c r="M45" s="78">
        <f t="shared" si="1"/>
        <v>0</v>
      </c>
      <c r="N45" s="100"/>
      <c r="O45" s="224"/>
      <c r="P45" s="224"/>
      <c r="Q45" s="232">
        <f t="shared" si="2"/>
        <v>0</v>
      </c>
    </row>
    <row r="46" spans="1:17" s="13" customFormat="1" x14ac:dyDescent="0.25">
      <c r="A46" s="229"/>
      <c r="B46" s="27" t="s">
        <v>40</v>
      </c>
      <c r="C46" s="181" t="s">
        <v>17</v>
      </c>
      <c r="D46" s="182"/>
      <c r="E46" s="194" t="s">
        <v>41</v>
      </c>
      <c r="F46" s="73" t="s">
        <v>339</v>
      </c>
      <c r="G46" s="74" t="s">
        <v>112</v>
      </c>
      <c r="H46" s="75">
        <v>28</v>
      </c>
      <c r="I46" s="76">
        <v>23</v>
      </c>
      <c r="J46" s="96">
        <f>1+1+3+9+4+4+3+2+1+1+2+3+3</f>
        <v>37</v>
      </c>
      <c r="K46" s="77">
        <f>1045.98+12271.86+15658.52+8166.35+6035.99+8024.36+2759.63+3460.61+3962.12+3444.02</f>
        <v>64829.439999999995</v>
      </c>
      <c r="L46" s="77">
        <f>1045.98+12271.86+15658.52+8166.35+6035.99+8024.36+2759.63+3460.61+3962.12+3444.02</f>
        <v>64829.439999999995</v>
      </c>
      <c r="M46" s="78">
        <f t="shared" si="1"/>
        <v>0</v>
      </c>
      <c r="N46" s="100">
        <f>3+13+6+5+4+2+1+1+1</f>
        <v>36</v>
      </c>
      <c r="O46" s="81">
        <f>17269.31+39990.78+16582.12+23492.44+7068.31+4243.84</f>
        <v>108646.79999999999</v>
      </c>
      <c r="P46" s="81">
        <f>17269.31+39990.78+16582.12+23492.44+7068.31+4243.84</f>
        <v>108646.79999999999</v>
      </c>
      <c r="Q46" s="79">
        <f t="shared" si="2"/>
        <v>0</v>
      </c>
    </row>
    <row r="47" spans="1:17" s="13" customFormat="1" x14ac:dyDescent="0.25">
      <c r="A47" s="229"/>
      <c r="B47" s="27" t="s">
        <v>40</v>
      </c>
      <c r="C47" s="181" t="s">
        <v>17</v>
      </c>
      <c r="D47" s="182"/>
      <c r="E47" s="194" t="s">
        <v>41</v>
      </c>
      <c r="F47" s="73" t="s">
        <v>482</v>
      </c>
      <c r="G47" s="230" t="s">
        <v>114</v>
      </c>
      <c r="H47" s="181"/>
      <c r="I47" s="231"/>
      <c r="J47" s="190"/>
      <c r="K47" s="77"/>
      <c r="L47" s="77"/>
      <c r="M47" s="78">
        <f t="shared" si="1"/>
        <v>0</v>
      </c>
      <c r="N47" s="100">
        <v>1</v>
      </c>
      <c r="O47" s="224">
        <v>3073.6</v>
      </c>
      <c r="P47" s="224">
        <f>3073.6</f>
        <v>3073.6</v>
      </c>
      <c r="Q47" s="232">
        <f t="shared" si="2"/>
        <v>0</v>
      </c>
    </row>
    <row r="48" spans="1:17" s="13" customFormat="1" x14ac:dyDescent="0.25">
      <c r="A48" s="229"/>
      <c r="B48" s="27" t="s">
        <v>148</v>
      </c>
      <c r="C48" s="181" t="s">
        <v>17</v>
      </c>
      <c r="D48" s="182"/>
      <c r="E48" s="183" t="s">
        <v>20</v>
      </c>
      <c r="F48" s="73" t="s">
        <v>340</v>
      </c>
      <c r="G48" s="74" t="s">
        <v>112</v>
      </c>
      <c r="H48" s="75">
        <v>21</v>
      </c>
      <c r="I48" s="82">
        <v>15</v>
      </c>
      <c r="J48" s="96">
        <f>1+2+1+4+4+2+3</f>
        <v>17</v>
      </c>
      <c r="K48" s="77">
        <f>537.88+2110.03+6723.98+8914.21+1204.2+602.1+903.15</f>
        <v>20995.55</v>
      </c>
      <c r="L48" s="77">
        <f>537.88+2110.03+6723.98+8914.21+1204.2+602.1</f>
        <v>20092.399999999998</v>
      </c>
      <c r="M48" s="78">
        <f t="shared" si="1"/>
        <v>903.15000000000146</v>
      </c>
      <c r="N48" s="100">
        <f>6+5+3+1+1+1+1</f>
        <v>18</v>
      </c>
      <c r="O48" s="81">
        <f>9370.6+9456.38+8868.69+5367.27+11572.62</f>
        <v>44635.560000000005</v>
      </c>
      <c r="P48" s="81">
        <f>9370.6+9456.38+8868.69+5367.27+11572.62</f>
        <v>44635.560000000005</v>
      </c>
      <c r="Q48" s="79">
        <f t="shared" si="2"/>
        <v>0</v>
      </c>
    </row>
    <row r="49" spans="1:17" s="13" customFormat="1" x14ac:dyDescent="0.25">
      <c r="A49" s="229"/>
      <c r="B49" s="27" t="s">
        <v>148</v>
      </c>
      <c r="C49" s="181" t="s">
        <v>17</v>
      </c>
      <c r="D49" s="182"/>
      <c r="E49" s="194" t="s">
        <v>32</v>
      </c>
      <c r="F49" s="73" t="s">
        <v>425</v>
      </c>
      <c r="G49" s="230" t="s">
        <v>117</v>
      </c>
      <c r="H49" s="181">
        <v>12</v>
      </c>
      <c r="I49" s="231">
        <v>4</v>
      </c>
      <c r="J49" s="96">
        <v>4</v>
      </c>
      <c r="K49" s="77">
        <v>13707.82</v>
      </c>
      <c r="L49" s="77">
        <v>5760.1</v>
      </c>
      <c r="M49" s="78">
        <f t="shared" si="1"/>
        <v>7947.7199999999993</v>
      </c>
      <c r="N49" s="100">
        <v>4</v>
      </c>
      <c r="O49" s="224">
        <v>12851.49</v>
      </c>
      <c r="P49" s="224">
        <v>12851.49</v>
      </c>
      <c r="Q49" s="232">
        <f t="shared" si="2"/>
        <v>0</v>
      </c>
    </row>
    <row r="50" spans="1:17" s="13" customFormat="1" x14ac:dyDescent="0.25">
      <c r="A50" s="229"/>
      <c r="B50" s="30" t="s">
        <v>42</v>
      </c>
      <c r="C50" s="181" t="s">
        <v>17</v>
      </c>
      <c r="D50" s="182"/>
      <c r="E50" s="183" t="s">
        <v>23</v>
      </c>
      <c r="F50" s="73" t="s">
        <v>341</v>
      </c>
      <c r="G50" s="74" t="s">
        <v>112</v>
      </c>
      <c r="H50" s="75">
        <v>36</v>
      </c>
      <c r="I50" s="76">
        <v>30</v>
      </c>
      <c r="J50" s="96">
        <f>5+3+5+3+8+3+8+5</f>
        <v>40</v>
      </c>
      <c r="K50" s="77">
        <f>7156.22+3849.11+8154.25+4149.36+15912.38+18649.91</f>
        <v>57871.229999999996</v>
      </c>
      <c r="L50" s="77">
        <f>7156.22+3849.11+8154.25+4149.36+15912.38+18649.91</f>
        <v>57871.229999999996</v>
      </c>
      <c r="M50" s="78">
        <f t="shared" si="1"/>
        <v>0</v>
      </c>
      <c r="N50" s="100">
        <f>4+6+9+2+4+2+2+3+3+2</f>
        <v>37</v>
      </c>
      <c r="O50" s="81">
        <f>5364.2+26170.88+2849.25+18965.6+9565.56+9423.5+18214.56</f>
        <v>90553.549999999988</v>
      </c>
      <c r="P50" s="81">
        <f>5364.2+26170.88+2849.25+18965.6+9565.56+9423.5+18214.56</f>
        <v>90553.549999999988</v>
      </c>
      <c r="Q50" s="79">
        <f t="shared" si="2"/>
        <v>0</v>
      </c>
    </row>
    <row r="51" spans="1:17" s="13" customFormat="1" x14ac:dyDescent="0.25">
      <c r="A51" s="229"/>
      <c r="B51" s="30" t="s">
        <v>42</v>
      </c>
      <c r="C51" s="181" t="s">
        <v>17</v>
      </c>
      <c r="D51" s="182"/>
      <c r="E51" s="183" t="s">
        <v>23</v>
      </c>
      <c r="F51" s="73" t="s">
        <v>437</v>
      </c>
      <c r="G51" s="230" t="s">
        <v>118</v>
      </c>
      <c r="H51" s="181">
        <v>2</v>
      </c>
      <c r="I51" s="231"/>
      <c r="J51" s="96"/>
      <c r="K51" s="77"/>
      <c r="L51" s="77"/>
      <c r="M51" s="78">
        <f t="shared" si="1"/>
        <v>0</v>
      </c>
      <c r="N51" s="100">
        <v>1</v>
      </c>
      <c r="O51" s="224">
        <v>7766.4</v>
      </c>
      <c r="P51" s="224">
        <v>7766.4</v>
      </c>
      <c r="Q51" s="232">
        <f t="shared" si="2"/>
        <v>0</v>
      </c>
    </row>
    <row r="52" spans="1:17" s="13" customFormat="1" x14ac:dyDescent="0.25">
      <c r="A52" s="229"/>
      <c r="B52" s="30" t="s">
        <v>173</v>
      </c>
      <c r="C52" s="181" t="s">
        <v>17</v>
      </c>
      <c r="D52" s="182"/>
      <c r="E52" s="230" t="s">
        <v>118</v>
      </c>
      <c r="F52" s="73" t="s">
        <v>342</v>
      </c>
      <c r="G52" s="74" t="s">
        <v>112</v>
      </c>
      <c r="H52" s="75">
        <v>4</v>
      </c>
      <c r="I52" s="76">
        <v>4</v>
      </c>
      <c r="J52" s="96">
        <f>1+2+1</f>
        <v>4</v>
      </c>
      <c r="K52" s="77">
        <f>6833.76+696.36</f>
        <v>7530.12</v>
      </c>
      <c r="L52" s="77">
        <f>6833.76+696.36</f>
        <v>7530.12</v>
      </c>
      <c r="M52" s="78">
        <f t="shared" si="1"/>
        <v>0</v>
      </c>
      <c r="N52" s="100">
        <f>4+2</f>
        <v>6</v>
      </c>
      <c r="O52" s="81">
        <f>5931.9+4183.92+3158.95</f>
        <v>13274.77</v>
      </c>
      <c r="P52" s="81">
        <f>5931.9+4183.92+3158.95</f>
        <v>13274.77</v>
      </c>
      <c r="Q52" s="79">
        <f t="shared" si="2"/>
        <v>0</v>
      </c>
    </row>
    <row r="53" spans="1:17" s="13" customFormat="1" x14ac:dyDescent="0.25">
      <c r="A53" s="229"/>
      <c r="B53" s="62" t="s">
        <v>143</v>
      </c>
      <c r="C53" s="181" t="s">
        <v>64</v>
      </c>
      <c r="D53" s="182" t="s">
        <v>444</v>
      </c>
      <c r="E53" s="183" t="s">
        <v>20</v>
      </c>
      <c r="F53" s="73" t="s">
        <v>445</v>
      </c>
      <c r="G53" s="230" t="s">
        <v>114</v>
      </c>
      <c r="H53" s="181">
        <v>26</v>
      </c>
      <c r="I53" s="234">
        <v>14</v>
      </c>
      <c r="J53" s="190">
        <v>14</v>
      </c>
      <c r="K53" s="193">
        <v>33301.9</v>
      </c>
      <c r="L53" s="193">
        <v>33301.9</v>
      </c>
      <c r="M53" s="78">
        <f t="shared" si="1"/>
        <v>0</v>
      </c>
      <c r="N53" s="114">
        <v>18</v>
      </c>
      <c r="O53" s="224">
        <v>27390.400000000001</v>
      </c>
      <c r="P53" s="224">
        <v>27390.400000000001</v>
      </c>
      <c r="Q53" s="232">
        <f t="shared" si="2"/>
        <v>0</v>
      </c>
    </row>
    <row r="54" spans="1:17" s="13" customFormat="1" x14ac:dyDescent="0.25">
      <c r="A54" s="229"/>
      <c r="B54" s="30" t="s">
        <v>158</v>
      </c>
      <c r="C54" s="181" t="s">
        <v>17</v>
      </c>
      <c r="D54" s="182"/>
      <c r="E54" s="194" t="s">
        <v>32</v>
      </c>
      <c r="F54" s="73" t="s">
        <v>426</v>
      </c>
      <c r="G54" s="230" t="s">
        <v>117</v>
      </c>
      <c r="H54" s="181">
        <v>12</v>
      </c>
      <c r="I54" s="234">
        <v>6</v>
      </c>
      <c r="J54" s="190">
        <v>7</v>
      </c>
      <c r="K54" s="193">
        <v>12275.74</v>
      </c>
      <c r="L54" s="193">
        <v>10870.84</v>
      </c>
      <c r="M54" s="78">
        <f t="shared" si="1"/>
        <v>1404.8999999999996</v>
      </c>
      <c r="N54" s="114">
        <v>5</v>
      </c>
      <c r="O54" s="224">
        <v>16813.7</v>
      </c>
      <c r="P54" s="224">
        <v>16813.7</v>
      </c>
      <c r="Q54" s="232">
        <f t="shared" si="2"/>
        <v>0</v>
      </c>
    </row>
    <row r="55" spans="1:17" s="15" customFormat="1" x14ac:dyDescent="0.25">
      <c r="A55" s="229"/>
      <c r="B55" s="62" t="s">
        <v>43</v>
      </c>
      <c r="C55" s="181" t="s">
        <v>17</v>
      </c>
      <c r="D55" s="182"/>
      <c r="E55" s="183" t="s">
        <v>18</v>
      </c>
      <c r="F55" s="73" t="s">
        <v>344</v>
      </c>
      <c r="G55" s="74" t="s">
        <v>112</v>
      </c>
      <c r="H55" s="75">
        <v>32</v>
      </c>
      <c r="I55" s="76">
        <v>22</v>
      </c>
      <c r="J55" s="96">
        <f>1+2+2+5+2+3+2+3+3+3</f>
        <v>26</v>
      </c>
      <c r="K55" s="77">
        <f>1776.93+926.88+3328.29+3172.19+9832.29+3539.2+3058.67</f>
        <v>25634.450000000004</v>
      </c>
      <c r="L55" s="77">
        <f>1776.93+926.88+3328.29+3172.19+9832.29+3539.2</f>
        <v>22575.780000000002</v>
      </c>
      <c r="M55" s="78">
        <f t="shared" si="1"/>
        <v>3058.6700000000019</v>
      </c>
      <c r="N55" s="100">
        <f>1+5+4+1+1+1+1+1</f>
        <v>15</v>
      </c>
      <c r="O55" s="81">
        <f>1223.8+3810.29+4959.02+10043.87+2769.48+2146.91+11926.24-1465.64</f>
        <v>35413.97</v>
      </c>
      <c r="P55" s="81">
        <f>1223.8+3810.29+4959.02+10043.87+2769.48+2146.91+11926.24-1465.64</f>
        <v>35413.97</v>
      </c>
      <c r="Q55" s="79">
        <f t="shared" si="2"/>
        <v>0</v>
      </c>
    </row>
    <row r="56" spans="1:17" s="15" customFormat="1" ht="30" x14ac:dyDescent="0.25">
      <c r="A56" s="229"/>
      <c r="B56" s="62" t="s">
        <v>43</v>
      </c>
      <c r="C56" s="181" t="s">
        <v>304</v>
      </c>
      <c r="D56" s="182" t="s">
        <v>473</v>
      </c>
      <c r="E56" s="183" t="s">
        <v>18</v>
      </c>
      <c r="F56" s="73" t="s">
        <v>323</v>
      </c>
      <c r="G56" s="271" t="s">
        <v>116</v>
      </c>
      <c r="H56" s="181">
        <v>26</v>
      </c>
      <c r="I56" s="234">
        <v>19</v>
      </c>
      <c r="J56" s="98">
        <v>21</v>
      </c>
      <c r="K56" s="77">
        <v>26931</v>
      </c>
      <c r="L56" s="77">
        <v>26931</v>
      </c>
      <c r="M56" s="78">
        <f t="shared" si="1"/>
        <v>0</v>
      </c>
      <c r="N56" s="114">
        <v>18</v>
      </c>
      <c r="O56" s="224">
        <v>60535</v>
      </c>
      <c r="P56" s="224">
        <v>60535</v>
      </c>
      <c r="Q56" s="232">
        <f t="shared" si="2"/>
        <v>0</v>
      </c>
    </row>
    <row r="57" spans="1:17" s="13" customFormat="1" x14ac:dyDescent="0.25">
      <c r="A57" s="229"/>
      <c r="B57" s="30" t="s">
        <v>44</v>
      </c>
      <c r="C57" s="181" t="s">
        <v>17</v>
      </c>
      <c r="D57" s="182"/>
      <c r="E57" s="183" t="s">
        <v>20</v>
      </c>
      <c r="F57" s="73" t="s">
        <v>345</v>
      </c>
      <c r="G57" s="74" t="s">
        <v>112</v>
      </c>
      <c r="H57" s="75">
        <v>16</v>
      </c>
      <c r="I57" s="76">
        <v>10</v>
      </c>
      <c r="J57" s="96">
        <f>1+1+1+4+2+1+1</f>
        <v>11</v>
      </c>
      <c r="K57" s="77">
        <f>2422.38+1267.86+15410.58+1534.35+708.47</f>
        <v>21343.64</v>
      </c>
      <c r="L57" s="77">
        <f>2422.38+1267.86+15410.58+1534.35+708.47</f>
        <v>21343.64</v>
      </c>
      <c r="M57" s="78">
        <f t="shared" si="1"/>
        <v>0</v>
      </c>
      <c r="N57" s="100">
        <f>1+11</f>
        <v>12</v>
      </c>
      <c r="O57" s="81">
        <f>421.62+4603.39+10559.77+72902.04+3435.31</f>
        <v>91922.12999999999</v>
      </c>
      <c r="P57" s="81">
        <f>421.62+4603.39+10559.77+72902.04</f>
        <v>88486.819999999992</v>
      </c>
      <c r="Q57" s="79">
        <f t="shared" si="2"/>
        <v>3435.3099999999977</v>
      </c>
    </row>
    <row r="58" spans="1:17" s="13" customFormat="1" x14ac:dyDescent="0.25">
      <c r="A58" s="229"/>
      <c r="B58" s="30" t="s">
        <v>44</v>
      </c>
      <c r="C58" s="181" t="s">
        <v>17</v>
      </c>
      <c r="D58" s="182"/>
      <c r="E58" s="183" t="s">
        <v>20</v>
      </c>
      <c r="F58" s="73" t="s">
        <v>483</v>
      </c>
      <c r="G58" s="230" t="s">
        <v>114</v>
      </c>
      <c r="H58" s="181"/>
      <c r="I58" s="231"/>
      <c r="J58" s="190"/>
      <c r="K58" s="77"/>
      <c r="L58" s="77"/>
      <c r="M58" s="78">
        <f t="shared" si="1"/>
        <v>0</v>
      </c>
      <c r="N58" s="100">
        <v>2</v>
      </c>
      <c r="O58" s="224">
        <v>9934.7000000000007</v>
      </c>
      <c r="P58" s="224">
        <v>9934.7000000000007</v>
      </c>
      <c r="Q58" s="232">
        <f t="shared" si="2"/>
        <v>0</v>
      </c>
    </row>
    <row r="59" spans="1:17" s="13" customFormat="1" x14ac:dyDescent="0.25">
      <c r="A59" s="229"/>
      <c r="B59" s="30" t="s">
        <v>492</v>
      </c>
      <c r="C59" s="181" t="s">
        <v>17</v>
      </c>
      <c r="D59" s="182"/>
      <c r="E59" s="183" t="s">
        <v>20</v>
      </c>
      <c r="F59" s="73" t="s">
        <v>499</v>
      </c>
      <c r="G59" s="230" t="s">
        <v>112</v>
      </c>
      <c r="H59" s="181">
        <v>10</v>
      </c>
      <c r="I59" s="231">
        <v>8</v>
      </c>
      <c r="J59" s="190">
        <f>1+8</f>
        <v>9</v>
      </c>
      <c r="K59" s="77">
        <f>1044.98+2096.62</f>
        <v>3141.6</v>
      </c>
      <c r="L59" s="77">
        <f>1044.98+2096.62</f>
        <v>3141.6</v>
      </c>
      <c r="M59" s="78">
        <f t="shared" si="1"/>
        <v>0</v>
      </c>
      <c r="N59" s="100"/>
      <c r="O59" s="224"/>
      <c r="P59" s="224"/>
      <c r="Q59" s="79">
        <f t="shared" si="2"/>
        <v>0</v>
      </c>
    </row>
    <row r="60" spans="1:17" s="13" customFormat="1" x14ac:dyDescent="0.25">
      <c r="A60" s="229"/>
      <c r="B60" s="27" t="s">
        <v>45</v>
      </c>
      <c r="C60" s="181" t="s">
        <v>17</v>
      </c>
      <c r="D60" s="182"/>
      <c r="E60" s="183" t="s">
        <v>20</v>
      </c>
      <c r="F60" s="73" t="s">
        <v>346</v>
      </c>
      <c r="G60" s="74" t="s">
        <v>112</v>
      </c>
      <c r="H60" s="75"/>
      <c r="I60" s="76"/>
      <c r="J60" s="96"/>
      <c r="K60" s="77"/>
      <c r="L60" s="77"/>
      <c r="M60" s="78">
        <f t="shared" si="1"/>
        <v>0</v>
      </c>
      <c r="N60" s="100">
        <f>1</f>
        <v>1</v>
      </c>
      <c r="O60" s="81">
        <f>17995.91+2729.8</f>
        <v>20725.71</v>
      </c>
      <c r="P60" s="81">
        <f>17995.91+2729.8</f>
        <v>20725.71</v>
      </c>
      <c r="Q60" s="79">
        <f t="shared" si="2"/>
        <v>0</v>
      </c>
    </row>
    <row r="61" spans="1:17" s="13" customFormat="1" x14ac:dyDescent="0.25">
      <c r="A61" s="229"/>
      <c r="B61" s="27" t="s">
        <v>45</v>
      </c>
      <c r="C61" s="181" t="s">
        <v>17</v>
      </c>
      <c r="D61" s="182"/>
      <c r="E61" s="183" t="s">
        <v>20</v>
      </c>
      <c r="F61" s="73" t="s">
        <v>484</v>
      </c>
      <c r="G61" s="230" t="s">
        <v>114</v>
      </c>
      <c r="H61" s="181"/>
      <c r="I61" s="231"/>
      <c r="J61" s="190"/>
      <c r="K61" s="77"/>
      <c r="L61" s="77"/>
      <c r="M61" s="78">
        <f t="shared" si="1"/>
        <v>0</v>
      </c>
      <c r="N61" s="100"/>
      <c r="O61" s="224"/>
      <c r="P61" s="224"/>
      <c r="Q61" s="232">
        <f t="shared" si="2"/>
        <v>0</v>
      </c>
    </row>
    <row r="62" spans="1:17" s="15" customFormat="1" x14ac:dyDescent="0.25">
      <c r="A62" s="229"/>
      <c r="B62" s="27" t="s">
        <v>46</v>
      </c>
      <c r="C62" s="181" t="s">
        <v>17</v>
      </c>
      <c r="D62" s="182"/>
      <c r="E62" s="183" t="s">
        <v>20</v>
      </c>
      <c r="F62" s="73" t="s">
        <v>347</v>
      </c>
      <c r="G62" s="74" t="s">
        <v>112</v>
      </c>
      <c r="H62" s="75">
        <v>19</v>
      </c>
      <c r="I62" s="76">
        <v>16</v>
      </c>
      <c r="J62" s="96">
        <f>1+2+3+2+4+1+4+2+1+5+1+1</f>
        <v>27</v>
      </c>
      <c r="K62" s="77">
        <f>1045.98+1068.08+8157.32+1778.85+9152.67+11156.63+11271.63+1490.2+9025.41+10714.36+1457.08</f>
        <v>66318.209999999992</v>
      </c>
      <c r="L62" s="77">
        <f>1045.98+1068.08+8157.32+1778.85+9152.67+11156.63+11271.63+1490.2+9025.41+10714.36</f>
        <v>64861.12999999999</v>
      </c>
      <c r="M62" s="78">
        <f t="shared" si="1"/>
        <v>1457.0800000000017</v>
      </c>
      <c r="N62" s="100">
        <f>4+4+1+1+1+2</f>
        <v>13</v>
      </c>
      <c r="O62" s="81">
        <f>10759.2+10685.34+7362.04+22509.72</f>
        <v>51316.3</v>
      </c>
      <c r="P62" s="81">
        <f>10759.2+10685.34+7362.04+22509.72</f>
        <v>51316.3</v>
      </c>
      <c r="Q62" s="79">
        <f t="shared" si="2"/>
        <v>0</v>
      </c>
    </row>
    <row r="63" spans="1:17" s="15" customFormat="1" x14ac:dyDescent="0.25">
      <c r="A63" s="229"/>
      <c r="B63" s="27" t="s">
        <v>46</v>
      </c>
      <c r="C63" s="181" t="s">
        <v>17</v>
      </c>
      <c r="D63" s="182"/>
      <c r="E63" s="183" t="s">
        <v>20</v>
      </c>
      <c r="F63" s="73" t="s">
        <v>273</v>
      </c>
      <c r="G63" s="230" t="s">
        <v>114</v>
      </c>
      <c r="H63" s="181">
        <v>5</v>
      </c>
      <c r="I63" s="231">
        <v>1</v>
      </c>
      <c r="J63" s="190">
        <v>1</v>
      </c>
      <c r="K63" s="77">
        <v>576.29999999999995</v>
      </c>
      <c r="L63" s="77">
        <v>576.29999999999995</v>
      </c>
      <c r="M63" s="78">
        <f t="shared" si="1"/>
        <v>0</v>
      </c>
      <c r="N63" s="100">
        <v>3</v>
      </c>
      <c r="O63" s="224">
        <v>9356.9</v>
      </c>
      <c r="P63" s="224">
        <v>9356.9</v>
      </c>
      <c r="Q63" s="232">
        <f t="shared" si="2"/>
        <v>0</v>
      </c>
    </row>
    <row r="64" spans="1:17" s="13" customFormat="1" ht="45" x14ac:dyDescent="0.25">
      <c r="A64" s="229"/>
      <c r="B64" s="30" t="s">
        <v>47</v>
      </c>
      <c r="C64" s="181" t="s">
        <v>304</v>
      </c>
      <c r="D64" s="182" t="s">
        <v>474</v>
      </c>
      <c r="E64" s="183" t="s">
        <v>18</v>
      </c>
      <c r="F64" s="73" t="s">
        <v>348</v>
      </c>
      <c r="G64" s="74" t="s">
        <v>112</v>
      </c>
      <c r="H64" s="75">
        <v>56</v>
      </c>
      <c r="I64" s="76">
        <v>40</v>
      </c>
      <c r="J64" s="98">
        <f>1+1+3+21+7+2+5+2+7+15+14+7</f>
        <v>85</v>
      </c>
      <c r="K64" s="77">
        <f>30728.27+19236.99+22614.7+52735.68</f>
        <v>125315.64000000001</v>
      </c>
      <c r="L64" s="77">
        <f>30728.27+19236.99+22614.7+52735.68</f>
        <v>125315.64000000001</v>
      </c>
      <c r="M64" s="78">
        <f t="shared" si="1"/>
        <v>0</v>
      </c>
      <c r="N64" s="100">
        <f>7+3+4+10+6+1+2+1+3+2+5</f>
        <v>44</v>
      </c>
      <c r="O64" s="81">
        <f>8477.51+15159.83+14079.46+15414.2+17995.91+2065.56+1859.53+9543.86+1728.53+14526.84</f>
        <v>100851.23</v>
      </c>
      <c r="P64" s="81">
        <f>8477.51+15159.83+14079.46+15414.2+17995.91+2065.56+1859.53+9543.86+1728.53+14526.84</f>
        <v>100851.23</v>
      </c>
      <c r="Q64" s="79">
        <f t="shared" si="2"/>
        <v>0</v>
      </c>
    </row>
    <row r="65" spans="1:17" s="13" customFormat="1" ht="45" x14ac:dyDescent="0.25">
      <c r="A65" s="229"/>
      <c r="B65" s="62" t="s">
        <v>120</v>
      </c>
      <c r="C65" s="181" t="s">
        <v>304</v>
      </c>
      <c r="D65" s="182" t="s">
        <v>474</v>
      </c>
      <c r="E65" s="183" t="s">
        <v>18</v>
      </c>
      <c r="F65" s="73" t="s">
        <v>334</v>
      </c>
      <c r="G65" s="230" t="s">
        <v>116</v>
      </c>
      <c r="H65" s="181">
        <v>31</v>
      </c>
      <c r="I65" s="234">
        <v>17</v>
      </c>
      <c r="J65" s="98">
        <v>20</v>
      </c>
      <c r="K65" s="77">
        <v>37956</v>
      </c>
      <c r="L65" s="77">
        <v>37956</v>
      </c>
      <c r="M65" s="78">
        <f t="shared" si="1"/>
        <v>0</v>
      </c>
      <c r="N65" s="100">
        <v>15</v>
      </c>
      <c r="O65" s="224">
        <v>60831</v>
      </c>
      <c r="P65" s="224">
        <v>60831</v>
      </c>
      <c r="Q65" s="232">
        <f t="shared" si="2"/>
        <v>0</v>
      </c>
    </row>
    <row r="66" spans="1:17" s="13" customFormat="1" x14ac:dyDescent="0.25">
      <c r="A66" s="229"/>
      <c r="B66" s="30" t="s">
        <v>134</v>
      </c>
      <c r="C66" s="181" t="s">
        <v>17</v>
      </c>
      <c r="D66" s="182"/>
      <c r="E66" s="183" t="s">
        <v>20</v>
      </c>
      <c r="F66" s="73" t="s">
        <v>349</v>
      </c>
      <c r="G66" s="74" t="s">
        <v>112</v>
      </c>
      <c r="H66" s="75">
        <v>21</v>
      </c>
      <c r="I66" s="76">
        <v>21</v>
      </c>
      <c r="J66" s="96">
        <f>1+4+1+1+2+1+1+7+1+1</f>
        <v>20</v>
      </c>
      <c r="K66" s="77">
        <f>7301.48+1473.89+1911.09+1690.48+845.24+6268.51+441.51+1983.45+3361.83+883.11+2668.51+2972.45+3953.39+2549.89</f>
        <v>38304.83</v>
      </c>
      <c r="L66" s="77">
        <f>7301.48+1473.89+1911.09+1690.48+845.24+6268.51+441.51+1983.45+3361.83+883.11+2668.51+2972.45</f>
        <v>31801.55</v>
      </c>
      <c r="M66" s="78">
        <f t="shared" si="1"/>
        <v>6503.2800000000025</v>
      </c>
      <c r="N66" s="100">
        <f>4+1+1+1+1+1</f>
        <v>9</v>
      </c>
      <c r="O66" s="81">
        <f>5020.05+3215.31+12312.39+4648.82+32425.98+7889.42+3294.46</f>
        <v>68806.430000000008</v>
      </c>
      <c r="P66" s="81">
        <f>5020.05+3215.31+12312.39+4648.82+32425.98+7889.42+3294.46</f>
        <v>68806.430000000008</v>
      </c>
      <c r="Q66" s="79">
        <f t="shared" si="2"/>
        <v>0</v>
      </c>
    </row>
    <row r="67" spans="1:17" s="13" customFormat="1" x14ac:dyDescent="0.25">
      <c r="A67" s="229"/>
      <c r="B67" s="30" t="s">
        <v>134</v>
      </c>
      <c r="C67" s="181" t="s">
        <v>17</v>
      </c>
      <c r="D67" s="182"/>
      <c r="E67" s="183" t="s">
        <v>20</v>
      </c>
      <c r="F67" s="73" t="s">
        <v>456</v>
      </c>
      <c r="G67" s="230" t="s">
        <v>114</v>
      </c>
      <c r="H67" s="181">
        <v>24</v>
      </c>
      <c r="I67" s="231">
        <v>7</v>
      </c>
      <c r="J67" s="190">
        <v>7</v>
      </c>
      <c r="K67" s="77">
        <v>17181.12</v>
      </c>
      <c r="L67" s="77">
        <v>17181.12</v>
      </c>
      <c r="M67" s="78">
        <f t="shared" si="1"/>
        <v>0</v>
      </c>
      <c r="N67" s="100">
        <v>27</v>
      </c>
      <c r="O67" s="224">
        <v>61494.8</v>
      </c>
      <c r="P67" s="224">
        <v>61494.8</v>
      </c>
      <c r="Q67" s="232">
        <f t="shared" si="2"/>
        <v>0</v>
      </c>
    </row>
    <row r="68" spans="1:17" s="13" customFormat="1" x14ac:dyDescent="0.25">
      <c r="A68" s="229"/>
      <c r="B68" s="62" t="s">
        <v>48</v>
      </c>
      <c r="C68" s="181" t="s">
        <v>17</v>
      </c>
      <c r="D68" s="182"/>
      <c r="E68" s="183" t="s">
        <v>20</v>
      </c>
      <c r="F68" s="73" t="s">
        <v>350</v>
      </c>
      <c r="G68" s="74" t="s">
        <v>112</v>
      </c>
      <c r="H68" s="75">
        <v>19</v>
      </c>
      <c r="I68" s="76">
        <v>11</v>
      </c>
      <c r="J68" s="96">
        <f>1+1+2+1+3+2</f>
        <v>10</v>
      </c>
      <c r="K68" s="77">
        <f>4805.96+2585.78+3065.92+2588.55+14407.5+9289.05+3030.73+11469.98</f>
        <v>51243.47</v>
      </c>
      <c r="L68" s="77">
        <f>4805.96+2585.78+3065.92+2588.55+14407.5+9289.05+3030.73+11469.98</f>
        <v>51243.47</v>
      </c>
      <c r="M68" s="78">
        <f t="shared" si="1"/>
        <v>0</v>
      </c>
      <c r="N68" s="100">
        <f>2+1+2+1+3</f>
        <v>9</v>
      </c>
      <c r="O68" s="81">
        <f>23174.33+2535.72+11633.02+6993.42+20756.4</f>
        <v>65092.890000000007</v>
      </c>
      <c r="P68" s="81">
        <f>23174.33+2535.72+11633.02+6993.42+20756.4</f>
        <v>65092.890000000007</v>
      </c>
      <c r="Q68" s="79">
        <f t="shared" si="2"/>
        <v>0</v>
      </c>
    </row>
    <row r="69" spans="1:17" s="13" customFormat="1" x14ac:dyDescent="0.25">
      <c r="A69" s="229"/>
      <c r="B69" s="62" t="s">
        <v>49</v>
      </c>
      <c r="C69" s="181" t="s">
        <v>17</v>
      </c>
      <c r="D69" s="182"/>
      <c r="E69" s="183" t="s">
        <v>50</v>
      </c>
      <c r="F69" s="73" t="s">
        <v>351</v>
      </c>
      <c r="G69" s="74" t="s">
        <v>112</v>
      </c>
      <c r="H69" s="75">
        <v>29</v>
      </c>
      <c r="I69" s="76">
        <v>19</v>
      </c>
      <c r="J69" s="96">
        <f>1+4+8+6+5+1</f>
        <v>25</v>
      </c>
      <c r="K69" s="77">
        <f>525.65+1267.86+6544.72+13939.57+2896.54+9712.48+14471.86+991.75</f>
        <v>50350.43</v>
      </c>
      <c r="L69" s="77">
        <f>525.65+1267.86+6544.72+13939.57+2896.54+9712.48+14471.86+991.75</f>
        <v>50350.43</v>
      </c>
      <c r="M69" s="78">
        <f t="shared" si="1"/>
        <v>0</v>
      </c>
      <c r="N69" s="100">
        <f>5+1+3+1+1</f>
        <v>11</v>
      </c>
      <c r="O69" s="81">
        <f>7374+1806.93+7275.53+4666.9+2684.03+6682.03+10412.84</f>
        <v>40902.259999999995</v>
      </c>
      <c r="P69" s="81">
        <f>7374+1806.93+7275.53+4666.9+2684.03+6682.03+10412.84</f>
        <v>40902.259999999995</v>
      </c>
      <c r="Q69" s="232">
        <f t="shared" si="2"/>
        <v>0</v>
      </c>
    </row>
    <row r="70" spans="1:17" s="13" customFormat="1" x14ac:dyDescent="0.25">
      <c r="A70" s="229"/>
      <c r="B70" s="62" t="s">
        <v>49</v>
      </c>
      <c r="C70" s="181" t="s">
        <v>17</v>
      </c>
      <c r="D70" s="182"/>
      <c r="E70" s="183" t="s">
        <v>50</v>
      </c>
      <c r="F70" s="73" t="s">
        <v>427</v>
      </c>
      <c r="G70" s="230" t="s">
        <v>115</v>
      </c>
      <c r="H70" s="181">
        <v>15</v>
      </c>
      <c r="I70" s="231">
        <v>7</v>
      </c>
      <c r="J70" s="96">
        <v>7</v>
      </c>
      <c r="K70" s="77">
        <v>14739.83</v>
      </c>
      <c r="L70" s="77">
        <v>13535.63</v>
      </c>
      <c r="M70" s="78">
        <f t="shared" si="1"/>
        <v>1204.2000000000007</v>
      </c>
      <c r="N70" s="100">
        <v>11</v>
      </c>
      <c r="O70" s="224">
        <v>25688.3</v>
      </c>
      <c r="P70" s="224">
        <v>17660.3</v>
      </c>
      <c r="Q70" s="79">
        <f t="shared" si="2"/>
        <v>8028</v>
      </c>
    </row>
    <row r="71" spans="1:17" s="13" customFormat="1" x14ac:dyDescent="0.25">
      <c r="A71" s="229"/>
      <c r="B71" s="27" t="s">
        <v>51</v>
      </c>
      <c r="C71" s="181" t="s">
        <v>17</v>
      </c>
      <c r="D71" s="182"/>
      <c r="E71" s="183" t="s">
        <v>20</v>
      </c>
      <c r="F71" s="73" t="s">
        <v>186</v>
      </c>
      <c r="G71" s="74" t="s">
        <v>112</v>
      </c>
      <c r="H71" s="75"/>
      <c r="I71" s="76"/>
      <c r="J71" s="96"/>
      <c r="K71" s="77"/>
      <c r="L71" s="77"/>
      <c r="M71" s="78">
        <f t="shared" si="1"/>
        <v>0</v>
      </c>
      <c r="N71" s="100">
        <f>1</f>
        <v>1</v>
      </c>
      <c r="O71" s="81">
        <v>2451.87</v>
      </c>
      <c r="P71" s="81">
        <v>2451.87</v>
      </c>
      <c r="Q71" s="232">
        <f t="shared" si="2"/>
        <v>0</v>
      </c>
    </row>
    <row r="72" spans="1:17" s="13" customFormat="1" x14ac:dyDescent="0.25">
      <c r="A72" s="229"/>
      <c r="B72" s="27" t="s">
        <v>51</v>
      </c>
      <c r="C72" s="181" t="s">
        <v>17</v>
      </c>
      <c r="D72" s="182"/>
      <c r="E72" s="183" t="s">
        <v>20</v>
      </c>
      <c r="F72" s="73" t="s">
        <v>276</v>
      </c>
      <c r="G72" s="230" t="s">
        <v>114</v>
      </c>
      <c r="H72" s="181"/>
      <c r="I72" s="231"/>
      <c r="J72" s="190"/>
      <c r="K72" s="77"/>
      <c r="L72" s="77"/>
      <c r="M72" s="78">
        <f t="shared" si="1"/>
        <v>0</v>
      </c>
      <c r="N72" s="100">
        <v>3</v>
      </c>
      <c r="O72" s="224">
        <v>6763.6</v>
      </c>
      <c r="P72" s="224">
        <v>6763.6</v>
      </c>
      <c r="Q72" s="232">
        <f t="shared" si="2"/>
        <v>0</v>
      </c>
    </row>
    <row r="73" spans="1:17" s="13" customFormat="1" x14ac:dyDescent="0.25">
      <c r="A73" s="229"/>
      <c r="B73" s="62" t="s">
        <v>52</v>
      </c>
      <c r="C73" s="181" t="s">
        <v>17</v>
      </c>
      <c r="D73" s="182"/>
      <c r="E73" s="183" t="s">
        <v>20</v>
      </c>
      <c r="F73" s="73" t="s">
        <v>352</v>
      </c>
      <c r="G73" s="74" t="s">
        <v>112</v>
      </c>
      <c r="H73" s="75">
        <v>16</v>
      </c>
      <c r="I73" s="76">
        <v>12</v>
      </c>
      <c r="J73" s="96">
        <f>1+1+1+1+2+3+1+1+1+2+1</f>
        <v>15</v>
      </c>
      <c r="K73" s="77">
        <f>10714.2+2747.14+2138.07+6709.4+7033.21+883.08+708.47+8516.02</f>
        <v>39449.589999999997</v>
      </c>
      <c r="L73" s="77">
        <f>10714.2+2747.14+2138.07+6709.4+7033.21+883.08+708.47</f>
        <v>30933.57</v>
      </c>
      <c r="M73" s="78">
        <f t="shared" si="1"/>
        <v>8516.0199999999968</v>
      </c>
      <c r="N73" s="100">
        <f>4+3+1+1+2+3+1+1+2+1</f>
        <v>19</v>
      </c>
      <c r="O73" s="81">
        <f>5977.15+48296.91+7596.86+1061.83+8902.9+6856.31+2935.36+8136.06</f>
        <v>89763.38</v>
      </c>
      <c r="P73" s="81">
        <f>5977.15+48296.91+7596.86+1061.83+8902.9+6856.31+2935.36+8136.06</f>
        <v>89763.38</v>
      </c>
      <c r="Q73" s="232">
        <f t="shared" si="2"/>
        <v>0</v>
      </c>
    </row>
    <row r="74" spans="1:17" s="13" customFormat="1" x14ac:dyDescent="0.25">
      <c r="A74" s="229"/>
      <c r="B74" s="62" t="s">
        <v>52</v>
      </c>
      <c r="C74" s="181" t="s">
        <v>17</v>
      </c>
      <c r="D74" s="182"/>
      <c r="E74" s="183" t="s">
        <v>20</v>
      </c>
      <c r="F74" s="73" t="s">
        <v>457</v>
      </c>
      <c r="G74" s="230" t="s">
        <v>114</v>
      </c>
      <c r="H74" s="181">
        <v>16</v>
      </c>
      <c r="I74" s="231">
        <v>4</v>
      </c>
      <c r="J74" s="190">
        <v>4</v>
      </c>
      <c r="K74" s="77">
        <v>15055.4</v>
      </c>
      <c r="L74" s="77">
        <v>15055.4</v>
      </c>
      <c r="M74" s="78">
        <f t="shared" si="1"/>
        <v>0</v>
      </c>
      <c r="N74" s="100">
        <v>21</v>
      </c>
      <c r="O74" s="264">
        <v>57984.82</v>
      </c>
      <c r="P74" s="264">
        <v>57984.82</v>
      </c>
      <c r="Q74" s="232">
        <f t="shared" si="2"/>
        <v>0</v>
      </c>
    </row>
    <row r="75" spans="1:17" s="13" customFormat="1" x14ac:dyDescent="0.25">
      <c r="A75" s="229"/>
      <c r="B75" s="27" t="s">
        <v>53</v>
      </c>
      <c r="C75" s="181" t="s">
        <v>17</v>
      </c>
      <c r="D75" s="182"/>
      <c r="E75" s="183" t="s">
        <v>20</v>
      </c>
      <c r="F75" s="73" t="s">
        <v>353</v>
      </c>
      <c r="G75" s="74" t="s">
        <v>112</v>
      </c>
      <c r="H75" s="75">
        <v>15</v>
      </c>
      <c r="I75" s="76">
        <v>10</v>
      </c>
      <c r="J75" s="96">
        <f>2+2+2+1+2+1+1</f>
        <v>11</v>
      </c>
      <c r="K75" s="77">
        <f>3655.66+6862.24+2535.72+3550.85+401.4</f>
        <v>17005.87</v>
      </c>
      <c r="L75" s="77">
        <f>3655.66+6862.24+2535.72+3550.85+401.4</f>
        <v>17005.87</v>
      </c>
      <c r="M75" s="78">
        <f t="shared" si="1"/>
        <v>0</v>
      </c>
      <c r="N75" s="100">
        <f>1+2+2+1+1+1</f>
        <v>8</v>
      </c>
      <c r="O75" s="81">
        <f>1743.3+3921.71+422.62+5626.45+37901.04</f>
        <v>49615.12</v>
      </c>
      <c r="P75" s="81">
        <f>1743.3+3921.71+422.62+5626.45+37901.04</f>
        <v>49615.12</v>
      </c>
      <c r="Q75" s="232">
        <f t="shared" si="2"/>
        <v>0</v>
      </c>
    </row>
    <row r="76" spans="1:17" s="13" customFormat="1" x14ac:dyDescent="0.25">
      <c r="A76" s="229"/>
      <c r="B76" s="27" t="s">
        <v>149</v>
      </c>
      <c r="C76" s="181" t="s">
        <v>17</v>
      </c>
      <c r="D76" s="182"/>
      <c r="E76" s="183" t="s">
        <v>383</v>
      </c>
      <c r="F76" s="73" t="s">
        <v>354</v>
      </c>
      <c r="G76" s="74" t="s">
        <v>112</v>
      </c>
      <c r="H76" s="75">
        <v>39</v>
      </c>
      <c r="I76" s="76">
        <v>12</v>
      </c>
      <c r="J76" s="96">
        <f>7+3+3</f>
        <v>13</v>
      </c>
      <c r="K76" s="77">
        <f>7743.07+4386.1+10376.2</f>
        <v>22505.370000000003</v>
      </c>
      <c r="L76" s="77">
        <f>7743.07+4386.1+10376.2</f>
        <v>22505.370000000003</v>
      </c>
      <c r="M76" s="78">
        <f t="shared" si="1"/>
        <v>0</v>
      </c>
      <c r="N76" s="100">
        <f>2+2+2+1</f>
        <v>7</v>
      </c>
      <c r="O76" s="81">
        <f>3676.8+3431.65+6320.35+4068.03</f>
        <v>17496.830000000002</v>
      </c>
      <c r="P76" s="81">
        <f>3676.8+3431.65+6320.35+4068.03</f>
        <v>17496.830000000002</v>
      </c>
      <c r="Q76" s="79">
        <f t="shared" si="2"/>
        <v>0</v>
      </c>
    </row>
    <row r="77" spans="1:17" s="13" customFormat="1" x14ac:dyDescent="0.25">
      <c r="A77" s="229"/>
      <c r="B77" s="27" t="s">
        <v>149</v>
      </c>
      <c r="C77" s="181" t="s">
        <v>17</v>
      </c>
      <c r="D77" s="182"/>
      <c r="E77" s="183" t="s">
        <v>383</v>
      </c>
      <c r="F77" s="73" t="s">
        <v>438</v>
      </c>
      <c r="G77" s="230" t="s">
        <v>118</v>
      </c>
      <c r="H77" s="181">
        <v>16</v>
      </c>
      <c r="I77" s="234">
        <v>1</v>
      </c>
      <c r="J77" s="190">
        <v>1</v>
      </c>
      <c r="K77" s="193">
        <v>576.29999999999995</v>
      </c>
      <c r="L77" s="193">
        <v>576.29999999999995</v>
      </c>
      <c r="M77" s="78">
        <f t="shared" si="1"/>
        <v>0</v>
      </c>
      <c r="N77" s="114">
        <v>7</v>
      </c>
      <c r="O77" s="224">
        <v>9835.52</v>
      </c>
      <c r="P77" s="224">
        <v>9835.52</v>
      </c>
      <c r="Q77" s="232">
        <f t="shared" si="2"/>
        <v>0</v>
      </c>
    </row>
    <row r="78" spans="1:17" s="13" customFormat="1" x14ac:dyDescent="0.25">
      <c r="A78" s="229"/>
      <c r="B78" s="62" t="s">
        <v>107</v>
      </c>
      <c r="C78" s="181" t="s">
        <v>17</v>
      </c>
      <c r="D78" s="182"/>
      <c r="E78" s="194" t="s">
        <v>20</v>
      </c>
      <c r="F78" s="73" t="s">
        <v>355</v>
      </c>
      <c r="G78" s="74" t="s">
        <v>112</v>
      </c>
      <c r="H78" s="75">
        <v>14</v>
      </c>
      <c r="I78" s="76">
        <v>10</v>
      </c>
      <c r="J78" s="96">
        <f>1+3+3+2+1+2+1</f>
        <v>13</v>
      </c>
      <c r="K78" s="77">
        <f>666.63+7071.2+5333.38+13316.37+23091.24+4686.95+2216.53+401.4</f>
        <v>56783.700000000004</v>
      </c>
      <c r="L78" s="77">
        <f>666.63+7071.2+5333.38+13316.37+23091.24+4686.95+2216.53</f>
        <v>56382.3</v>
      </c>
      <c r="M78" s="78">
        <f t="shared" ref="M78:M141" si="3">K78-L78</f>
        <v>401.40000000000146</v>
      </c>
      <c r="N78" s="100">
        <f>2+6+1+1+2</f>
        <v>12</v>
      </c>
      <c r="O78" s="81">
        <f>7612.92+18804.48+9163.33+3260.98+6297.63+2609.1</f>
        <v>47748.44</v>
      </c>
      <c r="P78" s="81">
        <f>7612.92+18804.48+9163.33+3260.98+6297.63</f>
        <v>45139.340000000004</v>
      </c>
      <c r="Q78" s="79">
        <f t="shared" si="2"/>
        <v>2609.0999999999985</v>
      </c>
    </row>
    <row r="79" spans="1:17" s="13" customFormat="1" x14ac:dyDescent="0.25">
      <c r="A79" s="229"/>
      <c r="B79" s="30" t="s">
        <v>54</v>
      </c>
      <c r="C79" s="181" t="s">
        <v>17</v>
      </c>
      <c r="D79" s="182"/>
      <c r="E79" s="194" t="s">
        <v>20</v>
      </c>
      <c r="F79" s="73" t="s">
        <v>356</v>
      </c>
      <c r="G79" s="74" t="s">
        <v>112</v>
      </c>
      <c r="H79" s="75"/>
      <c r="I79" s="76"/>
      <c r="J79" s="96"/>
      <c r="K79" s="77">
        <f>9075.37</f>
        <v>9075.3700000000008</v>
      </c>
      <c r="L79" s="77">
        <f>9075.37</f>
        <v>9075.3700000000008</v>
      </c>
      <c r="M79" s="78">
        <f t="shared" si="3"/>
        <v>0</v>
      </c>
      <c r="N79" s="100">
        <f>4+1+1+2+1</f>
        <v>9</v>
      </c>
      <c r="O79" s="81">
        <f>17895.28+17443.73+5473.41+2994.97</f>
        <v>43807.39</v>
      </c>
      <c r="P79" s="81">
        <f>17895.28+17443.73+5473.41+2994.97</f>
        <v>43807.39</v>
      </c>
      <c r="Q79" s="79">
        <f t="shared" si="2"/>
        <v>0</v>
      </c>
    </row>
    <row r="80" spans="1:17" s="13" customFormat="1" ht="30" x14ac:dyDescent="0.25">
      <c r="A80" s="229"/>
      <c r="B80" s="27" t="s">
        <v>55</v>
      </c>
      <c r="C80" s="181" t="s">
        <v>304</v>
      </c>
      <c r="D80" s="182" t="s">
        <v>387</v>
      </c>
      <c r="E80" s="183" t="s">
        <v>20</v>
      </c>
      <c r="F80" s="73" t="s">
        <v>357</v>
      </c>
      <c r="G80" s="74" t="s">
        <v>112</v>
      </c>
      <c r="H80" s="75">
        <v>23</v>
      </c>
      <c r="I80" s="76">
        <v>18</v>
      </c>
      <c r="J80" s="98">
        <f>3+1+1+2+1+1+1+3+3+1</f>
        <v>17</v>
      </c>
      <c r="K80" s="77">
        <f>1267.86+6667.8+5756.15+1180.38+4780.37+4352.43+2850.42+2493.42+1404.9+10097.91</f>
        <v>40851.64</v>
      </c>
      <c r="L80" s="77">
        <f>1267.86+6667.8+5756.15+1180.38+4780.37+4352.43+2850.42+2493.42+1404.9</f>
        <v>30753.729999999996</v>
      </c>
      <c r="M80" s="78">
        <f t="shared" si="3"/>
        <v>10097.910000000003</v>
      </c>
      <c r="N80" s="100">
        <f>2+1+2+2+2+1+2+1+1+1</f>
        <v>15</v>
      </c>
      <c r="O80" s="81">
        <f>34854.19+2113.1+6430.67+5463.42+39145.22+2535.72+5132.44+12985.86</f>
        <v>108660.62000000001</v>
      </c>
      <c r="P80" s="81">
        <f>34854.19+2113.1+6430.67+5463.42+39145.22+2535.72+5132.44+12985.86</f>
        <v>108660.62000000001</v>
      </c>
      <c r="Q80" s="232">
        <f t="shared" si="2"/>
        <v>0</v>
      </c>
    </row>
    <row r="81" spans="1:17" s="13" customFormat="1" ht="30" x14ac:dyDescent="0.25">
      <c r="A81" s="229"/>
      <c r="B81" s="62" t="s">
        <v>56</v>
      </c>
      <c r="C81" s="181" t="s">
        <v>17</v>
      </c>
      <c r="D81" s="182" t="s">
        <v>386</v>
      </c>
      <c r="E81" s="183" t="s">
        <v>18</v>
      </c>
      <c r="F81" s="73" t="s">
        <v>358</v>
      </c>
      <c r="G81" s="74" t="s">
        <v>112</v>
      </c>
      <c r="H81" s="75">
        <v>14</v>
      </c>
      <c r="I81" s="76">
        <v>11</v>
      </c>
      <c r="J81" s="96">
        <f>1+1+2+2+5</f>
        <v>11</v>
      </c>
      <c r="K81" s="77">
        <f>678.11+678.11+4865.7+5265.72+4915.15</f>
        <v>16402.79</v>
      </c>
      <c r="L81" s="77">
        <f>678.11+678.11+4865.7+5265.72</f>
        <v>11487.64</v>
      </c>
      <c r="M81" s="78">
        <f t="shared" si="3"/>
        <v>4915.1500000000015</v>
      </c>
      <c r="N81" s="100">
        <f>1</f>
        <v>1</v>
      </c>
      <c r="O81" s="81">
        <f>4395.5</f>
        <v>4395.5</v>
      </c>
      <c r="P81" s="81">
        <f>4395.5</f>
        <v>4395.5</v>
      </c>
      <c r="Q81" s="79">
        <f t="shared" si="2"/>
        <v>0</v>
      </c>
    </row>
    <row r="82" spans="1:17" s="13" customFormat="1" ht="30" x14ac:dyDescent="0.25">
      <c r="A82" s="229"/>
      <c r="B82" s="62" t="s">
        <v>56</v>
      </c>
      <c r="C82" s="181" t="s">
        <v>304</v>
      </c>
      <c r="D82" s="182" t="s">
        <v>386</v>
      </c>
      <c r="E82" s="183" t="s">
        <v>18</v>
      </c>
      <c r="F82" s="73" t="s">
        <v>476</v>
      </c>
      <c r="G82" s="230" t="s">
        <v>113</v>
      </c>
      <c r="H82" s="181">
        <v>14</v>
      </c>
      <c r="I82" s="231">
        <v>9</v>
      </c>
      <c r="J82" s="96">
        <v>9</v>
      </c>
      <c r="K82" s="77">
        <v>15944</v>
      </c>
      <c r="L82" s="77">
        <v>15944</v>
      </c>
      <c r="M82" s="78">
        <f t="shared" si="3"/>
        <v>0</v>
      </c>
      <c r="N82" s="100"/>
      <c r="O82" s="224">
        <v>7612</v>
      </c>
      <c r="P82" s="224">
        <v>7612</v>
      </c>
      <c r="Q82" s="232">
        <f t="shared" ref="Q82:Q147" si="4">O82-P82</f>
        <v>0</v>
      </c>
    </row>
    <row r="83" spans="1:17" s="13" customFormat="1" x14ac:dyDescent="0.25">
      <c r="A83" s="229"/>
      <c r="B83" s="62" t="s">
        <v>156</v>
      </c>
      <c r="C83" s="181" t="s">
        <v>304</v>
      </c>
      <c r="D83" s="182"/>
      <c r="E83" s="183" t="s">
        <v>20</v>
      </c>
      <c r="F83" s="73" t="s">
        <v>359</v>
      </c>
      <c r="G83" s="74" t="s">
        <v>112</v>
      </c>
      <c r="H83" s="75">
        <v>5</v>
      </c>
      <c r="I83" s="76">
        <v>2</v>
      </c>
      <c r="J83" s="96">
        <f>2</f>
        <v>2</v>
      </c>
      <c r="K83" s="77">
        <f>1690.48+993.47</f>
        <v>2683.95</v>
      </c>
      <c r="L83" s="77">
        <f>1690.48+993.47</f>
        <v>2683.95</v>
      </c>
      <c r="M83" s="78">
        <f t="shared" si="3"/>
        <v>0</v>
      </c>
      <c r="N83" s="100">
        <f>3+1+1</f>
        <v>5</v>
      </c>
      <c r="O83" s="81">
        <f>5488.54+2398.37+422.62+1605.6</f>
        <v>9915.130000000001</v>
      </c>
      <c r="P83" s="81">
        <f>5488.54+2398.37+422.62+1605.6</f>
        <v>9915.130000000001</v>
      </c>
      <c r="Q83" s="79">
        <f t="shared" si="4"/>
        <v>0</v>
      </c>
    </row>
    <row r="84" spans="1:17" s="15" customFormat="1" x14ac:dyDescent="0.25">
      <c r="A84" s="229"/>
      <c r="B84" s="62" t="s">
        <v>57</v>
      </c>
      <c r="C84" s="181" t="s">
        <v>17</v>
      </c>
      <c r="D84" s="182"/>
      <c r="E84" s="183" t="s">
        <v>20</v>
      </c>
      <c r="F84" s="73" t="s">
        <v>360</v>
      </c>
      <c r="G84" s="74" t="s">
        <v>112</v>
      </c>
      <c r="H84" s="75">
        <v>8</v>
      </c>
      <c r="I84" s="76">
        <v>6</v>
      </c>
      <c r="J84" s="96">
        <f>2+1+1+2</f>
        <v>6</v>
      </c>
      <c r="K84" s="77">
        <f>806.82+1728.9+422.62+2958.34</f>
        <v>5916.68</v>
      </c>
      <c r="L84" s="77">
        <f>806.82+1728.9+422.62+2958.34</f>
        <v>5916.68</v>
      </c>
      <c r="M84" s="78">
        <f t="shared" si="3"/>
        <v>0</v>
      </c>
      <c r="N84" s="100">
        <f>2+1</f>
        <v>3</v>
      </c>
      <c r="O84" s="81">
        <f>2745.3</f>
        <v>2745.3</v>
      </c>
      <c r="P84" s="81">
        <f>2745.3</f>
        <v>2745.3</v>
      </c>
      <c r="Q84" s="232">
        <f t="shared" si="4"/>
        <v>0</v>
      </c>
    </row>
    <row r="85" spans="1:17" s="15" customFormat="1" x14ac:dyDescent="0.25">
      <c r="A85" s="229"/>
      <c r="B85" s="62" t="s">
        <v>57</v>
      </c>
      <c r="C85" s="181" t="s">
        <v>17</v>
      </c>
      <c r="D85" s="182"/>
      <c r="E85" s="183" t="s">
        <v>20</v>
      </c>
      <c r="F85" s="73" t="s">
        <v>458</v>
      </c>
      <c r="G85" s="230" t="s">
        <v>114</v>
      </c>
      <c r="H85" s="181">
        <v>36</v>
      </c>
      <c r="I85" s="231">
        <v>14</v>
      </c>
      <c r="J85" s="190">
        <v>14</v>
      </c>
      <c r="K85" s="77">
        <v>42207.27</v>
      </c>
      <c r="L85" s="77">
        <v>42207.27</v>
      </c>
      <c r="M85" s="78">
        <f t="shared" si="3"/>
        <v>0</v>
      </c>
      <c r="N85" s="100">
        <v>20</v>
      </c>
      <c r="O85" s="224">
        <v>42687.199999999997</v>
      </c>
      <c r="P85" s="224">
        <v>42687.199999999997</v>
      </c>
      <c r="Q85" s="232">
        <f t="shared" si="4"/>
        <v>0</v>
      </c>
    </row>
    <row r="86" spans="1:17" s="13" customFormat="1" x14ac:dyDescent="0.25">
      <c r="A86" s="229"/>
      <c r="B86" s="62" t="s">
        <v>58</v>
      </c>
      <c r="C86" s="181" t="s">
        <v>17</v>
      </c>
      <c r="D86" s="182"/>
      <c r="E86" s="183" t="s">
        <v>20</v>
      </c>
      <c r="F86" s="73" t="s">
        <v>361</v>
      </c>
      <c r="G86" s="74" t="s">
        <v>112</v>
      </c>
      <c r="H86" s="75">
        <v>10</v>
      </c>
      <c r="I86" s="76">
        <v>7</v>
      </c>
      <c r="J86" s="96">
        <f>1+2+1+1+1+1</f>
        <v>7</v>
      </c>
      <c r="K86" s="77">
        <f>1892.47+3118.94+422.62+1324.62</f>
        <v>6758.65</v>
      </c>
      <c r="L86" s="77">
        <f>1892.47+3118.94+422.62+1324.62</f>
        <v>6758.65</v>
      </c>
      <c r="M86" s="78">
        <f t="shared" si="3"/>
        <v>0</v>
      </c>
      <c r="N86" s="100">
        <f>1+1+3+1</f>
        <v>6</v>
      </c>
      <c r="O86" s="81">
        <f>9196.24+2480.78+2954.11+15214.32</f>
        <v>29845.45</v>
      </c>
      <c r="P86" s="81">
        <f>9196.24+2480.78+2954.11+15214.32</f>
        <v>29845.45</v>
      </c>
      <c r="Q86" s="232">
        <f t="shared" si="4"/>
        <v>0</v>
      </c>
    </row>
    <row r="87" spans="1:17" s="13" customFormat="1" x14ac:dyDescent="0.25">
      <c r="A87" s="229"/>
      <c r="B87" s="62" t="s">
        <v>58</v>
      </c>
      <c r="C87" s="181" t="s">
        <v>17</v>
      </c>
      <c r="D87" s="182"/>
      <c r="E87" s="183" t="s">
        <v>20</v>
      </c>
      <c r="F87" s="73" t="s">
        <v>478</v>
      </c>
      <c r="G87" s="230" t="s">
        <v>114</v>
      </c>
      <c r="H87" s="181">
        <v>15</v>
      </c>
      <c r="I87" s="231">
        <v>3</v>
      </c>
      <c r="J87" s="190">
        <v>3</v>
      </c>
      <c r="K87" s="77">
        <v>3765.16</v>
      </c>
      <c r="L87" s="77">
        <v>3765.16</v>
      </c>
      <c r="M87" s="78">
        <f t="shared" si="3"/>
        <v>0</v>
      </c>
      <c r="N87" s="100">
        <v>21</v>
      </c>
      <c r="O87" s="224">
        <v>54215.77</v>
      </c>
      <c r="P87" s="224">
        <v>54215.77</v>
      </c>
      <c r="Q87" s="232">
        <f t="shared" si="4"/>
        <v>0</v>
      </c>
    </row>
    <row r="88" spans="1:17" s="13" customFormat="1" x14ac:dyDescent="0.25">
      <c r="A88" s="229"/>
      <c r="B88" s="62" t="s">
        <v>59</v>
      </c>
      <c r="C88" s="181" t="s">
        <v>17</v>
      </c>
      <c r="D88" s="182"/>
      <c r="E88" s="183" t="s">
        <v>20</v>
      </c>
      <c r="F88" s="73" t="s">
        <v>362</v>
      </c>
      <c r="G88" s="74" t="s">
        <v>112</v>
      </c>
      <c r="H88" s="75">
        <v>13</v>
      </c>
      <c r="I88" s="76">
        <v>8</v>
      </c>
      <c r="J88" s="96">
        <f>1+1+1+3+1+1</f>
        <v>8</v>
      </c>
      <c r="K88" s="77">
        <f>403.41+1431.16+845.24+998.92+3059.87</f>
        <v>6738.6</v>
      </c>
      <c r="L88" s="77">
        <f>403.41+1431.16+845.24+998.92+3059.87</f>
        <v>6738.6</v>
      </c>
      <c r="M88" s="78">
        <f t="shared" si="3"/>
        <v>0</v>
      </c>
      <c r="N88" s="100">
        <f>1+2+2+1+1+1+1</f>
        <v>9</v>
      </c>
      <c r="O88" s="81">
        <f>6646.05+1267.86+979.71</f>
        <v>8893.619999999999</v>
      </c>
      <c r="P88" s="81">
        <f>2353.23+5561.68+978.71</f>
        <v>8893.619999999999</v>
      </c>
      <c r="Q88" s="232">
        <f t="shared" si="4"/>
        <v>0</v>
      </c>
    </row>
    <row r="89" spans="1:17" s="13" customFormat="1" x14ac:dyDescent="0.25">
      <c r="A89" s="229"/>
      <c r="B89" s="62" t="s">
        <v>59</v>
      </c>
      <c r="C89" s="181" t="s">
        <v>17</v>
      </c>
      <c r="D89" s="182"/>
      <c r="E89" s="183" t="s">
        <v>20</v>
      </c>
      <c r="F89" s="73" t="s">
        <v>128</v>
      </c>
      <c r="G89" s="230" t="s">
        <v>114</v>
      </c>
      <c r="H89" s="181"/>
      <c r="I89" s="231"/>
      <c r="J89" s="190"/>
      <c r="K89" s="77"/>
      <c r="L89" s="77"/>
      <c r="M89" s="78">
        <f t="shared" si="3"/>
        <v>0</v>
      </c>
      <c r="N89" s="100"/>
      <c r="O89" s="224"/>
      <c r="P89" s="224"/>
      <c r="Q89" s="232">
        <f t="shared" si="4"/>
        <v>0</v>
      </c>
    </row>
    <row r="90" spans="1:17" s="13" customFormat="1" x14ac:dyDescent="0.25">
      <c r="A90" s="229"/>
      <c r="B90" s="27" t="s">
        <v>60</v>
      </c>
      <c r="C90" s="181" t="s">
        <v>17</v>
      </c>
      <c r="D90" s="182"/>
      <c r="E90" s="183" t="s">
        <v>20</v>
      </c>
      <c r="F90" s="73" t="s">
        <v>364</v>
      </c>
      <c r="G90" s="74" t="s">
        <v>112</v>
      </c>
      <c r="H90" s="75">
        <v>20</v>
      </c>
      <c r="I90" s="76">
        <v>11</v>
      </c>
      <c r="J90" s="96">
        <f>1+1+1+4+4+2</f>
        <v>13</v>
      </c>
      <c r="K90" s="77">
        <f>634.93+893.27+2930.22+8503.46</f>
        <v>12961.88</v>
      </c>
      <c r="L90" s="77">
        <f>634.93+893.27+2930.22+8503.46</f>
        <v>12961.88</v>
      </c>
      <c r="M90" s="78">
        <f t="shared" si="3"/>
        <v>0</v>
      </c>
      <c r="N90" s="100">
        <f>4+1+3+1+1+2</f>
        <v>12</v>
      </c>
      <c r="O90" s="81">
        <f>15124.53+2065.75+8492.52+5828.3</f>
        <v>31511.1</v>
      </c>
      <c r="P90" s="81">
        <f>15124.53+2065.75+8492.52+5828.3</f>
        <v>31511.1</v>
      </c>
      <c r="Q90" s="232">
        <f t="shared" si="4"/>
        <v>0</v>
      </c>
    </row>
    <row r="91" spans="1:17" s="13" customFormat="1" x14ac:dyDescent="0.25">
      <c r="A91" s="229"/>
      <c r="B91" s="27" t="s">
        <v>60</v>
      </c>
      <c r="C91" s="181" t="s">
        <v>17</v>
      </c>
      <c r="D91" s="182"/>
      <c r="E91" s="183" t="s">
        <v>20</v>
      </c>
      <c r="F91" s="73" t="s">
        <v>479</v>
      </c>
      <c r="G91" s="230" t="s">
        <v>114</v>
      </c>
      <c r="H91" s="181">
        <v>14</v>
      </c>
      <c r="I91" s="231">
        <v>2</v>
      </c>
      <c r="J91" s="190">
        <v>2</v>
      </c>
      <c r="K91" s="77">
        <v>5186.7</v>
      </c>
      <c r="L91" s="77">
        <v>5186.7</v>
      </c>
      <c r="M91" s="78">
        <f t="shared" si="3"/>
        <v>0</v>
      </c>
      <c r="N91" s="100">
        <v>12</v>
      </c>
      <c r="O91" s="224">
        <v>41221.599999999999</v>
      </c>
      <c r="P91" s="224">
        <v>41221.599999999999</v>
      </c>
      <c r="Q91" s="232">
        <f t="shared" si="4"/>
        <v>0</v>
      </c>
    </row>
    <row r="92" spans="1:17" s="13" customFormat="1" x14ac:dyDescent="0.25">
      <c r="A92" s="229"/>
      <c r="B92" s="27" t="s">
        <v>493</v>
      </c>
      <c r="C92" s="181" t="s">
        <v>17</v>
      </c>
      <c r="D92" s="182"/>
      <c r="E92" s="183" t="s">
        <v>20</v>
      </c>
      <c r="F92" s="73" t="s">
        <v>496</v>
      </c>
      <c r="G92" s="230" t="s">
        <v>112</v>
      </c>
      <c r="H92" s="181">
        <v>15</v>
      </c>
      <c r="I92" s="231">
        <v>11</v>
      </c>
      <c r="J92" s="190">
        <f>3+2+1+3+1+2+1+3</f>
        <v>16</v>
      </c>
      <c r="K92" s="77">
        <f>3387.04+3467.41+1267.86+2218.74+8089.94+1924.71+5638.36</f>
        <v>25994.059999999998</v>
      </c>
      <c r="L92" s="77">
        <f>3387.04+3467.41+1267.86+2218.74+8089.94+1924.71+5638.36</f>
        <v>25994.059999999998</v>
      </c>
      <c r="M92" s="78">
        <f t="shared" si="3"/>
        <v>0</v>
      </c>
      <c r="N92" s="100"/>
      <c r="O92" s="224"/>
      <c r="P92" s="224"/>
      <c r="Q92" s="232">
        <f t="shared" si="4"/>
        <v>0</v>
      </c>
    </row>
    <row r="93" spans="1:17" s="15" customFormat="1" x14ac:dyDescent="0.25">
      <c r="A93" s="229"/>
      <c r="B93" s="27" t="s">
        <v>61</v>
      </c>
      <c r="C93" s="181" t="s">
        <v>17</v>
      </c>
      <c r="D93" s="182"/>
      <c r="E93" s="183" t="s">
        <v>20</v>
      </c>
      <c r="F93" s="73" t="s">
        <v>363</v>
      </c>
      <c r="G93" s="74" t="s">
        <v>112</v>
      </c>
      <c r="H93" s="75"/>
      <c r="I93" s="76"/>
      <c r="J93" s="96"/>
      <c r="K93" s="77"/>
      <c r="L93" s="77"/>
      <c r="M93" s="78">
        <f t="shared" si="3"/>
        <v>0</v>
      </c>
      <c r="N93" s="100"/>
      <c r="O93" s="81"/>
      <c r="P93" s="81"/>
      <c r="Q93" s="232">
        <f t="shared" si="4"/>
        <v>0</v>
      </c>
    </row>
    <row r="94" spans="1:17" s="15" customFormat="1" x14ac:dyDescent="0.25">
      <c r="A94" s="229"/>
      <c r="B94" s="236" t="s">
        <v>306</v>
      </c>
      <c r="C94" s="181" t="s">
        <v>17</v>
      </c>
      <c r="D94" s="182"/>
      <c r="E94" s="183" t="s">
        <v>35</v>
      </c>
      <c r="F94" s="73" t="s">
        <v>365</v>
      </c>
      <c r="G94" s="230" t="s">
        <v>112</v>
      </c>
      <c r="H94" s="181">
        <v>39</v>
      </c>
      <c r="I94" s="231">
        <v>25</v>
      </c>
      <c r="J94" s="190">
        <f>1+2+1+3+3+2+3+1+2+1+3+4</f>
        <v>26</v>
      </c>
      <c r="K94" s="77">
        <f>1045.98+2658.7+35696.14+4892.46+1024.04+2384.53+10793.24+5320.79+2075.24+1324.62+1192.16+2649.24</f>
        <v>71057.14</v>
      </c>
      <c r="L94" s="77">
        <f>1045.98+2658.7+35696.14+4892.46+1024.04+2384.53+10793.24+5320.79+2075.24+1324.62+1192.16+2649.24</f>
        <v>71057.14</v>
      </c>
      <c r="M94" s="78">
        <f t="shared" si="3"/>
        <v>0</v>
      </c>
      <c r="N94" s="114">
        <f>7+2+2+2+1+1+1</f>
        <v>16</v>
      </c>
      <c r="O94" s="224">
        <f>2313.84+6162.57+2330.32+1690.48+3706.14+3107.65+4960.7</f>
        <v>24271.7</v>
      </c>
      <c r="P94" s="224">
        <f>2313.84+6162.57+2330.32+1690.48+3706.14+3107.65+4960.7</f>
        <v>24271.7</v>
      </c>
      <c r="Q94" s="232">
        <f t="shared" si="4"/>
        <v>0</v>
      </c>
    </row>
    <row r="95" spans="1:17" s="13" customFormat="1" x14ac:dyDescent="0.25">
      <c r="A95" s="229"/>
      <c r="B95" s="62" t="s">
        <v>306</v>
      </c>
      <c r="C95" s="181" t="s">
        <v>17</v>
      </c>
      <c r="D95" s="182"/>
      <c r="E95" s="183" t="s">
        <v>27</v>
      </c>
      <c r="F95" s="73" t="s">
        <v>421</v>
      </c>
      <c r="G95" s="230" t="s">
        <v>117</v>
      </c>
      <c r="H95" s="181">
        <v>5</v>
      </c>
      <c r="I95" s="231"/>
      <c r="J95" s="96"/>
      <c r="K95" s="77"/>
      <c r="L95" s="77"/>
      <c r="M95" s="78">
        <f t="shared" si="3"/>
        <v>0</v>
      </c>
      <c r="N95" s="100"/>
      <c r="O95" s="77"/>
      <c r="P95" s="77"/>
      <c r="Q95" s="79">
        <f>O95-P95</f>
        <v>0</v>
      </c>
    </row>
    <row r="96" spans="1:17" s="13" customFormat="1" x14ac:dyDescent="0.25">
      <c r="A96" s="229"/>
      <c r="B96" s="27" t="s">
        <v>62</v>
      </c>
      <c r="C96" s="181" t="s">
        <v>17</v>
      </c>
      <c r="D96" s="182"/>
      <c r="E96" s="183" t="s">
        <v>35</v>
      </c>
      <c r="F96" s="73" t="s">
        <v>366</v>
      </c>
      <c r="G96" s="74" t="s">
        <v>112</v>
      </c>
      <c r="H96" s="75">
        <v>31</v>
      </c>
      <c r="I96" s="76">
        <v>26</v>
      </c>
      <c r="J96" s="96">
        <f>1+3+1+1+2+4+4+3+3+4</f>
        <v>26</v>
      </c>
      <c r="K96" s="77">
        <f>3613.4+1872.01+1394.65+3518.32+15902.72+5370.89+2686.97+19155.26</f>
        <v>53514.22</v>
      </c>
      <c r="L96" s="77">
        <f>3613.4+1872.01+1394.65+3518.32+15902.72+5370.89+2686.97</f>
        <v>34358.959999999999</v>
      </c>
      <c r="M96" s="78">
        <f t="shared" si="3"/>
        <v>19155.260000000002</v>
      </c>
      <c r="N96" s="100">
        <f>6+2+1+2+1+3+1+1</f>
        <v>17</v>
      </c>
      <c r="O96" s="81">
        <f>19511.33+1270.93+3979.74+2500.85+8530.18+845.24+12787.47+17476.07</f>
        <v>66901.81</v>
      </c>
      <c r="P96" s="81">
        <f>19511.33+1270.93+3979.74+2500.85+8530.18+845.24+12787.47+17476.07</f>
        <v>66901.81</v>
      </c>
      <c r="Q96" s="79">
        <f t="shared" si="4"/>
        <v>0</v>
      </c>
    </row>
    <row r="97" spans="1:17" s="13" customFormat="1" x14ac:dyDescent="0.25">
      <c r="A97" s="229"/>
      <c r="B97" s="27" t="s">
        <v>62</v>
      </c>
      <c r="C97" s="181" t="s">
        <v>17</v>
      </c>
      <c r="D97" s="182"/>
      <c r="E97" s="183" t="s">
        <v>35</v>
      </c>
      <c r="F97" s="73" t="s">
        <v>428</v>
      </c>
      <c r="G97" s="230" t="s">
        <v>117</v>
      </c>
      <c r="H97" s="181">
        <v>6</v>
      </c>
      <c r="I97" s="231"/>
      <c r="J97" s="96"/>
      <c r="K97" s="77"/>
      <c r="L97" s="77"/>
      <c r="M97" s="78">
        <f t="shared" si="3"/>
        <v>0</v>
      </c>
      <c r="N97" s="100">
        <v>9</v>
      </c>
      <c r="O97" s="224">
        <v>22788.1</v>
      </c>
      <c r="P97" s="224">
        <v>22788.1</v>
      </c>
      <c r="Q97" s="232">
        <f t="shared" si="4"/>
        <v>0</v>
      </c>
    </row>
    <row r="98" spans="1:17" s="13" customFormat="1" x14ac:dyDescent="0.25">
      <c r="A98" s="229"/>
      <c r="B98" s="27" t="s">
        <v>155</v>
      </c>
      <c r="C98" s="181" t="s">
        <v>17</v>
      </c>
      <c r="D98" s="182"/>
      <c r="E98" s="183" t="s">
        <v>20</v>
      </c>
      <c r="F98" s="73" t="s">
        <v>367</v>
      </c>
      <c r="G98" s="74" t="s">
        <v>112</v>
      </c>
      <c r="H98" s="75">
        <v>14</v>
      </c>
      <c r="I98" s="82">
        <v>9</v>
      </c>
      <c r="J98" s="96">
        <f>1+2+3+1+2+2+1</f>
        <v>12</v>
      </c>
      <c r="K98" s="77">
        <f>3117.56+2266.78+5307.72+3606.94+1494.21+6905.68</f>
        <v>22698.890000000003</v>
      </c>
      <c r="L98" s="77">
        <f>3117.56+2266.78+5307.72+3606.94+1494.21</f>
        <v>15793.210000000003</v>
      </c>
      <c r="M98" s="78">
        <f t="shared" si="3"/>
        <v>6905.68</v>
      </c>
      <c r="N98" s="100">
        <f>1+1+1+1+1</f>
        <v>5</v>
      </c>
      <c r="O98" s="81">
        <f>1798.06+2123.67</f>
        <v>3921.73</v>
      </c>
      <c r="P98" s="81">
        <f>1798.06+2123.67</f>
        <v>3921.73</v>
      </c>
      <c r="Q98" s="232">
        <f t="shared" si="4"/>
        <v>0</v>
      </c>
    </row>
    <row r="99" spans="1:17" s="13" customFormat="1" ht="15.75" x14ac:dyDescent="0.25">
      <c r="A99" s="229"/>
      <c r="B99" s="27" t="s">
        <v>155</v>
      </c>
      <c r="C99" s="181" t="s">
        <v>17</v>
      </c>
      <c r="D99" s="182"/>
      <c r="E99" s="183" t="s">
        <v>20</v>
      </c>
      <c r="F99" s="73" t="s">
        <v>459</v>
      </c>
      <c r="G99" s="230" t="s">
        <v>114</v>
      </c>
      <c r="H99" s="1">
        <v>14</v>
      </c>
      <c r="I99" s="231">
        <v>4</v>
      </c>
      <c r="J99" s="190">
        <v>4</v>
      </c>
      <c r="K99" s="77">
        <v>8816.51</v>
      </c>
      <c r="L99" s="77">
        <v>8816.51</v>
      </c>
      <c r="M99" s="78">
        <f t="shared" si="3"/>
        <v>0</v>
      </c>
      <c r="N99" s="100">
        <v>16</v>
      </c>
      <c r="O99" s="224">
        <v>36413.46</v>
      </c>
      <c r="P99" s="224">
        <v>36413.46</v>
      </c>
      <c r="Q99" s="232">
        <f t="shared" si="4"/>
        <v>0</v>
      </c>
    </row>
    <row r="100" spans="1:17" s="13" customFormat="1" x14ac:dyDescent="0.25">
      <c r="A100" s="229"/>
      <c r="B100" s="30" t="s">
        <v>66</v>
      </c>
      <c r="C100" s="181" t="s">
        <v>17</v>
      </c>
      <c r="D100" s="182"/>
      <c r="E100" s="183" t="s">
        <v>21</v>
      </c>
      <c r="F100" s="73" t="s">
        <v>368</v>
      </c>
      <c r="G100" s="74" t="s">
        <v>112</v>
      </c>
      <c r="H100" s="75">
        <v>35</v>
      </c>
      <c r="I100" s="76">
        <v>31</v>
      </c>
      <c r="J100" s="96">
        <f>1+3+2+3+2+1+2+1+3+7+4+3+2+3+4+5</f>
        <v>46</v>
      </c>
      <c r="K100" s="77">
        <f>1045.98+4309.04+3820.12+1872.01+4253.49+3044.79+1191.19+4942.84+9299.2+9796.16+4139.27+2886.87+11269.91</f>
        <v>61870.87000000001</v>
      </c>
      <c r="L100" s="77">
        <f>1045.98+4309.04+3820.12+1872.01+4253.49+3044.79+1191.19+4942.84+9299.2+9796.16+4139.27+2886.87</f>
        <v>50600.960000000014</v>
      </c>
      <c r="M100" s="78">
        <f t="shared" si="3"/>
        <v>11269.909999999996</v>
      </c>
      <c r="N100" s="100">
        <f>6+3+8+7+1+1+1+2+1+1+1+1+1+1</f>
        <v>35</v>
      </c>
      <c r="O100" s="81">
        <f>11911.17+23136+18060.17+1977.84+2091.97+19535.65+19124.11+3199.71+4430.07+5418.9+2717.24</f>
        <v>111602.83</v>
      </c>
      <c r="P100" s="81">
        <f>11911.17+23136+18060.17+1977.84+2091.97+19535.65+19124.11+3199.71+4430.07+5418.9+2717.24</f>
        <v>111602.83</v>
      </c>
      <c r="Q100" s="232">
        <f t="shared" si="4"/>
        <v>0</v>
      </c>
    </row>
    <row r="101" spans="1:17" s="13" customFormat="1" x14ac:dyDescent="0.25">
      <c r="A101" s="229"/>
      <c r="B101" s="30" t="s">
        <v>66</v>
      </c>
      <c r="C101" s="181" t="s">
        <v>17</v>
      </c>
      <c r="D101" s="182"/>
      <c r="E101" s="183" t="s">
        <v>21</v>
      </c>
      <c r="F101" s="73" t="s">
        <v>439</v>
      </c>
      <c r="G101" s="230" t="s">
        <v>118</v>
      </c>
      <c r="H101" s="181">
        <v>7</v>
      </c>
      <c r="I101" s="231">
        <v>3</v>
      </c>
      <c r="J101" s="96">
        <v>3</v>
      </c>
      <c r="K101" s="77">
        <v>5367.3</v>
      </c>
      <c r="L101" s="77">
        <v>5367.3</v>
      </c>
      <c r="M101" s="78">
        <f t="shared" si="3"/>
        <v>0</v>
      </c>
      <c r="N101" s="100">
        <v>24</v>
      </c>
      <c r="O101" s="224">
        <v>81462.58</v>
      </c>
      <c r="P101" s="224">
        <v>81462.58</v>
      </c>
      <c r="Q101" s="79">
        <f t="shared" si="4"/>
        <v>0</v>
      </c>
    </row>
    <row r="102" spans="1:17" s="13" customFormat="1" x14ac:dyDescent="0.25">
      <c r="A102" s="229"/>
      <c r="B102" s="62" t="s">
        <v>137</v>
      </c>
      <c r="C102" s="181" t="s">
        <v>17</v>
      </c>
      <c r="D102" s="182"/>
      <c r="E102" s="194" t="s">
        <v>35</v>
      </c>
      <c r="F102" s="73" t="s">
        <v>369</v>
      </c>
      <c r="G102" s="74" t="s">
        <v>112</v>
      </c>
      <c r="H102" s="75">
        <v>36</v>
      </c>
      <c r="I102" s="76">
        <v>25</v>
      </c>
      <c r="J102" s="96">
        <f>3+3+1+4+1+3+2+3+6</f>
        <v>26</v>
      </c>
      <c r="K102" s="77">
        <f>504.26+845.24+3380.96+422.62+2535.72+6256.62+883.08+2649.24</f>
        <v>17477.739999999998</v>
      </c>
      <c r="L102" s="77">
        <f>504.26+845.24+3380.96+422.62+2535.72+6256.62+883.08+2649.24</f>
        <v>17477.739999999998</v>
      </c>
      <c r="M102" s="78">
        <f t="shared" si="3"/>
        <v>0</v>
      </c>
      <c r="N102" s="100">
        <f>5+1+1+2+1</f>
        <v>10</v>
      </c>
      <c r="O102" s="81">
        <f>2617.36+422.62+3852.18+3380.96+422.62</f>
        <v>10695.74</v>
      </c>
      <c r="P102" s="81">
        <f>2617.36+422.62+3852.18+3380.96+422.62</f>
        <v>10695.74</v>
      </c>
      <c r="Q102" s="232">
        <f t="shared" si="4"/>
        <v>0</v>
      </c>
    </row>
    <row r="103" spans="1:17" s="13" customFormat="1" x14ac:dyDescent="0.25">
      <c r="A103" s="229"/>
      <c r="B103" s="62" t="s">
        <v>137</v>
      </c>
      <c r="C103" s="181" t="s">
        <v>17</v>
      </c>
      <c r="D103" s="182"/>
      <c r="E103" s="194" t="s">
        <v>35</v>
      </c>
      <c r="F103" s="73" t="s">
        <v>429</v>
      </c>
      <c r="G103" s="230" t="s">
        <v>117</v>
      </c>
      <c r="H103" s="181">
        <v>12</v>
      </c>
      <c r="I103" s="231">
        <v>2</v>
      </c>
      <c r="J103" s="190">
        <v>2</v>
      </c>
      <c r="K103" s="193">
        <v>4530.1000000000004</v>
      </c>
      <c r="L103" s="193">
        <v>4530.1000000000004</v>
      </c>
      <c r="M103" s="78">
        <f t="shared" si="3"/>
        <v>0</v>
      </c>
      <c r="N103" s="114">
        <v>2</v>
      </c>
      <c r="O103" s="224">
        <v>10565.5</v>
      </c>
      <c r="P103" s="224">
        <v>10565.5</v>
      </c>
      <c r="Q103" s="79">
        <f t="shared" si="4"/>
        <v>0</v>
      </c>
    </row>
    <row r="104" spans="1:17" s="13" customFormat="1" x14ac:dyDescent="0.25">
      <c r="A104" s="229"/>
      <c r="B104" s="30" t="s">
        <v>67</v>
      </c>
      <c r="C104" s="181" t="s">
        <v>17</v>
      </c>
      <c r="D104" s="182"/>
      <c r="E104" s="194" t="s">
        <v>21</v>
      </c>
      <c r="F104" s="73" t="s">
        <v>370</v>
      </c>
      <c r="G104" s="74" t="s">
        <v>112</v>
      </c>
      <c r="H104" s="75">
        <v>39</v>
      </c>
      <c r="I104" s="76">
        <v>29</v>
      </c>
      <c r="J104" s="96">
        <f>2+1+1+2+1+1+2+2+1+2+5+5+2+5+3</f>
        <v>35</v>
      </c>
      <c r="K104" s="77">
        <f>3319.85+1198.9+864.45+7235.32+1947.89+5377.75+8701.73+3581.7+8737.54+7647.65</f>
        <v>48612.780000000006</v>
      </c>
      <c r="L104" s="77">
        <f>3319.85+1198.9+864.45+7235.32+1947.89+5377.75+8701.73+3581.7+8737.54+7647.65</f>
        <v>48612.780000000006</v>
      </c>
      <c r="M104" s="78">
        <f t="shared" si="3"/>
        <v>0</v>
      </c>
      <c r="N104" s="100">
        <f>4+9+4+4+1+3+1+3+1+1+1+1+1+1</f>
        <v>35</v>
      </c>
      <c r="O104" s="81">
        <f>29696.65+38129.03+13567.9+20687.05+2022.79+8145.77+17250.05+1233.28+5568.04+11106.62</f>
        <v>147407.18</v>
      </c>
      <c r="P104" s="81">
        <f>29696.65+38129.03+13567.9+20687.05+2022.79+8145.77+17250.05+1233.28+5568.04+11106.62</f>
        <v>147407.18</v>
      </c>
      <c r="Q104" s="232">
        <f t="shared" si="4"/>
        <v>0</v>
      </c>
    </row>
    <row r="105" spans="1:17" s="13" customFormat="1" x14ac:dyDescent="0.25">
      <c r="A105" s="229"/>
      <c r="B105" s="30" t="s">
        <v>67</v>
      </c>
      <c r="C105" s="181" t="s">
        <v>17</v>
      </c>
      <c r="D105" s="182"/>
      <c r="E105" s="194" t="s">
        <v>21</v>
      </c>
      <c r="F105" s="73" t="s">
        <v>440</v>
      </c>
      <c r="G105" s="230" t="s">
        <v>118</v>
      </c>
      <c r="H105" s="181">
        <v>15</v>
      </c>
      <c r="I105" s="231">
        <v>2</v>
      </c>
      <c r="J105" s="96">
        <v>2</v>
      </c>
      <c r="K105" s="77">
        <v>5282.54</v>
      </c>
      <c r="L105" s="77">
        <v>5282.54</v>
      </c>
      <c r="M105" s="78">
        <f t="shared" si="3"/>
        <v>0</v>
      </c>
      <c r="N105" s="100">
        <v>20</v>
      </c>
      <c r="O105" s="224">
        <v>66027.179999999993</v>
      </c>
      <c r="P105" s="224">
        <v>66027.179999999993</v>
      </c>
      <c r="Q105" s="79">
        <f t="shared" si="4"/>
        <v>0</v>
      </c>
    </row>
    <row r="106" spans="1:17" s="13" customFormat="1" x14ac:dyDescent="0.25">
      <c r="A106" s="229"/>
      <c r="B106" s="30" t="s">
        <v>68</v>
      </c>
      <c r="C106" s="181" t="s">
        <v>17</v>
      </c>
      <c r="D106" s="182"/>
      <c r="E106" s="194" t="s">
        <v>32</v>
      </c>
      <c r="F106" s="73" t="s">
        <v>371</v>
      </c>
      <c r="G106" s="74" t="s">
        <v>112</v>
      </c>
      <c r="H106" s="75">
        <v>20</v>
      </c>
      <c r="I106" s="76">
        <v>18</v>
      </c>
      <c r="J106" s="96">
        <f>2+1+2+5+5+3+1+2+2</f>
        <v>23</v>
      </c>
      <c r="K106" s="77">
        <f>1128.59+422.62+1152.6+4557.81+10981.59+5362.88+4996.85+4352.15+3073.96+3697.9+1003.5</f>
        <v>40730.450000000004</v>
      </c>
      <c r="L106" s="77">
        <f>1128.59+422.62+1152.6+4557.81+10981.59+5362.88+4996.85+4352.15+3073.96+3697.9+1003.5</f>
        <v>40730.450000000004</v>
      </c>
      <c r="M106" s="78">
        <f t="shared" si="3"/>
        <v>0</v>
      </c>
      <c r="N106" s="100">
        <f>6+5+1+4+2+2+1</f>
        <v>21</v>
      </c>
      <c r="O106" s="81">
        <f>7813.73+8523.5+1452.28+12582.19+18077.76+4987.46+2373.79</f>
        <v>55810.709999999992</v>
      </c>
      <c r="P106" s="81">
        <f>7813.73+8523.5+1452.28+12582.19+18077.76+4987.46+2373.79</f>
        <v>55810.709999999992</v>
      </c>
      <c r="Q106" s="232">
        <f t="shared" si="4"/>
        <v>0</v>
      </c>
    </row>
    <row r="107" spans="1:17" s="13" customFormat="1" x14ac:dyDescent="0.25">
      <c r="A107" s="229"/>
      <c r="B107" s="30" t="s">
        <v>68</v>
      </c>
      <c r="C107" s="181" t="s">
        <v>17</v>
      </c>
      <c r="D107" s="182"/>
      <c r="E107" s="194" t="s">
        <v>32</v>
      </c>
      <c r="F107" s="73" t="s">
        <v>430</v>
      </c>
      <c r="G107" s="235" t="s">
        <v>117</v>
      </c>
      <c r="H107" s="181">
        <v>4</v>
      </c>
      <c r="I107" s="231">
        <v>1</v>
      </c>
      <c r="J107" s="96">
        <v>1</v>
      </c>
      <c r="K107" s="77">
        <v>1204.2</v>
      </c>
      <c r="L107" s="77"/>
      <c r="M107" s="78">
        <f t="shared" si="3"/>
        <v>1204.2</v>
      </c>
      <c r="N107" s="100"/>
      <c r="O107" s="77"/>
      <c r="P107" s="77"/>
      <c r="Q107" s="79">
        <f t="shared" si="4"/>
        <v>0</v>
      </c>
    </row>
    <row r="108" spans="1:17" s="15" customFormat="1" x14ac:dyDescent="0.25">
      <c r="A108" s="229"/>
      <c r="B108" s="27" t="s">
        <v>69</v>
      </c>
      <c r="C108" s="181" t="s">
        <v>17</v>
      </c>
      <c r="D108" s="182"/>
      <c r="E108" s="183" t="s">
        <v>20</v>
      </c>
      <c r="F108" s="73" t="s">
        <v>372</v>
      </c>
      <c r="G108" s="74" t="s">
        <v>112</v>
      </c>
      <c r="H108" s="75">
        <v>9</v>
      </c>
      <c r="I108" s="76">
        <v>5</v>
      </c>
      <c r="J108" s="96">
        <f>1+1+1+1+3+1</f>
        <v>8</v>
      </c>
      <c r="K108" s="77">
        <f>422.62+17390.69+3114.71+475.45+2326.92</f>
        <v>23730.39</v>
      </c>
      <c r="L108" s="77">
        <f>422.62+17390.69+3114.71+475.45+2326.92</f>
        <v>23730.39</v>
      </c>
      <c r="M108" s="78">
        <f t="shared" si="3"/>
        <v>0</v>
      </c>
      <c r="N108" s="100">
        <f>3+2+1+1+1+1</f>
        <v>9</v>
      </c>
      <c r="O108" s="77">
        <f>7210.31+3647.96+1306.28+1267.86+2697.06</f>
        <v>16129.470000000001</v>
      </c>
      <c r="P108" s="77">
        <f>7210.31+3647.96+1306.28+1267.86+2697.06</f>
        <v>16129.470000000001</v>
      </c>
      <c r="Q108" s="232">
        <f t="shared" si="4"/>
        <v>0</v>
      </c>
    </row>
    <row r="109" spans="1:17" s="15" customFormat="1" x14ac:dyDescent="0.25">
      <c r="A109" s="229"/>
      <c r="B109" s="236" t="s">
        <v>502</v>
      </c>
      <c r="C109" s="181" t="s">
        <v>17</v>
      </c>
      <c r="D109" s="182"/>
      <c r="E109" s="183" t="s">
        <v>20</v>
      </c>
      <c r="F109" s="73" t="s">
        <v>508</v>
      </c>
      <c r="G109" s="74" t="s">
        <v>112</v>
      </c>
      <c r="H109" s="75">
        <v>14</v>
      </c>
      <c r="I109" s="76">
        <v>9</v>
      </c>
      <c r="J109" s="96">
        <f>4+1+4+1</f>
        <v>10</v>
      </c>
      <c r="K109" s="77">
        <f>6145.3+993.47+5403.3+2759.63</f>
        <v>15301.7</v>
      </c>
      <c r="L109" s="77">
        <f>6145.3+993.47+5403.3</f>
        <v>12542.07</v>
      </c>
      <c r="M109" s="78">
        <f t="shared" si="3"/>
        <v>2759.630000000001</v>
      </c>
      <c r="N109" s="100"/>
      <c r="O109" s="77"/>
      <c r="P109" s="77"/>
      <c r="Q109" s="232">
        <f t="shared" si="4"/>
        <v>0</v>
      </c>
    </row>
    <row r="110" spans="1:17" s="15" customFormat="1" x14ac:dyDescent="0.25">
      <c r="A110" s="229"/>
      <c r="B110" s="236" t="s">
        <v>502</v>
      </c>
      <c r="C110" s="181" t="s">
        <v>17</v>
      </c>
      <c r="D110" s="182"/>
      <c r="E110" s="183" t="s">
        <v>32</v>
      </c>
      <c r="F110" s="73" t="s">
        <v>511</v>
      </c>
      <c r="G110" s="235" t="s">
        <v>117</v>
      </c>
      <c r="H110" s="75">
        <v>6</v>
      </c>
      <c r="I110" s="76"/>
      <c r="J110" s="96"/>
      <c r="K110" s="77"/>
      <c r="L110" s="77"/>
      <c r="M110" s="78">
        <f t="shared" si="3"/>
        <v>0</v>
      </c>
      <c r="N110" s="100"/>
      <c r="O110" s="77"/>
      <c r="P110" s="77"/>
      <c r="Q110" s="232">
        <f t="shared" si="4"/>
        <v>0</v>
      </c>
    </row>
    <row r="111" spans="1:17" s="13" customFormat="1" x14ac:dyDescent="0.25">
      <c r="A111" s="229"/>
      <c r="B111" s="62" t="s">
        <v>70</v>
      </c>
      <c r="C111" s="181" t="s">
        <v>17</v>
      </c>
      <c r="D111" s="182"/>
      <c r="E111" s="183" t="s">
        <v>20</v>
      </c>
      <c r="F111" s="73" t="s">
        <v>373</v>
      </c>
      <c r="G111" s="74" t="s">
        <v>112</v>
      </c>
      <c r="H111" s="75">
        <v>17</v>
      </c>
      <c r="I111" s="76">
        <v>10</v>
      </c>
      <c r="J111" s="96">
        <f>2+2+2+3+1+2</f>
        <v>12</v>
      </c>
      <c r="K111" s="77">
        <f>19498+3011.17+8156.45</f>
        <v>30665.62</v>
      </c>
      <c r="L111" s="77">
        <f>19498+3011.17+8156.45</f>
        <v>30665.62</v>
      </c>
      <c r="M111" s="78">
        <f t="shared" si="3"/>
        <v>0</v>
      </c>
      <c r="N111" s="100">
        <f>2+3+4+2+1</f>
        <v>12</v>
      </c>
      <c r="O111" s="81">
        <f>7606.2+16795.84+3492.18</f>
        <v>27894.22</v>
      </c>
      <c r="P111" s="81">
        <f>7606.2+16795.84+3492.18</f>
        <v>27894.22</v>
      </c>
      <c r="Q111" s="79">
        <f t="shared" si="4"/>
        <v>0</v>
      </c>
    </row>
    <row r="112" spans="1:17" s="13" customFormat="1" x14ac:dyDescent="0.25">
      <c r="A112" s="229"/>
      <c r="B112" s="62" t="s">
        <v>70</v>
      </c>
      <c r="C112" s="181" t="s">
        <v>17</v>
      </c>
      <c r="D112" s="182"/>
      <c r="E112" s="183" t="s">
        <v>20</v>
      </c>
      <c r="F112" s="73" t="s">
        <v>460</v>
      </c>
      <c r="G112" s="230" t="s">
        <v>114</v>
      </c>
      <c r="H112" s="181">
        <v>37</v>
      </c>
      <c r="I112" s="231">
        <v>14</v>
      </c>
      <c r="J112" s="190">
        <v>14</v>
      </c>
      <c r="K112" s="77">
        <v>44867.74</v>
      </c>
      <c r="L112" s="77">
        <v>44867.74</v>
      </c>
      <c r="M112" s="78">
        <f t="shared" si="3"/>
        <v>0</v>
      </c>
      <c r="N112" s="100">
        <v>31</v>
      </c>
      <c r="O112" s="224">
        <v>75536.87</v>
      </c>
      <c r="P112" s="224">
        <v>75536.87</v>
      </c>
      <c r="Q112" s="232">
        <f t="shared" si="4"/>
        <v>0</v>
      </c>
    </row>
    <row r="113" spans="1:17" s="15" customFormat="1" x14ac:dyDescent="0.25">
      <c r="A113" s="229"/>
      <c r="B113" s="62" t="s">
        <v>71</v>
      </c>
      <c r="C113" s="181" t="s">
        <v>17</v>
      </c>
      <c r="D113" s="182"/>
      <c r="E113" s="183" t="s">
        <v>32</v>
      </c>
      <c r="F113" s="73" t="s">
        <v>374</v>
      </c>
      <c r="G113" s="74" t="s">
        <v>112</v>
      </c>
      <c r="H113" s="75">
        <v>22</v>
      </c>
      <c r="I113" s="76">
        <v>17</v>
      </c>
      <c r="J113" s="96">
        <f>3+1+2+1+1+3+3+1+3</f>
        <v>18</v>
      </c>
      <c r="K113" s="77">
        <f>1536.8+461.04+1748.88+633.93+3169.65+2435.83+13203.17+728.54</f>
        <v>23917.840000000004</v>
      </c>
      <c r="L113" s="77">
        <f>1536.8+461.04+1748.88+633.93+3169.65+2435.83+13203.17+728.54</f>
        <v>23917.840000000004</v>
      </c>
      <c r="M113" s="78">
        <f t="shared" si="3"/>
        <v>0</v>
      </c>
      <c r="N113" s="100">
        <f>3+2+1+1+2+1</f>
        <v>10</v>
      </c>
      <c r="O113" s="81">
        <f>9567.93+3616.67+403.41+14275.52+10922.18+12907.41</f>
        <v>51693.119999999995</v>
      </c>
      <c r="P113" s="81">
        <f>9567.93+3616.67+403.41+14275.52+10922.18+12907.41</f>
        <v>51693.119999999995</v>
      </c>
      <c r="Q113" s="79">
        <f t="shared" si="4"/>
        <v>0</v>
      </c>
    </row>
    <row r="114" spans="1:17" s="15" customFormat="1" x14ac:dyDescent="0.25">
      <c r="A114" s="229"/>
      <c r="B114" s="62" t="s">
        <v>71</v>
      </c>
      <c r="C114" s="181" t="s">
        <v>17</v>
      </c>
      <c r="D114" s="182"/>
      <c r="E114" s="183" t="s">
        <v>32</v>
      </c>
      <c r="F114" s="73" t="s">
        <v>431</v>
      </c>
      <c r="G114" s="230" t="s">
        <v>115</v>
      </c>
      <c r="H114" s="181">
        <v>8</v>
      </c>
      <c r="I114" s="231">
        <v>4</v>
      </c>
      <c r="J114" s="96">
        <v>4</v>
      </c>
      <c r="K114" s="237">
        <v>6627.45</v>
      </c>
      <c r="L114" s="237">
        <v>6627.45</v>
      </c>
      <c r="M114" s="78">
        <f t="shared" si="3"/>
        <v>0</v>
      </c>
      <c r="N114" s="114">
        <f>5</f>
        <v>5</v>
      </c>
      <c r="O114" s="77">
        <v>6595.5</v>
      </c>
      <c r="P114" s="77">
        <v>6595.5</v>
      </c>
      <c r="Q114" s="232">
        <f t="shared" si="4"/>
        <v>0</v>
      </c>
    </row>
    <row r="115" spans="1:17" s="13" customFormat="1" x14ac:dyDescent="0.25">
      <c r="A115" s="229"/>
      <c r="B115" s="62" t="s">
        <v>319</v>
      </c>
      <c r="C115" s="181" t="s">
        <v>17</v>
      </c>
      <c r="D115" s="182"/>
      <c r="E115" s="183" t="s">
        <v>20</v>
      </c>
      <c r="F115" s="73" t="s">
        <v>375</v>
      </c>
      <c r="G115" s="74" t="s">
        <v>112</v>
      </c>
      <c r="H115" s="75">
        <v>35</v>
      </c>
      <c r="I115" s="76">
        <v>24</v>
      </c>
      <c r="J115" s="96">
        <f>2+1+4+3+6+2+7+1+2+1+1</f>
        <v>30</v>
      </c>
      <c r="K115" s="77">
        <f>710.77+1523.35+6753.23+7215.52+1437.48+28056.52+6091.99+2561.63+3510.24+1726.58+441.54</f>
        <v>60028.849999999991</v>
      </c>
      <c r="L115" s="77">
        <f>710.77+1523.35+6753.23+7215.52+1437.48+28056.52+6091.99+2561.63+3510.24</f>
        <v>57860.729999999989</v>
      </c>
      <c r="M115" s="78">
        <f t="shared" si="3"/>
        <v>2168.1200000000026</v>
      </c>
      <c r="N115" s="100">
        <f>3+1+2+1+2+1</f>
        <v>10</v>
      </c>
      <c r="O115" s="77">
        <f>13419.94+726.71+2846.77+3770.56+4653.31+2237.23</f>
        <v>27654.520000000004</v>
      </c>
      <c r="P115" s="77">
        <f>13419.94+726.71+2846.77+3770.56+4653.31</f>
        <v>25417.290000000005</v>
      </c>
      <c r="Q115" s="79">
        <f>O115-P115</f>
        <v>2237.2299999999996</v>
      </c>
    </row>
    <row r="116" spans="1:17" s="15" customFormat="1" x14ac:dyDescent="0.25">
      <c r="A116" s="229"/>
      <c r="B116" s="62" t="s">
        <v>150</v>
      </c>
      <c r="C116" s="181" t="s">
        <v>17</v>
      </c>
      <c r="D116" s="182"/>
      <c r="E116" s="183" t="s">
        <v>35</v>
      </c>
      <c r="F116" s="73" t="s">
        <v>376</v>
      </c>
      <c r="G116" s="74" t="s">
        <v>112</v>
      </c>
      <c r="H116" s="75">
        <v>33</v>
      </c>
      <c r="I116" s="76">
        <v>18</v>
      </c>
      <c r="J116" s="96">
        <f>1+1+2+2+1+3+1+4+4</f>
        <v>19</v>
      </c>
      <c r="K116" s="77">
        <f>1343.65+384.2+1690.4+4889.84+2417.43+2791.74+5298.48</f>
        <v>18815.739999999998</v>
      </c>
      <c r="L116" s="77">
        <f>1343.65+384.2+1690.4+4889.84+2417.43+2791.74</f>
        <v>13517.26</v>
      </c>
      <c r="M116" s="78">
        <f t="shared" si="3"/>
        <v>5298.4799999999977</v>
      </c>
      <c r="N116" s="114">
        <f>8+1+1+2+3+1+1+1</f>
        <v>18</v>
      </c>
      <c r="O116" s="77">
        <f>5997.32+3719.39+3054.34+13138.17+6578.46+6198.68</f>
        <v>38686.36</v>
      </c>
      <c r="P116" s="77">
        <f>5997.32+3719.39+3054.34+13138.17+6578.46+6198.68</f>
        <v>38686.36</v>
      </c>
      <c r="Q116" s="79">
        <f t="shared" si="4"/>
        <v>0</v>
      </c>
    </row>
    <row r="117" spans="1:17" s="15" customFormat="1" x14ac:dyDescent="0.25">
      <c r="A117" s="229"/>
      <c r="B117" s="233" t="s">
        <v>150</v>
      </c>
      <c r="C117" s="181" t="s">
        <v>17</v>
      </c>
      <c r="D117" s="182"/>
      <c r="E117" s="183" t="s">
        <v>32</v>
      </c>
      <c r="F117" s="73" t="s">
        <v>487</v>
      </c>
      <c r="G117" s="230" t="s">
        <v>117</v>
      </c>
      <c r="H117" s="181">
        <v>6</v>
      </c>
      <c r="I117" s="231">
        <v>4</v>
      </c>
      <c r="J117" s="96">
        <v>5</v>
      </c>
      <c r="K117" s="77">
        <v>16858.8</v>
      </c>
      <c r="L117" s="77">
        <v>16858.8</v>
      </c>
      <c r="M117" s="78">
        <f t="shared" si="3"/>
        <v>0</v>
      </c>
      <c r="N117" s="100">
        <v>3</v>
      </c>
      <c r="O117" s="77">
        <v>9645.1</v>
      </c>
      <c r="P117" s="77">
        <v>9645.1</v>
      </c>
      <c r="Q117" s="232">
        <f t="shared" si="4"/>
        <v>0</v>
      </c>
    </row>
    <row r="118" spans="1:17" s="13" customFormat="1" x14ac:dyDescent="0.25">
      <c r="A118" s="229"/>
      <c r="B118" s="30" t="s">
        <v>72</v>
      </c>
      <c r="C118" s="181" t="s">
        <v>17</v>
      </c>
      <c r="D118" s="182"/>
      <c r="E118" s="183" t="s">
        <v>21</v>
      </c>
      <c r="F118" s="73" t="s">
        <v>377</v>
      </c>
      <c r="G118" s="74" t="s">
        <v>112</v>
      </c>
      <c r="H118" s="75">
        <v>26</v>
      </c>
      <c r="I118" s="76">
        <v>15</v>
      </c>
      <c r="J118" s="96">
        <f>1+1+1+1+6+2+1+2+3+1</f>
        <v>19</v>
      </c>
      <c r="K118" s="77">
        <f>633.93+1415.78+1610.18+1394.65+18140.86+2440.63+4140.81+3166.55</f>
        <v>32943.390000000007</v>
      </c>
      <c r="L118" s="77">
        <f>633.93+1415.78+1610.18+1394.65+18140.86+2440.63+4140.81</f>
        <v>29776.840000000004</v>
      </c>
      <c r="M118" s="78">
        <f t="shared" si="3"/>
        <v>3166.5500000000029</v>
      </c>
      <c r="N118" s="100">
        <f>1+3+1+1+1+3+1+3+1+1+2+1</f>
        <v>19</v>
      </c>
      <c r="O118" s="81">
        <f>1950.74+10237.13+6595.95+3861.21+1348.53+10328.94+50451.86-19567+15859.78+3744.76</f>
        <v>84811.9</v>
      </c>
      <c r="P118" s="81">
        <f>1950.74+10237.13+6595.95+3861.21+1348.53+10328.94+50451.86-19567+15859.78</f>
        <v>81067.14</v>
      </c>
      <c r="Q118" s="79">
        <f t="shared" si="4"/>
        <v>3744.7599999999948</v>
      </c>
    </row>
    <row r="119" spans="1:17" s="13" customFormat="1" x14ac:dyDescent="0.25">
      <c r="A119" s="229"/>
      <c r="B119" s="30" t="s">
        <v>72</v>
      </c>
      <c r="C119" s="181" t="s">
        <v>17</v>
      </c>
      <c r="D119" s="182"/>
      <c r="E119" s="183" t="s">
        <v>21</v>
      </c>
      <c r="F119" s="73" t="s">
        <v>441</v>
      </c>
      <c r="G119" s="230" t="s">
        <v>118</v>
      </c>
      <c r="H119" s="181">
        <v>9</v>
      </c>
      <c r="I119" s="231">
        <v>1</v>
      </c>
      <c r="J119" s="96">
        <v>1</v>
      </c>
      <c r="K119" s="77">
        <v>1728.9</v>
      </c>
      <c r="L119" s="77">
        <v>1728.9</v>
      </c>
      <c r="M119" s="78">
        <f t="shared" si="3"/>
        <v>0</v>
      </c>
      <c r="N119" s="100">
        <v>20</v>
      </c>
      <c r="O119" s="224">
        <v>60401.599999999999</v>
      </c>
      <c r="P119" s="224">
        <v>60401.599999999999</v>
      </c>
      <c r="Q119" s="232">
        <f t="shared" si="4"/>
        <v>0</v>
      </c>
    </row>
    <row r="120" spans="1:17" s="15" customFormat="1" x14ac:dyDescent="0.25">
      <c r="A120" s="229"/>
      <c r="B120" s="30" t="s">
        <v>73</v>
      </c>
      <c r="C120" s="181" t="s">
        <v>17</v>
      </c>
      <c r="D120" s="182"/>
      <c r="E120" s="183" t="s">
        <v>74</v>
      </c>
      <c r="F120" s="73" t="s">
        <v>378</v>
      </c>
      <c r="G120" s="74" t="s">
        <v>112</v>
      </c>
      <c r="H120" s="75">
        <v>36</v>
      </c>
      <c r="I120" s="76">
        <v>28</v>
      </c>
      <c r="J120" s="96">
        <f>9+8+2+2+10+1+6+5</f>
        <v>43</v>
      </c>
      <c r="K120" s="77">
        <f>6305.33+12574.83+14899.84+13657.06+15923.24+7697.06+2858.97</f>
        <v>73916.33</v>
      </c>
      <c r="L120" s="77">
        <f>6305.33+12574.83+14899.84+13657.06+15923.24</f>
        <v>63360.299999999996</v>
      </c>
      <c r="M120" s="78">
        <f t="shared" si="3"/>
        <v>10556.030000000006</v>
      </c>
      <c r="N120" s="100">
        <f>5+3+3+1+1+2</f>
        <v>15</v>
      </c>
      <c r="O120" s="81">
        <f>5416.39+9506.99+12269.39+7610.68+1915.68</f>
        <v>36719.129999999997</v>
      </c>
      <c r="P120" s="81">
        <f>5416.39+9506.99+12269.39+7610.68+1915.68</f>
        <v>36719.129999999997</v>
      </c>
      <c r="Q120" s="79">
        <f t="shared" si="4"/>
        <v>0</v>
      </c>
    </row>
    <row r="121" spans="1:17" s="15" customFormat="1" x14ac:dyDescent="0.25">
      <c r="A121" s="229"/>
      <c r="B121" s="30" t="s">
        <v>73</v>
      </c>
      <c r="C121" s="181" t="s">
        <v>17</v>
      </c>
      <c r="D121" s="182"/>
      <c r="E121" s="183" t="s">
        <v>74</v>
      </c>
      <c r="F121" s="73" t="s">
        <v>282</v>
      </c>
      <c r="G121" s="230" t="s">
        <v>114</v>
      </c>
      <c r="H121" s="181"/>
      <c r="I121" s="231"/>
      <c r="J121" s="190"/>
      <c r="K121" s="77"/>
      <c r="L121" s="77"/>
      <c r="M121" s="78">
        <f t="shared" si="3"/>
        <v>0</v>
      </c>
      <c r="N121" s="100">
        <v>1</v>
      </c>
      <c r="O121" s="224">
        <v>1728.9</v>
      </c>
      <c r="P121" s="224">
        <v>1728.9</v>
      </c>
      <c r="Q121" s="232">
        <f t="shared" si="4"/>
        <v>0</v>
      </c>
    </row>
    <row r="122" spans="1:17" s="13" customFormat="1" x14ac:dyDescent="0.25">
      <c r="A122" s="229"/>
      <c r="B122" s="30" t="s">
        <v>135</v>
      </c>
      <c r="C122" s="181" t="s">
        <v>17</v>
      </c>
      <c r="D122" s="182"/>
      <c r="E122" s="194" t="s">
        <v>35</v>
      </c>
      <c r="F122" s="73" t="s">
        <v>379</v>
      </c>
      <c r="G122" s="74" t="s">
        <v>112</v>
      </c>
      <c r="H122" s="75">
        <v>37</v>
      </c>
      <c r="I122" s="76">
        <v>28</v>
      </c>
      <c r="J122" s="96">
        <f>1+6+5+3+3+5+1+5</f>
        <v>29</v>
      </c>
      <c r="K122" s="77">
        <f>697.32+4374.12+5747.44+4426.94+15712.05+4176.57</f>
        <v>35134.44</v>
      </c>
      <c r="L122" s="77">
        <f>697.32+4374.12+5747.44+4426.94+15712.05+4176.57</f>
        <v>35134.44</v>
      </c>
      <c r="M122" s="78">
        <f t="shared" si="3"/>
        <v>0</v>
      </c>
      <c r="N122" s="100">
        <f>2+5+1+2+2+2</f>
        <v>14</v>
      </c>
      <c r="O122" s="81">
        <f>6432.89+2283.68+4932.13+377</f>
        <v>14025.7</v>
      </c>
      <c r="P122" s="81">
        <f>6432.89+2283.68+4932.13</f>
        <v>13648.7</v>
      </c>
      <c r="Q122" s="232">
        <f t="shared" si="4"/>
        <v>377</v>
      </c>
    </row>
    <row r="123" spans="1:17" s="13" customFormat="1" x14ac:dyDescent="0.25">
      <c r="A123" s="229"/>
      <c r="B123" s="30" t="s">
        <v>135</v>
      </c>
      <c r="C123" s="181" t="s">
        <v>17</v>
      </c>
      <c r="D123" s="182"/>
      <c r="E123" s="194" t="s">
        <v>35</v>
      </c>
      <c r="F123" s="73" t="s">
        <v>432</v>
      </c>
      <c r="G123" s="230" t="s">
        <v>115</v>
      </c>
      <c r="H123" s="181">
        <v>2</v>
      </c>
      <c r="I123" s="231"/>
      <c r="J123" s="96"/>
      <c r="K123" s="77"/>
      <c r="L123" s="77"/>
      <c r="M123" s="78">
        <f t="shared" si="3"/>
        <v>0</v>
      </c>
      <c r="N123" s="100">
        <v>1</v>
      </c>
      <c r="O123" s="224">
        <v>2689.4</v>
      </c>
      <c r="P123" s="224">
        <v>2689.4</v>
      </c>
      <c r="Q123" s="79">
        <f t="shared" si="4"/>
        <v>0</v>
      </c>
    </row>
    <row r="124" spans="1:17" s="13" customFormat="1" x14ac:dyDescent="0.25">
      <c r="A124" s="229"/>
      <c r="B124" s="30" t="s">
        <v>145</v>
      </c>
      <c r="C124" s="181" t="s">
        <v>17</v>
      </c>
      <c r="D124" s="182"/>
      <c r="E124" s="194" t="s">
        <v>20</v>
      </c>
      <c r="F124" s="73" t="s">
        <v>380</v>
      </c>
      <c r="G124" s="74" t="s">
        <v>112</v>
      </c>
      <c r="H124" s="75">
        <v>16</v>
      </c>
      <c r="I124" s="82">
        <v>15</v>
      </c>
      <c r="J124" s="96">
        <f>2+1+1+2+2+5+3+2+3+1+1</f>
        <v>23</v>
      </c>
      <c r="K124" s="77">
        <f>5169.72+1100+538.84+4293.82+3949.22+3361.76+5643.1+4037.33+4704.3</f>
        <v>32798.090000000004</v>
      </c>
      <c r="L124" s="77">
        <f>5169.72+1100+538.84+4293.82+3949.22+3361.76+5643.1+4037.33+4704.3</f>
        <v>32798.090000000004</v>
      </c>
      <c r="M124" s="78">
        <f t="shared" si="3"/>
        <v>0</v>
      </c>
      <c r="N124" s="100">
        <f>1+1+2+1+2+1</f>
        <v>8</v>
      </c>
      <c r="O124" s="81">
        <f>5120.23+3915.15+1114.12+14002.49+7111.04</f>
        <v>31263.03</v>
      </c>
      <c r="P124" s="81">
        <f>5120.23+3915.15+1114.12+14002.49+7111.04</f>
        <v>31263.03</v>
      </c>
      <c r="Q124" s="232">
        <f t="shared" si="4"/>
        <v>0</v>
      </c>
    </row>
    <row r="125" spans="1:17" s="13" customFormat="1" x14ac:dyDescent="0.25">
      <c r="A125" s="229"/>
      <c r="B125" s="30" t="s">
        <v>145</v>
      </c>
      <c r="C125" s="181" t="s">
        <v>17</v>
      </c>
      <c r="D125" s="182"/>
      <c r="E125" s="194" t="s">
        <v>20</v>
      </c>
      <c r="F125" s="73" t="s">
        <v>461</v>
      </c>
      <c r="G125" s="230" t="s">
        <v>114</v>
      </c>
      <c r="H125" s="181">
        <v>6</v>
      </c>
      <c r="I125" s="231">
        <v>4</v>
      </c>
      <c r="J125" s="190">
        <v>4</v>
      </c>
      <c r="K125" s="77">
        <v>6135.7</v>
      </c>
      <c r="L125" s="77">
        <v>6135.7</v>
      </c>
      <c r="M125" s="78">
        <f t="shared" si="3"/>
        <v>0</v>
      </c>
      <c r="N125" s="100">
        <v>11</v>
      </c>
      <c r="O125" s="224">
        <v>24338.15</v>
      </c>
      <c r="P125" s="224">
        <v>24338.15</v>
      </c>
      <c r="Q125" s="232">
        <f t="shared" si="4"/>
        <v>0</v>
      </c>
    </row>
    <row r="126" spans="1:17" s="13" customFormat="1" x14ac:dyDescent="0.25">
      <c r="A126" s="229"/>
      <c r="B126" s="62" t="s">
        <v>76</v>
      </c>
      <c r="C126" s="181" t="s">
        <v>17</v>
      </c>
      <c r="D126" s="182"/>
      <c r="E126" s="183" t="s">
        <v>20</v>
      </c>
      <c r="F126" s="73" t="s">
        <v>381</v>
      </c>
      <c r="G126" s="74" t="s">
        <v>112</v>
      </c>
      <c r="H126" s="75">
        <v>25</v>
      </c>
      <c r="I126" s="76">
        <v>19</v>
      </c>
      <c r="J126" s="96">
        <f>1+6+3+1+3+1+2+2+2+1+1</f>
        <v>23</v>
      </c>
      <c r="K126" s="77">
        <f>6556.06+2806.39+2697.06+1267.86+11775.51+1557.35+2113.1+4117.36+1673.84+1724.01+1457.08+3514.26</f>
        <v>41259.879999999997</v>
      </c>
      <c r="L126" s="77">
        <f>6556.06+2806.39+2697.06+1267.86+11775.51+1557.35+2113.1+4117.36+1673.84+1724.01</f>
        <v>36288.539999999994</v>
      </c>
      <c r="M126" s="78">
        <f t="shared" si="3"/>
        <v>4971.3400000000038</v>
      </c>
      <c r="N126" s="100">
        <f>5+6+2+1+1+1+1+2+2+1</f>
        <v>22</v>
      </c>
      <c r="O126" s="81">
        <f>11527.9+19846.52+1011.91+9641+2451.87+10072.83+11307.66+2243.83+6181.56+5655.45</f>
        <v>79940.53</v>
      </c>
      <c r="P126" s="81">
        <f>11527.9+19846.52+1011.91+9641+2451.87+10072.83+11307.66+2243.83+6181.56+5655.45</f>
        <v>79940.53</v>
      </c>
      <c r="Q126" s="232">
        <f t="shared" si="4"/>
        <v>0</v>
      </c>
    </row>
    <row r="127" spans="1:17" s="13" customFormat="1" x14ac:dyDescent="0.25">
      <c r="A127" s="229"/>
      <c r="B127" s="62" t="s">
        <v>76</v>
      </c>
      <c r="C127" s="181" t="s">
        <v>17</v>
      </c>
      <c r="D127" s="182"/>
      <c r="E127" s="183" t="s">
        <v>20</v>
      </c>
      <c r="F127" s="73" t="s">
        <v>462</v>
      </c>
      <c r="G127" s="230" t="s">
        <v>114</v>
      </c>
      <c r="H127" s="181">
        <v>14</v>
      </c>
      <c r="I127" s="231">
        <v>5</v>
      </c>
      <c r="J127" s="190">
        <v>5</v>
      </c>
      <c r="K127" s="77">
        <v>11144.6</v>
      </c>
      <c r="L127" s="77">
        <v>11144.6</v>
      </c>
      <c r="M127" s="78">
        <f t="shared" si="3"/>
        <v>0</v>
      </c>
      <c r="N127" s="100">
        <v>9</v>
      </c>
      <c r="O127" s="224">
        <v>30007.39</v>
      </c>
      <c r="P127" s="224">
        <v>30007.39</v>
      </c>
      <c r="Q127" s="232">
        <f t="shared" si="4"/>
        <v>0</v>
      </c>
    </row>
    <row r="128" spans="1:17" s="13" customFormat="1" x14ac:dyDescent="0.25">
      <c r="A128" s="229"/>
      <c r="B128" s="30" t="s">
        <v>77</v>
      </c>
      <c r="C128" s="181" t="s">
        <v>17</v>
      </c>
      <c r="D128" s="182"/>
      <c r="E128" s="183" t="s">
        <v>32</v>
      </c>
      <c r="F128" s="73" t="s">
        <v>388</v>
      </c>
      <c r="G128" s="74" t="s">
        <v>112</v>
      </c>
      <c r="H128" s="75">
        <v>21</v>
      </c>
      <c r="I128" s="76">
        <v>12</v>
      </c>
      <c r="J128" s="96">
        <f>2+2+2+6+1+1+1</f>
        <v>15</v>
      </c>
      <c r="K128" s="77">
        <f>2440.63+1507.02+2101.48+13625.7+1324.62+2083.47</f>
        <v>23082.920000000002</v>
      </c>
      <c r="L128" s="77">
        <v>23082.920000000002</v>
      </c>
      <c r="M128" s="78">
        <f t="shared" si="3"/>
        <v>0</v>
      </c>
      <c r="N128" s="100">
        <f>5+2+3+3+1+1</f>
        <v>15</v>
      </c>
      <c r="O128" s="81">
        <f>11716.73+6848.82+4046.18+11166.34+8845.95</f>
        <v>42624.020000000004</v>
      </c>
      <c r="P128" s="81">
        <f>11716.73+6848.82+4046.18+11166.34+8845.95</f>
        <v>42624.020000000004</v>
      </c>
      <c r="Q128" s="232">
        <f t="shared" si="4"/>
        <v>0</v>
      </c>
    </row>
    <row r="129" spans="1:17" s="13" customFormat="1" x14ac:dyDescent="0.25">
      <c r="A129" s="229"/>
      <c r="B129" s="30" t="s">
        <v>77</v>
      </c>
      <c r="C129" s="181" t="s">
        <v>17</v>
      </c>
      <c r="D129" s="182"/>
      <c r="E129" s="183" t="s">
        <v>32</v>
      </c>
      <c r="F129" s="73" t="s">
        <v>433</v>
      </c>
      <c r="G129" s="230" t="s">
        <v>117</v>
      </c>
      <c r="H129" s="181">
        <v>3</v>
      </c>
      <c r="I129" s="231">
        <v>1</v>
      </c>
      <c r="J129" s="96">
        <v>1</v>
      </c>
      <c r="K129" s="77">
        <v>1921</v>
      </c>
      <c r="L129" s="77">
        <v>1921</v>
      </c>
      <c r="M129" s="78">
        <f t="shared" si="3"/>
        <v>0</v>
      </c>
      <c r="N129" s="100">
        <v>6</v>
      </c>
      <c r="O129" s="224">
        <v>18164.11</v>
      </c>
      <c r="P129" s="224">
        <v>18164.11</v>
      </c>
      <c r="Q129" s="79">
        <f t="shared" si="4"/>
        <v>0</v>
      </c>
    </row>
    <row r="130" spans="1:17" s="13" customFormat="1" x14ac:dyDescent="0.25">
      <c r="A130" s="229"/>
      <c r="B130" s="30" t="s">
        <v>321</v>
      </c>
      <c r="C130" s="181" t="s">
        <v>17</v>
      </c>
      <c r="D130" s="182"/>
      <c r="E130" s="183" t="s">
        <v>21</v>
      </c>
      <c r="F130" s="73" t="s">
        <v>489</v>
      </c>
      <c r="G130" s="230" t="s">
        <v>112</v>
      </c>
      <c r="H130" s="181">
        <v>6</v>
      </c>
      <c r="I130" s="231">
        <v>2</v>
      </c>
      <c r="J130" s="96">
        <f>1+1</f>
        <v>2</v>
      </c>
      <c r="K130" s="77">
        <f>2547.89+1766.16</f>
        <v>4314.05</v>
      </c>
      <c r="L130" s="77">
        <f>2547.89+1766.16</f>
        <v>4314.05</v>
      </c>
      <c r="M130" s="78">
        <f t="shared" si="3"/>
        <v>0</v>
      </c>
      <c r="N130" s="100"/>
      <c r="O130" s="224"/>
      <c r="P130" s="224"/>
      <c r="Q130" s="79">
        <f t="shared" si="4"/>
        <v>0</v>
      </c>
    </row>
    <row r="131" spans="1:17" s="13" customFormat="1" ht="30" x14ac:dyDescent="0.25">
      <c r="A131" s="229"/>
      <c r="B131" s="62" t="s">
        <v>79</v>
      </c>
      <c r="C131" s="181" t="s">
        <v>304</v>
      </c>
      <c r="D131" s="182" t="s">
        <v>385</v>
      </c>
      <c r="E131" s="183" t="s">
        <v>18</v>
      </c>
      <c r="F131" s="73" t="s">
        <v>389</v>
      </c>
      <c r="G131" s="74" t="s">
        <v>112</v>
      </c>
      <c r="H131" s="75">
        <v>19</v>
      </c>
      <c r="I131" s="76">
        <v>18</v>
      </c>
      <c r="J131" s="98">
        <f>2+5+2+3+2+2+5+2</f>
        <v>23</v>
      </c>
      <c r="K131" s="77">
        <f>2091.97+3190.2+5703.08+6368.88+4029.68+4560.06</f>
        <v>25943.870000000003</v>
      </c>
      <c r="L131" s="77">
        <f>2091.97+3190.2+5703.08+6368.88+4029.68+4560.06</f>
        <v>25943.870000000003</v>
      </c>
      <c r="M131" s="78">
        <f t="shared" si="3"/>
        <v>0</v>
      </c>
      <c r="N131" s="100">
        <f>2+2+1+2+1+1+3+1+2</f>
        <v>15</v>
      </c>
      <c r="O131" s="81">
        <f>1547.4+4166.12+7835.61+1675.01+4717.63+6039.62+18829.39+23135.63</f>
        <v>67946.41</v>
      </c>
      <c r="P131" s="81">
        <f>1547.4+4166.12+7835.61+1675.01+4717.63+6039.62+18829.39+23135.63</f>
        <v>67946.41</v>
      </c>
      <c r="Q131" s="232">
        <f t="shared" si="4"/>
        <v>0</v>
      </c>
    </row>
    <row r="132" spans="1:17" s="13" customFormat="1" ht="30" x14ac:dyDescent="0.25">
      <c r="A132" s="229"/>
      <c r="B132" s="62" t="s">
        <v>79</v>
      </c>
      <c r="C132" s="181" t="s">
        <v>304</v>
      </c>
      <c r="D132" s="182" t="s">
        <v>475</v>
      </c>
      <c r="E132" s="183" t="s">
        <v>18</v>
      </c>
      <c r="F132" s="73" t="s">
        <v>329</v>
      </c>
      <c r="G132" s="271" t="s">
        <v>116</v>
      </c>
      <c r="H132" s="181">
        <v>45</v>
      </c>
      <c r="I132" s="234">
        <v>30</v>
      </c>
      <c r="J132" s="98">
        <v>34</v>
      </c>
      <c r="K132" s="224">
        <v>66112</v>
      </c>
      <c r="L132" s="224">
        <v>66112</v>
      </c>
      <c r="M132" s="78">
        <f t="shared" si="3"/>
        <v>0</v>
      </c>
      <c r="N132" s="100">
        <v>15</v>
      </c>
      <c r="O132" s="224">
        <v>56311</v>
      </c>
      <c r="P132" s="224">
        <v>56311</v>
      </c>
      <c r="Q132" s="79">
        <f t="shared" si="4"/>
        <v>0</v>
      </c>
    </row>
    <row r="133" spans="1:17" s="13" customFormat="1" x14ac:dyDescent="0.25">
      <c r="A133" s="229"/>
      <c r="B133" s="62" t="s">
        <v>151</v>
      </c>
      <c r="C133" s="181" t="s">
        <v>17</v>
      </c>
      <c r="D133" s="182"/>
      <c r="E133" s="183" t="s">
        <v>32</v>
      </c>
      <c r="F133" s="73" t="s">
        <v>390</v>
      </c>
      <c r="G133" s="74" t="s">
        <v>112</v>
      </c>
      <c r="H133" s="75">
        <v>66</v>
      </c>
      <c r="I133" s="82">
        <v>50</v>
      </c>
      <c r="J133" s="96">
        <f>1+3+3+5+3+9+4+6+3+2+6+5+3+8+4</f>
        <v>65</v>
      </c>
      <c r="K133" s="81">
        <f>2317+4640.19+5864.19+10765+12519.53+4514.35+14486.46+3421.94+27163.56+5180.87+3460.57+13888.56</f>
        <v>108222.22</v>
      </c>
      <c r="L133" s="81">
        <f>2317+4640.19+5864.19+10765+12519.53+4514.35+14486.46+3421.94+27163.56+5180.87+3460.57</f>
        <v>94333.66</v>
      </c>
      <c r="M133" s="78">
        <f t="shared" si="3"/>
        <v>13888.559999999998</v>
      </c>
      <c r="N133" s="100">
        <f>9+3+5+1+4+4+1+2</f>
        <v>29</v>
      </c>
      <c r="O133" s="81">
        <f>10726.94+18822.65+5703.53+12846.53+1320.36+4050.1+22728.38+3733.09</f>
        <v>79931.58</v>
      </c>
      <c r="P133" s="81">
        <f>10726.94+18822.65+5703.53+12846.53+1320.36+4050.1+22728.38</f>
        <v>76198.490000000005</v>
      </c>
      <c r="Q133" s="232">
        <f t="shared" si="4"/>
        <v>3733.0899999999965</v>
      </c>
    </row>
    <row r="134" spans="1:17" s="13" customFormat="1" x14ac:dyDescent="0.25">
      <c r="A134" s="229"/>
      <c r="B134" s="62" t="s">
        <v>151</v>
      </c>
      <c r="C134" s="181" t="s">
        <v>17</v>
      </c>
      <c r="D134" s="182"/>
      <c r="E134" s="183" t="s">
        <v>32</v>
      </c>
      <c r="F134" s="73" t="s">
        <v>434</v>
      </c>
      <c r="G134" s="230" t="s">
        <v>117</v>
      </c>
      <c r="H134" s="181">
        <v>12</v>
      </c>
      <c r="I134" s="231">
        <v>5</v>
      </c>
      <c r="J134" s="96">
        <v>5</v>
      </c>
      <c r="K134" s="77">
        <v>5920.65</v>
      </c>
      <c r="L134" s="77">
        <v>3411.9</v>
      </c>
      <c r="M134" s="78">
        <f t="shared" si="3"/>
        <v>2508.7499999999995</v>
      </c>
      <c r="N134" s="100">
        <v>13</v>
      </c>
      <c r="O134" s="224">
        <v>24537.7</v>
      </c>
      <c r="P134" s="224">
        <v>24537.7</v>
      </c>
      <c r="Q134" s="79">
        <f t="shared" si="4"/>
        <v>0</v>
      </c>
    </row>
    <row r="135" spans="1:17" s="13" customFormat="1" x14ac:dyDescent="0.25">
      <c r="A135" s="229"/>
      <c r="B135" s="62" t="s">
        <v>80</v>
      </c>
      <c r="C135" s="181" t="s">
        <v>17</v>
      </c>
      <c r="D135" s="182"/>
      <c r="E135" s="183" t="s">
        <v>81</v>
      </c>
      <c r="F135" s="73" t="s">
        <v>417</v>
      </c>
      <c r="G135" s="74" t="s">
        <v>112</v>
      </c>
      <c r="H135" s="75"/>
      <c r="I135" s="76"/>
      <c r="J135" s="96"/>
      <c r="K135" s="77">
        <f>749.19+8649.27</f>
        <v>9398.4600000000009</v>
      </c>
      <c r="L135" s="77">
        <f>749.19+8649.27</f>
        <v>9398.4600000000009</v>
      </c>
      <c r="M135" s="78">
        <f t="shared" si="3"/>
        <v>0</v>
      </c>
      <c r="N135" s="100">
        <f>2+2</f>
        <v>4</v>
      </c>
      <c r="O135" s="81">
        <f>3040.94+9398.46</f>
        <v>12439.4</v>
      </c>
      <c r="P135" s="81">
        <f>3040.94+9398.46</f>
        <v>12439.4</v>
      </c>
      <c r="Q135" s="232">
        <f t="shared" si="4"/>
        <v>0</v>
      </c>
    </row>
    <row r="136" spans="1:17" s="13" customFormat="1" x14ac:dyDescent="0.25">
      <c r="A136" s="229"/>
      <c r="B136" s="62" t="s">
        <v>80</v>
      </c>
      <c r="C136" s="181" t="s">
        <v>17</v>
      </c>
      <c r="D136" s="182"/>
      <c r="E136" s="183" t="s">
        <v>81</v>
      </c>
      <c r="F136" s="73" t="s">
        <v>285</v>
      </c>
      <c r="G136" s="230" t="s">
        <v>114</v>
      </c>
      <c r="H136" s="181"/>
      <c r="I136" s="231"/>
      <c r="J136" s="190"/>
      <c r="K136" s="77"/>
      <c r="L136" s="77"/>
      <c r="M136" s="78">
        <f t="shared" si="3"/>
        <v>0</v>
      </c>
      <c r="N136" s="100">
        <v>23</v>
      </c>
      <c r="O136" s="224">
        <v>58735.99</v>
      </c>
      <c r="P136" s="224">
        <v>58735.99</v>
      </c>
      <c r="Q136" s="232">
        <f t="shared" si="4"/>
        <v>0</v>
      </c>
    </row>
    <row r="137" spans="1:17" s="13" customFormat="1" x14ac:dyDescent="0.25">
      <c r="A137" s="229"/>
      <c r="B137" s="30" t="s">
        <v>82</v>
      </c>
      <c r="C137" s="181" t="s">
        <v>17</v>
      </c>
      <c r="D137" s="182"/>
      <c r="E137" s="183" t="s">
        <v>20</v>
      </c>
      <c r="F137" s="73" t="s">
        <v>394</v>
      </c>
      <c r="G137" s="74" t="s">
        <v>112</v>
      </c>
      <c r="H137" s="75">
        <v>14</v>
      </c>
      <c r="I137" s="76">
        <v>12</v>
      </c>
      <c r="J137" s="96">
        <f>4+3+2+2+1+1+1</f>
        <v>14</v>
      </c>
      <c r="K137" s="77">
        <f>20254+3953.39</f>
        <v>24207.39</v>
      </c>
      <c r="L137" s="77">
        <v>20254</v>
      </c>
      <c r="M137" s="78">
        <f t="shared" si="3"/>
        <v>3953.3899999999994</v>
      </c>
      <c r="N137" s="100">
        <f>3+5+1+1+1</f>
        <v>11</v>
      </c>
      <c r="O137" s="81">
        <f>5975.84+23579.15+1426.34</f>
        <v>30981.33</v>
      </c>
      <c r="P137" s="81">
        <f>5975.84+23579.15+1426.34</f>
        <v>30981.33</v>
      </c>
      <c r="Q137" s="232">
        <f t="shared" si="4"/>
        <v>0</v>
      </c>
    </row>
    <row r="138" spans="1:17" s="13" customFormat="1" x14ac:dyDescent="0.25">
      <c r="A138" s="229"/>
      <c r="B138" s="30" t="s">
        <v>82</v>
      </c>
      <c r="C138" s="181" t="s">
        <v>17</v>
      </c>
      <c r="D138" s="182"/>
      <c r="E138" s="183" t="s">
        <v>20</v>
      </c>
      <c r="F138" s="73" t="s">
        <v>463</v>
      </c>
      <c r="G138" s="230" t="s">
        <v>114</v>
      </c>
      <c r="H138" s="181">
        <v>20</v>
      </c>
      <c r="I138" s="231">
        <v>5</v>
      </c>
      <c r="J138" s="190">
        <v>5</v>
      </c>
      <c r="K138" s="77">
        <v>11385.5</v>
      </c>
      <c r="L138" s="77">
        <v>11385.5</v>
      </c>
      <c r="M138" s="78">
        <f t="shared" si="3"/>
        <v>0</v>
      </c>
      <c r="N138" s="100">
        <v>14</v>
      </c>
      <c r="O138" s="224">
        <v>48620.71</v>
      </c>
      <c r="P138" s="224">
        <v>48620.71</v>
      </c>
      <c r="Q138" s="232">
        <f t="shared" si="4"/>
        <v>0</v>
      </c>
    </row>
    <row r="139" spans="1:17" s="13" customFormat="1" x14ac:dyDescent="0.25">
      <c r="A139" s="229"/>
      <c r="B139" s="30" t="s">
        <v>309</v>
      </c>
      <c r="C139" s="181" t="s">
        <v>17</v>
      </c>
      <c r="D139" s="182"/>
      <c r="E139" s="183" t="s">
        <v>20</v>
      </c>
      <c r="F139" s="73" t="s">
        <v>391</v>
      </c>
      <c r="G139" s="230" t="s">
        <v>112</v>
      </c>
      <c r="H139" s="181">
        <v>19</v>
      </c>
      <c r="I139" s="231">
        <v>12</v>
      </c>
      <c r="J139" s="190">
        <f>1+5+2+1+1+1+2</f>
        <v>13</v>
      </c>
      <c r="K139" s="77">
        <f>3606.1+3402.77+2649.24+993.47+441.54</f>
        <v>11093.12</v>
      </c>
      <c r="L139" s="77">
        <f>3606.1+3402.77+2649.24+993.47+441.54</f>
        <v>11093.12</v>
      </c>
      <c r="M139" s="78">
        <f t="shared" si="3"/>
        <v>0</v>
      </c>
      <c r="N139" s="100">
        <f>1+5+1+3</f>
        <v>10</v>
      </c>
      <c r="O139" s="224">
        <f>3088.97+13147.65+1267.86+5955.71</f>
        <v>23460.19</v>
      </c>
      <c r="P139" s="224">
        <f>3088.97+13147.65+1267.86+5955.71</f>
        <v>23460.19</v>
      </c>
      <c r="Q139" s="232">
        <f t="shared" si="4"/>
        <v>0</v>
      </c>
    </row>
    <row r="140" spans="1:17" s="13" customFormat="1" x14ac:dyDescent="0.25">
      <c r="A140" s="229"/>
      <c r="B140" s="30" t="s">
        <v>152</v>
      </c>
      <c r="C140" s="181" t="s">
        <v>17</v>
      </c>
      <c r="D140" s="182"/>
      <c r="E140" s="183" t="s">
        <v>35</v>
      </c>
      <c r="F140" s="73" t="s">
        <v>392</v>
      </c>
      <c r="G140" s="74" t="s">
        <v>112</v>
      </c>
      <c r="H140" s="75">
        <v>7</v>
      </c>
      <c r="I140" s="76">
        <v>6</v>
      </c>
      <c r="J140" s="96">
        <f>1+1+2+1+1+1+2</f>
        <v>9</v>
      </c>
      <c r="K140" s="77">
        <f>403.41+845.24+2113.1+2649.24</f>
        <v>6010.99</v>
      </c>
      <c r="L140" s="77">
        <f>403.41+845.24+2113.1+2649.24</f>
        <v>6010.99</v>
      </c>
      <c r="M140" s="78">
        <f t="shared" si="3"/>
        <v>0</v>
      </c>
      <c r="N140" s="100">
        <f>2+2+2+1+1+1+2</f>
        <v>11</v>
      </c>
      <c r="O140" s="81">
        <f>1690.48+3050.26+3661.61+4648.82+1267.86+1690.48+9282.42+4052.53</f>
        <v>29344.46</v>
      </c>
      <c r="P140" s="81">
        <f>1690.48+3050.26+3661.61+4648.82+1267.86+1690.48+9282.42+4052.53</f>
        <v>29344.46</v>
      </c>
      <c r="Q140" s="232">
        <f t="shared" si="4"/>
        <v>0</v>
      </c>
    </row>
    <row r="141" spans="1:17" s="13" customFormat="1" x14ac:dyDescent="0.25">
      <c r="A141" s="229"/>
      <c r="B141" s="30" t="s">
        <v>83</v>
      </c>
      <c r="C141" s="181" t="s">
        <v>17</v>
      </c>
      <c r="D141" s="182"/>
      <c r="E141" s="183" t="s">
        <v>20</v>
      </c>
      <c r="F141" s="73" t="s">
        <v>393</v>
      </c>
      <c r="G141" s="74" t="s">
        <v>112</v>
      </c>
      <c r="H141" s="75">
        <v>13</v>
      </c>
      <c r="I141" s="76">
        <v>8</v>
      </c>
      <c r="J141" s="96">
        <f>1+1+2+1+1+1+1+1</f>
        <v>9</v>
      </c>
      <c r="K141" s="77">
        <f>768.4+2535.72+845.24+14407.5+883.08</f>
        <v>19439.940000000002</v>
      </c>
      <c r="L141" s="77">
        <f>768.4+2535.72+845.24+14407.5+883.08</f>
        <v>19439.940000000002</v>
      </c>
      <c r="M141" s="78">
        <f t="shared" si="3"/>
        <v>0</v>
      </c>
      <c r="N141" s="100">
        <f>1+2+1+1+1+2</f>
        <v>8</v>
      </c>
      <c r="O141" s="81">
        <f>5837.09+1922.92+4288.54+1686.25</f>
        <v>13734.8</v>
      </c>
      <c r="P141" s="81">
        <f>5837.09+1922.92+4288.54+1686.25</f>
        <v>13734.8</v>
      </c>
      <c r="Q141" s="232">
        <f t="shared" si="4"/>
        <v>0</v>
      </c>
    </row>
    <row r="142" spans="1:17" s="13" customFormat="1" x14ac:dyDescent="0.25">
      <c r="A142" s="229"/>
      <c r="B142" s="30" t="s">
        <v>83</v>
      </c>
      <c r="C142" s="181" t="s">
        <v>17</v>
      </c>
      <c r="D142" s="182"/>
      <c r="E142" s="183" t="s">
        <v>20</v>
      </c>
      <c r="F142" s="73" t="s">
        <v>464</v>
      </c>
      <c r="G142" s="230" t="s">
        <v>114</v>
      </c>
      <c r="H142" s="181">
        <v>31</v>
      </c>
      <c r="I142" s="231">
        <v>18</v>
      </c>
      <c r="J142" s="190">
        <v>18</v>
      </c>
      <c r="K142" s="77">
        <v>43462.59</v>
      </c>
      <c r="L142" s="77">
        <v>43462.59</v>
      </c>
      <c r="M142" s="78">
        <f t="shared" ref="M142:M192" si="5">K142-L142</f>
        <v>0</v>
      </c>
      <c r="N142" s="100">
        <v>29</v>
      </c>
      <c r="O142" s="224">
        <v>110563.92</v>
      </c>
      <c r="P142" s="224">
        <v>110563.92</v>
      </c>
      <c r="Q142" s="232">
        <f t="shared" si="4"/>
        <v>0</v>
      </c>
    </row>
    <row r="143" spans="1:17" s="13" customFormat="1" ht="45" x14ac:dyDescent="0.25">
      <c r="A143" s="229"/>
      <c r="B143" s="30" t="s">
        <v>85</v>
      </c>
      <c r="C143" s="181" t="s">
        <v>304</v>
      </c>
      <c r="D143" s="182" t="s">
        <v>415</v>
      </c>
      <c r="E143" s="183" t="s">
        <v>20</v>
      </c>
      <c r="F143" s="73" t="s">
        <v>395</v>
      </c>
      <c r="G143" s="74" t="s">
        <v>112</v>
      </c>
      <c r="H143" s="75">
        <v>20</v>
      </c>
      <c r="I143" s="76">
        <v>9</v>
      </c>
      <c r="J143" s="98">
        <f>2+1+1+1</f>
        <v>5</v>
      </c>
      <c r="K143" s="77">
        <f>4800.58+2591.84+7239.38+3534.03</f>
        <v>18165.829999999998</v>
      </c>
      <c r="L143" s="77">
        <f>4800.58+2591.84+7239.38</f>
        <v>14631.8</v>
      </c>
      <c r="M143" s="78">
        <f t="shared" si="5"/>
        <v>3534.0299999999988</v>
      </c>
      <c r="N143" s="100">
        <f>2+1+2</f>
        <v>5</v>
      </c>
      <c r="O143" s="81">
        <f>3917.73+8936.21+5669.37+31185.72+18292.46</f>
        <v>68001.489999999991</v>
      </c>
      <c r="P143" s="81">
        <f>3917.73+8936.21+5669.37+31185.72+18292.46</f>
        <v>68001.489999999991</v>
      </c>
      <c r="Q143" s="79">
        <f t="shared" si="4"/>
        <v>0</v>
      </c>
    </row>
    <row r="144" spans="1:17" s="13" customFormat="1" x14ac:dyDescent="0.25">
      <c r="A144" s="229"/>
      <c r="B144" s="27" t="s">
        <v>86</v>
      </c>
      <c r="C144" s="181" t="s">
        <v>17</v>
      </c>
      <c r="D144" s="182"/>
      <c r="E144" s="194" t="s">
        <v>20</v>
      </c>
      <c r="F144" s="73" t="s">
        <v>396</v>
      </c>
      <c r="G144" s="74" t="s">
        <v>112</v>
      </c>
      <c r="H144" s="75">
        <v>22</v>
      </c>
      <c r="I144" s="76">
        <v>18</v>
      </c>
      <c r="J144" s="96">
        <f>1+3+1+7+2+2+5+5+1</f>
        <v>27</v>
      </c>
      <c r="K144" s="77">
        <f>950.9+5134.06+2091.97+528.03+8954.46+5719.74+9578.1</f>
        <v>32957.259999999995</v>
      </c>
      <c r="L144" s="77">
        <f>950.9+5134.06+2091.97+528.03+8954.46+5719.74+9578.1</f>
        <v>32957.259999999995</v>
      </c>
      <c r="M144" s="78">
        <f t="shared" si="5"/>
        <v>0</v>
      </c>
      <c r="N144" s="100">
        <f>15+4+2+1+2+2</f>
        <v>26</v>
      </c>
      <c r="O144" s="81">
        <f>30236.61+18366.75+8887.09+1077.68+8961.95</f>
        <v>67530.080000000002</v>
      </c>
      <c r="P144" s="81">
        <f>30236.61+18366.75+8887.09+1077.68+8961.95</f>
        <v>67530.080000000002</v>
      </c>
      <c r="Q144" s="232">
        <f t="shared" si="4"/>
        <v>0</v>
      </c>
    </row>
    <row r="145" spans="1:17" s="13" customFormat="1" x14ac:dyDescent="0.25">
      <c r="A145" s="229"/>
      <c r="B145" s="27" t="s">
        <v>86</v>
      </c>
      <c r="C145" s="181" t="s">
        <v>17</v>
      </c>
      <c r="D145" s="182"/>
      <c r="E145" s="194" t="s">
        <v>20</v>
      </c>
      <c r="F145" s="73" t="s">
        <v>465</v>
      </c>
      <c r="G145" s="230" t="s">
        <v>114</v>
      </c>
      <c r="H145" s="181">
        <v>9</v>
      </c>
      <c r="I145" s="231">
        <v>3</v>
      </c>
      <c r="J145" s="190">
        <v>3</v>
      </c>
      <c r="K145" s="77">
        <v>5338.62</v>
      </c>
      <c r="L145" s="77">
        <v>5338.62</v>
      </c>
      <c r="M145" s="78">
        <f t="shared" si="5"/>
        <v>0</v>
      </c>
      <c r="N145" s="100">
        <v>10</v>
      </c>
      <c r="O145" s="224">
        <v>22234.03</v>
      </c>
      <c r="P145" s="224">
        <v>22234.03</v>
      </c>
      <c r="Q145" s="232">
        <f t="shared" si="4"/>
        <v>0</v>
      </c>
    </row>
    <row r="146" spans="1:17" s="13" customFormat="1" x14ac:dyDescent="0.25">
      <c r="A146" s="229"/>
      <c r="B146" s="27" t="s">
        <v>87</v>
      </c>
      <c r="C146" s="181"/>
      <c r="D146" s="182"/>
      <c r="E146" s="194"/>
      <c r="F146" s="73"/>
      <c r="G146" s="294" t="s">
        <v>112</v>
      </c>
      <c r="H146" s="181">
        <v>2</v>
      </c>
      <c r="I146" s="231"/>
      <c r="J146" s="190"/>
      <c r="K146" s="77"/>
      <c r="L146" s="77"/>
      <c r="M146" s="78"/>
      <c r="N146" s="100"/>
      <c r="O146" s="224"/>
      <c r="P146" s="224"/>
      <c r="Q146" s="232"/>
    </row>
    <row r="147" spans="1:17" s="13" customFormat="1" x14ac:dyDescent="0.25">
      <c r="A147" s="229"/>
      <c r="B147" s="62" t="s">
        <v>312</v>
      </c>
      <c r="C147" s="181" t="s">
        <v>17</v>
      </c>
      <c r="D147" s="182"/>
      <c r="E147" s="194" t="s">
        <v>20</v>
      </c>
      <c r="F147" s="73" t="s">
        <v>320</v>
      </c>
      <c r="G147" s="74" t="s">
        <v>112</v>
      </c>
      <c r="H147" s="75">
        <v>22</v>
      </c>
      <c r="I147" s="76">
        <v>13</v>
      </c>
      <c r="J147" s="96">
        <f>1+1+1+2+3+4</f>
        <v>12</v>
      </c>
      <c r="K147" s="77">
        <f>3319.49+845.24+4965.79+4415.4</f>
        <v>13545.92</v>
      </c>
      <c r="L147" s="77">
        <f>3319.49+845.24+4965.79+4415.4</f>
        <v>13545.92</v>
      </c>
      <c r="M147" s="78">
        <f t="shared" si="5"/>
        <v>0</v>
      </c>
      <c r="N147" s="100">
        <f>5+6+1+1</f>
        <v>13</v>
      </c>
      <c r="O147" s="81">
        <f>4226.2+6627.45+4360.59+6336.1</f>
        <v>21550.34</v>
      </c>
      <c r="P147" s="81">
        <f>4226.2+6627.45+4360.59+6336.1</f>
        <v>21550.34</v>
      </c>
      <c r="Q147" s="232">
        <f t="shared" si="4"/>
        <v>0</v>
      </c>
    </row>
    <row r="148" spans="1:17" s="13" customFormat="1" x14ac:dyDescent="0.25">
      <c r="A148" s="229"/>
      <c r="B148" s="62" t="s">
        <v>494</v>
      </c>
      <c r="C148" s="181" t="s">
        <v>17</v>
      </c>
      <c r="D148" s="182"/>
      <c r="E148" s="194" t="s">
        <v>20</v>
      </c>
      <c r="F148" s="73" t="s">
        <v>497</v>
      </c>
      <c r="G148" s="74" t="s">
        <v>112</v>
      </c>
      <c r="H148" s="75">
        <v>14</v>
      </c>
      <c r="I148" s="76">
        <v>11</v>
      </c>
      <c r="J148" s="96">
        <f>1+1+1+1+2+1+2+2</f>
        <v>11</v>
      </c>
      <c r="K148" s="77">
        <f>3379+5494.06+576.3+2417.43+3057.66+2384.32</f>
        <v>17308.77</v>
      </c>
      <c r="L148" s="77">
        <f>3379+5494.06+576.3+2417.43+3057.66+2384.32</f>
        <v>17308.77</v>
      </c>
      <c r="M148" s="78">
        <f t="shared" si="5"/>
        <v>0</v>
      </c>
      <c r="N148" s="100"/>
      <c r="O148" s="81"/>
      <c r="P148" s="81"/>
      <c r="Q148" s="232">
        <f t="shared" ref="Q148:Q193" si="6">O148-P148</f>
        <v>0</v>
      </c>
    </row>
    <row r="149" spans="1:17" s="13" customFormat="1" x14ac:dyDescent="0.25">
      <c r="A149" s="229"/>
      <c r="B149" s="62" t="s">
        <v>494</v>
      </c>
      <c r="C149" s="181" t="s">
        <v>17</v>
      </c>
      <c r="D149" s="182"/>
      <c r="E149" s="194" t="s">
        <v>20</v>
      </c>
      <c r="F149" s="73" t="s">
        <v>507</v>
      </c>
      <c r="G149" s="74" t="s">
        <v>114</v>
      </c>
      <c r="H149" s="75">
        <v>36</v>
      </c>
      <c r="I149" s="76">
        <v>10</v>
      </c>
      <c r="J149" s="96">
        <v>10</v>
      </c>
      <c r="K149" s="77">
        <v>24597.26</v>
      </c>
      <c r="L149" s="77">
        <v>24597.26</v>
      </c>
      <c r="M149" s="78">
        <f t="shared" si="5"/>
        <v>0</v>
      </c>
      <c r="N149" s="100"/>
      <c r="O149" s="81"/>
      <c r="P149" s="81"/>
      <c r="Q149" s="232">
        <f t="shared" si="6"/>
        <v>0</v>
      </c>
    </row>
    <row r="150" spans="1:17" s="13" customFormat="1" x14ac:dyDescent="0.25">
      <c r="A150" s="229"/>
      <c r="B150" s="30" t="s">
        <v>88</v>
      </c>
      <c r="C150" s="181" t="s">
        <v>17</v>
      </c>
      <c r="D150" s="182"/>
      <c r="E150" s="183" t="s">
        <v>89</v>
      </c>
      <c r="F150" s="73" t="s">
        <v>397</v>
      </c>
      <c r="G150" s="74" t="s">
        <v>112</v>
      </c>
      <c r="H150" s="75">
        <v>25</v>
      </c>
      <c r="I150" s="76">
        <v>14</v>
      </c>
      <c r="J150" s="96">
        <f>1+3+1+2+4+1+2</f>
        <v>14</v>
      </c>
      <c r="K150" s="77">
        <f>4226.2+2394.91+6485.1+556.71+4126.31+9704.16+1282.67+1282.67+2185.62</f>
        <v>32244.349999999995</v>
      </c>
      <c r="L150" s="77">
        <f>4226.2+2394.91+6485.1+556.71+4126.31+9704.16+1282.67+1282.67</f>
        <v>30058.729999999996</v>
      </c>
      <c r="M150" s="78">
        <f t="shared" si="5"/>
        <v>2185.619999999999</v>
      </c>
      <c r="N150" s="100">
        <f>4+1+3+1+2+2+1+1+2</f>
        <v>17</v>
      </c>
      <c r="O150" s="81">
        <f>11967.83+2831.55+10544.37+9418.99+3799.13+1798.04+2548.4-12193.52+4083.77</f>
        <v>34798.559999999998</v>
      </c>
      <c r="P150" s="81">
        <f>11967.83+2831.55+10544.37+9418.99+3799.13+1798.04+2548.4-12193.52+4083.77</f>
        <v>34798.559999999998</v>
      </c>
      <c r="Q150" s="79">
        <f t="shared" si="6"/>
        <v>0</v>
      </c>
    </row>
    <row r="151" spans="1:17" s="13" customFormat="1" x14ac:dyDescent="0.25">
      <c r="A151" s="229"/>
      <c r="B151" s="30" t="s">
        <v>88</v>
      </c>
      <c r="C151" s="181" t="s">
        <v>17</v>
      </c>
      <c r="D151" s="182"/>
      <c r="E151" s="183" t="s">
        <v>89</v>
      </c>
      <c r="F151" s="73" t="s">
        <v>442</v>
      </c>
      <c r="G151" s="230" t="s">
        <v>118</v>
      </c>
      <c r="H151" s="181">
        <v>7</v>
      </c>
      <c r="I151" s="231">
        <v>1</v>
      </c>
      <c r="J151" s="96">
        <v>1</v>
      </c>
      <c r="K151" s="77">
        <v>2116.96</v>
      </c>
      <c r="L151" s="77">
        <v>2116.96</v>
      </c>
      <c r="M151" s="78">
        <f t="shared" si="5"/>
        <v>0</v>
      </c>
      <c r="N151" s="100">
        <v>4</v>
      </c>
      <c r="O151" s="224">
        <v>19245.009999999998</v>
      </c>
      <c r="P151" s="224">
        <v>19245.009999999998</v>
      </c>
      <c r="Q151" s="232">
        <f t="shared" si="6"/>
        <v>0</v>
      </c>
    </row>
    <row r="152" spans="1:17" s="13" customFormat="1" x14ac:dyDescent="0.25">
      <c r="A152" s="229"/>
      <c r="B152" s="30" t="s">
        <v>88</v>
      </c>
      <c r="C152" s="181" t="s">
        <v>17</v>
      </c>
      <c r="D152" s="182"/>
      <c r="E152" s="194" t="s">
        <v>505</v>
      </c>
      <c r="F152" s="73" t="s">
        <v>506</v>
      </c>
      <c r="G152" s="230" t="s">
        <v>114</v>
      </c>
      <c r="H152" s="181">
        <v>9</v>
      </c>
      <c r="I152" s="231">
        <v>2</v>
      </c>
      <c r="J152" s="96">
        <v>2</v>
      </c>
      <c r="K152" s="77">
        <v>6559.74</v>
      </c>
      <c r="L152" s="77">
        <v>6559.74</v>
      </c>
      <c r="M152" s="78">
        <f t="shared" si="5"/>
        <v>0</v>
      </c>
      <c r="N152" s="100"/>
      <c r="O152" s="224"/>
      <c r="P152" s="224"/>
      <c r="Q152" s="232">
        <f t="shared" si="6"/>
        <v>0</v>
      </c>
    </row>
    <row r="153" spans="1:17" s="13" customFormat="1" x14ac:dyDescent="0.25">
      <c r="A153" s="229"/>
      <c r="B153" s="30" t="s">
        <v>90</v>
      </c>
      <c r="C153" s="181" t="s">
        <v>17</v>
      </c>
      <c r="D153" s="182"/>
      <c r="E153" s="194" t="s">
        <v>20</v>
      </c>
      <c r="F153" s="73" t="s">
        <v>398</v>
      </c>
      <c r="G153" s="74" t="s">
        <v>112</v>
      </c>
      <c r="H153" s="75">
        <v>14</v>
      </c>
      <c r="I153" s="76">
        <v>8</v>
      </c>
      <c r="J153" s="96">
        <f>1+1+1+4+1</f>
        <v>8</v>
      </c>
      <c r="K153" s="77">
        <f>422.62+4662.44+7580.13+2408.4</f>
        <v>15073.589999999998</v>
      </c>
      <c r="L153" s="77">
        <f>422.62+4662.44+7580.13+2408.4</f>
        <v>15073.589999999998</v>
      </c>
      <c r="M153" s="78">
        <f t="shared" si="5"/>
        <v>0</v>
      </c>
      <c r="N153" s="100">
        <f>1+1+1+1+2+1</f>
        <v>7</v>
      </c>
      <c r="O153" s="81">
        <f>2122.67+787.61+15453.48+6194.26+37549.5</f>
        <v>62107.519999999997</v>
      </c>
      <c r="P153" s="81">
        <f>2122.67+787.61+15453.48+6194.26+37549.5</f>
        <v>62107.519999999997</v>
      </c>
      <c r="Q153" s="79">
        <f t="shared" si="6"/>
        <v>0</v>
      </c>
    </row>
    <row r="154" spans="1:17" s="13" customFormat="1" x14ac:dyDescent="0.25">
      <c r="A154" s="229"/>
      <c r="B154" s="30" t="s">
        <v>90</v>
      </c>
      <c r="C154" s="181" t="s">
        <v>17</v>
      </c>
      <c r="D154" s="182"/>
      <c r="E154" s="194" t="s">
        <v>20</v>
      </c>
      <c r="F154" s="73" t="s">
        <v>466</v>
      </c>
      <c r="G154" s="230" t="s">
        <v>114</v>
      </c>
      <c r="H154" s="181">
        <v>19</v>
      </c>
      <c r="I154" s="231">
        <v>8</v>
      </c>
      <c r="J154" s="190">
        <v>8</v>
      </c>
      <c r="K154" s="77">
        <v>18496.560000000001</v>
      </c>
      <c r="L154" s="77">
        <v>18496.560000000001</v>
      </c>
      <c r="M154" s="78">
        <f t="shared" si="5"/>
        <v>0</v>
      </c>
      <c r="N154" s="100">
        <v>28</v>
      </c>
      <c r="O154" s="224">
        <v>115855.1</v>
      </c>
      <c r="P154" s="224">
        <v>115855.1</v>
      </c>
      <c r="Q154" s="232">
        <f t="shared" si="6"/>
        <v>0</v>
      </c>
    </row>
    <row r="155" spans="1:17" s="13" customFormat="1" x14ac:dyDescent="0.25">
      <c r="A155" s="229"/>
      <c r="B155" s="30" t="s">
        <v>91</v>
      </c>
      <c r="C155" s="181" t="s">
        <v>17</v>
      </c>
      <c r="D155" s="182"/>
      <c r="E155" s="194" t="s">
        <v>20</v>
      </c>
      <c r="F155" s="73" t="s">
        <v>399</v>
      </c>
      <c r="G155" s="74" t="s">
        <v>112</v>
      </c>
      <c r="H155" s="75"/>
      <c r="I155" s="76"/>
      <c r="J155" s="96"/>
      <c r="K155" s="77">
        <f>1091.81</f>
        <v>1091.81</v>
      </c>
      <c r="L155" s="77"/>
      <c r="M155" s="78">
        <f t="shared" si="5"/>
        <v>1091.81</v>
      </c>
      <c r="N155" s="100"/>
      <c r="O155" s="81"/>
      <c r="P155" s="81"/>
      <c r="Q155" s="79">
        <f t="shared" si="6"/>
        <v>0</v>
      </c>
    </row>
    <row r="156" spans="1:17" s="13" customFormat="1" x14ac:dyDescent="0.25">
      <c r="A156" s="229"/>
      <c r="B156" s="62" t="s">
        <v>138</v>
      </c>
      <c r="C156" s="181" t="s">
        <v>17</v>
      </c>
      <c r="D156" s="182"/>
      <c r="E156" s="194" t="s">
        <v>20</v>
      </c>
      <c r="F156" s="73" t="s">
        <v>467</v>
      </c>
      <c r="G156" s="230" t="s">
        <v>114</v>
      </c>
      <c r="H156" s="181">
        <v>18</v>
      </c>
      <c r="I156" s="231">
        <v>3</v>
      </c>
      <c r="J156" s="190">
        <v>3</v>
      </c>
      <c r="K156" s="193">
        <v>5542.2</v>
      </c>
      <c r="L156" s="193">
        <v>5542.2</v>
      </c>
      <c r="M156" s="78">
        <f t="shared" si="5"/>
        <v>0</v>
      </c>
      <c r="N156" s="114">
        <v>7</v>
      </c>
      <c r="O156" s="224">
        <v>16429.099999999999</v>
      </c>
      <c r="P156" s="224">
        <v>16429.099999999999</v>
      </c>
      <c r="Q156" s="232">
        <f t="shared" si="6"/>
        <v>0</v>
      </c>
    </row>
    <row r="157" spans="1:17" s="13" customFormat="1" x14ac:dyDescent="0.25">
      <c r="A157" s="229"/>
      <c r="B157" s="62" t="s">
        <v>138</v>
      </c>
      <c r="C157" s="181" t="s">
        <v>17</v>
      </c>
      <c r="D157" s="182"/>
      <c r="E157" s="194" t="s">
        <v>20</v>
      </c>
      <c r="F157" s="73" t="s">
        <v>400</v>
      </c>
      <c r="G157" s="74" t="s">
        <v>112</v>
      </c>
      <c r="H157" s="75">
        <v>12</v>
      </c>
      <c r="I157" s="82">
        <v>8</v>
      </c>
      <c r="J157" s="96">
        <f>3+1+1+2+2</f>
        <v>9</v>
      </c>
      <c r="K157" s="77">
        <f>2224.52+9639.33+3232.07+1625.67+1324.62</f>
        <v>18046.21</v>
      </c>
      <c r="L157" s="77">
        <f>2224.52+9639.33+3232.07+1625.67+1324.62</f>
        <v>18046.21</v>
      </c>
      <c r="M157" s="78">
        <f t="shared" si="5"/>
        <v>0</v>
      </c>
      <c r="N157" s="100">
        <f>5+4+2</f>
        <v>11</v>
      </c>
      <c r="O157" s="81">
        <f>8995.87+8641.99+5740.02</f>
        <v>23377.88</v>
      </c>
      <c r="P157" s="81">
        <f>8995.87+8641.99+5740.02</f>
        <v>23377.88</v>
      </c>
      <c r="Q157" s="79">
        <f t="shared" si="6"/>
        <v>0</v>
      </c>
    </row>
    <row r="158" spans="1:17" s="13" customFormat="1" x14ac:dyDescent="0.25">
      <c r="A158" s="229"/>
      <c r="B158" s="62" t="s">
        <v>157</v>
      </c>
      <c r="C158" s="181" t="s">
        <v>17</v>
      </c>
      <c r="D158" s="182"/>
      <c r="E158" s="194" t="s">
        <v>20</v>
      </c>
      <c r="F158" s="73" t="s">
        <v>401</v>
      </c>
      <c r="G158" s="74" t="s">
        <v>112</v>
      </c>
      <c r="H158" s="75">
        <v>15</v>
      </c>
      <c r="I158" s="82"/>
      <c r="J158" s="96"/>
      <c r="K158" s="77"/>
      <c r="L158" s="77"/>
      <c r="M158" s="78">
        <f t="shared" si="5"/>
        <v>0</v>
      </c>
      <c r="N158" s="100"/>
      <c r="O158" s="81"/>
      <c r="P158" s="81"/>
      <c r="Q158" s="232">
        <f t="shared" si="6"/>
        <v>0</v>
      </c>
    </row>
    <row r="159" spans="1:17" s="13" customFormat="1" x14ac:dyDescent="0.25">
      <c r="A159" s="229"/>
      <c r="B159" s="62" t="s">
        <v>515</v>
      </c>
      <c r="C159" s="181"/>
      <c r="D159" s="182"/>
      <c r="E159" s="194" t="s">
        <v>20</v>
      </c>
      <c r="F159" s="73"/>
      <c r="G159" s="74" t="s">
        <v>112</v>
      </c>
      <c r="H159" s="75">
        <v>6</v>
      </c>
      <c r="I159" s="82">
        <v>1</v>
      </c>
      <c r="J159" s="96">
        <f>1</f>
        <v>1</v>
      </c>
      <c r="K159" s="77"/>
      <c r="L159" s="77"/>
      <c r="M159" s="78">
        <f t="shared" si="5"/>
        <v>0</v>
      </c>
      <c r="N159" s="100"/>
      <c r="O159" s="81"/>
      <c r="P159" s="81"/>
      <c r="Q159" s="232"/>
    </row>
    <row r="160" spans="1:17" s="15" customFormat="1" x14ac:dyDescent="0.25">
      <c r="A160" s="229"/>
      <c r="B160" s="62" t="s">
        <v>92</v>
      </c>
      <c r="C160" s="181" t="s">
        <v>17</v>
      </c>
      <c r="D160" s="182"/>
      <c r="E160" s="194" t="s">
        <v>20</v>
      </c>
      <c r="F160" s="73" t="s">
        <v>402</v>
      </c>
      <c r="G160" s="74" t="s">
        <v>112</v>
      </c>
      <c r="H160" s="75">
        <v>13</v>
      </c>
      <c r="I160" s="76">
        <v>12</v>
      </c>
      <c r="J160" s="96">
        <f>1+2+5+2+2</f>
        <v>12</v>
      </c>
      <c r="K160" s="77">
        <f>1951.74+1335.1+2996.76+883.08+842.94</f>
        <v>8009.6200000000008</v>
      </c>
      <c r="L160" s="77">
        <f>1951.74+1335.1+2996.76+883.08</f>
        <v>7166.68</v>
      </c>
      <c r="M160" s="78">
        <f t="shared" si="5"/>
        <v>842.94000000000051</v>
      </c>
      <c r="N160" s="100">
        <f>4+1+1</f>
        <v>6</v>
      </c>
      <c r="O160" s="81">
        <f>12624.74+2697.06+1225.93</f>
        <v>16547.73</v>
      </c>
      <c r="P160" s="81">
        <f>12624.74+2697.06+1225.93</f>
        <v>16547.73</v>
      </c>
      <c r="Q160" s="232">
        <f t="shared" si="6"/>
        <v>0</v>
      </c>
    </row>
    <row r="161" spans="1:17" s="15" customFormat="1" x14ac:dyDescent="0.25">
      <c r="A161" s="229"/>
      <c r="B161" s="62" t="s">
        <v>92</v>
      </c>
      <c r="C161" s="181" t="s">
        <v>17</v>
      </c>
      <c r="D161" s="182"/>
      <c r="E161" s="194" t="s">
        <v>20</v>
      </c>
      <c r="F161" s="73" t="s">
        <v>129</v>
      </c>
      <c r="G161" s="230" t="s">
        <v>114</v>
      </c>
      <c r="H161" s="181"/>
      <c r="I161" s="231"/>
      <c r="J161" s="190"/>
      <c r="K161" s="77"/>
      <c r="L161" s="77"/>
      <c r="M161" s="78">
        <f t="shared" si="5"/>
        <v>0</v>
      </c>
      <c r="N161" s="114"/>
      <c r="O161" s="224"/>
      <c r="P161" s="224"/>
      <c r="Q161" s="232">
        <f t="shared" si="6"/>
        <v>0</v>
      </c>
    </row>
    <row r="162" spans="1:17" s="13" customFormat="1" x14ac:dyDescent="0.25">
      <c r="A162" s="229"/>
      <c r="B162" s="30" t="s">
        <v>93</v>
      </c>
      <c r="C162" s="181" t="s">
        <v>17</v>
      </c>
      <c r="D162" s="182"/>
      <c r="E162" s="183" t="s">
        <v>94</v>
      </c>
      <c r="F162" s="73" t="s">
        <v>403</v>
      </c>
      <c r="G162" s="74" t="s">
        <v>112</v>
      </c>
      <c r="H162" s="75">
        <v>7</v>
      </c>
      <c r="I162" s="76">
        <v>2</v>
      </c>
      <c r="J162" s="96">
        <f>2</f>
        <v>2</v>
      </c>
      <c r="K162" s="77">
        <f>2336.84</f>
        <v>2336.84</v>
      </c>
      <c r="L162" s="77">
        <f>2336.84</f>
        <v>2336.84</v>
      </c>
      <c r="M162" s="78">
        <f t="shared" si="5"/>
        <v>0</v>
      </c>
      <c r="N162" s="100">
        <f>3+8</f>
        <v>11</v>
      </c>
      <c r="O162" s="81">
        <f>20117.75</f>
        <v>20117.75</v>
      </c>
      <c r="P162" s="81">
        <f>20117.75</f>
        <v>20117.75</v>
      </c>
      <c r="Q162" s="232">
        <f t="shared" si="6"/>
        <v>0</v>
      </c>
    </row>
    <row r="163" spans="1:17" s="13" customFormat="1" x14ac:dyDescent="0.25">
      <c r="A163" s="229"/>
      <c r="B163" s="30" t="s">
        <v>93</v>
      </c>
      <c r="C163" s="181" t="s">
        <v>17</v>
      </c>
      <c r="D163" s="182"/>
      <c r="E163" s="183" t="s">
        <v>94</v>
      </c>
      <c r="F163" s="73" t="s">
        <v>130</v>
      </c>
      <c r="G163" s="230" t="s">
        <v>114</v>
      </c>
      <c r="H163" s="181"/>
      <c r="I163" s="231"/>
      <c r="J163" s="190"/>
      <c r="K163" s="77"/>
      <c r="L163" s="77"/>
      <c r="M163" s="78">
        <f t="shared" si="5"/>
        <v>0</v>
      </c>
      <c r="N163" s="100"/>
      <c r="O163" s="224"/>
      <c r="P163" s="224"/>
      <c r="Q163" s="232">
        <f t="shared" si="6"/>
        <v>0</v>
      </c>
    </row>
    <row r="164" spans="1:17" s="13" customFormat="1" x14ac:dyDescent="0.25">
      <c r="A164" s="229"/>
      <c r="B164" s="30" t="s">
        <v>93</v>
      </c>
      <c r="C164" s="181" t="s">
        <v>17</v>
      </c>
      <c r="D164" s="182"/>
      <c r="E164" s="183" t="s">
        <v>94</v>
      </c>
      <c r="F164" s="73" t="s">
        <v>240</v>
      </c>
      <c r="G164" s="230" t="s">
        <v>118</v>
      </c>
      <c r="H164" s="181"/>
      <c r="I164" s="231"/>
      <c r="J164" s="96"/>
      <c r="K164" s="77"/>
      <c r="L164" s="77"/>
      <c r="M164" s="78">
        <f t="shared" si="5"/>
        <v>0</v>
      </c>
      <c r="N164" s="100"/>
      <c r="O164" s="224"/>
      <c r="P164" s="224"/>
      <c r="Q164" s="232">
        <f t="shared" si="6"/>
        <v>0</v>
      </c>
    </row>
    <row r="165" spans="1:17" s="13" customFormat="1" x14ac:dyDescent="0.25">
      <c r="A165" s="229"/>
      <c r="B165" s="30" t="s">
        <v>95</v>
      </c>
      <c r="C165" s="181" t="s">
        <v>17</v>
      </c>
      <c r="D165" s="182"/>
      <c r="E165" s="194" t="s">
        <v>20</v>
      </c>
      <c r="F165" s="73" t="s">
        <v>404</v>
      </c>
      <c r="G165" s="74" t="s">
        <v>112</v>
      </c>
      <c r="H165" s="75">
        <v>20</v>
      </c>
      <c r="I165" s="76">
        <v>11</v>
      </c>
      <c r="J165" s="96">
        <f>1+4+4+5+2+1</f>
        <v>17</v>
      </c>
      <c r="K165" s="77">
        <f>1061.35+5770.05+5238.9+6606.04+6345.59</f>
        <v>25021.93</v>
      </c>
      <c r="L165" s="77">
        <f>1061.35+5770.05+5238.9+6606.04</f>
        <v>18676.34</v>
      </c>
      <c r="M165" s="78">
        <f t="shared" si="5"/>
        <v>6345.59</v>
      </c>
      <c r="N165" s="100">
        <f>1+6+1+4+1+1+1</f>
        <v>15</v>
      </c>
      <c r="O165" s="81">
        <f>11603.82+7559.28+6777.29+24757.02+4991.61</f>
        <v>55689.020000000004</v>
      </c>
      <c r="P165" s="81">
        <f>11603.82+7559.28+6777.29+24757.02</f>
        <v>50697.41</v>
      </c>
      <c r="Q165" s="79">
        <f t="shared" si="6"/>
        <v>4991.6100000000006</v>
      </c>
    </row>
    <row r="166" spans="1:17" s="13" customFormat="1" x14ac:dyDescent="0.25">
      <c r="A166" s="229"/>
      <c r="B166" s="30" t="s">
        <v>95</v>
      </c>
      <c r="C166" s="181" t="s">
        <v>17</v>
      </c>
      <c r="D166" s="182"/>
      <c r="E166" s="194" t="s">
        <v>20</v>
      </c>
      <c r="F166" s="73" t="s">
        <v>291</v>
      </c>
      <c r="G166" s="230" t="s">
        <v>114</v>
      </c>
      <c r="H166" s="181">
        <v>11</v>
      </c>
      <c r="I166" s="231">
        <v>5</v>
      </c>
      <c r="J166" s="190">
        <v>5</v>
      </c>
      <c r="K166" s="77">
        <v>5367.31</v>
      </c>
      <c r="L166" s="77">
        <v>5367.31</v>
      </c>
      <c r="M166" s="78">
        <f t="shared" si="5"/>
        <v>0</v>
      </c>
      <c r="N166" s="100">
        <v>14</v>
      </c>
      <c r="O166" s="224">
        <v>32601.05</v>
      </c>
      <c r="P166" s="224">
        <v>32601.05</v>
      </c>
      <c r="Q166" s="232">
        <f t="shared" si="6"/>
        <v>0</v>
      </c>
    </row>
    <row r="167" spans="1:17" s="13" customFormat="1" x14ac:dyDescent="0.25">
      <c r="A167" s="229"/>
      <c r="B167" s="30" t="s">
        <v>96</v>
      </c>
      <c r="C167" s="181" t="s">
        <v>17</v>
      </c>
      <c r="D167" s="182"/>
      <c r="E167" s="194" t="s">
        <v>97</v>
      </c>
      <c r="F167" s="73" t="s">
        <v>405</v>
      </c>
      <c r="G167" s="74" t="s">
        <v>112</v>
      </c>
      <c r="H167" s="75">
        <v>1</v>
      </c>
      <c r="I167" s="76">
        <v>1</v>
      </c>
      <c r="J167" s="96">
        <f>2</f>
        <v>2</v>
      </c>
      <c r="K167" s="77">
        <f>3187.92</f>
        <v>3187.92</v>
      </c>
      <c r="L167" s="77"/>
      <c r="M167" s="78">
        <f t="shared" si="5"/>
        <v>3187.92</v>
      </c>
      <c r="N167" s="103">
        <f>1+2+1+2</f>
        <v>6</v>
      </c>
      <c r="O167" s="77">
        <f>1742.31+9358.48+3187.92</f>
        <v>14288.71</v>
      </c>
      <c r="P167" s="77">
        <f>1742.31+9358.48</f>
        <v>11100.789999999999</v>
      </c>
      <c r="Q167" s="79">
        <f t="shared" si="6"/>
        <v>3187.92</v>
      </c>
    </row>
    <row r="168" spans="1:17" s="13" customFormat="1" x14ac:dyDescent="0.25">
      <c r="A168" s="229"/>
      <c r="B168" s="30" t="s">
        <v>96</v>
      </c>
      <c r="C168" s="181" t="s">
        <v>17</v>
      </c>
      <c r="D168" s="182"/>
      <c r="E168" s="194" t="s">
        <v>97</v>
      </c>
      <c r="F168" s="73" t="s">
        <v>468</v>
      </c>
      <c r="G168" s="230" t="s">
        <v>114</v>
      </c>
      <c r="H168" s="181">
        <v>1</v>
      </c>
      <c r="I168" s="231">
        <v>1</v>
      </c>
      <c r="J168" s="190">
        <v>1</v>
      </c>
      <c r="K168" s="77"/>
      <c r="L168" s="77"/>
      <c r="M168" s="78">
        <f t="shared" si="5"/>
        <v>0</v>
      </c>
      <c r="N168" s="100">
        <v>6</v>
      </c>
      <c r="O168" s="224">
        <v>11285.7</v>
      </c>
      <c r="P168" s="224">
        <v>11285.7</v>
      </c>
      <c r="Q168" s="232">
        <f t="shared" si="6"/>
        <v>0</v>
      </c>
    </row>
    <row r="169" spans="1:17" s="13" customFormat="1" x14ac:dyDescent="0.25">
      <c r="A169" s="229"/>
      <c r="B169" s="30" t="s">
        <v>98</v>
      </c>
      <c r="C169" s="181" t="s">
        <v>17</v>
      </c>
      <c r="D169" s="182"/>
      <c r="E169" s="194" t="s">
        <v>35</v>
      </c>
      <c r="F169" s="73" t="s">
        <v>406</v>
      </c>
      <c r="G169" s="74" t="s">
        <v>112</v>
      </c>
      <c r="H169" s="75">
        <v>43</v>
      </c>
      <c r="I169" s="76">
        <v>26</v>
      </c>
      <c r="J169" s="96">
        <f>1+2+1+1+4+4+1+2+1+5</f>
        <v>22</v>
      </c>
      <c r="K169" s="77">
        <f>845.24+1764.25+8353.03+1298.98+7610.68+13826.64+2752.31+9720.26+116979.76-2616.91+4851.2+993.47+3498.2</f>
        <v>169877.11000000002</v>
      </c>
      <c r="L169" s="77">
        <f>845.24+1764.25+8353.03+1298.98+7610.68+13826.64+2752.31+9720.26+116979.76-2616.91+4851.2+993.47+3498.2</f>
        <v>169877.11000000002</v>
      </c>
      <c r="M169" s="78">
        <f t="shared" si="5"/>
        <v>0</v>
      </c>
      <c r="N169" s="100">
        <f>9+1+1+4+2+1+2+4+2+1+1</f>
        <v>28</v>
      </c>
      <c r="O169" s="81">
        <f>76864.27+883.08+47501.34+5480.06</f>
        <v>130728.75</v>
      </c>
      <c r="P169" s="81">
        <f>76864.27+883.08+47501.34+5480.06</f>
        <v>130728.75</v>
      </c>
      <c r="Q169" s="79">
        <f t="shared" si="6"/>
        <v>0</v>
      </c>
    </row>
    <row r="170" spans="1:17" s="13" customFormat="1" x14ac:dyDescent="0.25">
      <c r="A170" s="229"/>
      <c r="B170" s="30" t="s">
        <v>98</v>
      </c>
      <c r="C170" s="181" t="s">
        <v>17</v>
      </c>
      <c r="D170" s="182"/>
      <c r="E170" s="194" t="s">
        <v>35</v>
      </c>
      <c r="F170" s="73" t="s">
        <v>435</v>
      </c>
      <c r="G170" s="235" t="s">
        <v>117</v>
      </c>
      <c r="H170" s="181">
        <v>6</v>
      </c>
      <c r="I170" s="231">
        <v>2</v>
      </c>
      <c r="J170" s="96">
        <v>2</v>
      </c>
      <c r="K170" s="77">
        <v>2486.83</v>
      </c>
      <c r="L170" s="77">
        <v>2486.83</v>
      </c>
      <c r="M170" s="78">
        <f t="shared" si="5"/>
        <v>0</v>
      </c>
      <c r="N170" s="100">
        <v>5</v>
      </c>
      <c r="O170" s="77">
        <v>18950.45</v>
      </c>
      <c r="P170" s="77">
        <v>18950.45</v>
      </c>
      <c r="Q170" s="232">
        <f t="shared" si="6"/>
        <v>0</v>
      </c>
    </row>
    <row r="171" spans="1:17" s="13" customFormat="1" x14ac:dyDescent="0.25">
      <c r="A171" s="229"/>
      <c r="B171" s="30" t="s">
        <v>488</v>
      </c>
      <c r="C171" s="181" t="s">
        <v>17</v>
      </c>
      <c r="D171" s="182"/>
      <c r="E171" s="194" t="s">
        <v>97</v>
      </c>
      <c r="F171" s="73" t="s">
        <v>498</v>
      </c>
      <c r="G171" s="235" t="s">
        <v>112</v>
      </c>
      <c r="H171" s="181">
        <v>16</v>
      </c>
      <c r="I171" s="231">
        <v>12</v>
      </c>
      <c r="J171" s="96">
        <f>4+1+1+2+3+1</f>
        <v>12</v>
      </c>
      <c r="K171" s="77">
        <f>1535.8+576.3+802.8+4667.08</f>
        <v>7581.98</v>
      </c>
      <c r="L171" s="77">
        <f>1535.8+576.3+802.8</f>
        <v>2914.8999999999996</v>
      </c>
      <c r="M171" s="78">
        <f t="shared" si="5"/>
        <v>4667.08</v>
      </c>
      <c r="N171" s="100"/>
      <c r="O171" s="77"/>
      <c r="P171" s="77"/>
      <c r="Q171" s="232"/>
    </row>
    <row r="172" spans="1:17" s="15" customFormat="1" x14ac:dyDescent="0.25">
      <c r="A172" s="229"/>
      <c r="B172" s="30" t="s">
        <v>99</v>
      </c>
      <c r="C172" s="181" t="s">
        <v>17</v>
      </c>
      <c r="D172" s="182"/>
      <c r="E172" s="183" t="s">
        <v>32</v>
      </c>
      <c r="F172" s="73" t="s">
        <v>418</v>
      </c>
      <c r="G172" s="74" t="s">
        <v>112</v>
      </c>
      <c r="H172" s="75"/>
      <c r="I172" s="76"/>
      <c r="J172" s="96"/>
      <c r="K172" s="77"/>
      <c r="L172" s="77"/>
      <c r="M172" s="78">
        <f t="shared" si="5"/>
        <v>0</v>
      </c>
      <c r="N172" s="100"/>
      <c r="O172" s="81"/>
      <c r="P172" s="81"/>
      <c r="Q172" s="79">
        <f t="shared" si="6"/>
        <v>0</v>
      </c>
    </row>
    <row r="173" spans="1:17" s="15" customFormat="1" x14ac:dyDescent="0.25">
      <c r="A173" s="229"/>
      <c r="B173" s="30" t="s">
        <v>99</v>
      </c>
      <c r="C173" s="181" t="s">
        <v>17</v>
      </c>
      <c r="D173" s="182"/>
      <c r="E173" s="183" t="s">
        <v>32</v>
      </c>
      <c r="F173" s="73" t="s">
        <v>423</v>
      </c>
      <c r="G173" s="235" t="s">
        <v>117</v>
      </c>
      <c r="H173" s="181"/>
      <c r="I173" s="231"/>
      <c r="J173" s="190"/>
      <c r="K173" s="77"/>
      <c r="L173" s="77"/>
      <c r="M173" s="78">
        <f t="shared" si="5"/>
        <v>0</v>
      </c>
      <c r="N173" s="114"/>
      <c r="O173" s="77"/>
      <c r="P173" s="77"/>
      <c r="Q173" s="232">
        <f t="shared" si="6"/>
        <v>0</v>
      </c>
    </row>
    <row r="174" spans="1:17" s="15" customFormat="1" ht="30" x14ac:dyDescent="0.25">
      <c r="A174" s="229"/>
      <c r="B174" s="30" t="s">
        <v>144</v>
      </c>
      <c r="C174" s="181" t="s">
        <v>304</v>
      </c>
      <c r="D174" s="182" t="s">
        <v>313</v>
      </c>
      <c r="E174" s="194" t="s">
        <v>97</v>
      </c>
      <c r="F174" s="73" t="s">
        <v>407</v>
      </c>
      <c r="G174" s="66" t="s">
        <v>112</v>
      </c>
      <c r="H174" s="75">
        <v>21</v>
      </c>
      <c r="I174" s="76">
        <v>21</v>
      </c>
      <c r="J174" s="98">
        <f>2+2+1+3+1+1+5+2+1+4+2+4+1</f>
        <v>29</v>
      </c>
      <c r="K174" s="77">
        <f>950.9+1449.39+2272.32+2785.92+5112.01+6655.23+3700.19+4208.95</f>
        <v>27134.91</v>
      </c>
      <c r="L174" s="77">
        <f>950.9+1449.39+2272.32+2785.92+5112.01+6655.23+3700.19+4208.95</f>
        <v>27134.91</v>
      </c>
      <c r="M174" s="78">
        <f t="shared" si="5"/>
        <v>0</v>
      </c>
      <c r="N174" s="100">
        <f>3+2+1+1+1+1+1</f>
        <v>10</v>
      </c>
      <c r="O174" s="77">
        <f>5020.57+5566.06+2694.94+845.24+2460.18</f>
        <v>16586.990000000002</v>
      </c>
      <c r="P174" s="77">
        <f>5020.57+5566.06+2694.94+845.24+2460.18</f>
        <v>16586.990000000002</v>
      </c>
      <c r="Q174" s="79">
        <f t="shared" si="6"/>
        <v>0</v>
      </c>
    </row>
    <row r="175" spans="1:17" s="15" customFormat="1" x14ac:dyDescent="0.25">
      <c r="A175" s="229"/>
      <c r="B175" s="30" t="s">
        <v>488</v>
      </c>
      <c r="C175" s="181"/>
      <c r="D175" s="182"/>
      <c r="E175" s="194"/>
      <c r="F175" s="73" t="s">
        <v>509</v>
      </c>
      <c r="G175" s="66" t="s">
        <v>114</v>
      </c>
      <c r="H175" s="75">
        <v>25</v>
      </c>
      <c r="I175" s="76">
        <v>12</v>
      </c>
      <c r="J175" s="98">
        <v>12</v>
      </c>
      <c r="K175" s="77">
        <v>29391.64</v>
      </c>
      <c r="L175" s="77">
        <v>29391.64</v>
      </c>
      <c r="M175" s="78">
        <f t="shared" si="5"/>
        <v>0</v>
      </c>
      <c r="N175" s="100"/>
      <c r="O175" s="77"/>
      <c r="P175" s="77"/>
      <c r="Q175" s="232">
        <f t="shared" si="6"/>
        <v>0</v>
      </c>
    </row>
    <row r="176" spans="1:17" s="15" customFormat="1" x14ac:dyDescent="0.25">
      <c r="A176" s="229"/>
      <c r="B176" s="30" t="s">
        <v>514</v>
      </c>
      <c r="C176" s="181"/>
      <c r="D176" s="182"/>
      <c r="E176" s="194" t="s">
        <v>18</v>
      </c>
      <c r="F176" s="73"/>
      <c r="G176" s="66" t="s">
        <v>116</v>
      </c>
      <c r="H176" s="75">
        <v>5</v>
      </c>
      <c r="I176" s="76">
        <v>1</v>
      </c>
      <c r="J176" s="98">
        <v>1</v>
      </c>
      <c r="K176" s="77">
        <v>1766</v>
      </c>
      <c r="L176" s="77">
        <v>1764.13</v>
      </c>
      <c r="M176" s="78">
        <f t="shared" si="5"/>
        <v>1.8699999999998909</v>
      </c>
      <c r="N176" s="100"/>
      <c r="O176" s="77"/>
      <c r="P176" s="77"/>
      <c r="Q176" s="232"/>
    </row>
    <row r="177" spans="1:17" s="15" customFormat="1" x14ac:dyDescent="0.25">
      <c r="A177" s="229"/>
      <c r="B177" s="30" t="s">
        <v>488</v>
      </c>
      <c r="C177" s="181"/>
      <c r="D177" s="182"/>
      <c r="E177" s="194"/>
      <c r="F177" s="73" t="s">
        <v>512</v>
      </c>
      <c r="G177" s="66" t="s">
        <v>116</v>
      </c>
      <c r="H177" s="75">
        <v>12</v>
      </c>
      <c r="I177" s="76">
        <v>7</v>
      </c>
      <c r="J177" s="98">
        <v>7</v>
      </c>
      <c r="K177" s="77">
        <v>12080</v>
      </c>
      <c r="L177" s="77">
        <v>12080</v>
      </c>
      <c r="M177" s="78">
        <f t="shared" si="5"/>
        <v>0</v>
      </c>
      <c r="N177" s="100"/>
      <c r="O177" s="77"/>
      <c r="P177" s="77"/>
      <c r="Q177" s="79"/>
    </row>
    <row r="178" spans="1:17" s="15" customFormat="1" ht="30" x14ac:dyDescent="0.25">
      <c r="A178" s="229"/>
      <c r="B178" s="238" t="s">
        <v>144</v>
      </c>
      <c r="C178" s="181" t="s">
        <v>446</v>
      </c>
      <c r="D178" s="182" t="s">
        <v>313</v>
      </c>
      <c r="E178" s="183" t="s">
        <v>20</v>
      </c>
      <c r="F178" s="73" t="s">
        <v>485</v>
      </c>
      <c r="G178" s="235" t="s">
        <v>114</v>
      </c>
      <c r="H178" s="181">
        <v>38</v>
      </c>
      <c r="I178" s="234">
        <v>17</v>
      </c>
      <c r="J178" s="202">
        <v>17</v>
      </c>
      <c r="K178" s="77">
        <v>45938.83</v>
      </c>
      <c r="L178" s="77">
        <v>45938.83</v>
      </c>
      <c r="M178" s="78">
        <f t="shared" si="5"/>
        <v>0</v>
      </c>
      <c r="N178" s="100">
        <v>21</v>
      </c>
      <c r="O178" s="224">
        <v>53276.800000000003</v>
      </c>
      <c r="P178" s="224">
        <v>53276.800000000003</v>
      </c>
      <c r="Q178" s="232">
        <f t="shared" ref="Q178" si="7">O178-P178</f>
        <v>0</v>
      </c>
    </row>
    <row r="179" spans="1:17" s="21" customFormat="1" ht="45" x14ac:dyDescent="0.25">
      <c r="A179" s="181"/>
      <c r="B179" s="30" t="s">
        <v>100</v>
      </c>
      <c r="C179" s="181" t="s">
        <v>304</v>
      </c>
      <c r="D179" s="182" t="s">
        <v>416</v>
      </c>
      <c r="E179" s="194" t="s">
        <v>20</v>
      </c>
      <c r="F179" s="73" t="s">
        <v>408</v>
      </c>
      <c r="G179" s="27" t="s">
        <v>112</v>
      </c>
      <c r="H179" s="75">
        <v>30</v>
      </c>
      <c r="I179" s="76">
        <v>20</v>
      </c>
      <c r="J179" s="98">
        <f>5+1+4+6+4+2</f>
        <v>22</v>
      </c>
      <c r="K179" s="86">
        <f>6524.55+600.31+19349.45+15377.18+2248.86</f>
        <v>44100.350000000006</v>
      </c>
      <c r="L179" s="86">
        <f>6524.55+600.31+19349.45+15377.18</f>
        <v>41851.490000000005</v>
      </c>
      <c r="M179" s="78">
        <f t="shared" si="5"/>
        <v>2248.8600000000006</v>
      </c>
      <c r="N179" s="100">
        <f>1+3+2+3+1+1</f>
        <v>11</v>
      </c>
      <c r="O179" s="87">
        <f>10770.58+2113.01+3508.24+19305.88+22849.19+23443.77</f>
        <v>81990.670000000013</v>
      </c>
      <c r="P179" s="87">
        <f>10770.58+2113.01+3508.24+19305.88+22849.19</f>
        <v>58546.900000000009</v>
      </c>
      <c r="Q179" s="79">
        <f t="shared" si="6"/>
        <v>23443.770000000004</v>
      </c>
    </row>
    <row r="180" spans="1:17" s="21" customFormat="1" ht="60" x14ac:dyDescent="0.25">
      <c r="A180" s="181"/>
      <c r="B180" s="30" t="s">
        <v>100</v>
      </c>
      <c r="C180" s="203" t="s">
        <v>125</v>
      </c>
      <c r="D180" s="182" t="s">
        <v>126</v>
      </c>
      <c r="E180" s="194" t="s">
        <v>20</v>
      </c>
      <c r="F180" s="73" t="s">
        <v>486</v>
      </c>
      <c r="G180" s="236" t="s">
        <v>114</v>
      </c>
      <c r="H180" s="181">
        <v>11</v>
      </c>
      <c r="I180" s="234">
        <v>2</v>
      </c>
      <c r="J180" s="202">
        <v>2</v>
      </c>
      <c r="K180" s="86">
        <v>17316</v>
      </c>
      <c r="L180" s="86">
        <v>17316</v>
      </c>
      <c r="M180" s="78">
        <f t="shared" si="5"/>
        <v>0</v>
      </c>
      <c r="N180" s="100"/>
      <c r="O180" s="239">
        <v>71568.429999999993</v>
      </c>
      <c r="P180" s="239">
        <v>71568.429999999993</v>
      </c>
      <c r="Q180" s="232">
        <f t="shared" si="6"/>
        <v>0</v>
      </c>
    </row>
    <row r="181" spans="1:17" s="13" customFormat="1" x14ac:dyDescent="0.25">
      <c r="A181" s="229"/>
      <c r="B181" s="62" t="s">
        <v>101</v>
      </c>
      <c r="C181" s="181" t="s">
        <v>17</v>
      </c>
      <c r="D181" s="182"/>
      <c r="E181" s="194" t="s">
        <v>20</v>
      </c>
      <c r="F181" s="73" t="s">
        <v>409</v>
      </c>
      <c r="G181" s="74" t="s">
        <v>112</v>
      </c>
      <c r="H181" s="75">
        <v>17</v>
      </c>
      <c r="I181" s="76">
        <v>8</v>
      </c>
      <c r="J181" s="96">
        <f>1+5+1+1+2+2+1</f>
        <v>13</v>
      </c>
      <c r="K181" s="77">
        <v>9863.65</v>
      </c>
      <c r="L181" s="77">
        <v>9863.65</v>
      </c>
      <c r="M181" s="78">
        <f t="shared" si="5"/>
        <v>0</v>
      </c>
      <c r="N181" s="100">
        <f>5+2+1+1+1</f>
        <v>10</v>
      </c>
      <c r="O181" s="81">
        <f>6288.07+3061.62+3426.18+12951.18</f>
        <v>25727.05</v>
      </c>
      <c r="P181" s="81">
        <f>6288.07+3061.62+3426.18+12951.18</f>
        <v>25727.05</v>
      </c>
      <c r="Q181" s="79">
        <f t="shared" si="6"/>
        <v>0</v>
      </c>
    </row>
    <row r="182" spans="1:17" s="13" customFormat="1" x14ac:dyDescent="0.25">
      <c r="A182" s="229"/>
      <c r="B182" s="62" t="s">
        <v>146</v>
      </c>
      <c r="C182" s="181" t="s">
        <v>17</v>
      </c>
      <c r="D182" s="182"/>
      <c r="E182" s="194" t="s">
        <v>20</v>
      </c>
      <c r="F182" s="73" t="s">
        <v>410</v>
      </c>
      <c r="G182" s="74" t="s">
        <v>112</v>
      </c>
      <c r="H182" s="75">
        <v>16</v>
      </c>
      <c r="I182" s="76">
        <v>13</v>
      </c>
      <c r="J182" s="96">
        <f>4+1+1+2+1+2+1+1+1</f>
        <v>14</v>
      </c>
      <c r="K182" s="77">
        <f>4610.77+1568.98+1854.88+422.62+1334.13+2599.07+5262.18+1092.81+1092.81</f>
        <v>19838.250000000004</v>
      </c>
      <c r="L182" s="77">
        <f>4610.77+1568.98+1854.88+422.62+1334.13+2599.07+5262.18+1092.81</f>
        <v>18745.440000000002</v>
      </c>
      <c r="M182" s="78">
        <f t="shared" si="5"/>
        <v>1092.8100000000013</v>
      </c>
      <c r="N182" s="100">
        <f>5+1+1+2+1+1+1</f>
        <v>12</v>
      </c>
      <c r="O182" s="81">
        <f>13579.06+1287.07+2636.18+26196.83</f>
        <v>43699.14</v>
      </c>
      <c r="P182" s="81">
        <f>13579.06+1287.07+2636.18+26196.83</f>
        <v>43699.14</v>
      </c>
      <c r="Q182" s="232">
        <f t="shared" si="6"/>
        <v>0</v>
      </c>
    </row>
    <row r="183" spans="1:17" s="13" customFormat="1" x14ac:dyDescent="0.25">
      <c r="A183" s="229"/>
      <c r="B183" s="62" t="s">
        <v>146</v>
      </c>
      <c r="C183" s="181" t="s">
        <v>17</v>
      </c>
      <c r="D183" s="182"/>
      <c r="E183" s="183" t="s">
        <v>21</v>
      </c>
      <c r="F183" s="73" t="s">
        <v>443</v>
      </c>
      <c r="G183" s="230" t="s">
        <v>118</v>
      </c>
      <c r="H183" s="181">
        <v>14</v>
      </c>
      <c r="I183" s="234">
        <v>5</v>
      </c>
      <c r="J183" s="190">
        <v>5</v>
      </c>
      <c r="K183" s="193">
        <v>9341.1299999999992</v>
      </c>
      <c r="L183" s="193">
        <v>9341.1299999999992</v>
      </c>
      <c r="M183" s="78">
        <f t="shared" si="5"/>
        <v>0</v>
      </c>
      <c r="N183" s="114">
        <v>6</v>
      </c>
      <c r="O183" s="224">
        <v>3363.06</v>
      </c>
      <c r="P183" s="224">
        <v>3363.06</v>
      </c>
      <c r="Q183" s="79">
        <f t="shared" si="6"/>
        <v>0</v>
      </c>
    </row>
    <row r="184" spans="1:17" s="13" customFormat="1" x14ac:dyDescent="0.25">
      <c r="A184" s="229"/>
      <c r="B184" s="27" t="s">
        <v>102</v>
      </c>
      <c r="C184" s="181" t="s">
        <v>17</v>
      </c>
      <c r="D184" s="182"/>
      <c r="E184" s="194" t="s">
        <v>20</v>
      </c>
      <c r="F184" s="73" t="s">
        <v>411</v>
      </c>
      <c r="G184" s="74" t="s">
        <v>112</v>
      </c>
      <c r="H184" s="75">
        <v>14</v>
      </c>
      <c r="I184" s="76">
        <v>11</v>
      </c>
      <c r="J184" s="96">
        <f>1+1+2+1+2+1+3</f>
        <v>11</v>
      </c>
      <c r="K184" s="77">
        <f>845.24+845.24+1690.48+1394.65+2689.38+1324.62</f>
        <v>8789.61</v>
      </c>
      <c r="L184" s="77">
        <f>845.24+845.24+1690.48+1394.65+2689.38+1324.62</f>
        <v>8789.61</v>
      </c>
      <c r="M184" s="78">
        <f t="shared" si="5"/>
        <v>0</v>
      </c>
      <c r="N184" s="100">
        <f>3+1+1+1+1</f>
        <v>7</v>
      </c>
      <c r="O184" s="81">
        <f>7808.21+30833.77-12193.52+9963.17+5385.9</f>
        <v>41797.530000000006</v>
      </c>
      <c r="P184" s="81">
        <f>7808.21+30833.77-12193.52+9963.17+5385.9</f>
        <v>41797.530000000006</v>
      </c>
      <c r="Q184" s="232">
        <f t="shared" si="6"/>
        <v>0</v>
      </c>
    </row>
    <row r="185" spans="1:17" s="13" customFormat="1" x14ac:dyDescent="0.25">
      <c r="A185" s="229"/>
      <c r="B185" s="27" t="s">
        <v>102</v>
      </c>
      <c r="C185" s="181" t="s">
        <v>17</v>
      </c>
      <c r="D185" s="182"/>
      <c r="E185" s="194" t="s">
        <v>20</v>
      </c>
      <c r="F185" s="73" t="s">
        <v>469</v>
      </c>
      <c r="G185" s="230" t="s">
        <v>114</v>
      </c>
      <c r="H185" s="181">
        <v>10</v>
      </c>
      <c r="I185" s="231">
        <v>3</v>
      </c>
      <c r="J185" s="190">
        <v>3</v>
      </c>
      <c r="K185" s="77">
        <v>7690.26</v>
      </c>
      <c r="L185" s="77">
        <v>7690.26</v>
      </c>
      <c r="M185" s="78">
        <f t="shared" si="5"/>
        <v>0</v>
      </c>
      <c r="N185" s="100">
        <v>8</v>
      </c>
      <c r="O185" s="224">
        <v>31700.42</v>
      </c>
      <c r="P185" s="224">
        <v>31700.42</v>
      </c>
      <c r="Q185" s="232">
        <f t="shared" si="6"/>
        <v>0</v>
      </c>
    </row>
    <row r="186" spans="1:17" s="13" customFormat="1" x14ac:dyDescent="0.25">
      <c r="A186" s="229"/>
      <c r="B186" s="27" t="s">
        <v>103</v>
      </c>
      <c r="C186" s="181" t="s">
        <v>17</v>
      </c>
      <c r="D186" s="182"/>
      <c r="E186" s="183" t="s">
        <v>20</v>
      </c>
      <c r="F186" s="73" t="s">
        <v>412</v>
      </c>
      <c r="G186" s="74" t="s">
        <v>112</v>
      </c>
      <c r="H186" s="75">
        <v>15</v>
      </c>
      <c r="I186" s="76">
        <v>10</v>
      </c>
      <c r="J186" s="96">
        <f>4+1+2+3+1</f>
        <v>11</v>
      </c>
      <c r="K186" s="77">
        <f>16248.67+1092.81+2003.49+401.4</f>
        <v>19746.370000000003</v>
      </c>
      <c r="L186" s="77">
        <f>16248.67+1092.81+2003.49+401.4</f>
        <v>19746.370000000003</v>
      </c>
      <c r="M186" s="78">
        <f t="shared" si="5"/>
        <v>0</v>
      </c>
      <c r="N186" s="100">
        <f>7+2+1+1+2+1</f>
        <v>14</v>
      </c>
      <c r="O186" s="77">
        <f>20193.14+7541.5+685.38</f>
        <v>28420.02</v>
      </c>
      <c r="P186" s="77">
        <f>20193.14+7541.5+685.38</f>
        <v>28420.02</v>
      </c>
      <c r="Q186" s="232">
        <f t="shared" si="6"/>
        <v>0</v>
      </c>
    </row>
    <row r="187" spans="1:17" s="13" customFormat="1" x14ac:dyDescent="0.25">
      <c r="A187" s="229"/>
      <c r="B187" s="27" t="s">
        <v>103</v>
      </c>
      <c r="C187" s="181" t="s">
        <v>17</v>
      </c>
      <c r="D187" s="182"/>
      <c r="E187" s="183" t="s">
        <v>20</v>
      </c>
      <c r="F187" s="73" t="s">
        <v>470</v>
      </c>
      <c r="G187" s="230" t="s">
        <v>114</v>
      </c>
      <c r="H187" s="181">
        <v>16</v>
      </c>
      <c r="I187" s="231">
        <v>3</v>
      </c>
      <c r="J187" s="190">
        <v>3</v>
      </c>
      <c r="K187" s="77">
        <v>4940.1000000000004</v>
      </c>
      <c r="L187" s="77">
        <v>4940.1000000000004</v>
      </c>
      <c r="M187" s="78">
        <f t="shared" si="5"/>
        <v>0</v>
      </c>
      <c r="N187" s="100">
        <v>4</v>
      </c>
      <c r="O187" s="224">
        <v>10434.89</v>
      </c>
      <c r="P187" s="224">
        <v>10434.89</v>
      </c>
      <c r="Q187" s="232">
        <f t="shared" si="6"/>
        <v>0</v>
      </c>
    </row>
    <row r="188" spans="1:17" s="15" customFormat="1" x14ac:dyDescent="0.25">
      <c r="A188" s="229"/>
      <c r="B188" s="27" t="s">
        <v>104</v>
      </c>
      <c r="C188" s="181" t="s">
        <v>17</v>
      </c>
      <c r="D188" s="182"/>
      <c r="E188" s="183" t="s">
        <v>20</v>
      </c>
      <c r="F188" s="73" t="s">
        <v>413</v>
      </c>
      <c r="G188" s="74" t="s">
        <v>112</v>
      </c>
      <c r="H188" s="75">
        <v>18</v>
      </c>
      <c r="I188" s="76">
        <v>14</v>
      </c>
      <c r="J188" s="96">
        <f>3+1+2+4+1+1+1</f>
        <v>13</v>
      </c>
      <c r="K188" s="77">
        <f>5112.82+422.64+8302.14+1605.5+1092.81</f>
        <v>16535.91</v>
      </c>
      <c r="L188" s="77">
        <f>5112.82+422.64+8302.14+1605.5+1092.81</f>
        <v>16535.91</v>
      </c>
      <c r="M188" s="78">
        <f t="shared" si="5"/>
        <v>0</v>
      </c>
      <c r="N188" s="100">
        <f>4+1+1+2+1</f>
        <v>9</v>
      </c>
      <c r="O188" s="81">
        <f>7087.22+3426.18+3496.22</f>
        <v>14009.619999999999</v>
      </c>
      <c r="P188" s="81">
        <f>7087.22+3426.18+3496.22</f>
        <v>14009.619999999999</v>
      </c>
      <c r="Q188" s="232">
        <f t="shared" si="6"/>
        <v>0</v>
      </c>
    </row>
    <row r="189" spans="1:17" s="15" customFormat="1" x14ac:dyDescent="0.25">
      <c r="A189" s="229"/>
      <c r="B189" s="27" t="s">
        <v>104</v>
      </c>
      <c r="C189" s="181" t="s">
        <v>17</v>
      </c>
      <c r="D189" s="182"/>
      <c r="E189" s="183" t="s">
        <v>20</v>
      </c>
      <c r="F189" s="73" t="s">
        <v>471</v>
      </c>
      <c r="G189" s="230" t="s">
        <v>114</v>
      </c>
      <c r="H189" s="181">
        <v>40</v>
      </c>
      <c r="I189" s="231">
        <v>10</v>
      </c>
      <c r="J189" s="190">
        <v>10</v>
      </c>
      <c r="K189" s="77">
        <v>28101.31</v>
      </c>
      <c r="L189" s="77">
        <v>28101.31</v>
      </c>
      <c r="M189" s="78">
        <f t="shared" si="5"/>
        <v>0</v>
      </c>
      <c r="N189" s="114">
        <v>18</v>
      </c>
      <c r="O189" s="224">
        <v>40887.050000000003</v>
      </c>
      <c r="P189" s="224">
        <v>40887.050000000003</v>
      </c>
      <c r="Q189" s="232">
        <f t="shared" si="6"/>
        <v>0</v>
      </c>
    </row>
    <row r="190" spans="1:17" s="13" customFormat="1" x14ac:dyDescent="0.25">
      <c r="A190" s="229"/>
      <c r="B190" s="30" t="s">
        <v>26</v>
      </c>
      <c r="C190" s="181" t="s">
        <v>17</v>
      </c>
      <c r="D190" s="182"/>
      <c r="E190" s="183" t="s">
        <v>32</v>
      </c>
      <c r="F190" s="73" t="s">
        <v>246</v>
      </c>
      <c r="G190" s="74" t="s">
        <v>117</v>
      </c>
      <c r="H190" s="75"/>
      <c r="I190" s="76"/>
      <c r="J190" s="96"/>
      <c r="K190" s="77"/>
      <c r="L190" s="77"/>
      <c r="M190" s="78">
        <f t="shared" si="5"/>
        <v>0</v>
      </c>
      <c r="N190" s="100">
        <v>5</v>
      </c>
      <c r="O190" s="81">
        <v>7808.15</v>
      </c>
      <c r="P190" s="81">
        <v>7808.15</v>
      </c>
      <c r="Q190" s="232">
        <f t="shared" si="6"/>
        <v>0</v>
      </c>
    </row>
    <row r="191" spans="1:17" s="13" customFormat="1" x14ac:dyDescent="0.25">
      <c r="A191" s="229"/>
      <c r="B191" s="30" t="s">
        <v>105</v>
      </c>
      <c r="C191" s="181"/>
      <c r="D191" s="182"/>
      <c r="E191" s="183"/>
      <c r="F191" s="73"/>
      <c r="G191" s="74" t="s">
        <v>112</v>
      </c>
      <c r="H191" s="75">
        <v>2</v>
      </c>
      <c r="I191" s="76"/>
      <c r="J191" s="96"/>
      <c r="K191" s="77"/>
      <c r="L191" s="77"/>
      <c r="M191" s="78"/>
      <c r="N191" s="100"/>
      <c r="O191" s="81"/>
      <c r="P191" s="81"/>
      <c r="Q191" s="232"/>
    </row>
    <row r="192" spans="1:17" s="13" customFormat="1" x14ac:dyDescent="0.25">
      <c r="A192" s="229"/>
      <c r="B192" s="62" t="s">
        <v>106</v>
      </c>
      <c r="C192" s="181" t="s">
        <v>17</v>
      </c>
      <c r="D192" s="205"/>
      <c r="E192" s="194" t="s">
        <v>20</v>
      </c>
      <c r="F192" s="73" t="s">
        <v>414</v>
      </c>
      <c r="G192" s="74" t="s">
        <v>112</v>
      </c>
      <c r="H192" s="75">
        <v>14</v>
      </c>
      <c r="I192" s="76">
        <f>8</f>
        <v>8</v>
      </c>
      <c r="J192" s="96">
        <f>1+4+2+2+1</f>
        <v>10</v>
      </c>
      <c r="K192" s="77">
        <v>4901.5</v>
      </c>
      <c r="L192" s="77">
        <v>4901.5</v>
      </c>
      <c r="M192" s="78">
        <f t="shared" si="5"/>
        <v>0</v>
      </c>
      <c r="N192" s="100">
        <f>3+1+1</f>
        <v>5</v>
      </c>
      <c r="O192" s="81">
        <v>49473.81</v>
      </c>
      <c r="P192" s="81">
        <v>49473.81</v>
      </c>
      <c r="Q192" s="232">
        <f t="shared" si="6"/>
        <v>0</v>
      </c>
    </row>
    <row r="193" spans="1:17" x14ac:dyDescent="0.25">
      <c r="A193" s="296"/>
      <c r="B193" s="66"/>
      <c r="C193" s="297"/>
      <c r="D193" s="235"/>
      <c r="E193" s="235"/>
      <c r="F193" s="73"/>
      <c r="G193" s="235" t="s">
        <v>131</v>
      </c>
      <c r="H193" s="240">
        <f>SUM(H10:H192)</f>
        <v>2904</v>
      </c>
      <c r="I193" s="295">
        <f>SUM(I10:I192)</f>
        <v>1671</v>
      </c>
      <c r="J193" s="208">
        <f>SUM(J10:J192)</f>
        <v>1998</v>
      </c>
      <c r="K193" s="209">
        <f>SUM(K10:K192)</f>
        <v>3627985.3550000009</v>
      </c>
      <c r="L193" s="209">
        <f>SUM(L10:L192)</f>
        <v>3419801.6149999988</v>
      </c>
      <c r="M193" s="210">
        <f>K193-L193</f>
        <v>208183.74000000209</v>
      </c>
      <c r="N193" s="208">
        <f>SUM(N10:N192)</f>
        <v>1829</v>
      </c>
      <c r="O193" s="241">
        <f>SUM(O10:O192)</f>
        <v>5814830.1199999992</v>
      </c>
      <c r="P193" s="241">
        <f>SUM(P10:P192)</f>
        <v>5749472.8900000006</v>
      </c>
      <c r="Q193" s="79">
        <f t="shared" si="6"/>
        <v>65357.229999998584</v>
      </c>
    </row>
    <row r="194" spans="1:17" x14ac:dyDescent="0.25">
      <c r="K194" s="91" t="s">
        <v>305</v>
      </c>
    </row>
    <row r="195" spans="1:17" ht="45" x14ac:dyDescent="0.25">
      <c r="B195" s="89" t="s">
        <v>316</v>
      </c>
      <c r="F195" s="104" t="s">
        <v>317</v>
      </c>
      <c r="M195" s="142"/>
      <c r="N195" s="277"/>
      <c r="O195" s="278"/>
      <c r="P195" s="279"/>
      <c r="Q195" s="133"/>
    </row>
    <row r="196" spans="1:17" x14ac:dyDescent="0.25"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216"/>
      <c r="N196" s="6"/>
      <c r="O196" s="6"/>
      <c r="P196" s="6"/>
      <c r="Q196" s="6"/>
    </row>
    <row r="197" spans="1:17" x14ac:dyDescent="0.25">
      <c r="M197" s="216"/>
    </row>
    <row r="198" spans="1:17" x14ac:dyDescent="0.25">
      <c r="M198" s="216"/>
    </row>
    <row r="199" spans="1:17" x14ac:dyDescent="0.25">
      <c r="M199" s="216"/>
    </row>
    <row r="200" spans="1:17" x14ac:dyDescent="0.25">
      <c r="M200" s="216"/>
    </row>
  </sheetData>
  <mergeCells count="7">
    <mergeCell ref="O1:Q1"/>
    <mergeCell ref="A3:Q3"/>
    <mergeCell ref="A4:Q4"/>
    <mergeCell ref="A5:Q5"/>
    <mergeCell ref="B7:G7"/>
    <mergeCell ref="H7:M7"/>
    <mergeCell ref="N7:Q7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00"/>
  <sheetViews>
    <sheetView zoomScale="90" zoomScaleNormal="90" workbookViewId="0">
      <selection sqref="A1:XFD1048576"/>
    </sheetView>
  </sheetViews>
  <sheetFormatPr defaultRowHeight="15" x14ac:dyDescent="0.25"/>
  <cols>
    <col min="1" max="1" width="1.85546875" style="6" customWidth="1"/>
    <col min="2" max="2" width="38.28515625" style="88" customWidth="1"/>
    <col min="3" max="3" width="6.5703125" style="19" customWidth="1"/>
    <col min="4" max="4" width="17.42578125" style="19" customWidth="1"/>
    <col min="5" max="5" width="19" style="19" customWidth="1"/>
    <col min="6" max="6" width="19" style="89" customWidth="1"/>
    <col min="7" max="7" width="20.140625" style="89" customWidth="1"/>
    <col min="8" max="9" width="15.7109375" style="90" customWidth="1"/>
    <col min="10" max="10" width="15.7109375" style="99" customWidth="1"/>
    <col min="11" max="13" width="15.7109375" style="91" customWidth="1"/>
    <col min="14" max="14" width="15.7109375" style="99" customWidth="1"/>
    <col min="15" max="17" width="15.7109375" style="92" customWidth="1"/>
    <col min="18" max="18" width="8.85546875" style="6" customWidth="1"/>
    <col min="19" max="16384" width="9.140625" style="6"/>
  </cols>
  <sheetData>
    <row r="1" spans="1:17" s="105" customFormat="1" x14ac:dyDescent="0.25">
      <c r="A1" s="60"/>
      <c r="B1" s="60"/>
      <c r="C1" s="225"/>
      <c r="D1" s="225"/>
      <c r="E1" s="225"/>
      <c r="F1" s="63"/>
      <c r="G1" s="63"/>
      <c r="H1" s="64"/>
      <c r="I1" s="64"/>
      <c r="J1" s="93"/>
      <c r="K1" s="65"/>
      <c r="L1" s="65"/>
      <c r="M1" s="65"/>
      <c r="N1" s="93"/>
      <c r="O1" s="362" t="s">
        <v>15</v>
      </c>
      <c r="P1" s="362"/>
      <c r="Q1" s="362"/>
    </row>
    <row r="2" spans="1:17" s="105" customFormat="1" x14ac:dyDescent="0.25">
      <c r="A2" s="299"/>
      <c r="B2" s="299"/>
      <c r="C2" s="300"/>
      <c r="D2" s="300"/>
      <c r="E2" s="300"/>
      <c r="F2" s="66"/>
      <c r="G2" s="66"/>
      <c r="H2" s="298"/>
      <c r="I2" s="298"/>
      <c r="J2" s="94"/>
      <c r="K2" s="67"/>
      <c r="L2" s="67"/>
      <c r="M2" s="67"/>
      <c r="N2" s="94"/>
      <c r="O2" s="68"/>
      <c r="P2" s="68"/>
      <c r="Q2" s="68"/>
    </row>
    <row r="3" spans="1:17" s="105" customFormat="1" x14ac:dyDescent="0.25">
      <c r="A3" s="380" t="s">
        <v>318</v>
      </c>
      <c r="B3" s="367"/>
      <c r="C3" s="380"/>
      <c r="D3" s="380"/>
      <c r="E3" s="380"/>
      <c r="F3" s="367"/>
      <c r="G3" s="367"/>
      <c r="H3" s="366"/>
      <c r="I3" s="366"/>
      <c r="J3" s="367"/>
      <c r="K3" s="367"/>
      <c r="L3" s="367"/>
      <c r="M3" s="367"/>
      <c r="N3" s="367"/>
      <c r="O3" s="367"/>
      <c r="P3" s="367"/>
      <c r="Q3" s="367"/>
    </row>
    <row r="4" spans="1:17" s="105" customFormat="1" x14ac:dyDescent="0.25">
      <c r="A4" s="381">
        <v>43773</v>
      </c>
      <c r="B4" s="373"/>
      <c r="C4" s="382"/>
      <c r="D4" s="382"/>
      <c r="E4" s="382"/>
      <c r="F4" s="373"/>
      <c r="G4" s="373"/>
      <c r="H4" s="372"/>
      <c r="I4" s="372"/>
      <c r="J4" s="373"/>
      <c r="K4" s="373"/>
      <c r="L4" s="373"/>
      <c r="M4" s="373"/>
      <c r="N4" s="373"/>
      <c r="O4" s="373"/>
      <c r="P4" s="373"/>
      <c r="Q4" s="373"/>
    </row>
    <row r="5" spans="1:17" s="105" customFormat="1" x14ac:dyDescent="0.25">
      <c r="A5" s="367" t="s">
        <v>14</v>
      </c>
      <c r="B5" s="367"/>
      <c r="C5" s="367"/>
      <c r="D5" s="367"/>
      <c r="E5" s="367"/>
      <c r="F5" s="367"/>
      <c r="G5" s="367"/>
      <c r="H5" s="366"/>
      <c r="I5" s="366"/>
      <c r="J5" s="367"/>
      <c r="K5" s="367"/>
      <c r="L5" s="367"/>
      <c r="M5" s="367"/>
      <c r="N5" s="367"/>
      <c r="O5" s="367"/>
      <c r="P5" s="367"/>
      <c r="Q5" s="367"/>
    </row>
    <row r="6" spans="1:17" s="105" customFormat="1" x14ac:dyDescent="0.25">
      <c r="A6" s="299"/>
      <c r="B6" s="299"/>
      <c r="C6" s="300"/>
      <c r="D6" s="300"/>
      <c r="E6" s="300"/>
      <c r="F6" s="66"/>
      <c r="G6" s="66"/>
      <c r="H6" s="298"/>
      <c r="I6" s="298"/>
      <c r="J6" s="94"/>
      <c r="K6" s="67"/>
      <c r="L6" s="67"/>
      <c r="M6" s="67"/>
      <c r="N6" s="94"/>
      <c r="O6" s="68"/>
      <c r="P6" s="68"/>
      <c r="Q6" s="68"/>
    </row>
    <row r="7" spans="1:17" x14ac:dyDescent="0.25">
      <c r="A7" s="227" t="s">
        <v>0</v>
      </c>
      <c r="B7" s="367" t="s">
        <v>10</v>
      </c>
      <c r="C7" s="380"/>
      <c r="D7" s="380"/>
      <c r="E7" s="380"/>
      <c r="F7" s="367"/>
      <c r="G7" s="367"/>
      <c r="H7" s="366" t="s">
        <v>472</v>
      </c>
      <c r="I7" s="366"/>
      <c r="J7" s="367"/>
      <c r="K7" s="367"/>
      <c r="L7" s="367"/>
      <c r="M7" s="367"/>
      <c r="N7" s="367" t="s">
        <v>132</v>
      </c>
      <c r="O7" s="367"/>
      <c r="P7" s="367"/>
      <c r="Q7" s="367"/>
    </row>
    <row r="8" spans="1:17" ht="195" x14ac:dyDescent="0.25">
      <c r="A8" s="227"/>
      <c r="B8" s="299" t="s">
        <v>4</v>
      </c>
      <c r="C8" s="300" t="s">
        <v>1</v>
      </c>
      <c r="D8" s="300" t="s">
        <v>3</v>
      </c>
      <c r="E8" s="300" t="s">
        <v>2</v>
      </c>
      <c r="F8" s="299" t="s">
        <v>6</v>
      </c>
      <c r="G8" s="66" t="s">
        <v>5</v>
      </c>
      <c r="H8" s="299" t="s">
        <v>7</v>
      </c>
      <c r="I8" s="299" t="s">
        <v>8</v>
      </c>
      <c r="J8" s="94" t="s">
        <v>9</v>
      </c>
      <c r="K8" s="67" t="s">
        <v>11</v>
      </c>
      <c r="L8" s="67" t="s">
        <v>12</v>
      </c>
      <c r="M8" s="67" t="s">
        <v>13</v>
      </c>
      <c r="N8" s="94" t="s">
        <v>9</v>
      </c>
      <c r="O8" s="68" t="s">
        <v>11</v>
      </c>
      <c r="P8" s="68" t="s">
        <v>12</v>
      </c>
      <c r="Q8" s="68" t="s">
        <v>13</v>
      </c>
    </row>
    <row r="9" spans="1:17" x14ac:dyDescent="0.25">
      <c r="A9" s="228">
        <v>1</v>
      </c>
      <c r="B9" s="61">
        <f>A9+1</f>
        <v>2</v>
      </c>
      <c r="C9" s="228">
        <f t="shared" ref="C9:Q9" si="0">B9+1</f>
        <v>3</v>
      </c>
      <c r="D9" s="228">
        <f t="shared" si="0"/>
        <v>4</v>
      </c>
      <c r="E9" s="228">
        <f t="shared" si="0"/>
        <v>5</v>
      </c>
      <c r="F9" s="69">
        <f t="shared" si="0"/>
        <v>6</v>
      </c>
      <c r="G9" s="69">
        <f t="shared" si="0"/>
        <v>7</v>
      </c>
      <c r="H9" s="70">
        <f t="shared" si="0"/>
        <v>8</v>
      </c>
      <c r="I9" s="70">
        <f t="shared" si="0"/>
        <v>9</v>
      </c>
      <c r="J9" s="95">
        <f t="shared" si="0"/>
        <v>10</v>
      </c>
      <c r="K9" s="71">
        <f t="shared" si="0"/>
        <v>11</v>
      </c>
      <c r="L9" s="71">
        <f t="shared" si="0"/>
        <v>12</v>
      </c>
      <c r="M9" s="71">
        <f t="shared" si="0"/>
        <v>13</v>
      </c>
      <c r="N9" s="95">
        <f t="shared" si="0"/>
        <v>14</v>
      </c>
      <c r="O9" s="72">
        <f t="shared" si="0"/>
        <v>15</v>
      </c>
      <c r="P9" s="72">
        <f t="shared" si="0"/>
        <v>16</v>
      </c>
      <c r="Q9" s="72">
        <f t="shared" si="0"/>
        <v>17</v>
      </c>
    </row>
    <row r="10" spans="1:17" s="13" customFormat="1" ht="30" x14ac:dyDescent="0.25">
      <c r="A10" s="229"/>
      <c r="B10" s="62" t="s">
        <v>16</v>
      </c>
      <c r="C10" s="181" t="s">
        <v>304</v>
      </c>
      <c r="D10" s="182" t="s">
        <v>315</v>
      </c>
      <c r="E10" s="183" t="s">
        <v>18</v>
      </c>
      <c r="F10" s="73" t="s">
        <v>322</v>
      </c>
      <c r="G10" s="74" t="s">
        <v>112</v>
      </c>
      <c r="H10" s="75">
        <v>12</v>
      </c>
      <c r="I10" s="76">
        <v>11</v>
      </c>
      <c r="J10" s="98">
        <f>2+1+3+3+1+3</f>
        <v>13</v>
      </c>
      <c r="K10" s="77">
        <f>4792.51+1138.19+504.26+11366.06+4859.68+3954.5+12023.46</f>
        <v>38638.660000000003</v>
      </c>
      <c r="L10" s="77">
        <f>4792.51+1138.19+504.26+11366.06+4859.68+3954.5+12023.46</f>
        <v>38638.660000000003</v>
      </c>
      <c r="M10" s="78">
        <f>K10-L10</f>
        <v>0</v>
      </c>
      <c r="N10" s="100">
        <f>2+5+1+2+1</f>
        <v>11</v>
      </c>
      <c r="O10" s="77">
        <f>9108.77+6924.32+22366.06+8197.52</f>
        <v>46596.67</v>
      </c>
      <c r="P10" s="77">
        <f>9108.77+6924.32+22366.06+8197.52</f>
        <v>46596.67</v>
      </c>
      <c r="Q10" s="79">
        <f>O10-P10</f>
        <v>0</v>
      </c>
    </row>
    <row r="11" spans="1:17" s="13" customFormat="1" ht="30" x14ac:dyDescent="0.25">
      <c r="A11" s="229"/>
      <c r="B11" s="62" t="s">
        <v>16</v>
      </c>
      <c r="C11" s="181" t="s">
        <v>304</v>
      </c>
      <c r="D11" s="182" t="s">
        <v>315</v>
      </c>
      <c r="E11" s="183" t="s">
        <v>18</v>
      </c>
      <c r="F11" s="73" t="s">
        <v>322</v>
      </c>
      <c r="G11" s="230" t="s">
        <v>116</v>
      </c>
      <c r="H11" s="181">
        <v>11</v>
      </c>
      <c r="I11" s="231">
        <v>6</v>
      </c>
      <c r="J11" s="96">
        <v>6</v>
      </c>
      <c r="K11" s="224">
        <v>11526</v>
      </c>
      <c r="L11" s="224">
        <v>11526</v>
      </c>
      <c r="M11" s="78">
        <f t="shared" ref="M11:M77" si="1">K11-L11</f>
        <v>0</v>
      </c>
      <c r="N11" s="100"/>
      <c r="O11" s="224">
        <v>2945</v>
      </c>
      <c r="P11" s="224">
        <v>2945</v>
      </c>
      <c r="Q11" s="232">
        <f t="shared" ref="Q11:Q81" si="2">O11-P11</f>
        <v>0</v>
      </c>
    </row>
    <row r="12" spans="1:17" s="13" customFormat="1" x14ac:dyDescent="0.25">
      <c r="A12" s="229"/>
      <c r="B12" s="62" t="s">
        <v>490</v>
      </c>
      <c r="C12" s="181" t="s">
        <v>304</v>
      </c>
      <c r="D12" s="182"/>
      <c r="E12" s="183"/>
      <c r="F12" s="189" t="s">
        <v>501</v>
      </c>
      <c r="G12" s="230" t="s">
        <v>112</v>
      </c>
      <c r="H12" s="181">
        <v>18</v>
      </c>
      <c r="I12" s="231">
        <v>14</v>
      </c>
      <c r="J12" s="96">
        <f>5+1+3+1+1+2+2+1</f>
        <v>16</v>
      </c>
      <c r="K12" s="224">
        <f>8352.39+384.2+1463.8+3720.67+546.41+5470.48+13100.4+2207.7</f>
        <v>35246.049999999996</v>
      </c>
      <c r="L12" s="224">
        <f>8352.39+384.2+1463.8+3720.67+546.41+5470.48+13100.4+2207.7</f>
        <v>35246.049999999996</v>
      </c>
      <c r="M12" s="78">
        <f t="shared" si="1"/>
        <v>0</v>
      </c>
      <c r="N12" s="100"/>
      <c r="O12" s="224"/>
      <c r="P12" s="224"/>
      <c r="Q12" s="79">
        <f t="shared" si="2"/>
        <v>0</v>
      </c>
    </row>
    <row r="13" spans="1:17" s="15" customFormat="1" x14ac:dyDescent="0.25">
      <c r="A13" s="229"/>
      <c r="B13" s="62" t="s">
        <v>19</v>
      </c>
      <c r="C13" s="181" t="s">
        <v>17</v>
      </c>
      <c r="D13" s="182"/>
      <c r="E13" s="183" t="s">
        <v>20</v>
      </c>
      <c r="F13" s="73" t="s">
        <v>323</v>
      </c>
      <c r="G13" s="74" t="s">
        <v>112</v>
      </c>
      <c r="H13" s="75">
        <v>16</v>
      </c>
      <c r="I13" s="76">
        <v>14</v>
      </c>
      <c r="J13" s="96">
        <f>1+2+5+2+1+5+1+3+1</f>
        <v>21</v>
      </c>
      <c r="K13" s="77">
        <f>422.62+4792.51+1796.14+1373.52+5511.59+1707.76+662.31</f>
        <v>16266.45</v>
      </c>
      <c r="L13" s="77">
        <f>422.62+4792.51+1796.14+1373.52+5511.59+1707.76+662.31</f>
        <v>16266.45</v>
      </c>
      <c r="M13" s="78">
        <f>K13-L13</f>
        <v>0</v>
      </c>
      <c r="N13" s="100">
        <f>8+3+1+2</f>
        <v>14</v>
      </c>
      <c r="O13" s="81">
        <f>6459.36+7124.45</f>
        <v>13583.81</v>
      </c>
      <c r="P13" s="81">
        <f>6459.36+7124.45</f>
        <v>13583.81</v>
      </c>
      <c r="Q13" s="79">
        <f t="shared" si="2"/>
        <v>0</v>
      </c>
    </row>
    <row r="14" spans="1:17" s="15" customFormat="1" x14ac:dyDescent="0.25">
      <c r="A14" s="229"/>
      <c r="B14" s="62" t="s">
        <v>19</v>
      </c>
      <c r="C14" s="181" t="s">
        <v>17</v>
      </c>
      <c r="D14" s="182"/>
      <c r="E14" s="183" t="s">
        <v>20</v>
      </c>
      <c r="F14" s="73" t="s">
        <v>451</v>
      </c>
      <c r="G14" s="230" t="s">
        <v>114</v>
      </c>
      <c r="H14" s="181">
        <v>13</v>
      </c>
      <c r="I14" s="231">
        <v>7</v>
      </c>
      <c r="J14" s="190">
        <v>7</v>
      </c>
      <c r="K14" s="77">
        <v>11142.12</v>
      </c>
      <c r="L14" s="77">
        <v>11142.12</v>
      </c>
      <c r="M14" s="78">
        <f t="shared" si="1"/>
        <v>0</v>
      </c>
      <c r="N14" s="100">
        <v>10</v>
      </c>
      <c r="O14" s="224">
        <v>18093.599999999999</v>
      </c>
      <c r="P14" s="224">
        <v>18093.599999999999</v>
      </c>
      <c r="Q14" s="232">
        <f t="shared" si="2"/>
        <v>0</v>
      </c>
    </row>
    <row r="15" spans="1:17" s="15" customFormat="1" x14ac:dyDescent="0.25">
      <c r="A15" s="229"/>
      <c r="B15" s="62" t="s">
        <v>153</v>
      </c>
      <c r="C15" s="181" t="s">
        <v>17</v>
      </c>
      <c r="D15" s="182"/>
      <c r="E15" s="183" t="s">
        <v>20</v>
      </c>
      <c r="F15" s="73" t="s">
        <v>324</v>
      </c>
      <c r="G15" s="74" t="s">
        <v>112</v>
      </c>
      <c r="H15" s="75">
        <v>17</v>
      </c>
      <c r="I15" s="82">
        <v>10</v>
      </c>
      <c r="J15" s="96">
        <f>1+1+2+1+1+2+1+1+1+1</f>
        <v>12</v>
      </c>
      <c r="K15" s="77">
        <f>950.9+2451.87+3074.57+845.24+1977.86+1284.48+883.08+401.4+1357.13+421.47</f>
        <v>13647.999999999998</v>
      </c>
      <c r="L15" s="77">
        <f>950.9+2451.87+3074.57+845.24+1977.86+1284.48+883.08+401.4+1357.13+421.47</f>
        <v>13647.999999999998</v>
      </c>
      <c r="M15" s="78">
        <f t="shared" si="1"/>
        <v>0</v>
      </c>
      <c r="N15" s="114">
        <f>1+2+1+2+1+1</f>
        <v>8</v>
      </c>
      <c r="O15" s="81">
        <f>422.62+945.61+2484.69+7964.81+1536.8+2498.17</f>
        <v>15852.699999999999</v>
      </c>
      <c r="P15" s="81">
        <f>422.62+945.61+2484.69+7964.81+1536.8+2498.17</f>
        <v>15852.699999999999</v>
      </c>
      <c r="Q15" s="79">
        <f t="shared" si="2"/>
        <v>0</v>
      </c>
    </row>
    <row r="16" spans="1:17" s="15" customFormat="1" x14ac:dyDescent="0.25">
      <c r="A16" s="229"/>
      <c r="B16" s="233" t="s">
        <v>153</v>
      </c>
      <c r="C16" s="181" t="s">
        <v>17</v>
      </c>
      <c r="D16" s="182"/>
      <c r="E16" s="183" t="s">
        <v>20</v>
      </c>
      <c r="F16" s="73" t="s">
        <v>452</v>
      </c>
      <c r="G16" s="230" t="s">
        <v>114</v>
      </c>
      <c r="H16" s="181">
        <v>17</v>
      </c>
      <c r="I16" s="231">
        <v>7</v>
      </c>
      <c r="J16" s="190">
        <v>7</v>
      </c>
      <c r="K16" s="77">
        <v>20595.29</v>
      </c>
      <c r="L16" s="77">
        <v>20595.29</v>
      </c>
      <c r="M16" s="78">
        <f t="shared" si="1"/>
        <v>0</v>
      </c>
      <c r="N16" s="100">
        <v>9</v>
      </c>
      <c r="O16" s="224">
        <v>23692.400000000001</v>
      </c>
      <c r="P16" s="224">
        <v>23692.400000000001</v>
      </c>
      <c r="Q16" s="232">
        <f t="shared" si="2"/>
        <v>0</v>
      </c>
    </row>
    <row r="17" spans="1:17" s="13" customFormat="1" x14ac:dyDescent="0.25">
      <c r="A17" s="229"/>
      <c r="B17" s="30" t="s">
        <v>22</v>
      </c>
      <c r="C17" s="181" t="s">
        <v>17</v>
      </c>
      <c r="D17" s="182"/>
      <c r="E17" s="183" t="s">
        <v>23</v>
      </c>
      <c r="F17" s="73" t="s">
        <v>325</v>
      </c>
      <c r="G17" s="74" t="s">
        <v>112</v>
      </c>
      <c r="H17" s="75">
        <v>50</v>
      </c>
      <c r="I17" s="76">
        <v>10</v>
      </c>
      <c r="J17" s="96">
        <f>1+2+1+9</f>
        <v>13</v>
      </c>
      <c r="K17" s="77">
        <f>2698.64+1402.33+11601.84+8586.48</f>
        <v>24289.29</v>
      </c>
      <c r="L17" s="77">
        <f>2698.64+1402.33+11601.84+8586.48</f>
        <v>24289.29</v>
      </c>
      <c r="M17" s="78">
        <f t="shared" si="1"/>
        <v>0</v>
      </c>
      <c r="N17" s="100">
        <f>14+3+7+1+1</f>
        <v>26</v>
      </c>
      <c r="O17" s="81">
        <f>22716.4+4171.06+18768.39+8172.47</f>
        <v>53828.320000000007</v>
      </c>
      <c r="P17" s="81">
        <f>22716.4+4171.06+18768.39+8172.47</f>
        <v>53828.320000000007</v>
      </c>
      <c r="Q17" s="79">
        <f t="shared" si="2"/>
        <v>0</v>
      </c>
    </row>
    <row r="18" spans="1:17" s="13" customFormat="1" x14ac:dyDescent="0.25">
      <c r="A18" s="229"/>
      <c r="B18" s="30" t="s">
        <v>154</v>
      </c>
      <c r="C18" s="181" t="s">
        <v>17</v>
      </c>
      <c r="D18" s="182"/>
      <c r="E18" s="183" t="s">
        <v>20</v>
      </c>
      <c r="F18" s="73" t="s">
        <v>453</v>
      </c>
      <c r="G18" s="230" t="s">
        <v>114</v>
      </c>
      <c r="H18" s="181">
        <v>34</v>
      </c>
      <c r="I18" s="234">
        <v>3</v>
      </c>
      <c r="J18" s="190">
        <v>3</v>
      </c>
      <c r="K18" s="193">
        <v>5346.6</v>
      </c>
      <c r="L18" s="193">
        <v>5346.6</v>
      </c>
      <c r="M18" s="78">
        <f t="shared" si="1"/>
        <v>0</v>
      </c>
      <c r="N18" s="114">
        <v>17</v>
      </c>
      <c r="O18" s="224">
        <v>45126.77</v>
      </c>
      <c r="P18" s="224">
        <v>45126.77</v>
      </c>
      <c r="Q18" s="232">
        <f t="shared" si="2"/>
        <v>0</v>
      </c>
    </row>
    <row r="19" spans="1:17" s="13" customFormat="1" x14ac:dyDescent="0.25">
      <c r="A19" s="229"/>
      <c r="B19" s="30" t="s">
        <v>154</v>
      </c>
      <c r="C19" s="181" t="s">
        <v>17</v>
      </c>
      <c r="D19" s="182"/>
      <c r="E19" s="183" t="s">
        <v>20</v>
      </c>
      <c r="F19" s="73" t="s">
        <v>326</v>
      </c>
      <c r="G19" s="74" t="s">
        <v>112</v>
      </c>
      <c r="H19" s="75">
        <v>28</v>
      </c>
      <c r="I19" s="76">
        <v>23</v>
      </c>
      <c r="J19" s="96">
        <f>1+1+2+2+2+6+1+4+1+2+2+3+1+1+1</f>
        <v>30</v>
      </c>
      <c r="K19" s="77">
        <f>950.9+864.46+845.24+405.02+739.59+6850.57+12952.58+883.08+2185.62+1053.68+5958.27+6539.59</f>
        <v>40228.600000000006</v>
      </c>
      <c r="L19" s="77">
        <f>950.9+864.46+845.24+405.02+739.59+6850.57+12952.58+883.08+2185.62+1053.68+5958.27+6539.59</f>
        <v>40228.600000000006</v>
      </c>
      <c r="M19" s="78">
        <f t="shared" si="1"/>
        <v>0</v>
      </c>
      <c r="N19" s="100">
        <f>6+3+1+1+1+2+1+1</f>
        <v>16</v>
      </c>
      <c r="O19" s="81">
        <f>6681.33+7017+1523.5+9094.74+3532.32</f>
        <v>27848.89</v>
      </c>
      <c r="P19" s="81">
        <f>6681.33+7017+1523.5+9094.74+3532.32</f>
        <v>27848.89</v>
      </c>
      <c r="Q19" s="79">
        <f t="shared" si="2"/>
        <v>0</v>
      </c>
    </row>
    <row r="20" spans="1:17" s="13" customFormat="1" x14ac:dyDescent="0.25">
      <c r="A20" s="229"/>
      <c r="B20" s="62" t="s">
        <v>24</v>
      </c>
      <c r="C20" s="181" t="s">
        <v>17</v>
      </c>
      <c r="D20" s="182"/>
      <c r="E20" s="183" t="s">
        <v>20</v>
      </c>
      <c r="F20" s="73" t="s">
        <v>327</v>
      </c>
      <c r="G20" s="74" t="s">
        <v>112</v>
      </c>
      <c r="H20" s="75">
        <v>8</v>
      </c>
      <c r="I20" s="76">
        <v>4</v>
      </c>
      <c r="J20" s="96">
        <f>3+1+1</f>
        <v>5</v>
      </c>
      <c r="K20" s="77">
        <f>1191.02</f>
        <v>1191.02</v>
      </c>
      <c r="L20" s="77">
        <f>1191.02</f>
        <v>1191.02</v>
      </c>
      <c r="M20" s="78">
        <f t="shared" si="1"/>
        <v>0</v>
      </c>
      <c r="N20" s="100">
        <f>1+1</f>
        <v>2</v>
      </c>
      <c r="O20" s="81">
        <f>576.3+1810.93</f>
        <v>2387.23</v>
      </c>
      <c r="P20" s="81">
        <f>576.3+1810.93</f>
        <v>2387.23</v>
      </c>
      <c r="Q20" s="232">
        <f t="shared" si="2"/>
        <v>0</v>
      </c>
    </row>
    <row r="21" spans="1:17" s="13" customFormat="1" x14ac:dyDescent="0.25">
      <c r="A21" s="229"/>
      <c r="B21" s="62" t="s">
        <v>24</v>
      </c>
      <c r="C21" s="181" t="s">
        <v>17</v>
      </c>
      <c r="D21" s="182"/>
      <c r="E21" s="183" t="s">
        <v>20</v>
      </c>
      <c r="F21" s="73" t="s">
        <v>454</v>
      </c>
      <c r="G21" s="230" t="s">
        <v>114</v>
      </c>
      <c r="H21" s="181">
        <v>14</v>
      </c>
      <c r="I21" s="231">
        <v>4</v>
      </c>
      <c r="J21" s="190">
        <v>4</v>
      </c>
      <c r="K21" s="77">
        <v>11832.85</v>
      </c>
      <c r="L21" s="77">
        <v>11832.85</v>
      </c>
      <c r="M21" s="78">
        <f t="shared" si="1"/>
        <v>0</v>
      </c>
      <c r="N21" s="100">
        <v>17</v>
      </c>
      <c r="O21" s="224">
        <v>36741.4</v>
      </c>
      <c r="P21" s="224">
        <v>36741.4</v>
      </c>
      <c r="Q21" s="232">
        <f t="shared" si="2"/>
        <v>0</v>
      </c>
    </row>
    <row r="22" spans="1:17" s="13" customFormat="1" x14ac:dyDescent="0.25">
      <c r="A22" s="229"/>
      <c r="B22" s="62" t="s">
        <v>25</v>
      </c>
      <c r="C22" s="181" t="s">
        <v>17</v>
      </c>
      <c r="D22" s="182"/>
      <c r="E22" s="183" t="s">
        <v>20</v>
      </c>
      <c r="F22" s="73" t="s">
        <v>328</v>
      </c>
      <c r="G22" s="74" t="s">
        <v>112</v>
      </c>
      <c r="H22" s="75">
        <v>16</v>
      </c>
      <c r="I22" s="76">
        <v>12</v>
      </c>
      <c r="J22" s="96">
        <f>1+1+1+1+1+1+1+2+1+2+1</f>
        <v>13</v>
      </c>
      <c r="K22" s="173">
        <f>403.41+1605.6+3697.9+1204.2+1092.81+3022.24+4486.05+4612.57+1457.08</f>
        <v>21581.86</v>
      </c>
      <c r="L22" s="173">
        <f>403.41+1605.6+3697.9+1204.2+1092.81+3022.24+4486.05+4612.57+1457.08</f>
        <v>21581.86</v>
      </c>
      <c r="M22" s="78">
        <f t="shared" si="1"/>
        <v>0</v>
      </c>
      <c r="N22" s="100">
        <f>6+1+2+2+1</f>
        <v>12</v>
      </c>
      <c r="O22" s="81">
        <f>14526.7+5595.3+2440.62+2839.24</f>
        <v>25401.86</v>
      </c>
      <c r="P22" s="81">
        <f>14526.7+5595.3+2440.62+2839.24</f>
        <v>25401.86</v>
      </c>
      <c r="Q22" s="232">
        <f t="shared" si="2"/>
        <v>0</v>
      </c>
    </row>
    <row r="23" spans="1:17" s="13" customFormat="1" x14ac:dyDescent="0.25">
      <c r="A23" s="229"/>
      <c r="B23" s="62" t="s">
        <v>25</v>
      </c>
      <c r="C23" s="181" t="s">
        <v>17</v>
      </c>
      <c r="D23" s="182"/>
      <c r="E23" s="183" t="s">
        <v>20</v>
      </c>
      <c r="F23" s="73" t="s">
        <v>455</v>
      </c>
      <c r="G23" s="230" t="s">
        <v>114</v>
      </c>
      <c r="H23" s="181">
        <v>6</v>
      </c>
      <c r="I23" s="231"/>
      <c r="J23" s="190">
        <f>1</f>
        <v>1</v>
      </c>
      <c r="K23" s="77"/>
      <c r="L23" s="77"/>
      <c r="M23" s="78">
        <f t="shared" si="1"/>
        <v>0</v>
      </c>
      <c r="N23" s="100">
        <v>3</v>
      </c>
      <c r="O23" s="224">
        <v>7219.8</v>
      </c>
      <c r="P23" s="224">
        <v>7219.8</v>
      </c>
      <c r="Q23" s="232">
        <f t="shared" si="2"/>
        <v>0</v>
      </c>
    </row>
    <row r="24" spans="1:17" s="13" customFormat="1" x14ac:dyDescent="0.25">
      <c r="A24" s="229"/>
      <c r="B24" s="62" t="s">
        <v>516</v>
      </c>
      <c r="C24" s="181" t="s">
        <v>17</v>
      </c>
      <c r="D24" s="182"/>
      <c r="E24" s="183" t="s">
        <v>20</v>
      </c>
      <c r="F24" s="73" t="s">
        <v>517</v>
      </c>
      <c r="G24" s="287" t="s">
        <v>112</v>
      </c>
      <c r="H24" s="181">
        <v>6</v>
      </c>
      <c r="I24" s="231"/>
      <c r="J24" s="190"/>
      <c r="K24" s="77"/>
      <c r="L24" s="77"/>
      <c r="M24" s="78"/>
      <c r="N24" s="100"/>
      <c r="O24" s="224"/>
      <c r="P24" s="224"/>
      <c r="Q24" s="232"/>
    </row>
    <row r="25" spans="1:17" s="13" customFormat="1" x14ac:dyDescent="0.25">
      <c r="A25" s="229"/>
      <c r="B25" s="62" t="s">
        <v>26</v>
      </c>
      <c r="C25" s="181" t="s">
        <v>17</v>
      </c>
      <c r="D25" s="182"/>
      <c r="E25" s="183" t="s">
        <v>27</v>
      </c>
      <c r="F25" s="73" t="s">
        <v>329</v>
      </c>
      <c r="G25" s="74" t="s">
        <v>112</v>
      </c>
      <c r="H25" s="75">
        <v>19</v>
      </c>
      <c r="I25" s="76">
        <v>15</v>
      </c>
      <c r="J25" s="96">
        <f>2+2+4+1+4+1+1+3</f>
        <v>18</v>
      </c>
      <c r="K25" s="77">
        <f>845.24+1056.55+5121.1+26225.35+422.62+16490.35+1457.08+1479.16+11270.02</f>
        <v>64367.47</v>
      </c>
      <c r="L25" s="77">
        <f>845.24+1056.55+5121.1+26225.35+422.62+16490.35+1457.08+1479.16+11270.02</f>
        <v>64367.47</v>
      </c>
      <c r="M25" s="78">
        <f t="shared" si="1"/>
        <v>0</v>
      </c>
      <c r="N25" s="100">
        <f>6+1+1+2+1+1</f>
        <v>12</v>
      </c>
      <c r="O25" s="81">
        <f>17838.53+2535.75+7238.9+9569.44</f>
        <v>37182.620000000003</v>
      </c>
      <c r="P25" s="81">
        <f>17838.53+2535.75+7238.9+9569.44</f>
        <v>37182.620000000003</v>
      </c>
      <c r="Q25" s="232">
        <f t="shared" si="2"/>
        <v>0</v>
      </c>
    </row>
    <row r="26" spans="1:17" s="15" customFormat="1" x14ac:dyDescent="0.25">
      <c r="A26" s="229"/>
      <c r="B26" s="62" t="s">
        <v>28</v>
      </c>
      <c r="C26" s="181" t="s">
        <v>17</v>
      </c>
      <c r="D26" s="182"/>
      <c r="E26" s="194" t="s">
        <v>29</v>
      </c>
      <c r="F26" s="73" t="s">
        <v>330</v>
      </c>
      <c r="G26" s="74" t="s">
        <v>112</v>
      </c>
      <c r="H26" s="75">
        <v>10</v>
      </c>
      <c r="I26" s="76">
        <v>10</v>
      </c>
      <c r="J26" s="96">
        <f>2+1+2+1+1+1+2+1</f>
        <v>11</v>
      </c>
      <c r="K26" s="77">
        <f>6135.14+2440.63+9722.07+968.96+2258.48+3607.78+10269</f>
        <v>35402.06</v>
      </c>
      <c r="L26" s="77">
        <f>6135.14+2440.63+9722.07+968.96+2258.48+3607.78+10269</f>
        <v>35402.06</v>
      </c>
      <c r="M26" s="78">
        <f t="shared" si="1"/>
        <v>0</v>
      </c>
      <c r="N26" s="100">
        <f>3+2+4+3+1+1+3</f>
        <v>17</v>
      </c>
      <c r="O26" s="81">
        <f>5310.83+4630.52+14679.01+36087.29+8956.5+10112.26+3030.29+9937.51</f>
        <v>92744.209999999977</v>
      </c>
      <c r="P26" s="81">
        <f>5310.83+4630.52+14679.01+36087.29+8956.5+10112.26+3030.29+9937.51</f>
        <v>92744.209999999977</v>
      </c>
      <c r="Q26" s="232">
        <f t="shared" si="2"/>
        <v>0</v>
      </c>
    </row>
    <row r="27" spans="1:17" s="15" customFormat="1" x14ac:dyDescent="0.25">
      <c r="A27" s="229"/>
      <c r="B27" s="62" t="s">
        <v>28</v>
      </c>
      <c r="C27" s="181" t="s">
        <v>17</v>
      </c>
      <c r="D27" s="182"/>
      <c r="E27" s="194" t="s">
        <v>29</v>
      </c>
      <c r="F27" s="73" t="s">
        <v>420</v>
      </c>
      <c r="G27" s="235" t="s">
        <v>117</v>
      </c>
      <c r="H27" s="181">
        <v>2</v>
      </c>
      <c r="I27" s="231"/>
      <c r="J27" s="96"/>
      <c r="K27" s="77"/>
      <c r="L27" s="77"/>
      <c r="M27" s="78">
        <f t="shared" si="1"/>
        <v>0</v>
      </c>
      <c r="N27" s="100">
        <v>2</v>
      </c>
      <c r="O27" s="224">
        <v>2766.24</v>
      </c>
      <c r="P27" s="224">
        <v>2766.24</v>
      </c>
      <c r="Q27" s="79">
        <f t="shared" si="2"/>
        <v>0</v>
      </c>
    </row>
    <row r="28" spans="1:17" s="15" customFormat="1" x14ac:dyDescent="0.25">
      <c r="A28" s="229"/>
      <c r="B28" s="233" t="s">
        <v>500</v>
      </c>
      <c r="C28" s="181" t="s">
        <v>17</v>
      </c>
      <c r="D28" s="182"/>
      <c r="E28" s="194"/>
      <c r="F28" s="73" t="s">
        <v>503</v>
      </c>
      <c r="G28" s="235" t="s">
        <v>112</v>
      </c>
      <c r="H28" s="181">
        <v>28</v>
      </c>
      <c r="I28" s="231">
        <v>17</v>
      </c>
      <c r="J28" s="96">
        <f>2+2+2+1+3+5+2+1+5+1</f>
        <v>24</v>
      </c>
      <c r="K28" s="77">
        <f>1202.51+3555.1+602.1+708.47+7232.25+1003.5+1938.63+15028.21+1324.62</f>
        <v>32595.39</v>
      </c>
      <c r="L28" s="77">
        <f>1202.51+3555.1+602.1+708.47+7232.25+1003.5+1938.63+15028.21+1324.62</f>
        <v>32595.39</v>
      </c>
      <c r="M28" s="78">
        <f t="shared" si="1"/>
        <v>0</v>
      </c>
      <c r="N28" s="100">
        <f>1</f>
        <v>1</v>
      </c>
      <c r="O28" s="224"/>
      <c r="P28" s="224"/>
      <c r="Q28" s="79">
        <f t="shared" si="2"/>
        <v>0</v>
      </c>
    </row>
    <row r="29" spans="1:17" s="13" customFormat="1" x14ac:dyDescent="0.25">
      <c r="A29" s="229"/>
      <c r="B29" s="27" t="s">
        <v>30</v>
      </c>
      <c r="C29" s="181" t="s">
        <v>17</v>
      </c>
      <c r="D29" s="182"/>
      <c r="E29" s="194" t="s">
        <v>21</v>
      </c>
      <c r="F29" s="73" t="s">
        <v>333</v>
      </c>
      <c r="G29" s="74" t="s">
        <v>112</v>
      </c>
      <c r="H29" s="75">
        <v>23</v>
      </c>
      <c r="I29" s="76">
        <v>15</v>
      </c>
      <c r="J29" s="96">
        <f>3+1+3+1+4+1+1+2+1+3</f>
        <v>20</v>
      </c>
      <c r="K29" s="77">
        <f>16637.24+1045.98+2789.73+1629.68+3146.97+1646.5</f>
        <v>26896.100000000002</v>
      </c>
      <c r="L29" s="77">
        <f>16637.24+1045.98+2789.73+1629.68+3146.97+1646.5</f>
        <v>26896.100000000002</v>
      </c>
      <c r="M29" s="78">
        <f t="shared" si="1"/>
        <v>0</v>
      </c>
      <c r="N29" s="100">
        <f>9+1+3+1+1+1+2+1+1+2+1+1</f>
        <v>24</v>
      </c>
      <c r="O29" s="81">
        <f>77047.8+15703.07+7288.94+1341.33+1730.62</f>
        <v>103111.76</v>
      </c>
      <c r="P29" s="81">
        <f>77047.8+15703.07+7288.94+1341.33+1730.62</f>
        <v>103111.76</v>
      </c>
      <c r="Q29" s="79">
        <f>O29-P29</f>
        <v>0</v>
      </c>
    </row>
    <row r="30" spans="1:17" s="13" customFormat="1" x14ac:dyDescent="0.25">
      <c r="A30" s="229"/>
      <c r="B30" s="27" t="s">
        <v>491</v>
      </c>
      <c r="C30" s="181" t="s">
        <v>17</v>
      </c>
      <c r="D30" s="182"/>
      <c r="E30" s="183" t="s">
        <v>20</v>
      </c>
      <c r="F30" s="73" t="s">
        <v>495</v>
      </c>
      <c r="G30" s="74" t="s">
        <v>112</v>
      </c>
      <c r="H30" s="75">
        <v>17</v>
      </c>
      <c r="I30" s="76">
        <v>10</v>
      </c>
      <c r="J30" s="96">
        <f>2+2+1+1+1+1+1+1</f>
        <v>10</v>
      </c>
      <c r="K30" s="77">
        <f>1727.9+2093.89+728.54+3535.53+2649.24+401.4+802.8</f>
        <v>11939.3</v>
      </c>
      <c r="L30" s="77">
        <f>1727.9+2093.89+728.54+3535.53+2649.24+401.4+802.8</f>
        <v>11939.3</v>
      </c>
      <c r="M30" s="78">
        <f t="shared" si="1"/>
        <v>0</v>
      </c>
      <c r="N30" s="100"/>
      <c r="O30" s="81"/>
      <c r="P30" s="81"/>
      <c r="Q30" s="79">
        <f t="shared" si="2"/>
        <v>0</v>
      </c>
    </row>
    <row r="31" spans="1:17" s="13" customFormat="1" x14ac:dyDescent="0.25">
      <c r="A31" s="229"/>
      <c r="B31" s="27" t="s">
        <v>491</v>
      </c>
      <c r="C31" s="181" t="s">
        <v>17</v>
      </c>
      <c r="D31" s="182"/>
      <c r="E31" s="183" t="s">
        <v>20</v>
      </c>
      <c r="F31" s="73" t="s">
        <v>504</v>
      </c>
      <c r="G31" s="74" t="s">
        <v>114</v>
      </c>
      <c r="H31" s="75">
        <v>8</v>
      </c>
      <c r="I31" s="76">
        <v>2</v>
      </c>
      <c r="J31" s="96">
        <v>2</v>
      </c>
      <c r="K31" s="77">
        <v>2672.76</v>
      </c>
      <c r="L31" s="77">
        <v>1267.8599999999999</v>
      </c>
      <c r="M31" s="78">
        <f t="shared" si="1"/>
        <v>1404.9000000000003</v>
      </c>
      <c r="N31" s="100"/>
      <c r="O31" s="81"/>
      <c r="P31" s="81"/>
      <c r="Q31" s="232">
        <f t="shared" si="2"/>
        <v>0</v>
      </c>
    </row>
    <row r="32" spans="1:17" s="13" customFormat="1" x14ac:dyDescent="0.25">
      <c r="A32" s="229"/>
      <c r="B32" s="27" t="s">
        <v>491</v>
      </c>
      <c r="C32" s="181" t="s">
        <v>17</v>
      </c>
      <c r="D32" s="182"/>
      <c r="E32" s="183"/>
      <c r="F32" s="73" t="s">
        <v>510</v>
      </c>
      <c r="G32" s="235" t="s">
        <v>117</v>
      </c>
      <c r="H32" s="75">
        <v>1</v>
      </c>
      <c r="I32" s="76"/>
      <c r="J32" s="96"/>
      <c r="K32" s="77"/>
      <c r="L32" s="77"/>
      <c r="M32" s="78">
        <f t="shared" si="1"/>
        <v>0</v>
      </c>
      <c r="N32" s="100"/>
      <c r="O32" s="81"/>
      <c r="P32" s="81"/>
      <c r="Q32" s="232">
        <f t="shared" si="2"/>
        <v>0</v>
      </c>
    </row>
    <row r="33" spans="1:17" s="13" customFormat="1" x14ac:dyDescent="0.25">
      <c r="A33" s="229"/>
      <c r="B33" s="30" t="s">
        <v>31</v>
      </c>
      <c r="C33" s="181" t="s">
        <v>17</v>
      </c>
      <c r="D33" s="182"/>
      <c r="E33" s="183" t="s">
        <v>32</v>
      </c>
      <c r="F33" s="73" t="s">
        <v>331</v>
      </c>
      <c r="G33" s="74" t="s">
        <v>112</v>
      </c>
      <c r="H33" s="75">
        <v>17</v>
      </c>
      <c r="I33" s="76">
        <v>14</v>
      </c>
      <c r="J33" s="96">
        <f>1+2+3+1+4+3+3+3+1</f>
        <v>21</v>
      </c>
      <c r="K33" s="77">
        <f>633.93+1045.98+5377.62+950.9+6004.09+4598.82+8410.14+1846.04+4737.83+728.54</f>
        <v>34333.89</v>
      </c>
      <c r="L33" s="77">
        <f>633.93+1045.98+5377.62+950.9+6004.09+4598.82+8410.14+1846.04+4737.83+728.54</f>
        <v>34333.89</v>
      </c>
      <c r="M33" s="78">
        <f t="shared" si="1"/>
        <v>0</v>
      </c>
      <c r="N33" s="100">
        <f>1+3+3+1+1+2+1</f>
        <v>12</v>
      </c>
      <c r="O33" s="81">
        <f>2299.8+15239.58+6152.75+2720.49+1483.38+7043.49+11175.04</f>
        <v>46114.530000000006</v>
      </c>
      <c r="P33" s="81">
        <f>2299.8+15239.58+6152.75+2720.49+1483.38+7043.49+11175.04</f>
        <v>46114.530000000006</v>
      </c>
      <c r="Q33" s="232">
        <f t="shared" si="2"/>
        <v>0</v>
      </c>
    </row>
    <row r="34" spans="1:17" s="13" customFormat="1" x14ac:dyDescent="0.25">
      <c r="A34" s="229"/>
      <c r="B34" s="30" t="s">
        <v>31</v>
      </c>
      <c r="C34" s="181" t="s">
        <v>17</v>
      </c>
      <c r="D34" s="182"/>
      <c r="E34" s="183" t="s">
        <v>32</v>
      </c>
      <c r="F34" s="73" t="s">
        <v>422</v>
      </c>
      <c r="G34" s="235" t="s">
        <v>117</v>
      </c>
      <c r="H34" s="181">
        <v>16</v>
      </c>
      <c r="I34" s="231">
        <v>4</v>
      </c>
      <c r="J34" s="96">
        <v>4</v>
      </c>
      <c r="K34" s="77">
        <v>9994.9</v>
      </c>
      <c r="L34" s="77">
        <v>9994.9</v>
      </c>
      <c r="M34" s="78">
        <f t="shared" si="1"/>
        <v>0</v>
      </c>
      <c r="N34" s="100">
        <v>10</v>
      </c>
      <c r="O34" s="77">
        <v>21507.42</v>
      </c>
      <c r="P34" s="77">
        <v>21507.42</v>
      </c>
      <c r="Q34" s="232">
        <f t="shared" si="2"/>
        <v>0</v>
      </c>
    </row>
    <row r="35" spans="1:17" s="15" customFormat="1" x14ac:dyDescent="0.25">
      <c r="A35" s="229"/>
      <c r="B35" s="62" t="s">
        <v>33</v>
      </c>
      <c r="C35" s="181" t="s">
        <v>17</v>
      </c>
      <c r="D35" s="182"/>
      <c r="E35" s="183" t="s">
        <v>20</v>
      </c>
      <c r="F35" s="73" t="s">
        <v>332</v>
      </c>
      <c r="G35" s="74" t="s">
        <v>112</v>
      </c>
      <c r="H35" s="75">
        <v>12</v>
      </c>
      <c r="I35" s="76">
        <v>9</v>
      </c>
      <c r="J35" s="96">
        <f>1+1+1+1+1+2+1+1+1</f>
        <v>10</v>
      </c>
      <c r="K35" s="77">
        <f>845.245+5363.43+5912.72+845.24+12887.16+2852.15+6514.08+2058.13</f>
        <v>37278.154999999999</v>
      </c>
      <c r="L35" s="77">
        <f>845.245+5363.43+5912.72+845.24+12887.16+2852.15+6514.08+2058.13</f>
        <v>37278.154999999999</v>
      </c>
      <c r="M35" s="78">
        <f t="shared" si="1"/>
        <v>0</v>
      </c>
      <c r="N35" s="100">
        <f>2+1+1+1+1+2+1+1+1</f>
        <v>11</v>
      </c>
      <c r="O35" s="81">
        <f>845.24+1613.64+3380.96+3639.33+1152.6+1518.9</f>
        <v>12150.67</v>
      </c>
      <c r="P35" s="81">
        <f>845.24+1613.64+3380.96+3639.33+1152.6+1518.9</f>
        <v>12150.67</v>
      </c>
      <c r="Q35" s="79">
        <f t="shared" si="2"/>
        <v>0</v>
      </c>
    </row>
    <row r="36" spans="1:17" s="15" customFormat="1" x14ac:dyDescent="0.25">
      <c r="A36" s="229"/>
      <c r="B36" s="62" t="s">
        <v>33</v>
      </c>
      <c r="C36" s="181" t="s">
        <v>17</v>
      </c>
      <c r="D36" s="182"/>
      <c r="E36" s="183" t="s">
        <v>20</v>
      </c>
      <c r="F36" s="73" t="s">
        <v>481</v>
      </c>
      <c r="G36" s="230" t="s">
        <v>114</v>
      </c>
      <c r="H36" s="181">
        <v>8</v>
      </c>
      <c r="I36" s="231">
        <v>1</v>
      </c>
      <c r="J36" s="190">
        <v>1</v>
      </c>
      <c r="K36" s="77">
        <v>3472.11</v>
      </c>
      <c r="L36" s="77">
        <v>3472.11</v>
      </c>
      <c r="M36" s="78">
        <f t="shared" si="1"/>
        <v>0</v>
      </c>
      <c r="N36" s="100">
        <v>16</v>
      </c>
      <c r="O36" s="224">
        <v>45328.13</v>
      </c>
      <c r="P36" s="224">
        <v>45328.13</v>
      </c>
      <c r="Q36" s="232">
        <f t="shared" si="2"/>
        <v>0</v>
      </c>
    </row>
    <row r="37" spans="1:17" s="15" customFormat="1" x14ac:dyDescent="0.25">
      <c r="A37" s="229"/>
      <c r="B37" s="62" t="s">
        <v>147</v>
      </c>
      <c r="C37" s="181" t="s">
        <v>17</v>
      </c>
      <c r="D37" s="182"/>
      <c r="E37" s="183" t="s">
        <v>29</v>
      </c>
      <c r="F37" s="73" t="s">
        <v>334</v>
      </c>
      <c r="G37" s="74" t="s">
        <v>112</v>
      </c>
      <c r="H37" s="75">
        <v>9</v>
      </c>
      <c r="I37" s="234">
        <v>6</v>
      </c>
      <c r="J37" s="96">
        <f>1+1+2+1+3</f>
        <v>8</v>
      </c>
      <c r="K37" s="77">
        <f>1854.88+2824.48+3058.67+5384.79</f>
        <v>13122.82</v>
      </c>
      <c r="L37" s="77">
        <f>1854.88+2824.48+3058.67+5384.79</f>
        <v>13122.82</v>
      </c>
      <c r="M37" s="78">
        <f t="shared" si="1"/>
        <v>0</v>
      </c>
      <c r="N37" s="114">
        <f>1+1+1</f>
        <v>3</v>
      </c>
      <c r="O37" s="81">
        <f>1394.65+2473.17+1961.49</f>
        <v>5829.31</v>
      </c>
      <c r="P37" s="81">
        <f>1394.65+2473.17+1961.49</f>
        <v>5829.31</v>
      </c>
      <c r="Q37" s="79">
        <f t="shared" si="2"/>
        <v>0</v>
      </c>
    </row>
    <row r="38" spans="1:17" s="15" customFormat="1" x14ac:dyDescent="0.25">
      <c r="A38" s="229"/>
      <c r="B38" s="233" t="s">
        <v>147</v>
      </c>
      <c r="C38" s="181" t="s">
        <v>17</v>
      </c>
      <c r="D38" s="182"/>
      <c r="E38" s="183" t="s">
        <v>29</v>
      </c>
      <c r="F38" s="73" t="s">
        <v>423</v>
      </c>
      <c r="G38" s="230" t="s">
        <v>117</v>
      </c>
      <c r="H38" s="181">
        <v>11</v>
      </c>
      <c r="I38" s="231">
        <v>4</v>
      </c>
      <c r="J38" s="96">
        <v>4</v>
      </c>
      <c r="K38" s="77">
        <v>6847.1</v>
      </c>
      <c r="L38" s="77">
        <v>6847.1</v>
      </c>
      <c r="M38" s="78">
        <f t="shared" si="1"/>
        <v>0</v>
      </c>
      <c r="N38" s="100">
        <v>4</v>
      </c>
      <c r="O38" s="224">
        <v>4706.45</v>
      </c>
      <c r="P38" s="224">
        <v>4706.45</v>
      </c>
      <c r="Q38" s="232">
        <f t="shared" si="2"/>
        <v>0</v>
      </c>
    </row>
    <row r="39" spans="1:17" s="13" customFormat="1" x14ac:dyDescent="0.25">
      <c r="A39" s="229"/>
      <c r="B39" s="62" t="s">
        <v>34</v>
      </c>
      <c r="C39" s="181" t="s">
        <v>17</v>
      </c>
      <c r="D39" s="182"/>
      <c r="E39" s="194" t="s">
        <v>35</v>
      </c>
      <c r="F39" s="73" t="s">
        <v>335</v>
      </c>
      <c r="G39" s="74" t="s">
        <v>112</v>
      </c>
      <c r="H39" s="75">
        <v>33</v>
      </c>
      <c r="I39" s="76">
        <v>20</v>
      </c>
      <c r="J39" s="96">
        <f>4+2+2+7+4+1+1+2</f>
        <v>23</v>
      </c>
      <c r="K39" s="77">
        <f>8288.4+1267.86+845.24+13964.6+11418.26+21175.62+1092.81+2207.7+6312.67</f>
        <v>66573.159999999989</v>
      </c>
      <c r="L39" s="77">
        <f>8288.4+1267.86+845.24+13964.6+11418.26+21175.62+1092.81+2207.7+6312.67</f>
        <v>66573.159999999989</v>
      </c>
      <c r="M39" s="78">
        <f t="shared" si="1"/>
        <v>0</v>
      </c>
      <c r="N39" s="100">
        <f>4+4+6+1+3+1+3+1+2+1+1</f>
        <v>27</v>
      </c>
      <c r="O39" s="81">
        <f>23915.04+21171.88+6399.1+11460.81+1501.24+2795.71</f>
        <v>67243.78</v>
      </c>
      <c r="P39" s="81">
        <f>23915.04+21171.88+6399.1+11460.81+1501.24+2795.71</f>
        <v>67243.78</v>
      </c>
      <c r="Q39" s="79">
        <f t="shared" si="2"/>
        <v>0</v>
      </c>
    </row>
    <row r="40" spans="1:17" s="13" customFormat="1" x14ac:dyDescent="0.25">
      <c r="A40" s="229"/>
      <c r="B40" s="62" t="s">
        <v>34</v>
      </c>
      <c r="C40" s="181" t="s">
        <v>17</v>
      </c>
      <c r="D40" s="182"/>
      <c r="E40" s="194" t="s">
        <v>35</v>
      </c>
      <c r="F40" s="73" t="s">
        <v>424</v>
      </c>
      <c r="G40" s="235" t="s">
        <v>117</v>
      </c>
      <c r="H40" s="181">
        <v>2</v>
      </c>
      <c r="I40" s="231">
        <v>1</v>
      </c>
      <c r="J40" s="96">
        <v>2</v>
      </c>
      <c r="K40" s="77">
        <v>3842</v>
      </c>
      <c r="L40" s="77">
        <v>3842</v>
      </c>
      <c r="M40" s="78">
        <f t="shared" si="1"/>
        <v>0</v>
      </c>
      <c r="N40" s="100">
        <v>3</v>
      </c>
      <c r="O40" s="224">
        <v>9220.7999999999993</v>
      </c>
      <c r="P40" s="224">
        <v>9220.7999999999993</v>
      </c>
      <c r="Q40" s="232">
        <f t="shared" si="2"/>
        <v>0</v>
      </c>
    </row>
    <row r="41" spans="1:17" s="13" customFormat="1" x14ac:dyDescent="0.25">
      <c r="A41" s="229"/>
      <c r="B41" s="27" t="s">
        <v>36</v>
      </c>
      <c r="C41" s="181" t="s">
        <v>17</v>
      </c>
      <c r="D41" s="182"/>
      <c r="E41" s="194" t="s">
        <v>32</v>
      </c>
      <c r="F41" s="73" t="s">
        <v>336</v>
      </c>
      <c r="G41" s="74" t="s">
        <v>112</v>
      </c>
      <c r="H41" s="75">
        <v>28</v>
      </c>
      <c r="I41" s="76">
        <v>21</v>
      </c>
      <c r="J41" s="96">
        <f>1+3+4+2+2+7+6+2+5</f>
        <v>32</v>
      </c>
      <c r="K41" s="77">
        <f>2091.97+4201.22+3643.94+998.92+6188.59+7556.35+3399.86+9711</f>
        <v>37791.85</v>
      </c>
      <c r="L41" s="77">
        <f>2091.97+4201.22+3643.94+998.92+6188.59+7556.35+3399.86+9711</f>
        <v>37791.85</v>
      </c>
      <c r="M41" s="78">
        <f t="shared" si="1"/>
        <v>0</v>
      </c>
      <c r="N41" s="100">
        <f>4+2+5+1+1+4+1+1</f>
        <v>19</v>
      </c>
      <c r="O41" s="81">
        <f>26828.22+3116.2+14162+4691+13237.22+22342.31+1888.86</f>
        <v>86265.81</v>
      </c>
      <c r="P41" s="81">
        <f>26828.22+3116.2+14162+4691+13237.22+22342.31+1888.86</f>
        <v>86265.81</v>
      </c>
      <c r="Q41" s="79">
        <f t="shared" si="2"/>
        <v>0</v>
      </c>
    </row>
    <row r="42" spans="1:17" s="13" customFormat="1" x14ac:dyDescent="0.25">
      <c r="A42" s="229"/>
      <c r="B42" s="27" t="s">
        <v>38</v>
      </c>
      <c r="C42" s="181" t="s">
        <v>17</v>
      </c>
      <c r="D42" s="182"/>
      <c r="E42" s="183" t="s">
        <v>20</v>
      </c>
      <c r="F42" s="73" t="s">
        <v>338</v>
      </c>
      <c r="G42" s="74" t="s">
        <v>112</v>
      </c>
      <c r="H42" s="75">
        <v>47</v>
      </c>
      <c r="I42" s="76">
        <v>40</v>
      </c>
      <c r="J42" s="96">
        <f>5+9+3+4+4+2+3+3+11+3+4+4+1</f>
        <v>56</v>
      </c>
      <c r="K42" s="77">
        <f>4427.07+14262.52+23391.74+11108.38+9141.17+3923.07+23674.29+5445.61</f>
        <v>95373.849999999991</v>
      </c>
      <c r="L42" s="77">
        <f>4427.07+14262.52+23391.74+11108.38+9141.17+3923.07+23674.29+5445.61</f>
        <v>95373.849999999991</v>
      </c>
      <c r="M42" s="78">
        <f t="shared" si="1"/>
        <v>0</v>
      </c>
      <c r="N42" s="100">
        <f>1+14+2+2+2+3+1+1+2+1</f>
        <v>29</v>
      </c>
      <c r="O42" s="81">
        <f>34449.99+27363.78+23604.86+16739.26+15240.34+16003.48+4203.85</f>
        <v>137605.56</v>
      </c>
      <c r="P42" s="81">
        <f>34449.99+27363.78+23604.86+16739.26+15240.34+16003.48+4203.85</f>
        <v>137605.56</v>
      </c>
      <c r="Q42" s="79">
        <f t="shared" si="2"/>
        <v>0</v>
      </c>
    </row>
    <row r="43" spans="1:17" s="13" customFormat="1" x14ac:dyDescent="0.25">
      <c r="A43" s="229"/>
      <c r="B43" s="27" t="s">
        <v>38</v>
      </c>
      <c r="C43" s="181" t="s">
        <v>17</v>
      </c>
      <c r="D43" s="182"/>
      <c r="E43" s="183" t="s">
        <v>20</v>
      </c>
      <c r="F43" s="73" t="s">
        <v>268</v>
      </c>
      <c r="G43" s="230" t="s">
        <v>114</v>
      </c>
      <c r="H43" s="181"/>
      <c r="I43" s="231"/>
      <c r="J43" s="190"/>
      <c r="K43" s="77"/>
      <c r="L43" s="77"/>
      <c r="M43" s="78">
        <f t="shared" si="1"/>
        <v>0</v>
      </c>
      <c r="N43" s="100"/>
      <c r="O43" s="224"/>
      <c r="P43" s="224"/>
      <c r="Q43" s="232">
        <f t="shared" si="2"/>
        <v>0</v>
      </c>
    </row>
    <row r="44" spans="1:17" s="13" customFormat="1" x14ac:dyDescent="0.25">
      <c r="A44" s="229"/>
      <c r="B44" s="27" t="s">
        <v>38</v>
      </c>
      <c r="C44" s="181" t="s">
        <v>17</v>
      </c>
      <c r="D44" s="182"/>
      <c r="E44" s="183" t="s">
        <v>18</v>
      </c>
      <c r="F44" s="73" t="s">
        <v>324</v>
      </c>
      <c r="G44" s="230" t="s">
        <v>116</v>
      </c>
      <c r="H44" s="181">
        <v>3</v>
      </c>
      <c r="I44" s="231">
        <v>3</v>
      </c>
      <c r="J44" s="190">
        <v>3</v>
      </c>
      <c r="K44" s="77">
        <v>4098</v>
      </c>
      <c r="L44" s="77">
        <v>4098</v>
      </c>
      <c r="M44" s="78">
        <f t="shared" si="1"/>
        <v>0</v>
      </c>
      <c r="N44" s="100"/>
      <c r="O44" s="224"/>
      <c r="P44" s="224"/>
      <c r="Q44" s="232">
        <f t="shared" si="2"/>
        <v>0</v>
      </c>
    </row>
    <row r="45" spans="1:17" s="13" customFormat="1" x14ac:dyDescent="0.25">
      <c r="A45" s="229"/>
      <c r="B45" s="62" t="s">
        <v>39</v>
      </c>
      <c r="C45" s="181" t="s">
        <v>17</v>
      </c>
      <c r="D45" s="182"/>
      <c r="E45" s="183" t="s">
        <v>20</v>
      </c>
      <c r="F45" s="73" t="s">
        <v>269</v>
      </c>
      <c r="G45" s="230" t="s">
        <v>114</v>
      </c>
      <c r="H45" s="181"/>
      <c r="I45" s="231"/>
      <c r="J45" s="190"/>
      <c r="K45" s="77"/>
      <c r="L45" s="77"/>
      <c r="M45" s="78">
        <f t="shared" si="1"/>
        <v>0</v>
      </c>
      <c r="N45" s="100"/>
      <c r="O45" s="224"/>
      <c r="P45" s="224"/>
      <c r="Q45" s="232">
        <f t="shared" si="2"/>
        <v>0</v>
      </c>
    </row>
    <row r="46" spans="1:17" s="13" customFormat="1" x14ac:dyDescent="0.25">
      <c r="A46" s="229"/>
      <c r="B46" s="27" t="s">
        <v>40</v>
      </c>
      <c r="C46" s="181" t="s">
        <v>17</v>
      </c>
      <c r="D46" s="182"/>
      <c r="E46" s="194" t="s">
        <v>41</v>
      </c>
      <c r="F46" s="73" t="s">
        <v>339</v>
      </c>
      <c r="G46" s="74" t="s">
        <v>112</v>
      </c>
      <c r="H46" s="75">
        <v>28</v>
      </c>
      <c r="I46" s="76">
        <v>23</v>
      </c>
      <c r="J46" s="96">
        <f>1+1+3+9+4+4+3+2+1+1+2+3+3</f>
        <v>37</v>
      </c>
      <c r="K46" s="77">
        <f>1045.98+12271.86+15658.52+8166.35+6035.99+8024.36+2759.63+3460.61+3962.12+3444.02+17333.58</f>
        <v>82163.01999999999</v>
      </c>
      <c r="L46" s="77">
        <f>1045.98+12271.86+15658.52+8166.35+6035.99+8024.36+2759.63+3460.61+3962.12+3444.02+17333.58</f>
        <v>82163.01999999999</v>
      </c>
      <c r="M46" s="78">
        <f t="shared" si="1"/>
        <v>0</v>
      </c>
      <c r="N46" s="100">
        <f>3+13+6+5+4+2+1+1+1</f>
        <v>36</v>
      </c>
      <c r="O46" s="81">
        <f>17269.31+39990.78+16582.12+23492.44+7068.31+4243.84</f>
        <v>108646.79999999999</v>
      </c>
      <c r="P46" s="81">
        <f>17269.31+39990.78+16582.12+23492.44+7068.31+4243.84</f>
        <v>108646.79999999999</v>
      </c>
      <c r="Q46" s="79">
        <f t="shared" si="2"/>
        <v>0</v>
      </c>
    </row>
    <row r="47" spans="1:17" s="13" customFormat="1" x14ac:dyDescent="0.25">
      <c r="A47" s="229"/>
      <c r="B47" s="27" t="s">
        <v>40</v>
      </c>
      <c r="C47" s="181" t="s">
        <v>17</v>
      </c>
      <c r="D47" s="182"/>
      <c r="E47" s="194" t="s">
        <v>41</v>
      </c>
      <c r="F47" s="73" t="s">
        <v>482</v>
      </c>
      <c r="G47" s="230" t="s">
        <v>114</v>
      </c>
      <c r="H47" s="181"/>
      <c r="I47" s="231"/>
      <c r="J47" s="190"/>
      <c r="K47" s="77"/>
      <c r="L47" s="77"/>
      <c r="M47" s="78">
        <f t="shared" si="1"/>
        <v>0</v>
      </c>
      <c r="N47" s="100">
        <v>1</v>
      </c>
      <c r="O47" s="224">
        <v>3073.6</v>
      </c>
      <c r="P47" s="224">
        <f>3073.6</f>
        <v>3073.6</v>
      </c>
      <c r="Q47" s="232">
        <f t="shared" si="2"/>
        <v>0</v>
      </c>
    </row>
    <row r="48" spans="1:17" s="13" customFormat="1" x14ac:dyDescent="0.25">
      <c r="A48" s="229"/>
      <c r="B48" s="27" t="s">
        <v>148</v>
      </c>
      <c r="C48" s="181" t="s">
        <v>17</v>
      </c>
      <c r="D48" s="182"/>
      <c r="E48" s="183" t="s">
        <v>20</v>
      </c>
      <c r="F48" s="73" t="s">
        <v>340</v>
      </c>
      <c r="G48" s="74" t="s">
        <v>112</v>
      </c>
      <c r="H48" s="75">
        <v>21</v>
      </c>
      <c r="I48" s="82">
        <v>15</v>
      </c>
      <c r="J48" s="96">
        <f>1+2+1+4+4+2+3+1</f>
        <v>18</v>
      </c>
      <c r="K48" s="77">
        <f>537.88+2110.03+6723.98+8914.21+1204.2+602.1+903.15+1324.62</f>
        <v>22320.17</v>
      </c>
      <c r="L48" s="77">
        <f>537.88+2110.03+6723.98+8914.21+1204.2+602.1+903.15+1324.62</f>
        <v>22320.17</v>
      </c>
      <c r="M48" s="78">
        <f t="shared" si="1"/>
        <v>0</v>
      </c>
      <c r="N48" s="100">
        <f>6+5+3+1+1+1+1</f>
        <v>18</v>
      </c>
      <c r="O48" s="81">
        <f>9370.6+9456.38+8868.69+5367.27+11572.62</f>
        <v>44635.560000000005</v>
      </c>
      <c r="P48" s="81">
        <f>9370.6+9456.38+8868.69+5367.27+11572.62</f>
        <v>44635.560000000005</v>
      </c>
      <c r="Q48" s="79">
        <f t="shared" si="2"/>
        <v>0</v>
      </c>
    </row>
    <row r="49" spans="1:17" s="13" customFormat="1" x14ac:dyDescent="0.25">
      <c r="A49" s="229"/>
      <c r="B49" s="27" t="s">
        <v>148</v>
      </c>
      <c r="C49" s="181" t="s">
        <v>17</v>
      </c>
      <c r="D49" s="182"/>
      <c r="E49" s="194" t="s">
        <v>32</v>
      </c>
      <c r="F49" s="73" t="s">
        <v>425</v>
      </c>
      <c r="G49" s="230" t="s">
        <v>117</v>
      </c>
      <c r="H49" s="181">
        <v>12</v>
      </c>
      <c r="I49" s="231">
        <v>4</v>
      </c>
      <c r="J49" s="96">
        <v>4</v>
      </c>
      <c r="K49" s="77">
        <v>13707.82</v>
      </c>
      <c r="L49" s="77">
        <v>13707.82</v>
      </c>
      <c r="M49" s="78">
        <f t="shared" si="1"/>
        <v>0</v>
      </c>
      <c r="N49" s="100">
        <v>4</v>
      </c>
      <c r="O49" s="224">
        <v>12851.49</v>
      </c>
      <c r="P49" s="224">
        <v>12851.49</v>
      </c>
      <c r="Q49" s="232">
        <f t="shared" si="2"/>
        <v>0</v>
      </c>
    </row>
    <row r="50" spans="1:17" s="13" customFormat="1" x14ac:dyDescent="0.25">
      <c r="A50" s="229"/>
      <c r="B50" s="30" t="s">
        <v>42</v>
      </c>
      <c r="C50" s="181" t="s">
        <v>17</v>
      </c>
      <c r="D50" s="182"/>
      <c r="E50" s="183" t="s">
        <v>23</v>
      </c>
      <c r="F50" s="73" t="s">
        <v>341</v>
      </c>
      <c r="G50" s="74" t="s">
        <v>112</v>
      </c>
      <c r="H50" s="75">
        <v>36</v>
      </c>
      <c r="I50" s="76">
        <v>30</v>
      </c>
      <c r="J50" s="96">
        <f>5+3+5+3+8+3+8+5</f>
        <v>40</v>
      </c>
      <c r="K50" s="77">
        <f>7156.22+3849.11+8154.25+4149.36+15912.38+18649.91</f>
        <v>57871.229999999996</v>
      </c>
      <c r="L50" s="77">
        <f>7156.22+3849.11+8154.25+4149.36+15912.38+18649.91</f>
        <v>57871.229999999996</v>
      </c>
      <c r="M50" s="78">
        <f t="shared" si="1"/>
        <v>0</v>
      </c>
      <c r="N50" s="100">
        <f>4+6+9+2+4+2+2+3+3+2</f>
        <v>37</v>
      </c>
      <c r="O50" s="81">
        <f>5364.2+26170.88+2849.25+18965.6+9565.56+9423.5+18214.56</f>
        <v>90553.549999999988</v>
      </c>
      <c r="P50" s="81">
        <f>5364.2+26170.88+2849.25+18965.6+9565.56+9423.5+18214.56</f>
        <v>90553.549999999988</v>
      </c>
      <c r="Q50" s="79">
        <f t="shared" si="2"/>
        <v>0</v>
      </c>
    </row>
    <row r="51" spans="1:17" s="13" customFormat="1" x14ac:dyDescent="0.25">
      <c r="A51" s="229"/>
      <c r="B51" s="30" t="s">
        <v>42</v>
      </c>
      <c r="C51" s="181" t="s">
        <v>17</v>
      </c>
      <c r="D51" s="182"/>
      <c r="E51" s="183" t="s">
        <v>23</v>
      </c>
      <c r="F51" s="73" t="s">
        <v>437</v>
      </c>
      <c r="G51" s="230" t="s">
        <v>118</v>
      </c>
      <c r="H51" s="181">
        <v>2</v>
      </c>
      <c r="I51" s="231"/>
      <c r="J51" s="96"/>
      <c r="K51" s="77"/>
      <c r="L51" s="77"/>
      <c r="M51" s="78">
        <f t="shared" si="1"/>
        <v>0</v>
      </c>
      <c r="N51" s="100">
        <v>1</v>
      </c>
      <c r="O51" s="224">
        <v>7766.4</v>
      </c>
      <c r="P51" s="224">
        <v>7766.4</v>
      </c>
      <c r="Q51" s="232">
        <f t="shared" si="2"/>
        <v>0</v>
      </c>
    </row>
    <row r="52" spans="1:17" s="13" customFormat="1" x14ac:dyDescent="0.25">
      <c r="A52" s="229"/>
      <c r="B52" s="30" t="s">
        <v>173</v>
      </c>
      <c r="C52" s="181" t="s">
        <v>17</v>
      </c>
      <c r="D52" s="182"/>
      <c r="E52" s="230" t="s">
        <v>118</v>
      </c>
      <c r="F52" s="73" t="s">
        <v>342</v>
      </c>
      <c r="G52" s="74" t="s">
        <v>112</v>
      </c>
      <c r="H52" s="75">
        <v>4</v>
      </c>
      <c r="I52" s="76">
        <v>4</v>
      </c>
      <c r="J52" s="96">
        <f>1+2+1</f>
        <v>4</v>
      </c>
      <c r="K52" s="77">
        <f>6833.76+696.36</f>
        <v>7530.12</v>
      </c>
      <c r="L52" s="77">
        <f>6833.76+696.36</f>
        <v>7530.12</v>
      </c>
      <c r="M52" s="78">
        <f t="shared" si="1"/>
        <v>0</v>
      </c>
      <c r="N52" s="100">
        <f>4+2</f>
        <v>6</v>
      </c>
      <c r="O52" s="81">
        <f>5931.9+4183.92+3158.95</f>
        <v>13274.77</v>
      </c>
      <c r="P52" s="81">
        <f>5931.9+4183.92+3158.95</f>
        <v>13274.77</v>
      </c>
      <c r="Q52" s="79">
        <f t="shared" si="2"/>
        <v>0</v>
      </c>
    </row>
    <row r="53" spans="1:17" s="13" customFormat="1" x14ac:dyDescent="0.25">
      <c r="A53" s="229"/>
      <c r="B53" s="62" t="s">
        <v>143</v>
      </c>
      <c r="C53" s="181" t="s">
        <v>64</v>
      </c>
      <c r="D53" s="182" t="s">
        <v>444</v>
      </c>
      <c r="E53" s="183" t="s">
        <v>20</v>
      </c>
      <c r="F53" s="73" t="s">
        <v>445</v>
      </c>
      <c r="G53" s="230" t="s">
        <v>114</v>
      </c>
      <c r="H53" s="181">
        <v>26</v>
      </c>
      <c r="I53" s="234">
        <v>14</v>
      </c>
      <c r="J53" s="190">
        <v>14</v>
      </c>
      <c r="K53" s="193">
        <v>37516</v>
      </c>
      <c r="L53" s="193">
        <v>37516</v>
      </c>
      <c r="M53" s="78">
        <f t="shared" si="1"/>
        <v>0</v>
      </c>
      <c r="N53" s="114">
        <v>18</v>
      </c>
      <c r="O53" s="224">
        <v>27390.400000000001</v>
      </c>
      <c r="P53" s="224">
        <v>27390.400000000001</v>
      </c>
      <c r="Q53" s="232">
        <f t="shared" si="2"/>
        <v>0</v>
      </c>
    </row>
    <row r="54" spans="1:17" s="13" customFormat="1" x14ac:dyDescent="0.25">
      <c r="A54" s="229"/>
      <c r="B54" s="30" t="s">
        <v>158</v>
      </c>
      <c r="C54" s="181" t="s">
        <v>17</v>
      </c>
      <c r="D54" s="182"/>
      <c r="E54" s="194" t="s">
        <v>32</v>
      </c>
      <c r="F54" s="73" t="s">
        <v>426</v>
      </c>
      <c r="G54" s="230" t="s">
        <v>117</v>
      </c>
      <c r="H54" s="181">
        <v>12</v>
      </c>
      <c r="I54" s="234">
        <v>6</v>
      </c>
      <c r="J54" s="190">
        <v>7</v>
      </c>
      <c r="K54" s="193">
        <v>12275.74</v>
      </c>
      <c r="L54" s="193">
        <v>12275.74</v>
      </c>
      <c r="M54" s="78">
        <f t="shared" si="1"/>
        <v>0</v>
      </c>
      <c r="N54" s="114">
        <v>5</v>
      </c>
      <c r="O54" s="224">
        <v>16813.7</v>
      </c>
      <c r="P54" s="224">
        <v>16813.7</v>
      </c>
      <c r="Q54" s="232">
        <f t="shared" si="2"/>
        <v>0</v>
      </c>
    </row>
    <row r="55" spans="1:17" s="15" customFormat="1" x14ac:dyDescent="0.25">
      <c r="A55" s="229"/>
      <c r="B55" s="62" t="s">
        <v>43</v>
      </c>
      <c r="C55" s="181" t="s">
        <v>17</v>
      </c>
      <c r="D55" s="182"/>
      <c r="E55" s="183" t="s">
        <v>18</v>
      </c>
      <c r="F55" s="73" t="s">
        <v>344</v>
      </c>
      <c r="G55" s="74" t="s">
        <v>112</v>
      </c>
      <c r="H55" s="75">
        <v>32</v>
      </c>
      <c r="I55" s="76">
        <v>22</v>
      </c>
      <c r="J55" s="96">
        <f>1+2+2+5+2+3+2+3+3+3+5</f>
        <v>31</v>
      </c>
      <c r="K55" s="77">
        <f>1776.93+926.88+3328.29+3172.19+9832.29+3539.2+3058.67+13375.29</f>
        <v>39009.740000000005</v>
      </c>
      <c r="L55" s="77">
        <f>1776.93+926.88+3328.29+3172.19+9832.29+3539.2+3058.67+13375.29</f>
        <v>39009.740000000005</v>
      </c>
      <c r="M55" s="78">
        <f t="shared" si="1"/>
        <v>0</v>
      </c>
      <c r="N55" s="100">
        <f>1+5+4+1+1+1+1+1+2</f>
        <v>17</v>
      </c>
      <c r="O55" s="81">
        <f>1223.8+3810.29+4959.02+10043.87+2769.48+2146.91+11926.24-1465.64</f>
        <v>35413.97</v>
      </c>
      <c r="P55" s="81">
        <f>1223.8+3810.29+4959.02+10043.87+2769.48+2146.91+11926.24-1465.64</f>
        <v>35413.97</v>
      </c>
      <c r="Q55" s="79">
        <f t="shared" si="2"/>
        <v>0</v>
      </c>
    </row>
    <row r="56" spans="1:17" s="15" customFormat="1" ht="30" x14ac:dyDescent="0.25">
      <c r="A56" s="229"/>
      <c r="B56" s="62" t="s">
        <v>43</v>
      </c>
      <c r="C56" s="181" t="s">
        <v>304</v>
      </c>
      <c r="D56" s="182" t="s">
        <v>473</v>
      </c>
      <c r="E56" s="183" t="s">
        <v>18</v>
      </c>
      <c r="F56" s="73" t="s">
        <v>323</v>
      </c>
      <c r="G56" s="271" t="s">
        <v>116</v>
      </c>
      <c r="H56" s="181">
        <v>26</v>
      </c>
      <c r="I56" s="234">
        <v>24</v>
      </c>
      <c r="J56" s="98">
        <v>27</v>
      </c>
      <c r="K56" s="77">
        <v>36684</v>
      </c>
      <c r="L56" s="77">
        <v>36684</v>
      </c>
      <c r="M56" s="78">
        <f t="shared" si="1"/>
        <v>0</v>
      </c>
      <c r="N56" s="114">
        <v>21</v>
      </c>
      <c r="O56" s="224">
        <v>68563</v>
      </c>
      <c r="P56" s="224">
        <v>68563</v>
      </c>
      <c r="Q56" s="232">
        <f t="shared" si="2"/>
        <v>0</v>
      </c>
    </row>
    <row r="57" spans="1:17" s="13" customFormat="1" x14ac:dyDescent="0.25">
      <c r="A57" s="229"/>
      <c r="B57" s="30" t="s">
        <v>44</v>
      </c>
      <c r="C57" s="181" t="s">
        <v>17</v>
      </c>
      <c r="D57" s="182"/>
      <c r="E57" s="183" t="s">
        <v>20</v>
      </c>
      <c r="F57" s="73" t="s">
        <v>345</v>
      </c>
      <c r="G57" s="74" t="s">
        <v>112</v>
      </c>
      <c r="H57" s="75">
        <v>16</v>
      </c>
      <c r="I57" s="76">
        <v>10</v>
      </c>
      <c r="J57" s="96">
        <f>1+1+1+4+2+1+1</f>
        <v>11</v>
      </c>
      <c r="K57" s="77">
        <f>2422.38+1267.86+15410.58+1534.35+708.47</f>
        <v>21343.64</v>
      </c>
      <c r="L57" s="77">
        <f>2422.38+1267.86+15410.58+1534.35+708.47</f>
        <v>21343.64</v>
      </c>
      <c r="M57" s="78">
        <f t="shared" si="1"/>
        <v>0</v>
      </c>
      <c r="N57" s="100">
        <f>1+11</f>
        <v>12</v>
      </c>
      <c r="O57" s="81">
        <f>421.62+4603.39+10559.77+72902.04+3435.31</f>
        <v>91922.12999999999</v>
      </c>
      <c r="P57" s="81">
        <f>421.62+4603.39+10559.77+72902.04+3435.31</f>
        <v>91922.12999999999</v>
      </c>
      <c r="Q57" s="79">
        <f t="shared" si="2"/>
        <v>0</v>
      </c>
    </row>
    <row r="58" spans="1:17" s="13" customFormat="1" x14ac:dyDescent="0.25">
      <c r="A58" s="229"/>
      <c r="B58" s="30" t="s">
        <v>44</v>
      </c>
      <c r="C58" s="181" t="s">
        <v>17</v>
      </c>
      <c r="D58" s="182"/>
      <c r="E58" s="183" t="s">
        <v>20</v>
      </c>
      <c r="F58" s="73" t="s">
        <v>483</v>
      </c>
      <c r="G58" s="230" t="s">
        <v>114</v>
      </c>
      <c r="H58" s="181"/>
      <c r="I58" s="231"/>
      <c r="J58" s="190"/>
      <c r="K58" s="77"/>
      <c r="L58" s="77"/>
      <c r="M58" s="78">
        <f t="shared" si="1"/>
        <v>0</v>
      </c>
      <c r="N58" s="100">
        <v>2</v>
      </c>
      <c r="O58" s="224">
        <v>9934.7000000000007</v>
      </c>
      <c r="P58" s="224">
        <v>9934.7000000000007</v>
      </c>
      <c r="Q58" s="232">
        <f t="shared" si="2"/>
        <v>0</v>
      </c>
    </row>
    <row r="59" spans="1:17" s="13" customFormat="1" x14ac:dyDescent="0.25">
      <c r="A59" s="229"/>
      <c r="B59" s="30" t="s">
        <v>492</v>
      </c>
      <c r="C59" s="181" t="s">
        <v>17</v>
      </c>
      <c r="D59" s="182"/>
      <c r="E59" s="183" t="s">
        <v>20</v>
      </c>
      <c r="F59" s="73" t="s">
        <v>499</v>
      </c>
      <c r="G59" s="230" t="s">
        <v>112</v>
      </c>
      <c r="H59" s="181">
        <v>10</v>
      </c>
      <c r="I59" s="231">
        <v>8</v>
      </c>
      <c r="J59" s="190">
        <f>1+8</f>
        <v>9</v>
      </c>
      <c r="K59" s="77">
        <f>1044.98+2096.62</f>
        <v>3141.6</v>
      </c>
      <c r="L59" s="77">
        <f>1044.98+2096.62</f>
        <v>3141.6</v>
      </c>
      <c r="M59" s="78">
        <f t="shared" si="1"/>
        <v>0</v>
      </c>
      <c r="N59" s="100"/>
      <c r="O59" s="224"/>
      <c r="P59" s="224"/>
      <c r="Q59" s="79">
        <f t="shared" si="2"/>
        <v>0</v>
      </c>
    </row>
    <row r="60" spans="1:17" s="13" customFormat="1" x14ac:dyDescent="0.25">
      <c r="A60" s="229"/>
      <c r="B60" s="27" t="s">
        <v>45</v>
      </c>
      <c r="C60" s="181" t="s">
        <v>17</v>
      </c>
      <c r="D60" s="182"/>
      <c r="E60" s="183" t="s">
        <v>20</v>
      </c>
      <c r="F60" s="73" t="s">
        <v>346</v>
      </c>
      <c r="G60" s="74" t="s">
        <v>112</v>
      </c>
      <c r="H60" s="75"/>
      <c r="I60" s="76"/>
      <c r="J60" s="96"/>
      <c r="K60" s="77"/>
      <c r="L60" s="77"/>
      <c r="M60" s="78">
        <f t="shared" si="1"/>
        <v>0</v>
      </c>
      <c r="N60" s="100">
        <f>1</f>
        <v>1</v>
      </c>
      <c r="O60" s="81">
        <f>17995.91+2729.8</f>
        <v>20725.71</v>
      </c>
      <c r="P60" s="81">
        <f>17995.91+2729.8</f>
        <v>20725.71</v>
      </c>
      <c r="Q60" s="79">
        <f t="shared" si="2"/>
        <v>0</v>
      </c>
    </row>
    <row r="61" spans="1:17" s="13" customFormat="1" x14ac:dyDescent="0.25">
      <c r="A61" s="229"/>
      <c r="B61" s="27" t="s">
        <v>45</v>
      </c>
      <c r="C61" s="181" t="s">
        <v>17</v>
      </c>
      <c r="D61" s="182"/>
      <c r="E61" s="183" t="s">
        <v>20</v>
      </c>
      <c r="F61" s="73" t="s">
        <v>484</v>
      </c>
      <c r="G61" s="230" t="s">
        <v>114</v>
      </c>
      <c r="H61" s="181"/>
      <c r="I61" s="231"/>
      <c r="J61" s="190"/>
      <c r="K61" s="77"/>
      <c r="L61" s="77"/>
      <c r="M61" s="78">
        <f t="shared" si="1"/>
        <v>0</v>
      </c>
      <c r="N61" s="100"/>
      <c r="O61" s="224"/>
      <c r="P61" s="224"/>
      <c r="Q61" s="232">
        <f t="shared" si="2"/>
        <v>0</v>
      </c>
    </row>
    <row r="62" spans="1:17" s="15" customFormat="1" x14ac:dyDescent="0.25">
      <c r="A62" s="229"/>
      <c r="B62" s="27" t="s">
        <v>46</v>
      </c>
      <c r="C62" s="181" t="s">
        <v>17</v>
      </c>
      <c r="D62" s="182"/>
      <c r="E62" s="183" t="s">
        <v>20</v>
      </c>
      <c r="F62" s="73" t="s">
        <v>347</v>
      </c>
      <c r="G62" s="74" t="s">
        <v>112</v>
      </c>
      <c r="H62" s="75">
        <v>19</v>
      </c>
      <c r="I62" s="76">
        <v>16</v>
      </c>
      <c r="J62" s="96">
        <f>1+2+3+2+4+1+4+2+1+5+1+1</f>
        <v>27</v>
      </c>
      <c r="K62" s="77">
        <f>1045.98+1068.08+8157.32+1778.85+9152.67+11156.63+11271.63+1490.2+9025.41+10714.36+1457.08</f>
        <v>66318.209999999992</v>
      </c>
      <c r="L62" s="77">
        <f>1045.98+1068.08+8157.32+1778.85+9152.67+11156.63+11271.63+1490.2+9025.41+10714.36+1457.08</f>
        <v>66318.209999999992</v>
      </c>
      <c r="M62" s="78">
        <f t="shared" si="1"/>
        <v>0</v>
      </c>
      <c r="N62" s="100">
        <f>4+4+1+1+1+2</f>
        <v>13</v>
      </c>
      <c r="O62" s="81">
        <f>10759.2+10685.34+7362.04+22509.72</f>
        <v>51316.3</v>
      </c>
      <c r="P62" s="81">
        <f>10759.2+10685.34+7362.04+22509.72</f>
        <v>51316.3</v>
      </c>
      <c r="Q62" s="79">
        <f t="shared" si="2"/>
        <v>0</v>
      </c>
    </row>
    <row r="63" spans="1:17" s="15" customFormat="1" x14ac:dyDescent="0.25">
      <c r="A63" s="229"/>
      <c r="B63" s="27" t="s">
        <v>46</v>
      </c>
      <c r="C63" s="181" t="s">
        <v>17</v>
      </c>
      <c r="D63" s="182"/>
      <c r="E63" s="183" t="s">
        <v>20</v>
      </c>
      <c r="F63" s="73" t="s">
        <v>273</v>
      </c>
      <c r="G63" s="230" t="s">
        <v>114</v>
      </c>
      <c r="H63" s="181">
        <v>5</v>
      </c>
      <c r="I63" s="231">
        <v>1</v>
      </c>
      <c r="J63" s="190">
        <v>1</v>
      </c>
      <c r="K63" s="77">
        <v>576.29999999999995</v>
      </c>
      <c r="L63" s="77">
        <v>576.29999999999995</v>
      </c>
      <c r="M63" s="78">
        <f t="shared" si="1"/>
        <v>0</v>
      </c>
      <c r="N63" s="100">
        <v>3</v>
      </c>
      <c r="O63" s="224">
        <v>9356.9</v>
      </c>
      <c r="P63" s="224">
        <v>9356.9</v>
      </c>
      <c r="Q63" s="232">
        <f t="shared" si="2"/>
        <v>0</v>
      </c>
    </row>
    <row r="64" spans="1:17" s="13" customFormat="1" ht="45" x14ac:dyDescent="0.25">
      <c r="A64" s="229"/>
      <c r="B64" s="30" t="s">
        <v>47</v>
      </c>
      <c r="C64" s="181" t="s">
        <v>304</v>
      </c>
      <c r="D64" s="182" t="s">
        <v>474</v>
      </c>
      <c r="E64" s="183" t="s">
        <v>18</v>
      </c>
      <c r="F64" s="73" t="s">
        <v>348</v>
      </c>
      <c r="G64" s="74" t="s">
        <v>112</v>
      </c>
      <c r="H64" s="75">
        <v>56</v>
      </c>
      <c r="I64" s="76">
        <v>40</v>
      </c>
      <c r="J64" s="98">
        <f>1+1+3+21+7+2+5+2+7+15+14+7+2+5</f>
        <v>92</v>
      </c>
      <c r="K64" s="77">
        <f>30728.27+19236.99+22614.7+52735.68</f>
        <v>125315.64000000001</v>
      </c>
      <c r="L64" s="77">
        <f>30728.27+19236.99+22614.7+52735.68</f>
        <v>125315.64000000001</v>
      </c>
      <c r="M64" s="78">
        <f t="shared" si="1"/>
        <v>0</v>
      </c>
      <c r="N64" s="100">
        <f>7+3+4+10+6+1+2+1+3+2+5</f>
        <v>44</v>
      </c>
      <c r="O64" s="81">
        <f>8477.51+15159.83+14079.46+15414.2+17995.91+2065.56+1859.53+9543.86+1728.53+14526.84</f>
        <v>100851.23</v>
      </c>
      <c r="P64" s="81">
        <f>8477.51+15159.83+14079.46+15414.2+17995.91+2065.56+1859.53+9543.86+1728.53+14526.84</f>
        <v>100851.23</v>
      </c>
      <c r="Q64" s="79">
        <f t="shared" si="2"/>
        <v>0</v>
      </c>
    </row>
    <row r="65" spans="1:17" s="13" customFormat="1" ht="45" x14ac:dyDescent="0.25">
      <c r="A65" s="229"/>
      <c r="B65" s="62" t="s">
        <v>120</v>
      </c>
      <c r="C65" s="181" t="s">
        <v>304</v>
      </c>
      <c r="D65" s="182" t="s">
        <v>474</v>
      </c>
      <c r="E65" s="183" t="s">
        <v>18</v>
      </c>
      <c r="F65" s="73" t="s">
        <v>334</v>
      </c>
      <c r="G65" s="230" t="s">
        <v>116</v>
      </c>
      <c r="H65" s="181">
        <v>31</v>
      </c>
      <c r="I65" s="234">
        <v>21</v>
      </c>
      <c r="J65" s="98">
        <v>23</v>
      </c>
      <c r="K65" s="77">
        <v>43355</v>
      </c>
      <c r="L65" s="77">
        <v>43355</v>
      </c>
      <c r="M65" s="78">
        <f t="shared" si="1"/>
        <v>0</v>
      </c>
      <c r="N65" s="100">
        <v>15</v>
      </c>
      <c r="O65" s="224">
        <v>60831</v>
      </c>
      <c r="P65" s="224">
        <v>60831</v>
      </c>
      <c r="Q65" s="232">
        <f t="shared" si="2"/>
        <v>0</v>
      </c>
    </row>
    <row r="66" spans="1:17" s="13" customFormat="1" x14ac:dyDescent="0.25">
      <c r="A66" s="229"/>
      <c r="B66" s="30" t="s">
        <v>134</v>
      </c>
      <c r="C66" s="181" t="s">
        <v>17</v>
      </c>
      <c r="D66" s="182"/>
      <c r="E66" s="183" t="s">
        <v>20</v>
      </c>
      <c r="F66" s="73" t="s">
        <v>349</v>
      </c>
      <c r="G66" s="74" t="s">
        <v>112</v>
      </c>
      <c r="H66" s="75">
        <v>21</v>
      </c>
      <c r="I66" s="76">
        <v>21</v>
      </c>
      <c r="J66" s="96">
        <f>1+4+1+1+2+1+1+7+1+1</f>
        <v>20</v>
      </c>
      <c r="K66" s="77">
        <f>7301.48+1473.89+1911.09+1690.48+845.24+6268.51+441.51+1983.45+3361.83+883.11+2668.51+2972.45+3953.39+2549.89</f>
        <v>38304.83</v>
      </c>
      <c r="L66" s="77">
        <f>7301.48+1473.89+1911.09+1690.48+845.24+6268.51+441.51+1983.45+3361.83+883.11+2668.51+2972.45+3953.39+2549.89</f>
        <v>38304.83</v>
      </c>
      <c r="M66" s="78">
        <f t="shared" si="1"/>
        <v>0</v>
      </c>
      <c r="N66" s="100">
        <f>4+1+1+1+1+1</f>
        <v>9</v>
      </c>
      <c r="O66" s="81">
        <f>5020.05+3215.31+12312.39+4648.82+32425.98+7889.42+3294.46</f>
        <v>68806.430000000008</v>
      </c>
      <c r="P66" s="81">
        <f>5020.05+3215.31+12312.39+4648.82+32425.98+7889.42+3294.46</f>
        <v>68806.430000000008</v>
      </c>
      <c r="Q66" s="79">
        <f t="shared" si="2"/>
        <v>0</v>
      </c>
    </row>
    <row r="67" spans="1:17" s="13" customFormat="1" x14ac:dyDescent="0.25">
      <c r="A67" s="229"/>
      <c r="B67" s="30" t="s">
        <v>134</v>
      </c>
      <c r="C67" s="181" t="s">
        <v>17</v>
      </c>
      <c r="D67" s="182"/>
      <c r="E67" s="183" t="s">
        <v>20</v>
      </c>
      <c r="F67" s="73" t="s">
        <v>456</v>
      </c>
      <c r="G67" s="230" t="s">
        <v>114</v>
      </c>
      <c r="H67" s="181">
        <v>24</v>
      </c>
      <c r="I67" s="231">
        <v>7</v>
      </c>
      <c r="J67" s="190">
        <v>7</v>
      </c>
      <c r="K67" s="77">
        <v>17181.12</v>
      </c>
      <c r="L67" s="77">
        <v>17181.12</v>
      </c>
      <c r="M67" s="78">
        <f t="shared" si="1"/>
        <v>0</v>
      </c>
      <c r="N67" s="100">
        <v>27</v>
      </c>
      <c r="O67" s="224">
        <v>61494.8</v>
      </c>
      <c r="P67" s="224">
        <v>61494.8</v>
      </c>
      <c r="Q67" s="232">
        <f t="shared" si="2"/>
        <v>0</v>
      </c>
    </row>
    <row r="68" spans="1:17" s="13" customFormat="1" x14ac:dyDescent="0.25">
      <c r="A68" s="229"/>
      <c r="B68" s="62" t="s">
        <v>48</v>
      </c>
      <c r="C68" s="181" t="s">
        <v>17</v>
      </c>
      <c r="D68" s="182"/>
      <c r="E68" s="183" t="s">
        <v>20</v>
      </c>
      <c r="F68" s="73" t="s">
        <v>350</v>
      </c>
      <c r="G68" s="74" t="s">
        <v>112</v>
      </c>
      <c r="H68" s="75">
        <v>19</v>
      </c>
      <c r="I68" s="76">
        <v>11</v>
      </c>
      <c r="J68" s="96">
        <f>1+1+2+1+3+2</f>
        <v>10</v>
      </c>
      <c r="K68" s="77">
        <f>4805.96+2585.78+3065.92+2588.55+14407.5+9289.05+3030.73+11469.98</f>
        <v>51243.47</v>
      </c>
      <c r="L68" s="77">
        <f>4805.96+2585.78+3065.92+2588.55+14407.5+9289.05+3030.73+11469.98</f>
        <v>51243.47</v>
      </c>
      <c r="M68" s="78">
        <f t="shared" si="1"/>
        <v>0</v>
      </c>
      <c r="N68" s="100">
        <f>2+1+2+1+3</f>
        <v>9</v>
      </c>
      <c r="O68" s="81">
        <f>23174.33+2535.72+11633.02+6993.42+20756.4</f>
        <v>65092.890000000007</v>
      </c>
      <c r="P68" s="81">
        <f>23174.33+2535.72+11633.02+6993.42+20756.4</f>
        <v>65092.890000000007</v>
      </c>
      <c r="Q68" s="79">
        <f t="shared" si="2"/>
        <v>0</v>
      </c>
    </row>
    <row r="69" spans="1:17" s="13" customFormat="1" x14ac:dyDescent="0.25">
      <c r="A69" s="229"/>
      <c r="B69" s="62" t="s">
        <v>49</v>
      </c>
      <c r="C69" s="181" t="s">
        <v>17</v>
      </c>
      <c r="D69" s="182"/>
      <c r="E69" s="183" t="s">
        <v>50</v>
      </c>
      <c r="F69" s="73" t="s">
        <v>351</v>
      </c>
      <c r="G69" s="74" t="s">
        <v>112</v>
      </c>
      <c r="H69" s="75">
        <v>29</v>
      </c>
      <c r="I69" s="76">
        <v>19</v>
      </c>
      <c r="J69" s="96">
        <f>1+4+8+6+5+1+2</f>
        <v>27</v>
      </c>
      <c r="K69" s="77">
        <f>525.65+1267.86+6544.72+13939.57+2896.54+9712.48+14471.86+991.75+8615.66</f>
        <v>58966.09</v>
      </c>
      <c r="L69" s="77">
        <f>525.65+1267.86+6544.72+13939.57+2896.54+9712.48+14471.86+991.75+8615.66</f>
        <v>58966.09</v>
      </c>
      <c r="M69" s="78">
        <f t="shared" si="1"/>
        <v>0</v>
      </c>
      <c r="N69" s="100">
        <f>5+1+3+1+1+1</f>
        <v>12</v>
      </c>
      <c r="O69" s="81">
        <f>7374+1806.93+7275.53+4666.9+2684.03+6682.03+10412.84</f>
        <v>40902.259999999995</v>
      </c>
      <c r="P69" s="81">
        <f>7374+1806.93+7275.53+4666.9+2684.03+6682.03+10412.84</f>
        <v>40902.259999999995</v>
      </c>
      <c r="Q69" s="232">
        <f t="shared" si="2"/>
        <v>0</v>
      </c>
    </row>
    <row r="70" spans="1:17" s="13" customFormat="1" x14ac:dyDescent="0.25">
      <c r="A70" s="229"/>
      <c r="B70" s="62" t="s">
        <v>49</v>
      </c>
      <c r="C70" s="181" t="s">
        <v>17</v>
      </c>
      <c r="D70" s="182"/>
      <c r="E70" s="183" t="s">
        <v>50</v>
      </c>
      <c r="F70" s="73" t="s">
        <v>427</v>
      </c>
      <c r="G70" s="230" t="s">
        <v>115</v>
      </c>
      <c r="H70" s="181">
        <v>15</v>
      </c>
      <c r="I70" s="231">
        <v>7</v>
      </c>
      <c r="J70" s="96">
        <v>7</v>
      </c>
      <c r="K70" s="77">
        <v>14739.83</v>
      </c>
      <c r="L70" s="77">
        <v>14739.83</v>
      </c>
      <c r="M70" s="78">
        <f t="shared" si="1"/>
        <v>0</v>
      </c>
      <c r="N70" s="100">
        <v>11</v>
      </c>
      <c r="O70" s="224">
        <v>25688.3</v>
      </c>
      <c r="P70" s="224">
        <v>25688.3</v>
      </c>
      <c r="Q70" s="79">
        <f t="shared" si="2"/>
        <v>0</v>
      </c>
    </row>
    <row r="71" spans="1:17" s="13" customFormat="1" x14ac:dyDescent="0.25">
      <c r="A71" s="229"/>
      <c r="B71" s="27" t="s">
        <v>51</v>
      </c>
      <c r="C71" s="181" t="s">
        <v>17</v>
      </c>
      <c r="D71" s="182"/>
      <c r="E71" s="183" t="s">
        <v>20</v>
      </c>
      <c r="F71" s="73" t="s">
        <v>186</v>
      </c>
      <c r="G71" s="74" t="s">
        <v>112</v>
      </c>
      <c r="H71" s="75"/>
      <c r="I71" s="76"/>
      <c r="J71" s="96"/>
      <c r="K71" s="77"/>
      <c r="L71" s="77"/>
      <c r="M71" s="78">
        <f t="shared" si="1"/>
        <v>0</v>
      </c>
      <c r="N71" s="100">
        <f>1</f>
        <v>1</v>
      </c>
      <c r="O71" s="81">
        <v>2451.87</v>
      </c>
      <c r="P71" s="81">
        <v>2451.87</v>
      </c>
      <c r="Q71" s="232">
        <f t="shared" si="2"/>
        <v>0</v>
      </c>
    </row>
    <row r="72" spans="1:17" s="13" customFormat="1" x14ac:dyDescent="0.25">
      <c r="A72" s="229"/>
      <c r="B72" s="27" t="s">
        <v>51</v>
      </c>
      <c r="C72" s="181" t="s">
        <v>17</v>
      </c>
      <c r="D72" s="182"/>
      <c r="E72" s="183" t="s">
        <v>20</v>
      </c>
      <c r="F72" s="73" t="s">
        <v>276</v>
      </c>
      <c r="G72" s="230" t="s">
        <v>114</v>
      </c>
      <c r="H72" s="181"/>
      <c r="I72" s="231"/>
      <c r="J72" s="190"/>
      <c r="K72" s="77"/>
      <c r="L72" s="77"/>
      <c r="M72" s="78">
        <f t="shared" si="1"/>
        <v>0</v>
      </c>
      <c r="N72" s="100">
        <v>3</v>
      </c>
      <c r="O72" s="224">
        <v>6763.6</v>
      </c>
      <c r="P72" s="224">
        <v>6763.6</v>
      </c>
      <c r="Q72" s="232">
        <f t="shared" si="2"/>
        <v>0</v>
      </c>
    </row>
    <row r="73" spans="1:17" s="13" customFormat="1" x14ac:dyDescent="0.25">
      <c r="A73" s="229"/>
      <c r="B73" s="62" t="s">
        <v>52</v>
      </c>
      <c r="C73" s="181" t="s">
        <v>17</v>
      </c>
      <c r="D73" s="182"/>
      <c r="E73" s="183" t="s">
        <v>20</v>
      </c>
      <c r="F73" s="73" t="s">
        <v>352</v>
      </c>
      <c r="G73" s="74" t="s">
        <v>112</v>
      </c>
      <c r="H73" s="75">
        <v>16</v>
      </c>
      <c r="I73" s="76">
        <v>12</v>
      </c>
      <c r="J73" s="96">
        <f>1+1+1+1+2+3+1+1+1+2+1</f>
        <v>15</v>
      </c>
      <c r="K73" s="77">
        <f>10714.2+2747.14+2138.07+6709.4+7033.21+883.08+708.47+8516.02</f>
        <v>39449.589999999997</v>
      </c>
      <c r="L73" s="77">
        <f>10714.2+2747.14+2138.07+6709.4+7033.21+883.08+708.47+8516.02</f>
        <v>39449.589999999997</v>
      </c>
      <c r="M73" s="78">
        <f t="shared" si="1"/>
        <v>0</v>
      </c>
      <c r="N73" s="100">
        <f>4+3+1+1+2+3+1+1+2+1</f>
        <v>19</v>
      </c>
      <c r="O73" s="81">
        <f>5977.15+48296.91+7596.86+1061.83+8902.9+6856.31+2935.36+8136.06+17654.09</f>
        <v>107417.47</v>
      </c>
      <c r="P73" s="81">
        <f>5977.15+48296.91+7596.86+1061.83+8902.9+6856.31+2935.36+8136.06+17654.09</f>
        <v>107417.47</v>
      </c>
      <c r="Q73" s="232">
        <f t="shared" si="2"/>
        <v>0</v>
      </c>
    </row>
    <row r="74" spans="1:17" s="13" customFormat="1" x14ac:dyDescent="0.25">
      <c r="A74" s="229"/>
      <c r="B74" s="62" t="s">
        <v>52</v>
      </c>
      <c r="C74" s="181" t="s">
        <v>17</v>
      </c>
      <c r="D74" s="182"/>
      <c r="E74" s="183" t="s">
        <v>20</v>
      </c>
      <c r="F74" s="73" t="s">
        <v>457</v>
      </c>
      <c r="G74" s="230" t="s">
        <v>114</v>
      </c>
      <c r="H74" s="181">
        <v>16</v>
      </c>
      <c r="I74" s="231">
        <v>4</v>
      </c>
      <c r="J74" s="190">
        <v>4</v>
      </c>
      <c r="K74" s="77">
        <v>15055.4</v>
      </c>
      <c r="L74" s="77">
        <v>15055.4</v>
      </c>
      <c r="M74" s="78">
        <f t="shared" si="1"/>
        <v>0</v>
      </c>
      <c r="N74" s="100">
        <v>22</v>
      </c>
      <c r="O74" s="264">
        <v>64407.22</v>
      </c>
      <c r="P74" s="264">
        <v>64407.22</v>
      </c>
      <c r="Q74" s="232">
        <f t="shared" si="2"/>
        <v>0</v>
      </c>
    </row>
    <row r="75" spans="1:17" s="13" customFormat="1" x14ac:dyDescent="0.25">
      <c r="A75" s="229"/>
      <c r="B75" s="27" t="s">
        <v>53</v>
      </c>
      <c r="C75" s="181" t="s">
        <v>17</v>
      </c>
      <c r="D75" s="182"/>
      <c r="E75" s="183" t="s">
        <v>20</v>
      </c>
      <c r="F75" s="73" t="s">
        <v>353</v>
      </c>
      <c r="G75" s="74" t="s">
        <v>112</v>
      </c>
      <c r="H75" s="75">
        <v>15</v>
      </c>
      <c r="I75" s="76">
        <v>10</v>
      </c>
      <c r="J75" s="96">
        <f>2+2+2+1+2+1+1</f>
        <v>11</v>
      </c>
      <c r="K75" s="77">
        <f>3655.66+6862.24+2535.72+3550.85+401.4+441.54</f>
        <v>17447.41</v>
      </c>
      <c r="L75" s="77">
        <f>3655.66+6862.24+2535.72+3550.85+401.4+441.54</f>
        <v>17447.41</v>
      </c>
      <c r="M75" s="78">
        <f t="shared" si="1"/>
        <v>0</v>
      </c>
      <c r="N75" s="100">
        <f>1+2+2+1+1+1</f>
        <v>8</v>
      </c>
      <c r="O75" s="81">
        <f>1743.3+3921.71+422.62+5626.45+37901.04</f>
        <v>49615.12</v>
      </c>
      <c r="P75" s="81">
        <f>1743.3+3921.71+422.62+5626.45+37901.04</f>
        <v>49615.12</v>
      </c>
      <c r="Q75" s="232">
        <f t="shared" si="2"/>
        <v>0</v>
      </c>
    </row>
    <row r="76" spans="1:17" s="13" customFormat="1" x14ac:dyDescent="0.25">
      <c r="A76" s="229"/>
      <c r="B76" s="27" t="s">
        <v>149</v>
      </c>
      <c r="C76" s="181" t="s">
        <v>17</v>
      </c>
      <c r="D76" s="182"/>
      <c r="E76" s="183" t="s">
        <v>383</v>
      </c>
      <c r="F76" s="73" t="s">
        <v>354</v>
      </c>
      <c r="G76" s="74" t="s">
        <v>112</v>
      </c>
      <c r="H76" s="75">
        <v>39</v>
      </c>
      <c r="I76" s="76">
        <v>12</v>
      </c>
      <c r="J76" s="96">
        <f>7+3+3</f>
        <v>13</v>
      </c>
      <c r="K76" s="77">
        <f>7743.07+4386.1+10376.2</f>
        <v>22505.370000000003</v>
      </c>
      <c r="L76" s="77">
        <f>7743.07+4386.1+10376.2</f>
        <v>22505.370000000003</v>
      </c>
      <c r="M76" s="78">
        <f t="shared" si="1"/>
        <v>0</v>
      </c>
      <c r="N76" s="100">
        <f>2+2+2+1</f>
        <v>7</v>
      </c>
      <c r="O76" s="81">
        <f>3676.8+3431.65+6320.35+4068.03</f>
        <v>17496.830000000002</v>
      </c>
      <c r="P76" s="81">
        <f>3676.8+3431.65+6320.35+4068.03</f>
        <v>17496.830000000002</v>
      </c>
      <c r="Q76" s="79">
        <f t="shared" si="2"/>
        <v>0</v>
      </c>
    </row>
    <row r="77" spans="1:17" s="13" customFormat="1" x14ac:dyDescent="0.25">
      <c r="A77" s="229"/>
      <c r="B77" s="27" t="s">
        <v>149</v>
      </c>
      <c r="C77" s="181" t="s">
        <v>17</v>
      </c>
      <c r="D77" s="182"/>
      <c r="E77" s="183" t="s">
        <v>383</v>
      </c>
      <c r="F77" s="73" t="s">
        <v>438</v>
      </c>
      <c r="G77" s="230" t="s">
        <v>118</v>
      </c>
      <c r="H77" s="181">
        <v>16</v>
      </c>
      <c r="I77" s="234">
        <v>2</v>
      </c>
      <c r="J77" s="190">
        <v>2</v>
      </c>
      <c r="K77" s="193">
        <v>3988.2</v>
      </c>
      <c r="L77" s="193">
        <v>3988.2</v>
      </c>
      <c r="M77" s="78">
        <f t="shared" si="1"/>
        <v>0</v>
      </c>
      <c r="N77" s="114">
        <v>7</v>
      </c>
      <c r="O77" s="224">
        <v>9835.52</v>
      </c>
      <c r="P77" s="224">
        <v>9835.52</v>
      </c>
      <c r="Q77" s="232">
        <f t="shared" si="2"/>
        <v>0</v>
      </c>
    </row>
    <row r="78" spans="1:17" s="13" customFormat="1" x14ac:dyDescent="0.25">
      <c r="A78" s="229"/>
      <c r="B78" s="62" t="s">
        <v>107</v>
      </c>
      <c r="C78" s="181" t="s">
        <v>17</v>
      </c>
      <c r="D78" s="182"/>
      <c r="E78" s="194" t="s">
        <v>20</v>
      </c>
      <c r="F78" s="73" t="s">
        <v>355</v>
      </c>
      <c r="G78" s="74" t="s">
        <v>112</v>
      </c>
      <c r="H78" s="75">
        <v>14</v>
      </c>
      <c r="I78" s="76">
        <v>10</v>
      </c>
      <c r="J78" s="96">
        <f>1+3+3+2+1+2+1</f>
        <v>13</v>
      </c>
      <c r="K78" s="77">
        <f>666.63+7071.2+5333.38+13316.37+23091.24+4686.95+2216.53+401.4+401.4</f>
        <v>57185.100000000006</v>
      </c>
      <c r="L78" s="77">
        <f>666.63+7071.2+5333.38+13316.37+23091.24+4686.95+2216.53+401.4+401.4</f>
        <v>57185.100000000006</v>
      </c>
      <c r="M78" s="78">
        <f t="shared" ref="M78:M141" si="3">K78-L78</f>
        <v>0</v>
      </c>
      <c r="N78" s="100">
        <f>2+6+1+1+2</f>
        <v>12</v>
      </c>
      <c r="O78" s="81">
        <f>7612.92+18804.48+9163.33+3260.98+6297.63+2609.1</f>
        <v>47748.44</v>
      </c>
      <c r="P78" s="81">
        <f>7612.92+18804.48+9163.33+3260.98+6297.63+2609.1</f>
        <v>47748.44</v>
      </c>
      <c r="Q78" s="79">
        <f t="shared" si="2"/>
        <v>0</v>
      </c>
    </row>
    <row r="79" spans="1:17" s="13" customFormat="1" x14ac:dyDescent="0.25">
      <c r="A79" s="229"/>
      <c r="B79" s="30" t="s">
        <v>54</v>
      </c>
      <c r="C79" s="181" t="s">
        <v>17</v>
      </c>
      <c r="D79" s="182"/>
      <c r="E79" s="194" t="s">
        <v>20</v>
      </c>
      <c r="F79" s="73" t="s">
        <v>356</v>
      </c>
      <c r="G79" s="74" t="s">
        <v>112</v>
      </c>
      <c r="H79" s="75"/>
      <c r="I79" s="76"/>
      <c r="J79" s="96"/>
      <c r="K79" s="77">
        <f>9075.37</f>
        <v>9075.3700000000008</v>
      </c>
      <c r="L79" s="77">
        <f>9075.37</f>
        <v>9075.3700000000008</v>
      </c>
      <c r="M79" s="78">
        <f t="shared" si="3"/>
        <v>0</v>
      </c>
      <c r="N79" s="100">
        <f>4+1+1+2+1</f>
        <v>9</v>
      </c>
      <c r="O79" s="81">
        <f>17895.28+17443.73+5473.41+2994.97</f>
        <v>43807.39</v>
      </c>
      <c r="P79" s="81">
        <f>17895.28+17443.73+5473.41+2994.97</f>
        <v>43807.39</v>
      </c>
      <c r="Q79" s="79">
        <f t="shared" si="2"/>
        <v>0</v>
      </c>
    </row>
    <row r="80" spans="1:17" s="13" customFormat="1" ht="30" x14ac:dyDescent="0.25">
      <c r="A80" s="229"/>
      <c r="B80" s="27" t="s">
        <v>55</v>
      </c>
      <c r="C80" s="181" t="s">
        <v>304</v>
      </c>
      <c r="D80" s="182" t="s">
        <v>387</v>
      </c>
      <c r="E80" s="183" t="s">
        <v>20</v>
      </c>
      <c r="F80" s="73" t="s">
        <v>357</v>
      </c>
      <c r="G80" s="74" t="s">
        <v>112</v>
      </c>
      <c r="H80" s="75">
        <v>23</v>
      </c>
      <c r="I80" s="76">
        <v>18</v>
      </c>
      <c r="J80" s="98">
        <f>3+1+1+2+1+1+1+3+3+1</f>
        <v>17</v>
      </c>
      <c r="K80" s="77">
        <f>1267.86+6667.8+5756.15+1180.38+4780.37+4352.43+2850.42+2493.42+1404.9+10097.91+883.08</f>
        <v>41734.720000000001</v>
      </c>
      <c r="L80" s="77">
        <f>1267.86+6667.8+5756.15+1180.38+4780.37+4352.43+2850.42+2493.42+1404.9+10097.91+883.08</f>
        <v>41734.720000000001</v>
      </c>
      <c r="M80" s="78">
        <f t="shared" si="3"/>
        <v>0</v>
      </c>
      <c r="N80" s="100">
        <f>2+1+2+2+2+1+2+1+1+1</f>
        <v>15</v>
      </c>
      <c r="O80" s="81">
        <f>34854.19+2113.1+6430.67+5463.42+39145.22+2535.72+5132.44+12985.86+3492.63</f>
        <v>112153.25000000001</v>
      </c>
      <c r="P80" s="81">
        <f>34854.19+2113.1+6430.67+5463.42+39145.22+2535.72+5132.44+12985.86+3492.63</f>
        <v>112153.25000000001</v>
      </c>
      <c r="Q80" s="232">
        <f t="shared" si="2"/>
        <v>0</v>
      </c>
    </row>
    <row r="81" spans="1:17" s="13" customFormat="1" ht="30" x14ac:dyDescent="0.25">
      <c r="A81" s="229"/>
      <c r="B81" s="62" t="s">
        <v>56</v>
      </c>
      <c r="C81" s="181" t="s">
        <v>17</v>
      </c>
      <c r="D81" s="182" t="s">
        <v>386</v>
      </c>
      <c r="E81" s="183" t="s">
        <v>18</v>
      </c>
      <c r="F81" s="73" t="s">
        <v>358</v>
      </c>
      <c r="G81" s="74" t="s">
        <v>112</v>
      </c>
      <c r="H81" s="75">
        <v>14</v>
      </c>
      <c r="I81" s="76">
        <v>11</v>
      </c>
      <c r="J81" s="96">
        <f>1+1+2+2+5+1</f>
        <v>12</v>
      </c>
      <c r="K81" s="77">
        <f>678.11+678.11+4865.7+5265.72+4915.15+2243.02</f>
        <v>18645.810000000001</v>
      </c>
      <c r="L81" s="77">
        <f>678.11+678.11+4865.7+5265.72+4915.15+2243.02</f>
        <v>18645.810000000001</v>
      </c>
      <c r="M81" s="78">
        <f t="shared" si="3"/>
        <v>0</v>
      </c>
      <c r="N81" s="100">
        <f>1</f>
        <v>1</v>
      </c>
      <c r="O81" s="81">
        <f>4395.5</f>
        <v>4395.5</v>
      </c>
      <c r="P81" s="81">
        <f>4395.5</f>
        <v>4395.5</v>
      </c>
      <c r="Q81" s="79">
        <f t="shared" si="2"/>
        <v>0</v>
      </c>
    </row>
    <row r="82" spans="1:17" s="13" customFormat="1" ht="30" x14ac:dyDescent="0.25">
      <c r="A82" s="229"/>
      <c r="B82" s="62" t="s">
        <v>56</v>
      </c>
      <c r="C82" s="181" t="s">
        <v>304</v>
      </c>
      <c r="D82" s="182" t="s">
        <v>386</v>
      </c>
      <c r="E82" s="183" t="s">
        <v>18</v>
      </c>
      <c r="F82" s="73" t="s">
        <v>476</v>
      </c>
      <c r="G82" s="230" t="s">
        <v>113</v>
      </c>
      <c r="H82" s="181">
        <v>14</v>
      </c>
      <c r="I82" s="234">
        <v>10</v>
      </c>
      <c r="J82" s="98">
        <v>11</v>
      </c>
      <c r="K82" s="77">
        <v>20460</v>
      </c>
      <c r="L82" s="77">
        <v>20460</v>
      </c>
      <c r="M82" s="78">
        <f t="shared" si="3"/>
        <v>0</v>
      </c>
      <c r="N82" s="100"/>
      <c r="O82" s="224">
        <v>7612</v>
      </c>
      <c r="P82" s="224">
        <v>7612</v>
      </c>
      <c r="Q82" s="232">
        <f t="shared" ref="Q82:Q147" si="4">O82-P82</f>
        <v>0</v>
      </c>
    </row>
    <row r="83" spans="1:17" s="13" customFormat="1" x14ac:dyDescent="0.25">
      <c r="A83" s="229"/>
      <c r="B83" s="62" t="s">
        <v>156</v>
      </c>
      <c r="C83" s="181" t="s">
        <v>304</v>
      </c>
      <c r="D83" s="182"/>
      <c r="E83" s="183" t="s">
        <v>20</v>
      </c>
      <c r="F83" s="73" t="s">
        <v>359</v>
      </c>
      <c r="G83" s="74" t="s">
        <v>112</v>
      </c>
      <c r="H83" s="75">
        <v>5</v>
      </c>
      <c r="I83" s="76">
        <v>2</v>
      </c>
      <c r="J83" s="96">
        <f>2</f>
        <v>2</v>
      </c>
      <c r="K83" s="77">
        <f>1690.48+993.47</f>
        <v>2683.95</v>
      </c>
      <c r="L83" s="77">
        <f>1690.48+993.47</f>
        <v>2683.95</v>
      </c>
      <c r="M83" s="78">
        <f t="shared" si="3"/>
        <v>0</v>
      </c>
      <c r="N83" s="100">
        <f>3+1+1</f>
        <v>5</v>
      </c>
      <c r="O83" s="81">
        <f>5488.54+2398.37+422.62+1605.6</f>
        <v>9915.130000000001</v>
      </c>
      <c r="P83" s="81">
        <f>5488.54+2398.37+422.62+1605.6</f>
        <v>9915.130000000001</v>
      </c>
      <c r="Q83" s="79">
        <f t="shared" si="4"/>
        <v>0</v>
      </c>
    </row>
    <row r="84" spans="1:17" s="15" customFormat="1" x14ac:dyDescent="0.25">
      <c r="A84" s="229"/>
      <c r="B84" s="62" t="s">
        <v>57</v>
      </c>
      <c r="C84" s="181" t="s">
        <v>17</v>
      </c>
      <c r="D84" s="182"/>
      <c r="E84" s="183" t="s">
        <v>20</v>
      </c>
      <c r="F84" s="73" t="s">
        <v>360</v>
      </c>
      <c r="G84" s="74" t="s">
        <v>112</v>
      </c>
      <c r="H84" s="75">
        <v>8</v>
      </c>
      <c r="I84" s="76">
        <v>6</v>
      </c>
      <c r="J84" s="96">
        <f>2+1+1+2</f>
        <v>6</v>
      </c>
      <c r="K84" s="77">
        <f>806.82+1728.9+422.62+2958.34</f>
        <v>5916.68</v>
      </c>
      <c r="L84" s="77">
        <f>806.82+1728.9+422.62+2958.34</f>
        <v>5916.68</v>
      </c>
      <c r="M84" s="78">
        <f t="shared" si="3"/>
        <v>0</v>
      </c>
      <c r="N84" s="100">
        <f>2+1</f>
        <v>3</v>
      </c>
      <c r="O84" s="81">
        <f>2745.3</f>
        <v>2745.3</v>
      </c>
      <c r="P84" s="81">
        <f>2745.3</f>
        <v>2745.3</v>
      </c>
      <c r="Q84" s="232">
        <f t="shared" si="4"/>
        <v>0</v>
      </c>
    </row>
    <row r="85" spans="1:17" s="15" customFormat="1" x14ac:dyDescent="0.25">
      <c r="A85" s="229"/>
      <c r="B85" s="62" t="s">
        <v>57</v>
      </c>
      <c r="C85" s="181" t="s">
        <v>17</v>
      </c>
      <c r="D85" s="182"/>
      <c r="E85" s="183" t="s">
        <v>20</v>
      </c>
      <c r="F85" s="73" t="s">
        <v>458</v>
      </c>
      <c r="G85" s="230" t="s">
        <v>114</v>
      </c>
      <c r="H85" s="181">
        <v>36</v>
      </c>
      <c r="I85" s="231">
        <v>15</v>
      </c>
      <c r="J85" s="190">
        <v>15</v>
      </c>
      <c r="K85" s="77">
        <v>44800.97</v>
      </c>
      <c r="L85" s="77">
        <v>44800.97</v>
      </c>
      <c r="M85" s="78">
        <f t="shared" si="3"/>
        <v>0</v>
      </c>
      <c r="N85" s="100">
        <v>20</v>
      </c>
      <c r="O85" s="224">
        <v>42687.199999999997</v>
      </c>
      <c r="P85" s="224">
        <v>42687.199999999997</v>
      </c>
      <c r="Q85" s="232">
        <f t="shared" si="4"/>
        <v>0</v>
      </c>
    </row>
    <row r="86" spans="1:17" s="13" customFormat="1" x14ac:dyDescent="0.25">
      <c r="A86" s="229"/>
      <c r="B86" s="62" t="s">
        <v>58</v>
      </c>
      <c r="C86" s="181" t="s">
        <v>17</v>
      </c>
      <c r="D86" s="182"/>
      <c r="E86" s="183" t="s">
        <v>20</v>
      </c>
      <c r="F86" s="73" t="s">
        <v>361</v>
      </c>
      <c r="G86" s="74" t="s">
        <v>112</v>
      </c>
      <c r="H86" s="75">
        <v>10</v>
      </c>
      <c r="I86" s="76">
        <v>7</v>
      </c>
      <c r="J86" s="96">
        <f>1+2+1+1+1+1</f>
        <v>7</v>
      </c>
      <c r="K86" s="77">
        <f>1892.47+3118.94+422.62+1324.62</f>
        <v>6758.65</v>
      </c>
      <c r="L86" s="77">
        <f>1892.47+3118.94+422.62+1324.62</f>
        <v>6758.65</v>
      </c>
      <c r="M86" s="78">
        <f t="shared" si="3"/>
        <v>0</v>
      </c>
      <c r="N86" s="100">
        <f>1+1+3+1</f>
        <v>6</v>
      </c>
      <c r="O86" s="81">
        <f>9196.24+2480.78+2954.11+15214.32</f>
        <v>29845.45</v>
      </c>
      <c r="P86" s="81">
        <f>9196.24+2480.78+2954.11+15214.32</f>
        <v>29845.45</v>
      </c>
      <c r="Q86" s="232">
        <f t="shared" si="4"/>
        <v>0</v>
      </c>
    </row>
    <row r="87" spans="1:17" s="13" customFormat="1" x14ac:dyDescent="0.25">
      <c r="A87" s="229"/>
      <c r="B87" s="62" t="s">
        <v>58</v>
      </c>
      <c r="C87" s="181" t="s">
        <v>17</v>
      </c>
      <c r="D87" s="182"/>
      <c r="E87" s="183" t="s">
        <v>20</v>
      </c>
      <c r="F87" s="73" t="s">
        <v>478</v>
      </c>
      <c r="G87" s="230" t="s">
        <v>114</v>
      </c>
      <c r="H87" s="181">
        <v>15</v>
      </c>
      <c r="I87" s="231">
        <v>3</v>
      </c>
      <c r="J87" s="190">
        <v>3</v>
      </c>
      <c r="K87" s="77">
        <v>3765.16</v>
      </c>
      <c r="L87" s="77">
        <v>3765.16</v>
      </c>
      <c r="M87" s="78">
        <f t="shared" si="3"/>
        <v>0</v>
      </c>
      <c r="N87" s="100">
        <v>21</v>
      </c>
      <c r="O87" s="224">
        <v>54215.77</v>
      </c>
      <c r="P87" s="224">
        <v>54215.77</v>
      </c>
      <c r="Q87" s="232">
        <f t="shared" si="4"/>
        <v>0</v>
      </c>
    </row>
    <row r="88" spans="1:17" s="13" customFormat="1" x14ac:dyDescent="0.25">
      <c r="A88" s="229"/>
      <c r="B88" s="62" t="s">
        <v>59</v>
      </c>
      <c r="C88" s="181" t="s">
        <v>17</v>
      </c>
      <c r="D88" s="182"/>
      <c r="E88" s="183" t="s">
        <v>20</v>
      </c>
      <c r="F88" s="73" t="s">
        <v>362</v>
      </c>
      <c r="G88" s="74" t="s">
        <v>112</v>
      </c>
      <c r="H88" s="75">
        <v>13</v>
      </c>
      <c r="I88" s="76">
        <v>8</v>
      </c>
      <c r="J88" s="96">
        <f>1+1+1+3+1+1</f>
        <v>8</v>
      </c>
      <c r="K88" s="77">
        <f>403.41+1431.16+845.24+998.92+3059.87</f>
        <v>6738.6</v>
      </c>
      <c r="L88" s="77">
        <f>403.41+1431.16+845.24+998.92+3059.87</f>
        <v>6738.6</v>
      </c>
      <c r="M88" s="78">
        <f t="shared" si="3"/>
        <v>0</v>
      </c>
      <c r="N88" s="100">
        <f>1+2+2+1+1+1+1</f>
        <v>9</v>
      </c>
      <c r="O88" s="81">
        <f>6646.05+1267.86+979.71</f>
        <v>8893.619999999999</v>
      </c>
      <c r="P88" s="81">
        <f>2353.23+5561.68+978.71</f>
        <v>8893.619999999999</v>
      </c>
      <c r="Q88" s="232">
        <f t="shared" si="4"/>
        <v>0</v>
      </c>
    </row>
    <row r="89" spans="1:17" s="13" customFormat="1" x14ac:dyDescent="0.25">
      <c r="A89" s="229"/>
      <c r="B89" s="62" t="s">
        <v>59</v>
      </c>
      <c r="C89" s="181" t="s">
        <v>17</v>
      </c>
      <c r="D89" s="182"/>
      <c r="E89" s="183" t="s">
        <v>20</v>
      </c>
      <c r="F89" s="73" t="s">
        <v>128</v>
      </c>
      <c r="G89" s="230" t="s">
        <v>114</v>
      </c>
      <c r="H89" s="181"/>
      <c r="I89" s="231"/>
      <c r="J89" s="190"/>
      <c r="K89" s="77"/>
      <c r="L89" s="77"/>
      <c r="M89" s="78">
        <f t="shared" si="3"/>
        <v>0</v>
      </c>
      <c r="N89" s="100"/>
      <c r="O89" s="224"/>
      <c r="P89" s="224"/>
      <c r="Q89" s="232">
        <f t="shared" si="4"/>
        <v>0</v>
      </c>
    </row>
    <row r="90" spans="1:17" s="13" customFormat="1" x14ac:dyDescent="0.25">
      <c r="A90" s="229"/>
      <c r="B90" s="27" t="s">
        <v>60</v>
      </c>
      <c r="C90" s="181" t="s">
        <v>17</v>
      </c>
      <c r="D90" s="182"/>
      <c r="E90" s="183" t="s">
        <v>20</v>
      </c>
      <c r="F90" s="73" t="s">
        <v>364</v>
      </c>
      <c r="G90" s="74" t="s">
        <v>112</v>
      </c>
      <c r="H90" s="75">
        <v>20</v>
      </c>
      <c r="I90" s="76">
        <v>11</v>
      </c>
      <c r="J90" s="96">
        <f>1+1+1+4+4+2</f>
        <v>13</v>
      </c>
      <c r="K90" s="77">
        <f>634.93+893.27+2930.22+8503.46</f>
        <v>12961.88</v>
      </c>
      <c r="L90" s="77">
        <f>634.93+893.27+2930.22+8503.46</f>
        <v>12961.88</v>
      </c>
      <c r="M90" s="78">
        <f t="shared" si="3"/>
        <v>0</v>
      </c>
      <c r="N90" s="100">
        <f>4+1+3+1+1+2</f>
        <v>12</v>
      </c>
      <c r="O90" s="81">
        <f>15124.53+2065.75+8492.52+5828.3+7183.28</f>
        <v>38694.379999999997</v>
      </c>
      <c r="P90" s="81">
        <f>15124.53+2065.75+8492.52+5828.3+7183.28</f>
        <v>38694.379999999997</v>
      </c>
      <c r="Q90" s="232">
        <f t="shared" si="4"/>
        <v>0</v>
      </c>
    </row>
    <row r="91" spans="1:17" s="13" customFormat="1" x14ac:dyDescent="0.25">
      <c r="A91" s="229"/>
      <c r="B91" s="27" t="s">
        <v>60</v>
      </c>
      <c r="C91" s="181" t="s">
        <v>17</v>
      </c>
      <c r="D91" s="182"/>
      <c r="E91" s="183" t="s">
        <v>20</v>
      </c>
      <c r="F91" s="73" t="s">
        <v>479</v>
      </c>
      <c r="G91" s="230" t="s">
        <v>114</v>
      </c>
      <c r="H91" s="181">
        <v>14</v>
      </c>
      <c r="I91" s="231">
        <v>4</v>
      </c>
      <c r="J91" s="190">
        <v>4</v>
      </c>
      <c r="K91" s="77">
        <v>8197.2000000000007</v>
      </c>
      <c r="L91" s="77">
        <v>5186.7</v>
      </c>
      <c r="M91" s="78">
        <f t="shared" si="3"/>
        <v>3010.5000000000009</v>
      </c>
      <c r="N91" s="100">
        <v>14</v>
      </c>
      <c r="O91" s="224">
        <v>44683.68</v>
      </c>
      <c r="P91" s="224">
        <v>41221.599999999999</v>
      </c>
      <c r="Q91" s="232">
        <f t="shared" si="4"/>
        <v>3462.0800000000017</v>
      </c>
    </row>
    <row r="92" spans="1:17" s="13" customFormat="1" x14ac:dyDescent="0.25">
      <c r="A92" s="229"/>
      <c r="B92" s="27" t="s">
        <v>493</v>
      </c>
      <c r="C92" s="181" t="s">
        <v>17</v>
      </c>
      <c r="D92" s="182"/>
      <c r="E92" s="183" t="s">
        <v>20</v>
      </c>
      <c r="F92" s="73" t="s">
        <v>496</v>
      </c>
      <c r="G92" s="230" t="s">
        <v>112</v>
      </c>
      <c r="H92" s="181">
        <v>15</v>
      </c>
      <c r="I92" s="231">
        <v>11</v>
      </c>
      <c r="J92" s="190">
        <f>3+2+1+3+1+2+1+3</f>
        <v>16</v>
      </c>
      <c r="K92" s="77">
        <f>3387.04+3467.41+1267.86+2218.74+8089.94+1924.71+5638.36</f>
        <v>25994.059999999998</v>
      </c>
      <c r="L92" s="77">
        <f>3387.04+3467.41+1267.86+2218.74+8089.94+1924.71+5638.36</f>
        <v>25994.059999999998</v>
      </c>
      <c r="M92" s="78">
        <f t="shared" si="3"/>
        <v>0</v>
      </c>
      <c r="N92" s="100"/>
      <c r="O92" s="224"/>
      <c r="P92" s="224"/>
      <c r="Q92" s="232">
        <f t="shared" si="4"/>
        <v>0</v>
      </c>
    </row>
    <row r="93" spans="1:17" s="15" customFormat="1" x14ac:dyDescent="0.25">
      <c r="A93" s="229"/>
      <c r="B93" s="27" t="s">
        <v>61</v>
      </c>
      <c r="C93" s="181" t="s">
        <v>17</v>
      </c>
      <c r="D93" s="182"/>
      <c r="E93" s="183" t="s">
        <v>20</v>
      </c>
      <c r="F93" s="73" t="s">
        <v>363</v>
      </c>
      <c r="G93" s="74" t="s">
        <v>112</v>
      </c>
      <c r="H93" s="75"/>
      <c r="I93" s="76"/>
      <c r="J93" s="96"/>
      <c r="K93" s="77"/>
      <c r="L93" s="77"/>
      <c r="M93" s="78">
        <f t="shared" si="3"/>
        <v>0</v>
      </c>
      <c r="N93" s="100"/>
      <c r="O93" s="81"/>
      <c r="P93" s="81"/>
      <c r="Q93" s="232">
        <f t="shared" si="4"/>
        <v>0</v>
      </c>
    </row>
    <row r="94" spans="1:17" s="15" customFormat="1" x14ac:dyDescent="0.25">
      <c r="A94" s="229"/>
      <c r="B94" s="236" t="s">
        <v>306</v>
      </c>
      <c r="C94" s="181" t="s">
        <v>17</v>
      </c>
      <c r="D94" s="182"/>
      <c r="E94" s="183" t="s">
        <v>35</v>
      </c>
      <c r="F94" s="73" t="s">
        <v>365</v>
      </c>
      <c r="G94" s="230" t="s">
        <v>112</v>
      </c>
      <c r="H94" s="181">
        <v>39</v>
      </c>
      <c r="I94" s="231">
        <v>25</v>
      </c>
      <c r="J94" s="190">
        <f>1+2+1+3+3+2+3+1+2+1+3+4</f>
        <v>26</v>
      </c>
      <c r="K94" s="77">
        <f>1045.98+2658.7+35696.14+4892.46+1024.04+2384.53+10793.24+5320.79+2075.24+1324.62+1192.16+2649.24</f>
        <v>71057.14</v>
      </c>
      <c r="L94" s="77">
        <f>1045.98+2658.7+35696.14+4892.46+1024.04+2384.53+10793.24+5320.79+2075.24+1324.62+1192.16+2649.24</f>
        <v>71057.14</v>
      </c>
      <c r="M94" s="78">
        <f t="shared" si="3"/>
        <v>0</v>
      </c>
      <c r="N94" s="114">
        <f>7+2+2+2+1+1+1</f>
        <v>16</v>
      </c>
      <c r="O94" s="224">
        <f>2313.84+6162.57+2330.32+1690.48+3706.14+3107.65+4960.7</f>
        <v>24271.7</v>
      </c>
      <c r="P94" s="224">
        <f>2313.84+6162.57+2330.32+1690.48+3706.14+3107.65+4960.7</f>
        <v>24271.7</v>
      </c>
      <c r="Q94" s="232">
        <f t="shared" si="4"/>
        <v>0</v>
      </c>
    </row>
    <row r="95" spans="1:17" s="13" customFormat="1" x14ac:dyDescent="0.25">
      <c r="A95" s="229"/>
      <c r="B95" s="62" t="s">
        <v>306</v>
      </c>
      <c r="C95" s="181" t="s">
        <v>17</v>
      </c>
      <c r="D95" s="182"/>
      <c r="E95" s="183" t="s">
        <v>27</v>
      </c>
      <c r="F95" s="73" t="s">
        <v>421</v>
      </c>
      <c r="G95" s="230" t="s">
        <v>117</v>
      </c>
      <c r="H95" s="181">
        <v>5</v>
      </c>
      <c r="I95" s="231"/>
      <c r="J95" s="96"/>
      <c r="K95" s="77"/>
      <c r="L95" s="77"/>
      <c r="M95" s="78">
        <f t="shared" si="3"/>
        <v>0</v>
      </c>
      <c r="N95" s="100"/>
      <c r="O95" s="77"/>
      <c r="P95" s="77"/>
      <c r="Q95" s="79">
        <f>O95-P95</f>
        <v>0</v>
      </c>
    </row>
    <row r="96" spans="1:17" s="13" customFormat="1" x14ac:dyDescent="0.25">
      <c r="A96" s="229"/>
      <c r="B96" s="27" t="s">
        <v>62</v>
      </c>
      <c r="C96" s="181" t="s">
        <v>17</v>
      </c>
      <c r="D96" s="182"/>
      <c r="E96" s="183" t="s">
        <v>35</v>
      </c>
      <c r="F96" s="73" t="s">
        <v>366</v>
      </c>
      <c r="G96" s="74" t="s">
        <v>112</v>
      </c>
      <c r="H96" s="75">
        <v>31</v>
      </c>
      <c r="I96" s="76">
        <v>26</v>
      </c>
      <c r="J96" s="96">
        <f>1+3+1+1+2+4+4+3+3+4</f>
        <v>26</v>
      </c>
      <c r="K96" s="77">
        <f>3613.4+1872.01+1394.65+3518.32+15902.72+5370.89+2686.97+19155.26+5281.5</f>
        <v>58795.72</v>
      </c>
      <c r="L96" s="77">
        <f>3613.4+1872.01+1394.65+3518.32+15902.72+5370.89+2686.97+19155.26+5281.5</f>
        <v>58795.72</v>
      </c>
      <c r="M96" s="78">
        <f t="shared" si="3"/>
        <v>0</v>
      </c>
      <c r="N96" s="100">
        <f>6+2+1+2+1+3+1+1</f>
        <v>17</v>
      </c>
      <c r="O96" s="81">
        <f>19511.33+1270.93+3979.74+2500.85+8530.18+845.24+12787.47+17476.07</f>
        <v>66901.81</v>
      </c>
      <c r="P96" s="81">
        <f>19511.33+1270.93+3979.74+2500.85+8530.18+845.24+12787.47+17476.07</f>
        <v>66901.81</v>
      </c>
      <c r="Q96" s="79">
        <f t="shared" si="4"/>
        <v>0</v>
      </c>
    </row>
    <row r="97" spans="1:17" s="13" customFormat="1" x14ac:dyDescent="0.25">
      <c r="A97" s="229"/>
      <c r="B97" s="27" t="s">
        <v>62</v>
      </c>
      <c r="C97" s="181" t="s">
        <v>17</v>
      </c>
      <c r="D97" s="182"/>
      <c r="E97" s="183" t="s">
        <v>35</v>
      </c>
      <c r="F97" s="73" t="s">
        <v>428</v>
      </c>
      <c r="G97" s="230" t="s">
        <v>117</v>
      </c>
      <c r="H97" s="181">
        <v>6</v>
      </c>
      <c r="I97" s="231"/>
      <c r="J97" s="96"/>
      <c r="K97" s="77"/>
      <c r="L97" s="77"/>
      <c r="M97" s="78">
        <f t="shared" si="3"/>
        <v>0</v>
      </c>
      <c r="N97" s="100">
        <v>9</v>
      </c>
      <c r="O97" s="224">
        <v>22788.1</v>
      </c>
      <c r="P97" s="224">
        <v>22788.1</v>
      </c>
      <c r="Q97" s="232">
        <f t="shared" si="4"/>
        <v>0</v>
      </c>
    </row>
    <row r="98" spans="1:17" s="13" customFormat="1" x14ac:dyDescent="0.25">
      <c r="A98" s="229"/>
      <c r="B98" s="27" t="s">
        <v>155</v>
      </c>
      <c r="C98" s="181" t="s">
        <v>17</v>
      </c>
      <c r="D98" s="182"/>
      <c r="E98" s="183" t="s">
        <v>20</v>
      </c>
      <c r="F98" s="73" t="s">
        <v>367</v>
      </c>
      <c r="G98" s="74" t="s">
        <v>112</v>
      </c>
      <c r="H98" s="75">
        <v>14</v>
      </c>
      <c r="I98" s="82">
        <v>9</v>
      </c>
      <c r="J98" s="96">
        <f>1+2+3+1+2+2+1</f>
        <v>12</v>
      </c>
      <c r="K98" s="77">
        <f>3117.56+2266.78+5307.72+3606.94+1494.21+6905.68+2817.8</f>
        <v>25516.690000000002</v>
      </c>
      <c r="L98" s="77">
        <f>3117.56+2266.78+5307.72+3606.94+1494.21+6905.68+2817.8</f>
        <v>25516.690000000002</v>
      </c>
      <c r="M98" s="78">
        <f t="shared" si="3"/>
        <v>0</v>
      </c>
      <c r="N98" s="100">
        <f>1+1+1+1+1</f>
        <v>5</v>
      </c>
      <c r="O98" s="81">
        <f>1798.06+2123.67+2959.73</f>
        <v>6881.46</v>
      </c>
      <c r="P98" s="81">
        <f>1798.06+2123.67+2959.73</f>
        <v>6881.46</v>
      </c>
      <c r="Q98" s="232">
        <f t="shared" si="4"/>
        <v>0</v>
      </c>
    </row>
    <row r="99" spans="1:17" s="13" customFormat="1" ht="15.75" x14ac:dyDescent="0.25">
      <c r="A99" s="229"/>
      <c r="B99" s="27" t="s">
        <v>155</v>
      </c>
      <c r="C99" s="181" t="s">
        <v>17</v>
      </c>
      <c r="D99" s="182"/>
      <c r="E99" s="183" t="s">
        <v>20</v>
      </c>
      <c r="F99" s="73" t="s">
        <v>459</v>
      </c>
      <c r="G99" s="230" t="s">
        <v>114</v>
      </c>
      <c r="H99" s="1">
        <v>14</v>
      </c>
      <c r="I99" s="231">
        <v>4</v>
      </c>
      <c r="J99" s="190">
        <v>4</v>
      </c>
      <c r="K99" s="77">
        <v>8816.51</v>
      </c>
      <c r="L99" s="77">
        <v>8816.51</v>
      </c>
      <c r="M99" s="78">
        <f t="shared" si="3"/>
        <v>0</v>
      </c>
      <c r="N99" s="100">
        <v>16</v>
      </c>
      <c r="O99" s="224">
        <v>36413.46</v>
      </c>
      <c r="P99" s="224">
        <v>36413.46</v>
      </c>
      <c r="Q99" s="232">
        <f t="shared" si="4"/>
        <v>0</v>
      </c>
    </row>
    <row r="100" spans="1:17" s="13" customFormat="1" x14ac:dyDescent="0.25">
      <c r="A100" s="229"/>
      <c r="B100" s="30" t="s">
        <v>66</v>
      </c>
      <c r="C100" s="181" t="s">
        <v>17</v>
      </c>
      <c r="D100" s="182"/>
      <c r="E100" s="183" t="s">
        <v>21</v>
      </c>
      <c r="F100" s="73" t="s">
        <v>368</v>
      </c>
      <c r="G100" s="74" t="s">
        <v>112</v>
      </c>
      <c r="H100" s="75">
        <v>35</v>
      </c>
      <c r="I100" s="76">
        <v>31</v>
      </c>
      <c r="J100" s="96">
        <f>1+3+2+3+2+1+2+1+3+7+4+3+2+3+4+5</f>
        <v>46</v>
      </c>
      <c r="K100" s="77">
        <f>1045.98+4309.04+3820.12+1872.01+4253.49+3044.79+1191.19+4942.84+9299.2+9796.16+4139.27+2886.87+11269.91+12820.57</f>
        <v>74691.44</v>
      </c>
      <c r="L100" s="77">
        <f>1045.98+4309.04+3820.12+1872.01+4253.49+3044.79+1191.19+4942.84+9299.2+9796.16+4139.27+2886.87+11269.91+12820.57</f>
        <v>74691.44</v>
      </c>
      <c r="M100" s="78">
        <f t="shared" si="3"/>
        <v>0</v>
      </c>
      <c r="N100" s="100">
        <f>6+3+8+7+1+1+1+2+1+1+1+1+1+1</f>
        <v>35</v>
      </c>
      <c r="O100" s="81">
        <f>11911.17+23136+18060.17+1977.84+2091.97+19535.65+19124.11+3199.71+4430.07+5418.9+2717.24</f>
        <v>111602.83</v>
      </c>
      <c r="P100" s="81">
        <f>11911.17+23136+18060.17+1977.84+2091.97+19535.65+19124.11+3199.71+4430.07+5418.9+2717.24</f>
        <v>111602.83</v>
      </c>
      <c r="Q100" s="232">
        <f t="shared" si="4"/>
        <v>0</v>
      </c>
    </row>
    <row r="101" spans="1:17" s="13" customFormat="1" x14ac:dyDescent="0.25">
      <c r="A101" s="229"/>
      <c r="B101" s="30" t="s">
        <v>66</v>
      </c>
      <c r="C101" s="181" t="s">
        <v>17</v>
      </c>
      <c r="D101" s="182"/>
      <c r="E101" s="183" t="s">
        <v>21</v>
      </c>
      <c r="F101" s="73" t="s">
        <v>439</v>
      </c>
      <c r="G101" s="230" t="s">
        <v>118</v>
      </c>
      <c r="H101" s="181">
        <v>7</v>
      </c>
      <c r="I101" s="231">
        <v>3</v>
      </c>
      <c r="J101" s="96">
        <v>3</v>
      </c>
      <c r="K101" s="77">
        <v>5367.3</v>
      </c>
      <c r="L101" s="77">
        <v>5367.3</v>
      </c>
      <c r="M101" s="78">
        <f t="shared" si="3"/>
        <v>0</v>
      </c>
      <c r="N101" s="100">
        <v>24</v>
      </c>
      <c r="O101" s="224">
        <v>81462.58</v>
      </c>
      <c r="P101" s="224">
        <v>81462.58</v>
      </c>
      <c r="Q101" s="79">
        <f t="shared" si="4"/>
        <v>0</v>
      </c>
    </row>
    <row r="102" spans="1:17" s="13" customFormat="1" x14ac:dyDescent="0.25">
      <c r="A102" s="229"/>
      <c r="B102" s="62" t="s">
        <v>137</v>
      </c>
      <c r="C102" s="181" t="s">
        <v>17</v>
      </c>
      <c r="D102" s="182"/>
      <c r="E102" s="194" t="s">
        <v>35</v>
      </c>
      <c r="F102" s="73" t="s">
        <v>369</v>
      </c>
      <c r="G102" s="74" t="s">
        <v>112</v>
      </c>
      <c r="H102" s="75">
        <v>36</v>
      </c>
      <c r="I102" s="76">
        <v>25</v>
      </c>
      <c r="J102" s="96">
        <f>3+3+1+4+1+3+2+3+6</f>
        <v>26</v>
      </c>
      <c r="K102" s="77">
        <f>504.26+845.24+3380.96+422.62+2535.72+6256.62+883.08+2649.24+4395.33</f>
        <v>21873.07</v>
      </c>
      <c r="L102" s="77">
        <f>504.26+845.24+3380.96+422.62+2535.72+6256.62+883.08+2649.24+4395.33</f>
        <v>21873.07</v>
      </c>
      <c r="M102" s="78">
        <f t="shared" si="3"/>
        <v>0</v>
      </c>
      <c r="N102" s="100">
        <f>5+1+1+2+1</f>
        <v>10</v>
      </c>
      <c r="O102" s="81">
        <f>2617.36+422.62+3852.18+3380.96+422.62</f>
        <v>10695.74</v>
      </c>
      <c r="P102" s="81">
        <f>2617.36+422.62+3852.18+3380.96+422.62</f>
        <v>10695.74</v>
      </c>
      <c r="Q102" s="232">
        <f t="shared" si="4"/>
        <v>0</v>
      </c>
    </row>
    <row r="103" spans="1:17" s="13" customFormat="1" x14ac:dyDescent="0.25">
      <c r="A103" s="229"/>
      <c r="B103" s="62" t="s">
        <v>137</v>
      </c>
      <c r="C103" s="181" t="s">
        <v>17</v>
      </c>
      <c r="D103" s="182"/>
      <c r="E103" s="194" t="s">
        <v>35</v>
      </c>
      <c r="F103" s="73" t="s">
        <v>429</v>
      </c>
      <c r="G103" s="230" t="s">
        <v>117</v>
      </c>
      <c r="H103" s="181">
        <v>12</v>
      </c>
      <c r="I103" s="231">
        <v>4</v>
      </c>
      <c r="J103" s="190">
        <v>4</v>
      </c>
      <c r="K103" s="193">
        <v>4530.1000000000004</v>
      </c>
      <c r="L103" s="193">
        <v>4530.1000000000004</v>
      </c>
      <c r="M103" s="78">
        <f t="shared" si="3"/>
        <v>0</v>
      </c>
      <c r="N103" s="114">
        <v>2</v>
      </c>
      <c r="O103" s="224">
        <v>10565.5</v>
      </c>
      <c r="P103" s="224">
        <v>10565.5</v>
      </c>
      <c r="Q103" s="79">
        <f t="shared" si="4"/>
        <v>0</v>
      </c>
    </row>
    <row r="104" spans="1:17" s="13" customFormat="1" x14ac:dyDescent="0.25">
      <c r="A104" s="229"/>
      <c r="B104" s="30" t="s">
        <v>67</v>
      </c>
      <c r="C104" s="181" t="s">
        <v>17</v>
      </c>
      <c r="D104" s="182"/>
      <c r="E104" s="194" t="s">
        <v>21</v>
      </c>
      <c r="F104" s="73" t="s">
        <v>370</v>
      </c>
      <c r="G104" s="74" t="s">
        <v>112</v>
      </c>
      <c r="H104" s="75">
        <v>39</v>
      </c>
      <c r="I104" s="76">
        <v>29</v>
      </c>
      <c r="J104" s="96">
        <f>2+1+1+2+1+1+2+2+1+2+5+5+2+5+3</f>
        <v>35</v>
      </c>
      <c r="K104" s="77">
        <f>3319.85+1198.9+864.45+7235.32+1947.89+5377.75+8701.73+3581.7+8737.54+7647.65</f>
        <v>48612.780000000006</v>
      </c>
      <c r="L104" s="77">
        <f>3319.85+1198.9+864.45+7235.32+1947.89+5377.75+8701.73+3581.7+8737.54+7647.65</f>
        <v>48612.780000000006</v>
      </c>
      <c r="M104" s="78">
        <f t="shared" si="3"/>
        <v>0</v>
      </c>
      <c r="N104" s="100">
        <f>4+9+4+4+1+3+1+3+1+1+1+1+1+1</f>
        <v>35</v>
      </c>
      <c r="O104" s="81">
        <f>29696.65+38129.03+13567.9+20687.05+2022.79+8145.77+17250.05+1233.28+5568.04+11106.62</f>
        <v>147407.18</v>
      </c>
      <c r="P104" s="81">
        <f>29696.65+38129.03+13567.9+20687.05+2022.79+8145.77+17250.05+1233.28+5568.04+11106.62</f>
        <v>147407.18</v>
      </c>
      <c r="Q104" s="232">
        <f t="shared" si="4"/>
        <v>0</v>
      </c>
    </row>
    <row r="105" spans="1:17" s="13" customFormat="1" x14ac:dyDescent="0.25">
      <c r="A105" s="229"/>
      <c r="B105" s="30" t="s">
        <v>67</v>
      </c>
      <c r="C105" s="181" t="s">
        <v>17</v>
      </c>
      <c r="D105" s="182"/>
      <c r="E105" s="194" t="s">
        <v>21</v>
      </c>
      <c r="F105" s="73" t="s">
        <v>440</v>
      </c>
      <c r="G105" s="230" t="s">
        <v>118</v>
      </c>
      <c r="H105" s="181">
        <v>15</v>
      </c>
      <c r="I105" s="231">
        <v>2</v>
      </c>
      <c r="J105" s="96">
        <v>2</v>
      </c>
      <c r="K105" s="77">
        <v>5282.54</v>
      </c>
      <c r="L105" s="77">
        <v>5282.54</v>
      </c>
      <c r="M105" s="78">
        <f t="shared" si="3"/>
        <v>0</v>
      </c>
      <c r="N105" s="100">
        <v>22</v>
      </c>
      <c r="O105" s="224">
        <v>74857.98</v>
      </c>
      <c r="P105" s="224">
        <v>74857.98</v>
      </c>
      <c r="Q105" s="79">
        <f t="shared" si="4"/>
        <v>0</v>
      </c>
    </row>
    <row r="106" spans="1:17" s="13" customFormat="1" x14ac:dyDescent="0.25">
      <c r="A106" s="229"/>
      <c r="B106" s="30" t="s">
        <v>68</v>
      </c>
      <c r="C106" s="181" t="s">
        <v>17</v>
      </c>
      <c r="D106" s="182"/>
      <c r="E106" s="194" t="s">
        <v>32</v>
      </c>
      <c r="F106" s="73" t="s">
        <v>371</v>
      </c>
      <c r="G106" s="74" t="s">
        <v>112</v>
      </c>
      <c r="H106" s="75">
        <v>20</v>
      </c>
      <c r="I106" s="76">
        <v>18</v>
      </c>
      <c r="J106" s="96">
        <f>2+1+2+5+5+3+1+2+2</f>
        <v>23</v>
      </c>
      <c r="K106" s="77">
        <f>1128.59+422.62+1152.6+4557.81+10981.59+5362.88+4996.85+4352.15+3073.96+3697.9+1003.5</f>
        <v>40730.450000000004</v>
      </c>
      <c r="L106" s="77">
        <f>1128.59+422.62+1152.6+4557.81+10981.59+5362.88+4996.85+4352.15+3073.96+3697.9+1003.5</f>
        <v>40730.450000000004</v>
      </c>
      <c r="M106" s="78">
        <f t="shared" si="3"/>
        <v>0</v>
      </c>
      <c r="N106" s="100">
        <f>6+5+1+4+2+2+1+1</f>
        <v>22</v>
      </c>
      <c r="O106" s="81">
        <f>7813.73+8523.5+1452.28+12582.19+18077.76+4987.46+2373.79+1831.3</f>
        <v>57642.009999999995</v>
      </c>
      <c r="P106" s="81">
        <f>7813.73+8523.5+1452.28+12582.19+18077.76+4987.46+2373.79+1831.3</f>
        <v>57642.009999999995</v>
      </c>
      <c r="Q106" s="232">
        <f t="shared" si="4"/>
        <v>0</v>
      </c>
    </row>
    <row r="107" spans="1:17" s="13" customFormat="1" x14ac:dyDescent="0.25">
      <c r="A107" s="229"/>
      <c r="B107" s="30" t="s">
        <v>68</v>
      </c>
      <c r="C107" s="181" t="s">
        <v>17</v>
      </c>
      <c r="D107" s="182"/>
      <c r="E107" s="194" t="s">
        <v>32</v>
      </c>
      <c r="F107" s="73" t="s">
        <v>430</v>
      </c>
      <c r="G107" s="235" t="s">
        <v>117</v>
      </c>
      <c r="H107" s="181">
        <v>4</v>
      </c>
      <c r="I107" s="231">
        <v>2</v>
      </c>
      <c r="J107" s="96">
        <v>2</v>
      </c>
      <c r="K107" s="77">
        <v>1204.2</v>
      </c>
      <c r="L107" s="77">
        <v>1204.2</v>
      </c>
      <c r="M107" s="78">
        <f t="shared" si="3"/>
        <v>0</v>
      </c>
      <c r="N107" s="100"/>
      <c r="O107" s="77"/>
      <c r="P107" s="77"/>
      <c r="Q107" s="79">
        <f t="shared" si="4"/>
        <v>0</v>
      </c>
    </row>
    <row r="108" spans="1:17" s="15" customFormat="1" x14ac:dyDescent="0.25">
      <c r="A108" s="229"/>
      <c r="B108" s="27" t="s">
        <v>69</v>
      </c>
      <c r="C108" s="181" t="s">
        <v>17</v>
      </c>
      <c r="D108" s="182"/>
      <c r="E108" s="183" t="s">
        <v>20</v>
      </c>
      <c r="F108" s="73" t="s">
        <v>372</v>
      </c>
      <c r="G108" s="74" t="s">
        <v>112</v>
      </c>
      <c r="H108" s="75">
        <v>9</v>
      </c>
      <c r="I108" s="76">
        <v>5</v>
      </c>
      <c r="J108" s="96">
        <f>1+1+1+1+3+1</f>
        <v>8</v>
      </c>
      <c r="K108" s="77">
        <f>422.62+17390.69+3114.71+475.45+2326.92+1707.76</f>
        <v>25438.149999999998</v>
      </c>
      <c r="L108" s="77">
        <f>422.62+17390.69+3114.71+475.45+2326.92+1707.76</f>
        <v>25438.149999999998</v>
      </c>
      <c r="M108" s="78">
        <f t="shared" si="3"/>
        <v>0</v>
      </c>
      <c r="N108" s="100">
        <f>3+2+1+1+1+1</f>
        <v>9</v>
      </c>
      <c r="O108" s="77">
        <f>7210.31+3647.96+1306.28+1267.86+2697.06</f>
        <v>16129.470000000001</v>
      </c>
      <c r="P108" s="77">
        <f>7210.31+3647.96+1306.28+1267.86+2697.06</f>
        <v>16129.470000000001</v>
      </c>
      <c r="Q108" s="232">
        <f t="shared" si="4"/>
        <v>0</v>
      </c>
    </row>
    <row r="109" spans="1:17" s="15" customFormat="1" x14ac:dyDescent="0.25">
      <c r="A109" s="229"/>
      <c r="B109" s="236" t="s">
        <v>502</v>
      </c>
      <c r="C109" s="181" t="s">
        <v>17</v>
      </c>
      <c r="D109" s="182"/>
      <c r="E109" s="183" t="s">
        <v>20</v>
      </c>
      <c r="F109" s="73" t="s">
        <v>508</v>
      </c>
      <c r="G109" s="74" t="s">
        <v>112</v>
      </c>
      <c r="H109" s="75">
        <v>14</v>
      </c>
      <c r="I109" s="76">
        <v>9</v>
      </c>
      <c r="J109" s="96">
        <f>4+1+4+1+2</f>
        <v>12</v>
      </c>
      <c r="K109" s="77">
        <f>6145.3+993.47+5403.3+2759.63+2599.77</f>
        <v>17901.47</v>
      </c>
      <c r="L109" s="77">
        <f>6145.3+993.47+5403.3+2759.63+2599.77</f>
        <v>17901.47</v>
      </c>
      <c r="M109" s="78">
        <f t="shared" si="3"/>
        <v>0</v>
      </c>
      <c r="N109" s="100"/>
      <c r="O109" s="77"/>
      <c r="P109" s="77"/>
      <c r="Q109" s="232">
        <f t="shared" si="4"/>
        <v>0</v>
      </c>
    </row>
    <row r="110" spans="1:17" s="15" customFormat="1" x14ac:dyDescent="0.25">
      <c r="A110" s="229"/>
      <c r="B110" s="236" t="s">
        <v>502</v>
      </c>
      <c r="C110" s="181" t="s">
        <v>17</v>
      </c>
      <c r="D110" s="182"/>
      <c r="E110" s="183" t="s">
        <v>32</v>
      </c>
      <c r="F110" s="73" t="s">
        <v>511</v>
      </c>
      <c r="G110" s="235" t="s">
        <v>117</v>
      </c>
      <c r="H110" s="75">
        <v>6</v>
      </c>
      <c r="I110" s="76"/>
      <c r="J110" s="96"/>
      <c r="K110" s="77"/>
      <c r="L110" s="77"/>
      <c r="M110" s="78">
        <f t="shared" si="3"/>
        <v>0</v>
      </c>
      <c r="N110" s="100"/>
      <c r="O110" s="77"/>
      <c r="P110" s="77"/>
      <c r="Q110" s="232">
        <f t="shared" si="4"/>
        <v>0</v>
      </c>
    </row>
    <row r="111" spans="1:17" s="13" customFormat="1" x14ac:dyDescent="0.25">
      <c r="A111" s="229"/>
      <c r="B111" s="62" t="s">
        <v>70</v>
      </c>
      <c r="C111" s="181" t="s">
        <v>17</v>
      </c>
      <c r="D111" s="182"/>
      <c r="E111" s="183" t="s">
        <v>20</v>
      </c>
      <c r="F111" s="73" t="s">
        <v>373</v>
      </c>
      <c r="G111" s="74" t="s">
        <v>112</v>
      </c>
      <c r="H111" s="75">
        <v>17</v>
      </c>
      <c r="I111" s="76">
        <v>10</v>
      </c>
      <c r="J111" s="96">
        <f>2+2+2+3+1+2</f>
        <v>12</v>
      </c>
      <c r="K111" s="77">
        <f>19498+3011.17+8156.45</f>
        <v>30665.62</v>
      </c>
      <c r="L111" s="77">
        <f>19498+3011.17+8156.45</f>
        <v>30665.62</v>
      </c>
      <c r="M111" s="78">
        <f t="shared" si="3"/>
        <v>0</v>
      </c>
      <c r="N111" s="100">
        <f>2+3+4+2+1</f>
        <v>12</v>
      </c>
      <c r="O111" s="81">
        <f>7606.2+16795.84+3492.18</f>
        <v>27894.22</v>
      </c>
      <c r="P111" s="81">
        <f>7606.2+16795.84+3492.18</f>
        <v>27894.22</v>
      </c>
      <c r="Q111" s="79">
        <f t="shared" si="4"/>
        <v>0</v>
      </c>
    </row>
    <row r="112" spans="1:17" s="13" customFormat="1" x14ac:dyDescent="0.25">
      <c r="A112" s="229"/>
      <c r="B112" s="62" t="s">
        <v>70</v>
      </c>
      <c r="C112" s="181" t="s">
        <v>17</v>
      </c>
      <c r="D112" s="182"/>
      <c r="E112" s="183" t="s">
        <v>20</v>
      </c>
      <c r="F112" s="73" t="s">
        <v>460</v>
      </c>
      <c r="G112" s="230" t="s">
        <v>114</v>
      </c>
      <c r="H112" s="181">
        <v>37</v>
      </c>
      <c r="I112" s="231">
        <v>18</v>
      </c>
      <c r="J112" s="190">
        <v>18</v>
      </c>
      <c r="K112" s="77">
        <v>58916.74</v>
      </c>
      <c r="L112" s="77">
        <v>58916.74</v>
      </c>
      <c r="M112" s="78">
        <f t="shared" si="3"/>
        <v>0</v>
      </c>
      <c r="N112" s="100">
        <v>33</v>
      </c>
      <c r="O112" s="224">
        <v>79611.08</v>
      </c>
      <c r="P112" s="224">
        <v>79611.08</v>
      </c>
      <c r="Q112" s="232">
        <f t="shared" si="4"/>
        <v>0</v>
      </c>
    </row>
    <row r="113" spans="1:17" s="15" customFormat="1" x14ac:dyDescent="0.25">
      <c r="A113" s="229"/>
      <c r="B113" s="62" t="s">
        <v>71</v>
      </c>
      <c r="C113" s="181" t="s">
        <v>17</v>
      </c>
      <c r="D113" s="182"/>
      <c r="E113" s="183" t="s">
        <v>32</v>
      </c>
      <c r="F113" s="73" t="s">
        <v>374</v>
      </c>
      <c r="G113" s="74" t="s">
        <v>112</v>
      </c>
      <c r="H113" s="75">
        <v>22</v>
      </c>
      <c r="I113" s="76">
        <v>17</v>
      </c>
      <c r="J113" s="96">
        <f>3+1+2+1+1+3+3+1+3+4</f>
        <v>22</v>
      </c>
      <c r="K113" s="77">
        <f>1536.8+461.04+1748.88+633.93+3169.65+2435.83+13203.17+728.54+3984.13</f>
        <v>27901.970000000005</v>
      </c>
      <c r="L113" s="77">
        <f>1536.8+461.04+1748.88+633.93+3169.65+2435.83+13203.17+728.54+3984.13</f>
        <v>27901.970000000005</v>
      </c>
      <c r="M113" s="78">
        <f t="shared" si="3"/>
        <v>0</v>
      </c>
      <c r="N113" s="100">
        <f>3+2+1+1+2+1+1</f>
        <v>11</v>
      </c>
      <c r="O113" s="81">
        <f>9567.93+3616.67+403.41+14275.52+10922.18+12907.41+5701.38</f>
        <v>57394.499999999993</v>
      </c>
      <c r="P113" s="81">
        <f>9567.93+3616.67+403.41+14275.52+10922.18+12907.41+5701.38</f>
        <v>57394.499999999993</v>
      </c>
      <c r="Q113" s="79">
        <f t="shared" si="4"/>
        <v>0</v>
      </c>
    </row>
    <row r="114" spans="1:17" s="15" customFormat="1" x14ac:dyDescent="0.25">
      <c r="A114" s="229"/>
      <c r="B114" s="62" t="s">
        <v>71</v>
      </c>
      <c r="C114" s="181" t="s">
        <v>17</v>
      </c>
      <c r="D114" s="182"/>
      <c r="E114" s="183" t="s">
        <v>32</v>
      </c>
      <c r="F114" s="73" t="s">
        <v>431</v>
      </c>
      <c r="G114" s="230" t="s">
        <v>115</v>
      </c>
      <c r="H114" s="181">
        <v>8</v>
      </c>
      <c r="I114" s="231">
        <v>5</v>
      </c>
      <c r="J114" s="96">
        <v>5</v>
      </c>
      <c r="K114" s="237">
        <v>9236.5499999999993</v>
      </c>
      <c r="L114" s="237">
        <v>9236.5499999999993</v>
      </c>
      <c r="M114" s="78">
        <f t="shared" si="3"/>
        <v>0</v>
      </c>
      <c r="N114" s="114">
        <f>5</f>
        <v>5</v>
      </c>
      <c r="O114" s="77">
        <v>6595.5</v>
      </c>
      <c r="P114" s="77">
        <v>6595.5</v>
      </c>
      <c r="Q114" s="232">
        <f t="shared" si="4"/>
        <v>0</v>
      </c>
    </row>
    <row r="115" spans="1:17" s="13" customFormat="1" x14ac:dyDescent="0.25">
      <c r="A115" s="229"/>
      <c r="B115" s="62" t="s">
        <v>319</v>
      </c>
      <c r="C115" s="181" t="s">
        <v>17</v>
      </c>
      <c r="D115" s="182"/>
      <c r="E115" s="183" t="s">
        <v>20</v>
      </c>
      <c r="F115" s="73" t="s">
        <v>375</v>
      </c>
      <c r="G115" s="74" t="s">
        <v>112</v>
      </c>
      <c r="H115" s="75">
        <v>35</v>
      </c>
      <c r="I115" s="76">
        <v>24</v>
      </c>
      <c r="J115" s="96">
        <f>2+1+4+3+6+2+7+1+2+1+1</f>
        <v>30</v>
      </c>
      <c r="K115" s="77">
        <f>710.77+1523.35+6753.23+7215.52+1437.48+28056.52+6091.99+2561.63+3510.24+1726.58+441.54</f>
        <v>60028.849999999991</v>
      </c>
      <c r="L115" s="77">
        <f>710.77+1523.35+6753.23+7215.52+1437.48+28056.52+6091.99+2561.63+3510.24+1726.58+441.54</f>
        <v>60028.849999999991</v>
      </c>
      <c r="M115" s="78">
        <f t="shared" si="3"/>
        <v>0</v>
      </c>
      <c r="N115" s="100">
        <f>3+1+2+1+2+1</f>
        <v>10</v>
      </c>
      <c r="O115" s="77">
        <f>13419.94+726.71+2846.77+3770.56+4653.31+2237.23</f>
        <v>27654.520000000004</v>
      </c>
      <c r="P115" s="77">
        <f>13419.94+726.71+2846.77+3770.56+4653.31+2237.23</f>
        <v>27654.520000000004</v>
      </c>
      <c r="Q115" s="79">
        <f>O115-P115</f>
        <v>0</v>
      </c>
    </row>
    <row r="116" spans="1:17" s="15" customFormat="1" x14ac:dyDescent="0.25">
      <c r="A116" s="229"/>
      <c r="B116" s="62" t="s">
        <v>150</v>
      </c>
      <c r="C116" s="181" t="s">
        <v>17</v>
      </c>
      <c r="D116" s="182"/>
      <c r="E116" s="183" t="s">
        <v>35</v>
      </c>
      <c r="F116" s="73" t="s">
        <v>376</v>
      </c>
      <c r="G116" s="74" t="s">
        <v>112</v>
      </c>
      <c r="H116" s="75">
        <v>33</v>
      </c>
      <c r="I116" s="76">
        <v>18</v>
      </c>
      <c r="J116" s="96">
        <f>1+1+2+2+1+3+1+4+4</f>
        <v>19</v>
      </c>
      <c r="K116" s="77">
        <f>1343.65+384.2+1690.4+4889.84+2417.43+2791.74+5298.48+5960.79</f>
        <v>24776.53</v>
      </c>
      <c r="L116" s="77">
        <f>1343.65+384.2+1690.4+4889.84+2417.43+2791.74+5298.48+5960.79</f>
        <v>24776.53</v>
      </c>
      <c r="M116" s="78">
        <f t="shared" si="3"/>
        <v>0</v>
      </c>
      <c r="N116" s="114">
        <f>8+1+1+2+3+1+1+1</f>
        <v>18</v>
      </c>
      <c r="O116" s="77">
        <f>5997.32+3719.39+3054.34+13138.17+6578.46+6198.68</f>
        <v>38686.36</v>
      </c>
      <c r="P116" s="77">
        <f>5997.32+3719.39+3054.34+13138.17+6578.46+6198.68</f>
        <v>38686.36</v>
      </c>
      <c r="Q116" s="79">
        <f t="shared" si="4"/>
        <v>0</v>
      </c>
    </row>
    <row r="117" spans="1:17" s="15" customFormat="1" x14ac:dyDescent="0.25">
      <c r="A117" s="229"/>
      <c r="B117" s="233" t="s">
        <v>150</v>
      </c>
      <c r="C117" s="181" t="s">
        <v>17</v>
      </c>
      <c r="D117" s="182"/>
      <c r="E117" s="183" t="s">
        <v>32</v>
      </c>
      <c r="F117" s="73" t="s">
        <v>487</v>
      </c>
      <c r="G117" s="230" t="s">
        <v>117</v>
      </c>
      <c r="H117" s="181">
        <v>6</v>
      </c>
      <c r="I117" s="231">
        <v>4</v>
      </c>
      <c r="J117" s="96">
        <v>5</v>
      </c>
      <c r="K117" s="77">
        <v>16858.8</v>
      </c>
      <c r="L117" s="77">
        <v>16858.8</v>
      </c>
      <c r="M117" s="78">
        <f t="shared" si="3"/>
        <v>0</v>
      </c>
      <c r="N117" s="100">
        <v>3</v>
      </c>
      <c r="O117" s="77">
        <v>9645.1</v>
      </c>
      <c r="P117" s="77">
        <v>9645.1</v>
      </c>
      <c r="Q117" s="232">
        <f t="shared" si="4"/>
        <v>0</v>
      </c>
    </row>
    <row r="118" spans="1:17" s="13" customFormat="1" x14ac:dyDescent="0.25">
      <c r="A118" s="229"/>
      <c r="B118" s="30" t="s">
        <v>72</v>
      </c>
      <c r="C118" s="181" t="s">
        <v>17</v>
      </c>
      <c r="D118" s="182"/>
      <c r="E118" s="183" t="s">
        <v>21</v>
      </c>
      <c r="F118" s="73" t="s">
        <v>377</v>
      </c>
      <c r="G118" s="74" t="s">
        <v>112</v>
      </c>
      <c r="H118" s="75">
        <v>26</v>
      </c>
      <c r="I118" s="76">
        <v>15</v>
      </c>
      <c r="J118" s="96">
        <f>1+1+1+1+6+2+1+2+3+1</f>
        <v>19</v>
      </c>
      <c r="K118" s="77">
        <f>633.93+1415.78+1610.18+1394.65+18140.86+2440.63+4140.81+3166.55+2165.55</f>
        <v>35108.94000000001</v>
      </c>
      <c r="L118" s="77">
        <f>633.93+1415.78+1610.18+1394.65+18140.86+2440.63+4140.81+3166.55+2165.55</f>
        <v>35108.94000000001</v>
      </c>
      <c r="M118" s="78">
        <f t="shared" si="3"/>
        <v>0</v>
      </c>
      <c r="N118" s="100">
        <f>1+3+1+1+1+3+1+3+1+1+2+1</f>
        <v>19</v>
      </c>
      <c r="O118" s="81">
        <f>1950.74+10237.13+6595.95+3861.21+1348.53+10328.94+50451.86-19567+15859.78+3744.76+5149.77</f>
        <v>89961.67</v>
      </c>
      <c r="P118" s="81">
        <f>1950.74+10237.13+6595.95+3861.21+1348.53+10328.94+50451.86-19567+15859.78+3744.76+5149.77</f>
        <v>89961.67</v>
      </c>
      <c r="Q118" s="79">
        <f t="shared" si="4"/>
        <v>0</v>
      </c>
    </row>
    <row r="119" spans="1:17" s="13" customFormat="1" x14ac:dyDescent="0.25">
      <c r="A119" s="229"/>
      <c r="B119" s="30" t="s">
        <v>72</v>
      </c>
      <c r="C119" s="181" t="s">
        <v>17</v>
      </c>
      <c r="D119" s="182"/>
      <c r="E119" s="183" t="s">
        <v>21</v>
      </c>
      <c r="F119" s="73" t="s">
        <v>441</v>
      </c>
      <c r="G119" s="230" t="s">
        <v>118</v>
      </c>
      <c r="H119" s="181">
        <v>9</v>
      </c>
      <c r="I119" s="231">
        <v>1</v>
      </c>
      <c r="J119" s="96">
        <v>1</v>
      </c>
      <c r="K119" s="77">
        <v>1728.9</v>
      </c>
      <c r="L119" s="77">
        <v>1728.9</v>
      </c>
      <c r="M119" s="78">
        <f t="shared" si="3"/>
        <v>0</v>
      </c>
      <c r="N119" s="100">
        <v>21</v>
      </c>
      <c r="O119" s="224">
        <v>63010.7</v>
      </c>
      <c r="P119" s="224">
        <v>63010.7</v>
      </c>
      <c r="Q119" s="232">
        <f t="shared" si="4"/>
        <v>0</v>
      </c>
    </row>
    <row r="120" spans="1:17" s="15" customFormat="1" x14ac:dyDescent="0.25">
      <c r="A120" s="229"/>
      <c r="B120" s="30" t="s">
        <v>73</v>
      </c>
      <c r="C120" s="181" t="s">
        <v>17</v>
      </c>
      <c r="D120" s="182"/>
      <c r="E120" s="183" t="s">
        <v>74</v>
      </c>
      <c r="F120" s="73" t="s">
        <v>378</v>
      </c>
      <c r="G120" s="74" t="s">
        <v>112</v>
      </c>
      <c r="H120" s="75">
        <v>36</v>
      </c>
      <c r="I120" s="76">
        <v>28</v>
      </c>
      <c r="J120" s="96">
        <f>9+8+2+2+10+1+6+5</f>
        <v>43</v>
      </c>
      <c r="K120" s="77">
        <f>6305.33+12574.83+14899.84+13657.06+15923.24+7697.06+2858.97</f>
        <v>73916.33</v>
      </c>
      <c r="L120" s="77">
        <f>6305.33+12574.83+14899.84+13657.06+15923.24+7697.06+2858.97</f>
        <v>73916.33</v>
      </c>
      <c r="M120" s="78">
        <f t="shared" si="3"/>
        <v>0</v>
      </c>
      <c r="N120" s="100">
        <f>5+3+3+1+1+2</f>
        <v>15</v>
      </c>
      <c r="O120" s="81">
        <f>5416.39+9506.99+12269.39+7610.68+1915.68</f>
        <v>36719.129999999997</v>
      </c>
      <c r="P120" s="81">
        <f>5416.39+9506.99+12269.39+7610.68+1915.68</f>
        <v>36719.129999999997</v>
      </c>
      <c r="Q120" s="79">
        <f t="shared" si="4"/>
        <v>0</v>
      </c>
    </row>
    <row r="121" spans="1:17" s="15" customFormat="1" x14ac:dyDescent="0.25">
      <c r="A121" s="229"/>
      <c r="B121" s="30" t="s">
        <v>73</v>
      </c>
      <c r="C121" s="181" t="s">
        <v>17</v>
      </c>
      <c r="D121" s="182"/>
      <c r="E121" s="183" t="s">
        <v>74</v>
      </c>
      <c r="F121" s="73" t="s">
        <v>282</v>
      </c>
      <c r="G121" s="230" t="s">
        <v>114</v>
      </c>
      <c r="H121" s="181"/>
      <c r="I121" s="231"/>
      <c r="J121" s="190"/>
      <c r="K121" s="77"/>
      <c r="L121" s="77"/>
      <c r="M121" s="78">
        <f t="shared" si="3"/>
        <v>0</v>
      </c>
      <c r="N121" s="100">
        <v>1</v>
      </c>
      <c r="O121" s="224">
        <v>1728.9</v>
      </c>
      <c r="P121" s="224">
        <v>1728.9</v>
      </c>
      <c r="Q121" s="232">
        <f t="shared" si="4"/>
        <v>0</v>
      </c>
    </row>
    <row r="122" spans="1:17" s="13" customFormat="1" x14ac:dyDescent="0.25">
      <c r="A122" s="229"/>
      <c r="B122" s="30" t="s">
        <v>135</v>
      </c>
      <c r="C122" s="181" t="s">
        <v>17</v>
      </c>
      <c r="D122" s="182"/>
      <c r="E122" s="194" t="s">
        <v>35</v>
      </c>
      <c r="F122" s="73" t="s">
        <v>379</v>
      </c>
      <c r="G122" s="74" t="s">
        <v>112</v>
      </c>
      <c r="H122" s="75">
        <v>37</v>
      </c>
      <c r="I122" s="76">
        <v>28</v>
      </c>
      <c r="J122" s="96">
        <f>1+6+5+3+3+5+1+5</f>
        <v>29</v>
      </c>
      <c r="K122" s="77">
        <f>697.32+4374.12+5747.44+4426.94+15712.05+4176.57+2649.24</f>
        <v>37783.68</v>
      </c>
      <c r="L122" s="77">
        <f>697.32+4374.12+5747.44+4426.94+15712.05+4176.57+2649.24</f>
        <v>37783.68</v>
      </c>
      <c r="M122" s="78">
        <f t="shared" si="3"/>
        <v>0</v>
      </c>
      <c r="N122" s="100">
        <f>2+5+1+2+2+2</f>
        <v>14</v>
      </c>
      <c r="O122" s="81">
        <f>6432.89+2283.68+4932.13+377</f>
        <v>14025.7</v>
      </c>
      <c r="P122" s="81">
        <f>6432.89+2283.68+4932.13+377</f>
        <v>14025.7</v>
      </c>
      <c r="Q122" s="232">
        <f t="shared" si="4"/>
        <v>0</v>
      </c>
    </row>
    <row r="123" spans="1:17" s="13" customFormat="1" x14ac:dyDescent="0.25">
      <c r="A123" s="229"/>
      <c r="B123" s="30" t="s">
        <v>135</v>
      </c>
      <c r="C123" s="181" t="s">
        <v>17</v>
      </c>
      <c r="D123" s="182"/>
      <c r="E123" s="194" t="s">
        <v>35</v>
      </c>
      <c r="F123" s="73" t="s">
        <v>432</v>
      </c>
      <c r="G123" s="230" t="s">
        <v>115</v>
      </c>
      <c r="H123" s="181">
        <v>2</v>
      </c>
      <c r="I123" s="231"/>
      <c r="J123" s="96"/>
      <c r="K123" s="77"/>
      <c r="L123" s="77"/>
      <c r="M123" s="78">
        <f t="shared" si="3"/>
        <v>0</v>
      </c>
      <c r="N123" s="100">
        <v>1</v>
      </c>
      <c r="O123" s="224">
        <v>2689.4</v>
      </c>
      <c r="P123" s="224">
        <v>2689.4</v>
      </c>
      <c r="Q123" s="79">
        <f t="shared" si="4"/>
        <v>0</v>
      </c>
    </row>
    <row r="124" spans="1:17" s="13" customFormat="1" x14ac:dyDescent="0.25">
      <c r="A124" s="229"/>
      <c r="B124" s="30" t="s">
        <v>145</v>
      </c>
      <c r="C124" s="181" t="s">
        <v>17</v>
      </c>
      <c r="D124" s="182"/>
      <c r="E124" s="194" t="s">
        <v>20</v>
      </c>
      <c r="F124" s="73" t="s">
        <v>380</v>
      </c>
      <c r="G124" s="74" t="s">
        <v>112</v>
      </c>
      <c r="H124" s="75">
        <v>16</v>
      </c>
      <c r="I124" s="82">
        <v>15</v>
      </c>
      <c r="J124" s="96">
        <f>2+1+1+2+2+5+3+2+3+1+1</f>
        <v>23</v>
      </c>
      <c r="K124" s="77">
        <f>5169.72+1100+538.84+4293.82+3949.22+3361.76+5643.1+4037.33+4704.3+6285.32</f>
        <v>39083.410000000003</v>
      </c>
      <c r="L124" s="77">
        <f>5169.72+1100+538.84+4293.82+3949.22+3361.76+5643.1+4037.33+4704.3+6285.32</f>
        <v>39083.410000000003</v>
      </c>
      <c r="M124" s="78">
        <f t="shared" si="3"/>
        <v>0</v>
      </c>
      <c r="N124" s="100">
        <f>1+1+2+1+2+1</f>
        <v>8</v>
      </c>
      <c r="O124" s="81">
        <f>5120.23+3915.15+1114.12+14002.49+7111.04</f>
        <v>31263.03</v>
      </c>
      <c r="P124" s="81">
        <f>5120.23+3915.15+1114.12+14002.49+7111.04</f>
        <v>31263.03</v>
      </c>
      <c r="Q124" s="232">
        <f t="shared" si="4"/>
        <v>0</v>
      </c>
    </row>
    <row r="125" spans="1:17" s="13" customFormat="1" x14ac:dyDescent="0.25">
      <c r="A125" s="229"/>
      <c r="B125" s="30" t="s">
        <v>145</v>
      </c>
      <c r="C125" s="181" t="s">
        <v>17</v>
      </c>
      <c r="D125" s="182"/>
      <c r="E125" s="194" t="s">
        <v>20</v>
      </c>
      <c r="F125" s="73" t="s">
        <v>461</v>
      </c>
      <c r="G125" s="230" t="s">
        <v>114</v>
      </c>
      <c r="H125" s="181">
        <v>6</v>
      </c>
      <c r="I125" s="231">
        <v>4</v>
      </c>
      <c r="J125" s="190">
        <v>4</v>
      </c>
      <c r="K125" s="77">
        <v>6135.7</v>
      </c>
      <c r="L125" s="77">
        <v>6135.7</v>
      </c>
      <c r="M125" s="78">
        <f t="shared" si="3"/>
        <v>0</v>
      </c>
      <c r="N125" s="100">
        <v>11</v>
      </c>
      <c r="O125" s="224">
        <v>24338.15</v>
      </c>
      <c r="P125" s="224">
        <v>24338.15</v>
      </c>
      <c r="Q125" s="232">
        <f t="shared" si="4"/>
        <v>0</v>
      </c>
    </row>
    <row r="126" spans="1:17" s="13" customFormat="1" x14ac:dyDescent="0.25">
      <c r="A126" s="229"/>
      <c r="B126" s="62" t="s">
        <v>76</v>
      </c>
      <c r="C126" s="181" t="s">
        <v>17</v>
      </c>
      <c r="D126" s="182"/>
      <c r="E126" s="183" t="s">
        <v>20</v>
      </c>
      <c r="F126" s="73" t="s">
        <v>381</v>
      </c>
      <c r="G126" s="74" t="s">
        <v>112</v>
      </c>
      <c r="H126" s="75">
        <v>25</v>
      </c>
      <c r="I126" s="76">
        <v>19</v>
      </c>
      <c r="J126" s="96">
        <f>1+6+3+1+3+1+2+2+2+1+1</f>
        <v>23</v>
      </c>
      <c r="K126" s="77">
        <f>6556.06+2806.39+2697.06+1267.86+11775.51+1557.35+2113.1+4117.36+1673.84+1724.01+1457.08+3514.26</f>
        <v>41259.879999999997</v>
      </c>
      <c r="L126" s="77">
        <f>6556.06+2806.39+2697.06+1267.86+11775.51+1557.35+2113.1+4117.36+1673.84+1724.01+1457.08+3514.26</f>
        <v>41259.879999999997</v>
      </c>
      <c r="M126" s="78">
        <f t="shared" si="3"/>
        <v>0</v>
      </c>
      <c r="N126" s="100">
        <f>5+6+2+1+1+1+1+2+2+1</f>
        <v>22</v>
      </c>
      <c r="O126" s="81">
        <f>11527.9+19846.52+1011.91+9641+2451.87+10072.83+11307.66+2243.83+6181.56+5655.45+1404.9</f>
        <v>81345.429999999993</v>
      </c>
      <c r="P126" s="81">
        <f>11527.9+19846.52+1011.91+9641+2451.87+10072.83+11307.66+2243.83+6181.56+5655.45+1404.9</f>
        <v>81345.429999999993</v>
      </c>
      <c r="Q126" s="232">
        <f t="shared" si="4"/>
        <v>0</v>
      </c>
    </row>
    <row r="127" spans="1:17" s="13" customFormat="1" x14ac:dyDescent="0.25">
      <c r="A127" s="229"/>
      <c r="B127" s="62" t="s">
        <v>76</v>
      </c>
      <c r="C127" s="181" t="s">
        <v>17</v>
      </c>
      <c r="D127" s="182"/>
      <c r="E127" s="183" t="s">
        <v>20</v>
      </c>
      <c r="F127" s="73" t="s">
        <v>462</v>
      </c>
      <c r="G127" s="230" t="s">
        <v>114</v>
      </c>
      <c r="H127" s="181">
        <v>14</v>
      </c>
      <c r="I127" s="231">
        <v>5</v>
      </c>
      <c r="J127" s="190">
        <v>5</v>
      </c>
      <c r="K127" s="77">
        <v>11144.6</v>
      </c>
      <c r="L127" s="77">
        <v>11144.6</v>
      </c>
      <c r="M127" s="78">
        <f t="shared" si="3"/>
        <v>0</v>
      </c>
      <c r="N127" s="100">
        <v>9</v>
      </c>
      <c r="O127" s="224">
        <v>30007.39</v>
      </c>
      <c r="P127" s="224">
        <v>30007.39</v>
      </c>
      <c r="Q127" s="232">
        <f t="shared" si="4"/>
        <v>0</v>
      </c>
    </row>
    <row r="128" spans="1:17" s="13" customFormat="1" x14ac:dyDescent="0.25">
      <c r="A128" s="229"/>
      <c r="B128" s="30" t="s">
        <v>77</v>
      </c>
      <c r="C128" s="181" t="s">
        <v>17</v>
      </c>
      <c r="D128" s="182"/>
      <c r="E128" s="183" t="s">
        <v>32</v>
      </c>
      <c r="F128" s="73" t="s">
        <v>388</v>
      </c>
      <c r="G128" s="74" t="s">
        <v>112</v>
      </c>
      <c r="H128" s="75">
        <v>21</v>
      </c>
      <c r="I128" s="76">
        <v>12</v>
      </c>
      <c r="J128" s="96">
        <f>2+2+2+6+1+1+1+7</f>
        <v>22</v>
      </c>
      <c r="K128" s="77">
        <f>2440.63+1507.02+2101.48+13625.7+1324.62+2083.47+13864.31</f>
        <v>36947.230000000003</v>
      </c>
      <c r="L128" s="77">
        <f>2440.63+1507.02+2101.48+13625.7+1324.62+2083.47+13864.31</f>
        <v>36947.230000000003</v>
      </c>
      <c r="M128" s="78">
        <f t="shared" si="3"/>
        <v>0</v>
      </c>
      <c r="N128" s="100">
        <f>5+2+3+3+1+1</f>
        <v>15</v>
      </c>
      <c r="O128" s="81">
        <f>11716.73+6848.82+4046.18+11166.34+8845.95</f>
        <v>42624.020000000004</v>
      </c>
      <c r="P128" s="81">
        <f>11716.73+6848.82+4046.18+11166.34+8845.95</f>
        <v>42624.020000000004</v>
      </c>
      <c r="Q128" s="232">
        <f t="shared" si="4"/>
        <v>0</v>
      </c>
    </row>
    <row r="129" spans="1:17" s="13" customFormat="1" x14ac:dyDescent="0.25">
      <c r="A129" s="229"/>
      <c r="B129" s="30" t="s">
        <v>77</v>
      </c>
      <c r="C129" s="181" t="s">
        <v>17</v>
      </c>
      <c r="D129" s="182"/>
      <c r="E129" s="183" t="s">
        <v>32</v>
      </c>
      <c r="F129" s="73" t="s">
        <v>433</v>
      </c>
      <c r="G129" s="230" t="s">
        <v>117</v>
      </c>
      <c r="H129" s="181">
        <v>3</v>
      </c>
      <c r="I129" s="231">
        <v>2</v>
      </c>
      <c r="J129" s="96">
        <v>2</v>
      </c>
      <c r="K129" s="77">
        <v>1921</v>
      </c>
      <c r="L129" s="77">
        <v>1921</v>
      </c>
      <c r="M129" s="78">
        <f t="shared" si="3"/>
        <v>0</v>
      </c>
      <c r="N129" s="100">
        <v>6</v>
      </c>
      <c r="O129" s="224">
        <v>18164.11</v>
      </c>
      <c r="P129" s="224">
        <v>18164.11</v>
      </c>
      <c r="Q129" s="79">
        <f t="shared" si="4"/>
        <v>0</v>
      </c>
    </row>
    <row r="130" spans="1:17" s="13" customFormat="1" x14ac:dyDescent="0.25">
      <c r="A130" s="229"/>
      <c r="B130" s="30" t="s">
        <v>321</v>
      </c>
      <c r="C130" s="181" t="s">
        <v>17</v>
      </c>
      <c r="D130" s="182"/>
      <c r="E130" s="183" t="s">
        <v>21</v>
      </c>
      <c r="F130" s="73" t="s">
        <v>489</v>
      </c>
      <c r="G130" s="230" t="s">
        <v>112</v>
      </c>
      <c r="H130" s="181">
        <v>6</v>
      </c>
      <c r="I130" s="231">
        <v>2</v>
      </c>
      <c r="J130" s="96">
        <f>1+1</f>
        <v>2</v>
      </c>
      <c r="K130" s="77">
        <f>2547.89+1766.16</f>
        <v>4314.05</v>
      </c>
      <c r="L130" s="77">
        <f>2547.89+1766.16</f>
        <v>4314.05</v>
      </c>
      <c r="M130" s="78">
        <f t="shared" si="3"/>
        <v>0</v>
      </c>
      <c r="N130" s="100"/>
      <c r="O130" s="224"/>
      <c r="P130" s="224"/>
      <c r="Q130" s="79">
        <f t="shared" si="4"/>
        <v>0</v>
      </c>
    </row>
    <row r="131" spans="1:17" s="13" customFormat="1" ht="30" x14ac:dyDescent="0.25">
      <c r="A131" s="229"/>
      <c r="B131" s="62" t="s">
        <v>79</v>
      </c>
      <c r="C131" s="181" t="s">
        <v>304</v>
      </c>
      <c r="D131" s="182" t="s">
        <v>385</v>
      </c>
      <c r="E131" s="183" t="s">
        <v>18</v>
      </c>
      <c r="F131" s="73" t="s">
        <v>389</v>
      </c>
      <c r="G131" s="74" t="s">
        <v>112</v>
      </c>
      <c r="H131" s="75">
        <v>19</v>
      </c>
      <c r="I131" s="76">
        <v>18</v>
      </c>
      <c r="J131" s="98">
        <f>2+5+2+3+2+2+5+2</f>
        <v>23</v>
      </c>
      <c r="K131" s="77">
        <f>2091.97+3190.2+5703.08+6368.88+4029.68+4560.06+5101.32</f>
        <v>31045.190000000002</v>
      </c>
      <c r="L131" s="77">
        <f>2091.97+3190.2+5703.08+6368.88+4029.68+4560.06+5101.32</f>
        <v>31045.190000000002</v>
      </c>
      <c r="M131" s="78">
        <f t="shared" si="3"/>
        <v>0</v>
      </c>
      <c r="N131" s="100">
        <f>2+2+1+2+1+1+3+1+2</f>
        <v>15</v>
      </c>
      <c r="O131" s="81">
        <f>1547.4+4166.12+7835.61+1675.01+4717.63+6039.62+18829.39+23135.63+18613.81</f>
        <v>86560.22</v>
      </c>
      <c r="P131" s="81">
        <f>1547.4+4166.12+7835.61+1675.01+4717.63+6039.62+18829.39+23135.63+18613.81</f>
        <v>86560.22</v>
      </c>
      <c r="Q131" s="232">
        <f t="shared" si="4"/>
        <v>0</v>
      </c>
    </row>
    <row r="132" spans="1:17" s="13" customFormat="1" ht="30" x14ac:dyDescent="0.25">
      <c r="A132" s="229"/>
      <c r="B132" s="62" t="s">
        <v>79</v>
      </c>
      <c r="C132" s="181" t="s">
        <v>304</v>
      </c>
      <c r="D132" s="182" t="s">
        <v>475</v>
      </c>
      <c r="E132" s="183" t="s">
        <v>18</v>
      </c>
      <c r="F132" s="73" t="s">
        <v>329</v>
      </c>
      <c r="G132" s="271" t="s">
        <v>116</v>
      </c>
      <c r="H132" s="181">
        <v>45</v>
      </c>
      <c r="I132" s="234">
        <v>32</v>
      </c>
      <c r="J132" s="98">
        <v>37</v>
      </c>
      <c r="K132" s="224">
        <v>70648</v>
      </c>
      <c r="L132" s="224">
        <v>70648</v>
      </c>
      <c r="M132" s="78">
        <f t="shared" si="3"/>
        <v>0</v>
      </c>
      <c r="N132" s="100">
        <v>16</v>
      </c>
      <c r="O132" s="224">
        <v>56311</v>
      </c>
      <c r="P132" s="224">
        <v>56311</v>
      </c>
      <c r="Q132" s="79">
        <f t="shared" si="4"/>
        <v>0</v>
      </c>
    </row>
    <row r="133" spans="1:17" s="13" customFormat="1" x14ac:dyDescent="0.25">
      <c r="A133" s="229"/>
      <c r="B133" s="62" t="s">
        <v>151</v>
      </c>
      <c r="C133" s="181" t="s">
        <v>17</v>
      </c>
      <c r="D133" s="182"/>
      <c r="E133" s="183" t="s">
        <v>32</v>
      </c>
      <c r="F133" s="73" t="s">
        <v>390</v>
      </c>
      <c r="G133" s="74" t="s">
        <v>112</v>
      </c>
      <c r="H133" s="75">
        <v>66</v>
      </c>
      <c r="I133" s="82">
        <v>50</v>
      </c>
      <c r="J133" s="96">
        <f>1+3+3+5+3+9+4+6+3+2+6+5+3+8+4+5</f>
        <v>70</v>
      </c>
      <c r="K133" s="81">
        <f>2317+4640.19+5864.19+10765+12519.53+4514.35+14486.46+3421.94+27163.56+5180.87+3460.57+13888.56</f>
        <v>108222.22</v>
      </c>
      <c r="L133" s="81">
        <f>2317+4640.19+5864.19+10765+12519.53+4514.35+14486.46+3421.94+27163.56+5180.87+3460.57+13888.56</f>
        <v>108222.22</v>
      </c>
      <c r="M133" s="78">
        <f t="shared" si="3"/>
        <v>0</v>
      </c>
      <c r="N133" s="100">
        <f>9+3+5+1+4+4+1+2</f>
        <v>29</v>
      </c>
      <c r="O133" s="81">
        <f>10726.94+18822.65+5703.53+12846.53+1320.36+4050.1+22728.38+3733.09</f>
        <v>79931.58</v>
      </c>
      <c r="P133" s="81">
        <f>10726.94+18822.65+5703.53+12846.53+1320.36+4050.1+22728.38+3733.09</f>
        <v>79931.58</v>
      </c>
      <c r="Q133" s="232">
        <f t="shared" si="4"/>
        <v>0</v>
      </c>
    </row>
    <row r="134" spans="1:17" s="13" customFormat="1" x14ac:dyDescent="0.25">
      <c r="A134" s="229"/>
      <c r="B134" s="62" t="s">
        <v>151</v>
      </c>
      <c r="C134" s="181" t="s">
        <v>17</v>
      </c>
      <c r="D134" s="182"/>
      <c r="E134" s="183" t="s">
        <v>32</v>
      </c>
      <c r="F134" s="73" t="s">
        <v>434</v>
      </c>
      <c r="G134" s="230" t="s">
        <v>117</v>
      </c>
      <c r="H134" s="181">
        <v>12</v>
      </c>
      <c r="I134" s="231">
        <v>5</v>
      </c>
      <c r="J134" s="96">
        <v>5</v>
      </c>
      <c r="K134" s="77">
        <v>5920.65</v>
      </c>
      <c r="L134" s="77">
        <v>5920.65</v>
      </c>
      <c r="M134" s="78">
        <f t="shared" si="3"/>
        <v>0</v>
      </c>
      <c r="N134" s="100">
        <v>13</v>
      </c>
      <c r="O134" s="224">
        <v>24537.7</v>
      </c>
      <c r="P134" s="224">
        <v>24537.7</v>
      </c>
      <c r="Q134" s="79">
        <f t="shared" si="4"/>
        <v>0</v>
      </c>
    </row>
    <row r="135" spans="1:17" s="13" customFormat="1" x14ac:dyDescent="0.25">
      <c r="A135" s="229"/>
      <c r="B135" s="62" t="s">
        <v>80</v>
      </c>
      <c r="C135" s="181" t="s">
        <v>17</v>
      </c>
      <c r="D135" s="182"/>
      <c r="E135" s="183" t="s">
        <v>81</v>
      </c>
      <c r="F135" s="73" t="s">
        <v>417</v>
      </c>
      <c r="G135" s="74" t="s">
        <v>112</v>
      </c>
      <c r="H135" s="75"/>
      <c r="I135" s="76"/>
      <c r="J135" s="96"/>
      <c r="K135" s="77">
        <f>749.19+8649.27</f>
        <v>9398.4600000000009</v>
      </c>
      <c r="L135" s="77">
        <f>749.19+8649.27</f>
        <v>9398.4600000000009</v>
      </c>
      <c r="M135" s="78">
        <f t="shared" si="3"/>
        <v>0</v>
      </c>
      <c r="N135" s="100">
        <f>2+2</f>
        <v>4</v>
      </c>
      <c r="O135" s="81">
        <f>3040.94+9398.46</f>
        <v>12439.4</v>
      </c>
      <c r="P135" s="81">
        <f>3040.94+9398.46</f>
        <v>12439.4</v>
      </c>
      <c r="Q135" s="232">
        <f t="shared" si="4"/>
        <v>0</v>
      </c>
    </row>
    <row r="136" spans="1:17" s="13" customFormat="1" x14ac:dyDescent="0.25">
      <c r="A136" s="229"/>
      <c r="B136" s="62" t="s">
        <v>80</v>
      </c>
      <c r="C136" s="181" t="s">
        <v>17</v>
      </c>
      <c r="D136" s="182"/>
      <c r="E136" s="183" t="s">
        <v>81</v>
      </c>
      <c r="F136" s="73" t="s">
        <v>285</v>
      </c>
      <c r="G136" s="230" t="s">
        <v>114</v>
      </c>
      <c r="H136" s="181"/>
      <c r="I136" s="231"/>
      <c r="J136" s="190"/>
      <c r="K136" s="77"/>
      <c r="L136" s="77"/>
      <c r="M136" s="78">
        <f t="shared" si="3"/>
        <v>0</v>
      </c>
      <c r="N136" s="100">
        <v>24</v>
      </c>
      <c r="O136" s="224">
        <v>62268.31</v>
      </c>
      <c r="P136" s="224">
        <v>62268.31</v>
      </c>
      <c r="Q136" s="232">
        <f t="shared" si="4"/>
        <v>0</v>
      </c>
    </row>
    <row r="137" spans="1:17" s="13" customFormat="1" x14ac:dyDescent="0.25">
      <c r="A137" s="229"/>
      <c r="B137" s="30" t="s">
        <v>82</v>
      </c>
      <c r="C137" s="181" t="s">
        <v>17</v>
      </c>
      <c r="D137" s="182"/>
      <c r="E137" s="183" t="s">
        <v>20</v>
      </c>
      <c r="F137" s="73" t="s">
        <v>394</v>
      </c>
      <c r="G137" s="74" t="s">
        <v>112</v>
      </c>
      <c r="H137" s="75">
        <v>14</v>
      </c>
      <c r="I137" s="76">
        <v>12</v>
      </c>
      <c r="J137" s="96">
        <f>4+3+2+2+1+1+1</f>
        <v>14</v>
      </c>
      <c r="K137" s="77">
        <f>20254+3953.39</f>
        <v>24207.39</v>
      </c>
      <c r="L137" s="77">
        <f>20254+3953.39</f>
        <v>24207.39</v>
      </c>
      <c r="M137" s="78">
        <f t="shared" si="3"/>
        <v>0</v>
      </c>
      <c r="N137" s="100">
        <f>3+5+1+1+1</f>
        <v>11</v>
      </c>
      <c r="O137" s="81">
        <f>5975.84+23579.15+1426.34+3500</f>
        <v>34481.33</v>
      </c>
      <c r="P137" s="81">
        <f>5975.84+23579.15+1426.34+3500</f>
        <v>34481.33</v>
      </c>
      <c r="Q137" s="232">
        <f t="shared" si="4"/>
        <v>0</v>
      </c>
    </row>
    <row r="138" spans="1:17" s="13" customFormat="1" x14ac:dyDescent="0.25">
      <c r="A138" s="229"/>
      <c r="B138" s="30" t="s">
        <v>82</v>
      </c>
      <c r="C138" s="181" t="s">
        <v>17</v>
      </c>
      <c r="D138" s="182"/>
      <c r="E138" s="183" t="s">
        <v>20</v>
      </c>
      <c r="F138" s="73" t="s">
        <v>463</v>
      </c>
      <c r="G138" s="230" t="s">
        <v>114</v>
      </c>
      <c r="H138" s="181">
        <v>20</v>
      </c>
      <c r="I138" s="231">
        <v>5</v>
      </c>
      <c r="J138" s="190">
        <v>5</v>
      </c>
      <c r="K138" s="77">
        <v>11385.5</v>
      </c>
      <c r="L138" s="77">
        <v>11385.5</v>
      </c>
      <c r="M138" s="78">
        <f t="shared" si="3"/>
        <v>0</v>
      </c>
      <c r="N138" s="100">
        <v>14</v>
      </c>
      <c r="O138" s="224">
        <v>48620.71</v>
      </c>
      <c r="P138" s="224">
        <v>48620.71</v>
      </c>
      <c r="Q138" s="232">
        <f t="shared" si="4"/>
        <v>0</v>
      </c>
    </row>
    <row r="139" spans="1:17" s="13" customFormat="1" x14ac:dyDescent="0.25">
      <c r="A139" s="229"/>
      <c r="B139" s="30" t="s">
        <v>309</v>
      </c>
      <c r="C139" s="181" t="s">
        <v>17</v>
      </c>
      <c r="D139" s="182"/>
      <c r="E139" s="183" t="s">
        <v>20</v>
      </c>
      <c r="F139" s="73" t="s">
        <v>391</v>
      </c>
      <c r="G139" s="230" t="s">
        <v>112</v>
      </c>
      <c r="H139" s="181">
        <v>19</v>
      </c>
      <c r="I139" s="231">
        <v>12</v>
      </c>
      <c r="J139" s="190">
        <f>1+5+2+1+1+1+2</f>
        <v>13</v>
      </c>
      <c r="K139" s="77">
        <f>3606.1+3402.77+2649.24+993.47+441.54+8488+4287.75</f>
        <v>23868.870000000003</v>
      </c>
      <c r="L139" s="77">
        <f>3606.1+3402.77+2649.24+993.47+441.54+8488+4287.75</f>
        <v>23868.870000000003</v>
      </c>
      <c r="M139" s="78">
        <f t="shared" si="3"/>
        <v>0</v>
      </c>
      <c r="N139" s="100">
        <f>1+5+1+3</f>
        <v>10</v>
      </c>
      <c r="O139" s="224">
        <f>3088.97+13147.65+1267.86+5955.71</f>
        <v>23460.19</v>
      </c>
      <c r="P139" s="224">
        <f>3088.97+13147.65+1267.86+5955.71</f>
        <v>23460.19</v>
      </c>
      <c r="Q139" s="232">
        <f t="shared" si="4"/>
        <v>0</v>
      </c>
    </row>
    <row r="140" spans="1:17" s="13" customFormat="1" x14ac:dyDescent="0.25">
      <c r="A140" s="229"/>
      <c r="B140" s="30" t="s">
        <v>152</v>
      </c>
      <c r="C140" s="181" t="s">
        <v>17</v>
      </c>
      <c r="D140" s="182"/>
      <c r="E140" s="183" t="s">
        <v>35</v>
      </c>
      <c r="F140" s="73" t="s">
        <v>392</v>
      </c>
      <c r="G140" s="74" t="s">
        <v>112</v>
      </c>
      <c r="H140" s="75">
        <v>7</v>
      </c>
      <c r="I140" s="76">
        <v>6</v>
      </c>
      <c r="J140" s="96">
        <f>1+1+2+1+1+1+2</f>
        <v>9</v>
      </c>
      <c r="K140" s="77">
        <f>403.41+845.24+2113.1+2649.24</f>
        <v>6010.99</v>
      </c>
      <c r="L140" s="77">
        <f>403.41+845.24+2113.1+2649.24</f>
        <v>6010.99</v>
      </c>
      <c r="M140" s="78">
        <f t="shared" si="3"/>
        <v>0</v>
      </c>
      <c r="N140" s="100">
        <f>2+2+2+1+1+1+2</f>
        <v>11</v>
      </c>
      <c r="O140" s="81">
        <f>1690.48+3050.26+3661.61+4648.82+1267.86+1690.48+9282.42+4052.53</f>
        <v>29344.46</v>
      </c>
      <c r="P140" s="81">
        <f>1690.48+3050.26+3661.61+4648.82+1267.86+1690.48+9282.42+4052.53</f>
        <v>29344.46</v>
      </c>
      <c r="Q140" s="232">
        <f t="shared" si="4"/>
        <v>0</v>
      </c>
    </row>
    <row r="141" spans="1:17" s="13" customFormat="1" x14ac:dyDescent="0.25">
      <c r="A141" s="229"/>
      <c r="B141" s="30" t="s">
        <v>83</v>
      </c>
      <c r="C141" s="181" t="s">
        <v>17</v>
      </c>
      <c r="D141" s="182"/>
      <c r="E141" s="183" t="s">
        <v>20</v>
      </c>
      <c r="F141" s="73" t="s">
        <v>393</v>
      </c>
      <c r="G141" s="74" t="s">
        <v>112</v>
      </c>
      <c r="H141" s="75">
        <v>13</v>
      </c>
      <c r="I141" s="76">
        <v>8</v>
      </c>
      <c r="J141" s="96">
        <f>1+1+2+1+1+1+1+1</f>
        <v>9</v>
      </c>
      <c r="K141" s="77">
        <f>768.4+2535.72+845.24+14407.5+883.08</f>
        <v>19439.940000000002</v>
      </c>
      <c r="L141" s="77">
        <f>768.4+2535.72+845.24+14407.5+883.08</f>
        <v>19439.940000000002</v>
      </c>
      <c r="M141" s="78">
        <f t="shared" si="3"/>
        <v>0</v>
      </c>
      <c r="N141" s="100">
        <f>1+2+1+1+1+2</f>
        <v>8</v>
      </c>
      <c r="O141" s="81">
        <f>5837.09+1922.92+4288.54+1686.25</f>
        <v>13734.8</v>
      </c>
      <c r="P141" s="81">
        <f>5837.09+1922.92+4288.54+1686.25</f>
        <v>13734.8</v>
      </c>
      <c r="Q141" s="232">
        <f t="shared" si="4"/>
        <v>0</v>
      </c>
    </row>
    <row r="142" spans="1:17" s="13" customFormat="1" x14ac:dyDescent="0.25">
      <c r="A142" s="229"/>
      <c r="B142" s="30" t="s">
        <v>83</v>
      </c>
      <c r="C142" s="181" t="s">
        <v>17</v>
      </c>
      <c r="D142" s="182"/>
      <c r="E142" s="183" t="s">
        <v>20</v>
      </c>
      <c r="F142" s="73" t="s">
        <v>464</v>
      </c>
      <c r="G142" s="230" t="s">
        <v>114</v>
      </c>
      <c r="H142" s="181">
        <v>31</v>
      </c>
      <c r="I142" s="231">
        <v>22</v>
      </c>
      <c r="J142" s="190">
        <v>22</v>
      </c>
      <c r="K142" s="77">
        <v>60040.41</v>
      </c>
      <c r="L142" s="77">
        <v>43462.59</v>
      </c>
      <c r="M142" s="78">
        <f t="shared" ref="M142:M192" si="5">K142-L142</f>
        <v>16577.820000000007</v>
      </c>
      <c r="N142" s="100">
        <v>31</v>
      </c>
      <c r="O142" s="224">
        <v>114176.52</v>
      </c>
      <c r="P142" s="224">
        <v>110563.92</v>
      </c>
      <c r="Q142" s="232">
        <f t="shared" si="4"/>
        <v>3612.6000000000058</v>
      </c>
    </row>
    <row r="143" spans="1:17" s="13" customFormat="1" ht="45" x14ac:dyDescent="0.25">
      <c r="A143" s="229"/>
      <c r="B143" s="30" t="s">
        <v>85</v>
      </c>
      <c r="C143" s="181" t="s">
        <v>304</v>
      </c>
      <c r="D143" s="182" t="s">
        <v>415</v>
      </c>
      <c r="E143" s="183" t="s">
        <v>20</v>
      </c>
      <c r="F143" s="73" t="s">
        <v>395</v>
      </c>
      <c r="G143" s="74" t="s">
        <v>112</v>
      </c>
      <c r="H143" s="75">
        <v>20</v>
      </c>
      <c r="I143" s="76">
        <v>9</v>
      </c>
      <c r="J143" s="98">
        <f>2+1+1+1</f>
        <v>5</v>
      </c>
      <c r="K143" s="77">
        <f>4800.58+2591.84+7239.38+3534.03</f>
        <v>18165.829999999998</v>
      </c>
      <c r="L143" s="77">
        <f>4800.58+2591.84+7239.38+3534.03</f>
        <v>18165.829999999998</v>
      </c>
      <c r="M143" s="78">
        <f t="shared" si="5"/>
        <v>0</v>
      </c>
      <c r="N143" s="100">
        <f>2+1+2</f>
        <v>5</v>
      </c>
      <c r="O143" s="81">
        <f>3917.73+8936.21+5669.37+31185.72+18292.46</f>
        <v>68001.489999999991</v>
      </c>
      <c r="P143" s="81">
        <f>3917.73+8936.21+5669.37+31185.72+18292.46</f>
        <v>68001.489999999991</v>
      </c>
      <c r="Q143" s="79">
        <f t="shared" si="4"/>
        <v>0</v>
      </c>
    </row>
    <row r="144" spans="1:17" s="13" customFormat="1" x14ac:dyDescent="0.25">
      <c r="A144" s="229"/>
      <c r="B144" s="27" t="s">
        <v>86</v>
      </c>
      <c r="C144" s="181" t="s">
        <v>17</v>
      </c>
      <c r="D144" s="182"/>
      <c r="E144" s="194" t="s">
        <v>20</v>
      </c>
      <c r="F144" s="73" t="s">
        <v>396</v>
      </c>
      <c r="G144" s="74" t="s">
        <v>112</v>
      </c>
      <c r="H144" s="75">
        <v>22</v>
      </c>
      <c r="I144" s="76">
        <v>18</v>
      </c>
      <c r="J144" s="96">
        <f>1+3+1+7+2+2+5+5+1</f>
        <v>27</v>
      </c>
      <c r="K144" s="77">
        <f>950.9+5134.06+2091.97+528.03+8954.46+5719.74+9578.1+2631.85</f>
        <v>35589.109999999993</v>
      </c>
      <c r="L144" s="77">
        <f>950.9+5134.06+2091.97+528.03+8954.46+5719.74+9578.1+2631.85</f>
        <v>35589.109999999993</v>
      </c>
      <c r="M144" s="78">
        <f t="shared" si="5"/>
        <v>0</v>
      </c>
      <c r="N144" s="100">
        <f>15+4+2+1+2+2</f>
        <v>26</v>
      </c>
      <c r="O144" s="81">
        <f>30236.61+18366.75+8887.09+1077.68+8961.95</f>
        <v>67530.080000000002</v>
      </c>
      <c r="P144" s="81">
        <f>30236.61+18366.75+8887.09+1077.68+8961.95</f>
        <v>67530.080000000002</v>
      </c>
      <c r="Q144" s="232">
        <f t="shared" si="4"/>
        <v>0</v>
      </c>
    </row>
    <row r="145" spans="1:17" s="13" customFormat="1" x14ac:dyDescent="0.25">
      <c r="A145" s="229"/>
      <c r="B145" s="27" t="s">
        <v>86</v>
      </c>
      <c r="C145" s="181" t="s">
        <v>17</v>
      </c>
      <c r="D145" s="182"/>
      <c r="E145" s="194" t="s">
        <v>20</v>
      </c>
      <c r="F145" s="73" t="s">
        <v>465</v>
      </c>
      <c r="G145" s="230" t="s">
        <v>114</v>
      </c>
      <c r="H145" s="181">
        <v>9</v>
      </c>
      <c r="I145" s="231">
        <v>3</v>
      </c>
      <c r="J145" s="190">
        <v>3</v>
      </c>
      <c r="K145" s="77">
        <v>5338.62</v>
      </c>
      <c r="L145" s="77">
        <v>5338.62</v>
      </c>
      <c r="M145" s="78">
        <f t="shared" si="5"/>
        <v>0</v>
      </c>
      <c r="N145" s="100">
        <v>10</v>
      </c>
      <c r="O145" s="224">
        <v>22234.03</v>
      </c>
      <c r="P145" s="224">
        <v>22234.03</v>
      </c>
      <c r="Q145" s="232">
        <f t="shared" si="4"/>
        <v>0</v>
      </c>
    </row>
    <row r="146" spans="1:17" s="13" customFormat="1" x14ac:dyDescent="0.25">
      <c r="A146" s="229"/>
      <c r="B146" s="27" t="s">
        <v>87</v>
      </c>
      <c r="C146" s="181" t="s">
        <v>17</v>
      </c>
      <c r="D146" s="182"/>
      <c r="E146" s="194" t="s">
        <v>20</v>
      </c>
      <c r="F146" s="73" t="s">
        <v>520</v>
      </c>
      <c r="G146" s="294" t="s">
        <v>112</v>
      </c>
      <c r="H146" s="181">
        <v>2</v>
      </c>
      <c r="I146" s="231"/>
      <c r="J146" s="190"/>
      <c r="K146" s="77"/>
      <c r="L146" s="77"/>
      <c r="M146" s="78"/>
      <c r="N146" s="100"/>
      <c r="O146" s="224"/>
      <c r="P146" s="224"/>
      <c r="Q146" s="232"/>
    </row>
    <row r="147" spans="1:17" s="13" customFormat="1" x14ac:dyDescent="0.25">
      <c r="A147" s="229"/>
      <c r="B147" s="62" t="s">
        <v>312</v>
      </c>
      <c r="C147" s="181" t="s">
        <v>17</v>
      </c>
      <c r="D147" s="182"/>
      <c r="E147" s="194" t="s">
        <v>20</v>
      </c>
      <c r="F147" s="73" t="s">
        <v>320</v>
      </c>
      <c r="G147" s="74" t="s">
        <v>112</v>
      </c>
      <c r="H147" s="75">
        <v>22</v>
      </c>
      <c r="I147" s="76">
        <v>13</v>
      </c>
      <c r="J147" s="96">
        <f>1+1+1+2+3+4</f>
        <v>12</v>
      </c>
      <c r="K147" s="77">
        <f>3319.49+845.24+4965.79+4415.4</f>
        <v>13545.92</v>
      </c>
      <c r="L147" s="77">
        <f>3319.49+845.24+4965.79+4415.4</f>
        <v>13545.92</v>
      </c>
      <c r="M147" s="78">
        <f t="shared" si="5"/>
        <v>0</v>
      </c>
      <c r="N147" s="100">
        <f>5+6+1+1</f>
        <v>13</v>
      </c>
      <c r="O147" s="81">
        <f>4226.2+6627.45+4360.59+6336.1</f>
        <v>21550.34</v>
      </c>
      <c r="P147" s="81">
        <f>4226.2+6627.45+4360.59+6336.1</f>
        <v>21550.34</v>
      </c>
      <c r="Q147" s="232">
        <f t="shared" si="4"/>
        <v>0</v>
      </c>
    </row>
    <row r="148" spans="1:17" s="13" customFormat="1" x14ac:dyDescent="0.25">
      <c r="A148" s="229"/>
      <c r="B148" s="62" t="s">
        <v>494</v>
      </c>
      <c r="C148" s="181" t="s">
        <v>17</v>
      </c>
      <c r="D148" s="182"/>
      <c r="E148" s="194" t="s">
        <v>20</v>
      </c>
      <c r="F148" s="73" t="s">
        <v>497</v>
      </c>
      <c r="G148" s="74" t="s">
        <v>112</v>
      </c>
      <c r="H148" s="75">
        <v>14</v>
      </c>
      <c r="I148" s="76">
        <v>11</v>
      </c>
      <c r="J148" s="96">
        <f>1+1+1+1+2+1+2+2</f>
        <v>11</v>
      </c>
      <c r="K148" s="77">
        <f>3379+5494.06+576.3+2417.43+3057.66+2384.32+1986.93</f>
        <v>19295.7</v>
      </c>
      <c r="L148" s="77">
        <f>3379+5494.06+576.3+2417.43+3057.66+2384.32+1986.93</f>
        <v>19295.7</v>
      </c>
      <c r="M148" s="78">
        <f t="shared" si="5"/>
        <v>0</v>
      </c>
      <c r="N148" s="100"/>
      <c r="O148" s="81"/>
      <c r="P148" s="81"/>
      <c r="Q148" s="232">
        <f t="shared" ref="Q148:Q193" si="6">O148-P148</f>
        <v>0</v>
      </c>
    </row>
    <row r="149" spans="1:17" s="13" customFormat="1" x14ac:dyDescent="0.25">
      <c r="A149" s="229"/>
      <c r="B149" s="62" t="s">
        <v>494</v>
      </c>
      <c r="C149" s="181" t="s">
        <v>17</v>
      </c>
      <c r="D149" s="182"/>
      <c r="E149" s="194" t="s">
        <v>20</v>
      </c>
      <c r="F149" s="73" t="s">
        <v>507</v>
      </c>
      <c r="G149" s="74" t="s">
        <v>114</v>
      </c>
      <c r="H149" s="75">
        <v>36</v>
      </c>
      <c r="I149" s="76">
        <v>10</v>
      </c>
      <c r="J149" s="96">
        <v>10</v>
      </c>
      <c r="K149" s="77">
        <v>24597.26</v>
      </c>
      <c r="L149" s="77">
        <v>24597.26</v>
      </c>
      <c r="M149" s="78">
        <f t="shared" si="5"/>
        <v>0</v>
      </c>
      <c r="N149" s="100"/>
      <c r="O149" s="81"/>
      <c r="P149" s="81"/>
      <c r="Q149" s="232">
        <f t="shared" si="6"/>
        <v>0</v>
      </c>
    </row>
    <row r="150" spans="1:17" s="13" customFormat="1" x14ac:dyDescent="0.25">
      <c r="A150" s="229"/>
      <c r="B150" s="30" t="s">
        <v>88</v>
      </c>
      <c r="C150" s="181" t="s">
        <v>17</v>
      </c>
      <c r="D150" s="182"/>
      <c r="E150" s="183" t="s">
        <v>89</v>
      </c>
      <c r="F150" s="73" t="s">
        <v>397</v>
      </c>
      <c r="G150" s="74" t="s">
        <v>112</v>
      </c>
      <c r="H150" s="75">
        <v>25</v>
      </c>
      <c r="I150" s="76">
        <v>14</v>
      </c>
      <c r="J150" s="96">
        <f>1+3+1+2+4+1+2</f>
        <v>14</v>
      </c>
      <c r="K150" s="77">
        <f>4226.2+2394.91+6485.1+556.71+4126.31+9704.16+1282.67+1282.67+2185.62</f>
        <v>32244.349999999995</v>
      </c>
      <c r="L150" s="77">
        <f>4226.2+2394.91+6485.1+556.71+4126.31+9704.16+1282.67+1282.67+2185.62</f>
        <v>32244.349999999995</v>
      </c>
      <c r="M150" s="78">
        <f t="shared" si="5"/>
        <v>0</v>
      </c>
      <c r="N150" s="100">
        <f>4+1+3+1+2+2+1+1+2</f>
        <v>17</v>
      </c>
      <c r="O150" s="81">
        <f>11967.83+2831.55+10544.37+9418.99+3799.13+1798.04+2548.4-12193.52+4083.77</f>
        <v>34798.559999999998</v>
      </c>
      <c r="P150" s="81">
        <f>11967.83+2831.55+10544.37+9418.99+3799.13+1798.04+2548.4-12193.52+4083.77</f>
        <v>34798.559999999998</v>
      </c>
      <c r="Q150" s="79">
        <f t="shared" si="6"/>
        <v>0</v>
      </c>
    </row>
    <row r="151" spans="1:17" s="13" customFormat="1" x14ac:dyDescent="0.25">
      <c r="A151" s="229"/>
      <c r="B151" s="30" t="s">
        <v>88</v>
      </c>
      <c r="C151" s="181" t="s">
        <v>17</v>
      </c>
      <c r="D151" s="182"/>
      <c r="E151" s="183" t="s">
        <v>89</v>
      </c>
      <c r="F151" s="73" t="s">
        <v>442</v>
      </c>
      <c r="G151" s="230" t="s">
        <v>118</v>
      </c>
      <c r="H151" s="181">
        <v>7</v>
      </c>
      <c r="I151" s="231">
        <v>3</v>
      </c>
      <c r="J151" s="96">
        <v>3</v>
      </c>
      <c r="K151" s="77">
        <v>6532.36</v>
      </c>
      <c r="L151" s="77">
        <v>6532.36</v>
      </c>
      <c r="M151" s="78">
        <f>K151-L151</f>
        <v>0</v>
      </c>
      <c r="N151" s="100">
        <v>4</v>
      </c>
      <c r="O151" s="224">
        <v>19245.009999999998</v>
      </c>
      <c r="P151" s="224">
        <v>19245.009999999998</v>
      </c>
      <c r="Q151" s="232">
        <f t="shared" si="6"/>
        <v>0</v>
      </c>
    </row>
    <row r="152" spans="1:17" s="13" customFormat="1" x14ac:dyDescent="0.25">
      <c r="A152" s="229"/>
      <c r="B152" s="30" t="s">
        <v>88</v>
      </c>
      <c r="C152" s="181" t="s">
        <v>17</v>
      </c>
      <c r="D152" s="182"/>
      <c r="E152" s="194" t="s">
        <v>505</v>
      </c>
      <c r="F152" s="73" t="s">
        <v>506</v>
      </c>
      <c r="G152" s="230" t="s">
        <v>114</v>
      </c>
      <c r="H152" s="181">
        <v>9</v>
      </c>
      <c r="I152" s="231">
        <v>3</v>
      </c>
      <c r="J152" s="96">
        <v>3</v>
      </c>
      <c r="K152" s="77">
        <v>60040.41</v>
      </c>
      <c r="L152" s="77">
        <v>60040.41</v>
      </c>
      <c r="M152" s="78">
        <f t="shared" si="5"/>
        <v>0</v>
      </c>
      <c r="N152" s="100"/>
      <c r="O152" s="224"/>
      <c r="P152" s="224"/>
      <c r="Q152" s="232">
        <f t="shared" si="6"/>
        <v>0</v>
      </c>
    </row>
    <row r="153" spans="1:17" s="13" customFormat="1" x14ac:dyDescent="0.25">
      <c r="A153" s="229"/>
      <c r="B153" s="30" t="s">
        <v>90</v>
      </c>
      <c r="C153" s="181" t="s">
        <v>17</v>
      </c>
      <c r="D153" s="182"/>
      <c r="E153" s="194" t="s">
        <v>20</v>
      </c>
      <c r="F153" s="73" t="s">
        <v>398</v>
      </c>
      <c r="G153" s="74" t="s">
        <v>112</v>
      </c>
      <c r="H153" s="75">
        <v>14</v>
      </c>
      <c r="I153" s="76">
        <v>8</v>
      </c>
      <c r="J153" s="96">
        <f>1+1+1+4+1</f>
        <v>8</v>
      </c>
      <c r="K153" s="77">
        <f>422.62+4662.44+7580.13+2408.4+8770.77</f>
        <v>23844.36</v>
      </c>
      <c r="L153" s="77">
        <f>422.62+4662.44+7580.13+2408.4+8770.77</f>
        <v>23844.36</v>
      </c>
      <c r="M153" s="78">
        <f t="shared" si="5"/>
        <v>0</v>
      </c>
      <c r="N153" s="100">
        <f>1+1+1+1+2+1</f>
        <v>7</v>
      </c>
      <c r="O153" s="81">
        <f>2122.67+787.61+15453.48+6194.26+37549.5</f>
        <v>62107.519999999997</v>
      </c>
      <c r="P153" s="81">
        <f>2122.67+787.61+15453.48+6194.26+37549.5</f>
        <v>62107.519999999997</v>
      </c>
      <c r="Q153" s="79">
        <f t="shared" si="6"/>
        <v>0</v>
      </c>
    </row>
    <row r="154" spans="1:17" s="13" customFormat="1" x14ac:dyDescent="0.25">
      <c r="A154" s="229"/>
      <c r="B154" s="30" t="s">
        <v>90</v>
      </c>
      <c r="C154" s="181" t="s">
        <v>17</v>
      </c>
      <c r="D154" s="182"/>
      <c r="E154" s="194" t="s">
        <v>20</v>
      </c>
      <c r="F154" s="73" t="s">
        <v>466</v>
      </c>
      <c r="G154" s="230" t="s">
        <v>114</v>
      </c>
      <c r="H154" s="181">
        <v>19</v>
      </c>
      <c r="I154" s="231">
        <v>10</v>
      </c>
      <c r="J154" s="190">
        <v>10</v>
      </c>
      <c r="K154" s="77">
        <v>24517.56</v>
      </c>
      <c r="L154" s="77">
        <v>24517.56</v>
      </c>
      <c r="M154" s="78">
        <f t="shared" si="5"/>
        <v>0</v>
      </c>
      <c r="N154" s="100">
        <v>28</v>
      </c>
      <c r="O154" s="224">
        <v>115855.1</v>
      </c>
      <c r="P154" s="224">
        <v>115855.1</v>
      </c>
      <c r="Q154" s="232">
        <f t="shared" si="6"/>
        <v>0</v>
      </c>
    </row>
    <row r="155" spans="1:17" s="13" customFormat="1" x14ac:dyDescent="0.25">
      <c r="A155" s="229"/>
      <c r="B155" s="30" t="s">
        <v>91</v>
      </c>
      <c r="C155" s="181" t="s">
        <v>17</v>
      </c>
      <c r="D155" s="182"/>
      <c r="E155" s="194" t="s">
        <v>20</v>
      </c>
      <c r="F155" s="73" t="s">
        <v>399</v>
      </c>
      <c r="G155" s="74" t="s">
        <v>112</v>
      </c>
      <c r="H155" s="75"/>
      <c r="I155" s="76"/>
      <c r="J155" s="96"/>
      <c r="K155" s="77">
        <f>1091.81+1091.81</f>
        <v>2183.62</v>
      </c>
      <c r="L155" s="77">
        <f>1091.81+1091.81</f>
        <v>2183.62</v>
      </c>
      <c r="M155" s="78">
        <f t="shared" si="5"/>
        <v>0</v>
      </c>
      <c r="N155" s="100"/>
      <c r="O155" s="81"/>
      <c r="P155" s="81"/>
      <c r="Q155" s="79">
        <f t="shared" si="6"/>
        <v>0</v>
      </c>
    </row>
    <row r="156" spans="1:17" s="13" customFormat="1" x14ac:dyDescent="0.25">
      <c r="A156" s="229"/>
      <c r="B156" s="62" t="s">
        <v>138</v>
      </c>
      <c r="C156" s="181" t="s">
        <v>17</v>
      </c>
      <c r="D156" s="182"/>
      <c r="E156" s="194" t="s">
        <v>20</v>
      </c>
      <c r="F156" s="73" t="s">
        <v>467</v>
      </c>
      <c r="G156" s="230" t="s">
        <v>114</v>
      </c>
      <c r="H156" s="181">
        <v>18</v>
      </c>
      <c r="I156" s="231">
        <v>3</v>
      </c>
      <c r="J156" s="190">
        <v>3</v>
      </c>
      <c r="K156" s="193">
        <v>5542.2</v>
      </c>
      <c r="L156" s="193">
        <v>5542.2</v>
      </c>
      <c r="M156" s="78">
        <f t="shared" si="5"/>
        <v>0</v>
      </c>
      <c r="N156" s="114">
        <v>7</v>
      </c>
      <c r="O156" s="224">
        <v>16429.099999999999</v>
      </c>
      <c r="P156" s="224">
        <v>16429.099999999999</v>
      </c>
      <c r="Q156" s="232">
        <f t="shared" si="6"/>
        <v>0</v>
      </c>
    </row>
    <row r="157" spans="1:17" s="13" customFormat="1" x14ac:dyDescent="0.25">
      <c r="A157" s="229"/>
      <c r="B157" s="62" t="s">
        <v>138</v>
      </c>
      <c r="C157" s="181" t="s">
        <v>17</v>
      </c>
      <c r="D157" s="182"/>
      <c r="E157" s="194" t="s">
        <v>20</v>
      </c>
      <c r="F157" s="73" t="s">
        <v>400</v>
      </c>
      <c r="G157" s="74" t="s">
        <v>112</v>
      </c>
      <c r="H157" s="75">
        <v>12</v>
      </c>
      <c r="I157" s="82">
        <v>8</v>
      </c>
      <c r="J157" s="96">
        <f>3+1+1+2+2</f>
        <v>9</v>
      </c>
      <c r="K157" s="77">
        <f>2224.52+9639.33+3232.07+1625.67+1324.62</f>
        <v>18046.21</v>
      </c>
      <c r="L157" s="77">
        <f>2224.52+9639.33+3232.07+1625.67+1324.62</f>
        <v>18046.21</v>
      </c>
      <c r="M157" s="78">
        <f t="shared" si="5"/>
        <v>0</v>
      </c>
      <c r="N157" s="100">
        <f>5+4+2</f>
        <v>11</v>
      </c>
      <c r="O157" s="81">
        <f>8995.87+8641.99+5740.02</f>
        <v>23377.88</v>
      </c>
      <c r="P157" s="81">
        <f>8995.87+8641.99+5740.02</f>
        <v>23377.88</v>
      </c>
      <c r="Q157" s="79">
        <f t="shared" si="6"/>
        <v>0</v>
      </c>
    </row>
    <row r="158" spans="1:17" s="13" customFormat="1" x14ac:dyDescent="0.25">
      <c r="A158" s="229"/>
      <c r="B158" s="62" t="s">
        <v>157</v>
      </c>
      <c r="C158" s="181" t="s">
        <v>17</v>
      </c>
      <c r="D158" s="182"/>
      <c r="E158" s="194" t="s">
        <v>20</v>
      </c>
      <c r="F158" s="73" t="s">
        <v>401</v>
      </c>
      <c r="G158" s="74" t="s">
        <v>112</v>
      </c>
      <c r="H158" s="75">
        <v>15</v>
      </c>
      <c r="I158" s="82"/>
      <c r="J158" s="96"/>
      <c r="K158" s="77"/>
      <c r="L158" s="77"/>
      <c r="M158" s="78">
        <f t="shared" si="5"/>
        <v>0</v>
      </c>
      <c r="N158" s="100"/>
      <c r="O158" s="81"/>
      <c r="P158" s="81"/>
      <c r="Q158" s="232">
        <f t="shared" si="6"/>
        <v>0</v>
      </c>
    </row>
    <row r="159" spans="1:17" s="13" customFormat="1" x14ac:dyDescent="0.25">
      <c r="A159" s="229"/>
      <c r="B159" s="62" t="s">
        <v>515</v>
      </c>
      <c r="C159" s="181" t="s">
        <v>17</v>
      </c>
      <c r="D159" s="182"/>
      <c r="E159" s="194" t="s">
        <v>20</v>
      </c>
      <c r="F159" s="73" t="s">
        <v>519</v>
      </c>
      <c r="G159" s="74" t="s">
        <v>112</v>
      </c>
      <c r="H159" s="75">
        <v>6</v>
      </c>
      <c r="I159" s="82">
        <v>1</v>
      </c>
      <c r="J159" s="96">
        <f>1</f>
        <v>1</v>
      </c>
      <c r="K159" s="77"/>
      <c r="L159" s="77"/>
      <c r="M159" s="78">
        <f t="shared" si="5"/>
        <v>0</v>
      </c>
      <c r="N159" s="100"/>
      <c r="O159" s="81"/>
      <c r="P159" s="81"/>
      <c r="Q159" s="232"/>
    </row>
    <row r="160" spans="1:17" s="15" customFormat="1" x14ac:dyDescent="0.25">
      <c r="A160" s="229"/>
      <c r="B160" s="62" t="s">
        <v>92</v>
      </c>
      <c r="C160" s="181" t="s">
        <v>17</v>
      </c>
      <c r="D160" s="182"/>
      <c r="E160" s="194" t="s">
        <v>20</v>
      </c>
      <c r="F160" s="73" t="s">
        <v>402</v>
      </c>
      <c r="G160" s="74" t="s">
        <v>112</v>
      </c>
      <c r="H160" s="75">
        <v>13</v>
      </c>
      <c r="I160" s="76">
        <v>12</v>
      </c>
      <c r="J160" s="96">
        <f>1+2+5+2+2</f>
        <v>12</v>
      </c>
      <c r="K160" s="77">
        <f>1951.74+1335.1+2996.76+883.08+842.94</f>
        <v>8009.6200000000008</v>
      </c>
      <c r="L160" s="77">
        <f>1951.74+1335.1+2996.76+883.08+842.94</f>
        <v>8009.6200000000008</v>
      </c>
      <c r="M160" s="78">
        <f t="shared" si="5"/>
        <v>0</v>
      </c>
      <c r="N160" s="100">
        <f>4+1+1</f>
        <v>6</v>
      </c>
      <c r="O160" s="81">
        <f>12624.74+2697.06+1225.93</f>
        <v>16547.73</v>
      </c>
      <c r="P160" s="81">
        <f>12624.74+2697.06+1225.93</f>
        <v>16547.73</v>
      </c>
      <c r="Q160" s="232">
        <f t="shared" si="6"/>
        <v>0</v>
      </c>
    </row>
    <row r="161" spans="1:17" s="15" customFormat="1" x14ac:dyDescent="0.25">
      <c r="A161" s="229"/>
      <c r="B161" s="62" t="s">
        <v>92</v>
      </c>
      <c r="C161" s="181" t="s">
        <v>17</v>
      </c>
      <c r="D161" s="182"/>
      <c r="E161" s="194" t="s">
        <v>20</v>
      </c>
      <c r="F161" s="73" t="s">
        <v>129</v>
      </c>
      <c r="G161" s="230" t="s">
        <v>114</v>
      </c>
      <c r="H161" s="181"/>
      <c r="I161" s="231"/>
      <c r="J161" s="190"/>
      <c r="K161" s="77"/>
      <c r="L161" s="77"/>
      <c r="M161" s="78">
        <f t="shared" si="5"/>
        <v>0</v>
      </c>
      <c r="N161" s="114"/>
      <c r="O161" s="224"/>
      <c r="P161" s="224"/>
      <c r="Q161" s="232">
        <f t="shared" si="6"/>
        <v>0</v>
      </c>
    </row>
    <row r="162" spans="1:17" s="13" customFormat="1" x14ac:dyDescent="0.25">
      <c r="A162" s="229"/>
      <c r="B162" s="30" t="s">
        <v>93</v>
      </c>
      <c r="C162" s="181" t="s">
        <v>17</v>
      </c>
      <c r="D162" s="182"/>
      <c r="E162" s="183" t="s">
        <v>94</v>
      </c>
      <c r="F162" s="73" t="s">
        <v>403</v>
      </c>
      <c r="G162" s="74" t="s">
        <v>112</v>
      </c>
      <c r="H162" s="75">
        <v>7</v>
      </c>
      <c r="I162" s="76">
        <v>2</v>
      </c>
      <c r="J162" s="96">
        <f>2</f>
        <v>2</v>
      </c>
      <c r="K162" s="77">
        <f>2336.84</f>
        <v>2336.84</v>
      </c>
      <c r="L162" s="77">
        <f>2336.84</f>
        <v>2336.84</v>
      </c>
      <c r="M162" s="78">
        <f t="shared" si="5"/>
        <v>0</v>
      </c>
      <c r="N162" s="100">
        <f>3+8</f>
        <v>11</v>
      </c>
      <c r="O162" s="81">
        <f>20117.75</f>
        <v>20117.75</v>
      </c>
      <c r="P162" s="81">
        <f>20117.75</f>
        <v>20117.75</v>
      </c>
      <c r="Q162" s="232">
        <f t="shared" si="6"/>
        <v>0</v>
      </c>
    </row>
    <row r="163" spans="1:17" s="13" customFormat="1" x14ac:dyDescent="0.25">
      <c r="A163" s="229"/>
      <c r="B163" s="30" t="s">
        <v>93</v>
      </c>
      <c r="C163" s="181" t="s">
        <v>17</v>
      </c>
      <c r="D163" s="182"/>
      <c r="E163" s="183" t="s">
        <v>94</v>
      </c>
      <c r="F163" s="73" t="s">
        <v>130</v>
      </c>
      <c r="G163" s="230" t="s">
        <v>114</v>
      </c>
      <c r="H163" s="181"/>
      <c r="I163" s="231"/>
      <c r="J163" s="190"/>
      <c r="K163" s="77"/>
      <c r="L163" s="77"/>
      <c r="M163" s="78">
        <f t="shared" si="5"/>
        <v>0</v>
      </c>
      <c r="N163" s="100"/>
      <c r="O163" s="224"/>
      <c r="P163" s="224"/>
      <c r="Q163" s="232">
        <f t="shared" si="6"/>
        <v>0</v>
      </c>
    </row>
    <row r="164" spans="1:17" s="13" customFormat="1" x14ac:dyDescent="0.25">
      <c r="A164" s="229"/>
      <c r="B164" s="30" t="s">
        <v>93</v>
      </c>
      <c r="C164" s="181" t="s">
        <v>17</v>
      </c>
      <c r="D164" s="182"/>
      <c r="E164" s="183" t="s">
        <v>94</v>
      </c>
      <c r="F164" s="73" t="s">
        <v>240</v>
      </c>
      <c r="G164" s="230" t="s">
        <v>118</v>
      </c>
      <c r="H164" s="181"/>
      <c r="I164" s="231"/>
      <c r="J164" s="96"/>
      <c r="K164" s="77"/>
      <c r="L164" s="77"/>
      <c r="M164" s="78">
        <f t="shared" si="5"/>
        <v>0</v>
      </c>
      <c r="N164" s="100"/>
      <c r="O164" s="224"/>
      <c r="P164" s="224"/>
      <c r="Q164" s="232">
        <f t="shared" si="6"/>
        <v>0</v>
      </c>
    </row>
    <row r="165" spans="1:17" s="13" customFormat="1" x14ac:dyDescent="0.25">
      <c r="A165" s="229"/>
      <c r="B165" s="30" t="s">
        <v>95</v>
      </c>
      <c r="C165" s="181" t="s">
        <v>17</v>
      </c>
      <c r="D165" s="182"/>
      <c r="E165" s="194" t="s">
        <v>20</v>
      </c>
      <c r="F165" s="73" t="s">
        <v>404</v>
      </c>
      <c r="G165" s="74" t="s">
        <v>112</v>
      </c>
      <c r="H165" s="75">
        <v>20</v>
      </c>
      <c r="I165" s="76">
        <v>11</v>
      </c>
      <c r="J165" s="96">
        <f>1+4+4+5+2+1</f>
        <v>17</v>
      </c>
      <c r="K165" s="77">
        <f>1061.35+5770.05+5238.9+6606.04+6345.59</f>
        <v>25021.93</v>
      </c>
      <c r="L165" s="77">
        <f>1061.35+5770.05+5238.9+6606.04+6345.59</f>
        <v>25021.93</v>
      </c>
      <c r="M165" s="78">
        <f t="shared" si="5"/>
        <v>0</v>
      </c>
      <c r="N165" s="100">
        <f>1+6+1+4+1+1+1</f>
        <v>15</v>
      </c>
      <c r="O165" s="81">
        <f>11603.82+7559.28+6777.29+24757.02+4991.61</f>
        <v>55689.020000000004</v>
      </c>
      <c r="P165" s="81">
        <f>11603.82+7559.28+6777.29+24757.02+4991.61</f>
        <v>55689.020000000004</v>
      </c>
      <c r="Q165" s="79">
        <f t="shared" si="6"/>
        <v>0</v>
      </c>
    </row>
    <row r="166" spans="1:17" s="13" customFormat="1" x14ac:dyDescent="0.25">
      <c r="A166" s="229"/>
      <c r="B166" s="30" t="s">
        <v>95</v>
      </c>
      <c r="C166" s="181" t="s">
        <v>17</v>
      </c>
      <c r="D166" s="182"/>
      <c r="E166" s="194" t="s">
        <v>20</v>
      </c>
      <c r="F166" s="73" t="s">
        <v>291</v>
      </c>
      <c r="G166" s="230" t="s">
        <v>114</v>
      </c>
      <c r="H166" s="181">
        <v>11</v>
      </c>
      <c r="I166" s="231">
        <v>5</v>
      </c>
      <c r="J166" s="190">
        <v>5</v>
      </c>
      <c r="K166" s="77">
        <v>6270.46</v>
      </c>
      <c r="L166" s="77">
        <v>5367.31</v>
      </c>
      <c r="M166" s="78">
        <f t="shared" si="5"/>
        <v>903.14999999999964</v>
      </c>
      <c r="N166" s="100">
        <v>14</v>
      </c>
      <c r="O166" s="224">
        <v>32601.05</v>
      </c>
      <c r="P166" s="224">
        <v>32601.05</v>
      </c>
      <c r="Q166" s="232">
        <f t="shared" si="6"/>
        <v>0</v>
      </c>
    </row>
    <row r="167" spans="1:17" s="13" customFormat="1" x14ac:dyDescent="0.25">
      <c r="A167" s="229"/>
      <c r="B167" s="30" t="s">
        <v>96</v>
      </c>
      <c r="C167" s="181" t="s">
        <v>17</v>
      </c>
      <c r="D167" s="182"/>
      <c r="E167" s="194" t="s">
        <v>97</v>
      </c>
      <c r="F167" s="73" t="s">
        <v>405</v>
      </c>
      <c r="G167" s="74" t="s">
        <v>112</v>
      </c>
      <c r="H167" s="75">
        <v>1</v>
      </c>
      <c r="I167" s="76">
        <v>1</v>
      </c>
      <c r="J167" s="96">
        <f>2</f>
        <v>2</v>
      </c>
      <c r="K167" s="77">
        <f>3187.92</f>
        <v>3187.92</v>
      </c>
      <c r="L167" s="77">
        <f>3187.92</f>
        <v>3187.92</v>
      </c>
      <c r="M167" s="78">
        <f t="shared" si="5"/>
        <v>0</v>
      </c>
      <c r="N167" s="103">
        <f>1+2+1+2</f>
        <v>6</v>
      </c>
      <c r="O167" s="77">
        <f>1742.31+9358.48+3187.92</f>
        <v>14288.71</v>
      </c>
      <c r="P167" s="77">
        <f>1742.31+9358.48+3187.92</f>
        <v>14288.71</v>
      </c>
      <c r="Q167" s="79">
        <f t="shared" si="6"/>
        <v>0</v>
      </c>
    </row>
    <row r="168" spans="1:17" s="13" customFormat="1" x14ac:dyDescent="0.25">
      <c r="A168" s="229"/>
      <c r="B168" s="30" t="s">
        <v>96</v>
      </c>
      <c r="C168" s="181" t="s">
        <v>17</v>
      </c>
      <c r="D168" s="182"/>
      <c r="E168" s="194" t="s">
        <v>97</v>
      </c>
      <c r="F168" s="73" t="s">
        <v>468</v>
      </c>
      <c r="G168" s="230" t="s">
        <v>114</v>
      </c>
      <c r="H168" s="181">
        <v>1</v>
      </c>
      <c r="I168" s="231">
        <v>1</v>
      </c>
      <c r="J168" s="190">
        <v>1</v>
      </c>
      <c r="K168" s="77">
        <v>1204.2</v>
      </c>
      <c r="L168" s="77">
        <v>1204.2</v>
      </c>
      <c r="M168" s="78">
        <f t="shared" si="5"/>
        <v>0</v>
      </c>
      <c r="N168" s="100">
        <v>6</v>
      </c>
      <c r="O168" s="224">
        <v>18393.400000000001</v>
      </c>
      <c r="P168" s="224">
        <v>18393.400000000001</v>
      </c>
      <c r="Q168" s="232">
        <f t="shared" si="6"/>
        <v>0</v>
      </c>
    </row>
    <row r="169" spans="1:17" s="13" customFormat="1" x14ac:dyDescent="0.25">
      <c r="A169" s="229"/>
      <c r="B169" s="30" t="s">
        <v>98</v>
      </c>
      <c r="C169" s="181" t="s">
        <v>17</v>
      </c>
      <c r="D169" s="182"/>
      <c r="E169" s="194" t="s">
        <v>35</v>
      </c>
      <c r="F169" s="73" t="s">
        <v>406</v>
      </c>
      <c r="G169" s="74" t="s">
        <v>112</v>
      </c>
      <c r="H169" s="75">
        <v>43</v>
      </c>
      <c r="I169" s="76">
        <v>26</v>
      </c>
      <c r="J169" s="96">
        <f>1+2+1+1+4+4+1+2+1+5+5+3</f>
        <v>30</v>
      </c>
      <c r="K169" s="77">
        <f>845.24+1764.25+8353.03+1298.98+7610.68+13826.64+2752.31+9720.26+116979.76-2616.91+4851.2+993.47+3498.2</f>
        <v>169877.11000000002</v>
      </c>
      <c r="L169" s="77">
        <f>845.24+1764.25+8353.03+1298.98+7610.68+13826.64+2752.31+9720.26+116979.76-2616.91+4851.2+993.47+3498.2</f>
        <v>169877.11000000002</v>
      </c>
      <c r="M169" s="78">
        <f t="shared" si="5"/>
        <v>0</v>
      </c>
      <c r="N169" s="100">
        <f>9+1+1+4+2+1+2+4+2+1+1+1</f>
        <v>29</v>
      </c>
      <c r="O169" s="81">
        <f>76864.27+883.08+47501.34+5480.06+4025.41</f>
        <v>134754.16</v>
      </c>
      <c r="P169" s="81">
        <f>76864.27+883.08+47501.34+5480.06+4025.41</f>
        <v>134754.16</v>
      </c>
      <c r="Q169" s="79">
        <f t="shared" si="6"/>
        <v>0</v>
      </c>
    </row>
    <row r="170" spans="1:17" s="13" customFormat="1" x14ac:dyDescent="0.25">
      <c r="A170" s="229"/>
      <c r="B170" s="30" t="s">
        <v>98</v>
      </c>
      <c r="C170" s="181" t="s">
        <v>17</v>
      </c>
      <c r="D170" s="182"/>
      <c r="E170" s="194" t="s">
        <v>35</v>
      </c>
      <c r="F170" s="73" t="s">
        <v>435</v>
      </c>
      <c r="G170" s="235" t="s">
        <v>117</v>
      </c>
      <c r="H170" s="181">
        <v>6</v>
      </c>
      <c r="I170" s="231">
        <v>2</v>
      </c>
      <c r="J170" s="96">
        <v>2</v>
      </c>
      <c r="K170" s="77">
        <v>2486.83</v>
      </c>
      <c r="L170" s="77">
        <v>2486.83</v>
      </c>
      <c r="M170" s="78">
        <f t="shared" si="5"/>
        <v>0</v>
      </c>
      <c r="N170" s="100">
        <v>5</v>
      </c>
      <c r="O170" s="77">
        <v>18950.45</v>
      </c>
      <c r="P170" s="77">
        <v>18950.45</v>
      </c>
      <c r="Q170" s="232">
        <f t="shared" si="6"/>
        <v>0</v>
      </c>
    </row>
    <row r="171" spans="1:17" s="13" customFormat="1" x14ac:dyDescent="0.25">
      <c r="A171" s="229"/>
      <c r="B171" s="30" t="s">
        <v>488</v>
      </c>
      <c r="C171" s="181" t="s">
        <v>17</v>
      </c>
      <c r="D171" s="182"/>
      <c r="E171" s="194" t="s">
        <v>97</v>
      </c>
      <c r="F171" s="73" t="s">
        <v>498</v>
      </c>
      <c r="G171" s="235" t="s">
        <v>112</v>
      </c>
      <c r="H171" s="181">
        <v>16</v>
      </c>
      <c r="I171" s="231">
        <v>12</v>
      </c>
      <c r="J171" s="96">
        <f>4+1+1+2+3+1</f>
        <v>12</v>
      </c>
      <c r="K171" s="77">
        <f>1535.8+576.3+802.8+4667.08+421.47</f>
        <v>8003.45</v>
      </c>
      <c r="L171" s="77">
        <f>1535.8+576.3+802.8+4667.08+421.47</f>
        <v>8003.45</v>
      </c>
      <c r="M171" s="78">
        <f t="shared" si="5"/>
        <v>0</v>
      </c>
      <c r="N171" s="100"/>
      <c r="O171" s="77"/>
      <c r="P171" s="77"/>
      <c r="Q171" s="232"/>
    </row>
    <row r="172" spans="1:17" s="15" customFormat="1" x14ac:dyDescent="0.25">
      <c r="A172" s="229"/>
      <c r="B172" s="30" t="s">
        <v>99</v>
      </c>
      <c r="C172" s="181" t="s">
        <v>17</v>
      </c>
      <c r="D172" s="182"/>
      <c r="E172" s="183" t="s">
        <v>32</v>
      </c>
      <c r="F172" s="73" t="s">
        <v>418</v>
      </c>
      <c r="G172" s="74" t="s">
        <v>112</v>
      </c>
      <c r="H172" s="75"/>
      <c r="I172" s="76"/>
      <c r="J172" s="96"/>
      <c r="K172" s="77"/>
      <c r="L172" s="77"/>
      <c r="M172" s="78">
        <f t="shared" si="5"/>
        <v>0</v>
      </c>
      <c r="N172" s="100"/>
      <c r="O172" s="81"/>
      <c r="P172" s="81"/>
      <c r="Q172" s="79">
        <f t="shared" si="6"/>
        <v>0</v>
      </c>
    </row>
    <row r="173" spans="1:17" s="15" customFormat="1" x14ac:dyDescent="0.25">
      <c r="A173" s="229"/>
      <c r="B173" s="30" t="s">
        <v>99</v>
      </c>
      <c r="C173" s="181" t="s">
        <v>17</v>
      </c>
      <c r="D173" s="182"/>
      <c r="E173" s="183" t="s">
        <v>32</v>
      </c>
      <c r="F173" s="73" t="s">
        <v>423</v>
      </c>
      <c r="G173" s="235" t="s">
        <v>117</v>
      </c>
      <c r="H173" s="181"/>
      <c r="I173" s="231"/>
      <c r="J173" s="190"/>
      <c r="K173" s="77"/>
      <c r="L173" s="77"/>
      <c r="M173" s="78">
        <f t="shared" si="5"/>
        <v>0</v>
      </c>
      <c r="N173" s="114"/>
      <c r="O173" s="77"/>
      <c r="P173" s="77"/>
      <c r="Q173" s="232">
        <f t="shared" si="6"/>
        <v>0</v>
      </c>
    </row>
    <row r="174" spans="1:17" s="15" customFormat="1" ht="30" x14ac:dyDescent="0.25">
      <c r="A174" s="229"/>
      <c r="B174" s="30" t="s">
        <v>144</v>
      </c>
      <c r="C174" s="181" t="s">
        <v>304</v>
      </c>
      <c r="D174" s="182" t="s">
        <v>313</v>
      </c>
      <c r="E174" s="194" t="s">
        <v>97</v>
      </c>
      <c r="F174" s="73" t="s">
        <v>407</v>
      </c>
      <c r="G174" s="66" t="s">
        <v>112</v>
      </c>
      <c r="H174" s="75">
        <v>21</v>
      </c>
      <c r="I174" s="76">
        <v>21</v>
      </c>
      <c r="J174" s="98">
        <f>2+2+1+3+1+1+5+2+1+4+2+4+1</f>
        <v>29</v>
      </c>
      <c r="K174" s="77">
        <f>950.9+1449.39+2272.32+2785.92+5112.01+6655.23+3700.19+4208.95+6370.42</f>
        <v>33505.33</v>
      </c>
      <c r="L174" s="77">
        <f>950.9+1449.39+2272.32+2785.92+5112.01+6655.23+3700.19+4208.95+6370.42</f>
        <v>33505.33</v>
      </c>
      <c r="M174" s="78">
        <f t="shared" si="5"/>
        <v>0</v>
      </c>
      <c r="N174" s="100">
        <f>3+2+1+1+1+1+1</f>
        <v>10</v>
      </c>
      <c r="O174" s="77">
        <f>5020.57+5566.06+2694.94+845.24+2460.18</f>
        <v>16586.990000000002</v>
      </c>
      <c r="P174" s="77">
        <f>5020.57+5566.06+2694.94+845.24+2460.18</f>
        <v>16586.990000000002</v>
      </c>
      <c r="Q174" s="79">
        <f t="shared" si="6"/>
        <v>0</v>
      </c>
    </row>
    <row r="175" spans="1:17" s="15" customFormat="1" x14ac:dyDescent="0.25">
      <c r="A175" s="229"/>
      <c r="B175" s="30" t="s">
        <v>488</v>
      </c>
      <c r="C175" s="181"/>
      <c r="D175" s="182"/>
      <c r="E175" s="194"/>
      <c r="F175" s="73" t="s">
        <v>509</v>
      </c>
      <c r="G175" s="66" t="s">
        <v>114</v>
      </c>
      <c r="H175" s="75">
        <v>25</v>
      </c>
      <c r="I175" s="76">
        <v>14</v>
      </c>
      <c r="J175" s="98">
        <v>14</v>
      </c>
      <c r="K175" s="77">
        <v>32602.84</v>
      </c>
      <c r="L175" s="77">
        <v>32602.84</v>
      </c>
      <c r="M175" s="78">
        <f t="shared" si="5"/>
        <v>0</v>
      </c>
      <c r="N175" s="100"/>
      <c r="O175" s="77"/>
      <c r="P175" s="77"/>
      <c r="Q175" s="232">
        <f t="shared" si="6"/>
        <v>0</v>
      </c>
    </row>
    <row r="176" spans="1:17" s="15" customFormat="1" x14ac:dyDescent="0.25">
      <c r="A176" s="229"/>
      <c r="B176" s="30" t="s">
        <v>514</v>
      </c>
      <c r="C176" s="181"/>
      <c r="D176" s="182"/>
      <c r="E176" s="194" t="s">
        <v>18</v>
      </c>
      <c r="F176" s="73"/>
      <c r="G176" s="66" t="s">
        <v>116</v>
      </c>
      <c r="H176" s="75">
        <v>5</v>
      </c>
      <c r="I176" s="76">
        <v>1</v>
      </c>
      <c r="J176" s="98">
        <v>1</v>
      </c>
      <c r="K176" s="77">
        <v>1766</v>
      </c>
      <c r="L176" s="77">
        <v>1766</v>
      </c>
      <c r="M176" s="78">
        <f t="shared" si="5"/>
        <v>0</v>
      </c>
      <c r="N176" s="100"/>
      <c r="O176" s="77"/>
      <c r="P176" s="77"/>
      <c r="Q176" s="232"/>
    </row>
    <row r="177" spans="1:17" s="15" customFormat="1" x14ac:dyDescent="0.25">
      <c r="A177" s="229"/>
      <c r="B177" s="30" t="s">
        <v>488</v>
      </c>
      <c r="C177" s="181"/>
      <c r="D177" s="182"/>
      <c r="E177" s="194"/>
      <c r="F177" s="73" t="s">
        <v>512</v>
      </c>
      <c r="G177" s="66" t="s">
        <v>116</v>
      </c>
      <c r="H177" s="75">
        <v>12</v>
      </c>
      <c r="I177" s="76">
        <v>7</v>
      </c>
      <c r="J177" s="98">
        <v>7</v>
      </c>
      <c r="K177" s="77">
        <v>12080</v>
      </c>
      <c r="L177" s="77">
        <v>12080</v>
      </c>
      <c r="M177" s="78">
        <f t="shared" si="5"/>
        <v>0</v>
      </c>
      <c r="N177" s="100"/>
      <c r="O177" s="77"/>
      <c r="P177" s="77"/>
      <c r="Q177" s="79"/>
    </row>
    <row r="178" spans="1:17" s="15" customFormat="1" ht="30" x14ac:dyDescent="0.25">
      <c r="A178" s="229"/>
      <c r="B178" s="238" t="s">
        <v>144</v>
      </c>
      <c r="C178" s="181" t="s">
        <v>446</v>
      </c>
      <c r="D178" s="182" t="s">
        <v>313</v>
      </c>
      <c r="E178" s="183" t="s">
        <v>20</v>
      </c>
      <c r="F178" s="73" t="s">
        <v>485</v>
      </c>
      <c r="G178" s="235" t="s">
        <v>114</v>
      </c>
      <c r="H178" s="181">
        <v>38</v>
      </c>
      <c r="I178" s="234">
        <v>18</v>
      </c>
      <c r="J178" s="202">
        <v>18</v>
      </c>
      <c r="K178" s="77">
        <v>48146.53</v>
      </c>
      <c r="L178" s="77">
        <v>48146.53</v>
      </c>
      <c r="M178" s="78">
        <f t="shared" si="5"/>
        <v>0</v>
      </c>
      <c r="N178" s="100">
        <v>22</v>
      </c>
      <c r="O178" s="224">
        <v>55283.8</v>
      </c>
      <c r="P178" s="224">
        <v>55283.8</v>
      </c>
      <c r="Q178" s="232">
        <f t="shared" ref="Q178" si="7">O178-P178</f>
        <v>0</v>
      </c>
    </row>
    <row r="179" spans="1:17" s="21" customFormat="1" ht="45" x14ac:dyDescent="0.25">
      <c r="A179" s="181"/>
      <c r="B179" s="30" t="s">
        <v>100</v>
      </c>
      <c r="C179" s="181" t="s">
        <v>304</v>
      </c>
      <c r="D179" s="182" t="s">
        <v>416</v>
      </c>
      <c r="E179" s="194" t="s">
        <v>20</v>
      </c>
      <c r="F179" s="73" t="s">
        <v>408</v>
      </c>
      <c r="G179" s="27" t="s">
        <v>112</v>
      </c>
      <c r="H179" s="75">
        <v>30</v>
      </c>
      <c r="I179" s="76">
        <v>20</v>
      </c>
      <c r="J179" s="98">
        <f>5+1+4+6+4+2</f>
        <v>22</v>
      </c>
      <c r="K179" s="86">
        <f>6524.55+600.31+19349.45+15377.18+2248.86</f>
        <v>44100.350000000006</v>
      </c>
      <c r="L179" s="86">
        <f>6524.55+600.31+19349.45+15377.18+2248.86</f>
        <v>44100.350000000006</v>
      </c>
      <c r="M179" s="78">
        <f t="shared" si="5"/>
        <v>0</v>
      </c>
      <c r="N179" s="100">
        <f>1+3+2+3+1+1</f>
        <v>11</v>
      </c>
      <c r="O179" s="87">
        <f>10770.58+2113.01+3508.24+19305.88+22849.19+23443.77</f>
        <v>81990.670000000013</v>
      </c>
      <c r="P179" s="87">
        <f>10770.58+2113.01+3508.24+19305.88+22849.19+23443.77</f>
        <v>81990.670000000013</v>
      </c>
      <c r="Q179" s="79">
        <f t="shared" si="6"/>
        <v>0</v>
      </c>
    </row>
    <row r="180" spans="1:17" s="21" customFormat="1" ht="60" x14ac:dyDescent="0.25">
      <c r="A180" s="181"/>
      <c r="B180" s="30" t="s">
        <v>100</v>
      </c>
      <c r="C180" s="203" t="s">
        <v>125</v>
      </c>
      <c r="D180" s="182" t="s">
        <v>126</v>
      </c>
      <c r="E180" s="194" t="s">
        <v>20</v>
      </c>
      <c r="F180" s="73" t="s">
        <v>486</v>
      </c>
      <c r="G180" s="236" t="s">
        <v>114</v>
      </c>
      <c r="H180" s="181">
        <v>11</v>
      </c>
      <c r="I180" s="234">
        <v>2</v>
      </c>
      <c r="J180" s="202">
        <v>2</v>
      </c>
      <c r="K180" s="86">
        <v>17316</v>
      </c>
      <c r="L180" s="86">
        <v>17316</v>
      </c>
      <c r="M180" s="78">
        <f t="shared" si="5"/>
        <v>0</v>
      </c>
      <c r="N180" s="100"/>
      <c r="O180" s="239">
        <v>71568.429999999993</v>
      </c>
      <c r="P180" s="239">
        <v>71568.429999999993</v>
      </c>
      <c r="Q180" s="232">
        <f t="shared" si="6"/>
        <v>0</v>
      </c>
    </row>
    <row r="181" spans="1:17" s="13" customFormat="1" x14ac:dyDescent="0.25">
      <c r="A181" s="229"/>
      <c r="B181" s="62" t="s">
        <v>101</v>
      </c>
      <c r="C181" s="181" t="s">
        <v>17</v>
      </c>
      <c r="D181" s="182"/>
      <c r="E181" s="194" t="s">
        <v>20</v>
      </c>
      <c r="F181" s="73" t="s">
        <v>409</v>
      </c>
      <c r="G181" s="74" t="s">
        <v>112</v>
      </c>
      <c r="H181" s="75">
        <v>17</v>
      </c>
      <c r="I181" s="76">
        <v>8</v>
      </c>
      <c r="J181" s="96">
        <f>1+5+1+1+2+2+1</f>
        <v>13</v>
      </c>
      <c r="K181" s="77">
        <v>9863.65</v>
      </c>
      <c r="L181" s="77">
        <v>9863.65</v>
      </c>
      <c r="M181" s="78">
        <f t="shared" si="5"/>
        <v>0</v>
      </c>
      <c r="N181" s="100">
        <f>5+2+1+1+1</f>
        <v>10</v>
      </c>
      <c r="O181" s="81">
        <f>6288.07+3061.62+3426.18+12951.18</f>
        <v>25727.05</v>
      </c>
      <c r="P181" s="81">
        <f>6288.07+3061.62+3426.18+12951.18</f>
        <v>25727.05</v>
      </c>
      <c r="Q181" s="79">
        <f t="shared" si="6"/>
        <v>0</v>
      </c>
    </row>
    <row r="182" spans="1:17" s="13" customFormat="1" x14ac:dyDescent="0.25">
      <c r="A182" s="229"/>
      <c r="B182" s="62" t="s">
        <v>146</v>
      </c>
      <c r="C182" s="181" t="s">
        <v>17</v>
      </c>
      <c r="D182" s="182"/>
      <c r="E182" s="194" t="s">
        <v>20</v>
      </c>
      <c r="F182" s="73" t="s">
        <v>410</v>
      </c>
      <c r="G182" s="74" t="s">
        <v>112</v>
      </c>
      <c r="H182" s="75">
        <v>16</v>
      </c>
      <c r="I182" s="76">
        <v>13</v>
      </c>
      <c r="J182" s="96">
        <f>4+1+1+2+1+2+1+1+1</f>
        <v>14</v>
      </c>
      <c r="K182" s="77">
        <f>4610.77+1568.98+1854.88+422.62+1334.13+2599.07+5262.18+1092.81+1092.81+481.68</f>
        <v>20319.930000000004</v>
      </c>
      <c r="L182" s="77">
        <f>4610.77+1568.98+1854.88+422.62+1334.13+2599.07+5262.18+1092.81+1092.81+481.68</f>
        <v>20319.930000000004</v>
      </c>
      <c r="M182" s="78">
        <f t="shared" si="5"/>
        <v>0</v>
      </c>
      <c r="N182" s="100">
        <f>5+1+1+2+1+1+1</f>
        <v>12</v>
      </c>
      <c r="O182" s="81">
        <f>13579.06+1287.07+2636.18+26196.83+1204.2</f>
        <v>44903.34</v>
      </c>
      <c r="P182" s="81">
        <f>13579.06+1287.07+2636.18+26196.83+1204.2</f>
        <v>44903.34</v>
      </c>
      <c r="Q182" s="232">
        <f t="shared" si="6"/>
        <v>0</v>
      </c>
    </row>
    <row r="183" spans="1:17" s="13" customFormat="1" x14ac:dyDescent="0.25">
      <c r="A183" s="229"/>
      <c r="B183" s="62" t="s">
        <v>146</v>
      </c>
      <c r="C183" s="181" t="s">
        <v>17</v>
      </c>
      <c r="D183" s="182"/>
      <c r="E183" s="183" t="s">
        <v>21</v>
      </c>
      <c r="F183" s="73" t="s">
        <v>443</v>
      </c>
      <c r="G183" s="230" t="s">
        <v>118</v>
      </c>
      <c r="H183" s="181">
        <v>14</v>
      </c>
      <c r="I183" s="234">
        <v>5</v>
      </c>
      <c r="J183" s="190">
        <v>5</v>
      </c>
      <c r="K183" s="193">
        <v>9341.16</v>
      </c>
      <c r="L183" s="193">
        <v>9341.1299999999992</v>
      </c>
      <c r="M183" s="78">
        <f t="shared" si="5"/>
        <v>3.0000000000654836E-2</v>
      </c>
      <c r="N183" s="114">
        <v>6</v>
      </c>
      <c r="O183" s="224">
        <v>3363.06</v>
      </c>
      <c r="P183" s="224">
        <v>3363.06</v>
      </c>
      <c r="Q183" s="79">
        <f t="shared" si="6"/>
        <v>0</v>
      </c>
    </row>
    <row r="184" spans="1:17" s="13" customFormat="1" x14ac:dyDescent="0.25">
      <c r="A184" s="229"/>
      <c r="B184" s="27" t="s">
        <v>102</v>
      </c>
      <c r="C184" s="181" t="s">
        <v>17</v>
      </c>
      <c r="D184" s="182"/>
      <c r="E184" s="194" t="s">
        <v>20</v>
      </c>
      <c r="F184" s="73" t="s">
        <v>411</v>
      </c>
      <c r="G184" s="74" t="s">
        <v>112</v>
      </c>
      <c r="H184" s="75">
        <v>14</v>
      </c>
      <c r="I184" s="76">
        <v>11</v>
      </c>
      <c r="J184" s="96">
        <f>1+1+2+1+2+1+3</f>
        <v>11</v>
      </c>
      <c r="K184" s="77">
        <f>845.24+845.24+1690.48+1394.65+2689.38+1324.62</f>
        <v>8789.61</v>
      </c>
      <c r="L184" s="77">
        <f>845.24+845.24+1690.48+1394.65+2689.38+1324.62</f>
        <v>8789.61</v>
      </c>
      <c r="M184" s="78">
        <f t="shared" si="5"/>
        <v>0</v>
      </c>
      <c r="N184" s="100">
        <f>3+1+1+1+1</f>
        <v>7</v>
      </c>
      <c r="O184" s="81">
        <f>7808.21+30833.77-12193.52+9963.17+5385.9+14660.89</f>
        <v>56458.420000000006</v>
      </c>
      <c r="P184" s="81">
        <f>7808.21+30833.77-12193.52+9963.17+5385.9+14660.89</f>
        <v>56458.420000000006</v>
      </c>
      <c r="Q184" s="232">
        <f t="shared" si="6"/>
        <v>0</v>
      </c>
    </row>
    <row r="185" spans="1:17" s="13" customFormat="1" x14ac:dyDescent="0.25">
      <c r="A185" s="229"/>
      <c r="B185" s="27" t="s">
        <v>102</v>
      </c>
      <c r="C185" s="181" t="s">
        <v>17</v>
      </c>
      <c r="D185" s="182"/>
      <c r="E185" s="194" t="s">
        <v>20</v>
      </c>
      <c r="F185" s="73" t="s">
        <v>469</v>
      </c>
      <c r="G185" s="230" t="s">
        <v>114</v>
      </c>
      <c r="H185" s="181">
        <v>10</v>
      </c>
      <c r="I185" s="231">
        <v>3</v>
      </c>
      <c r="J185" s="190">
        <v>3</v>
      </c>
      <c r="K185" s="77">
        <v>7690.26</v>
      </c>
      <c r="L185" s="77">
        <v>7690.26</v>
      </c>
      <c r="M185" s="78">
        <f t="shared" si="5"/>
        <v>0</v>
      </c>
      <c r="N185" s="100">
        <v>8</v>
      </c>
      <c r="O185" s="224">
        <v>31795.42</v>
      </c>
      <c r="P185" s="224">
        <v>31795.42</v>
      </c>
      <c r="Q185" s="232">
        <f t="shared" si="6"/>
        <v>0</v>
      </c>
    </row>
    <row r="186" spans="1:17" s="13" customFormat="1" x14ac:dyDescent="0.25">
      <c r="A186" s="229"/>
      <c r="B186" s="27" t="s">
        <v>103</v>
      </c>
      <c r="C186" s="181" t="s">
        <v>17</v>
      </c>
      <c r="D186" s="182"/>
      <c r="E186" s="183" t="s">
        <v>20</v>
      </c>
      <c r="F186" s="73" t="s">
        <v>412</v>
      </c>
      <c r="G186" s="74" t="s">
        <v>112</v>
      </c>
      <c r="H186" s="75">
        <v>15</v>
      </c>
      <c r="I186" s="76">
        <v>10</v>
      </c>
      <c r="J186" s="96">
        <f>4+1+2+3+1</f>
        <v>11</v>
      </c>
      <c r="K186" s="77">
        <f>16248.67+1092.81+2003.49+401.4</f>
        <v>19746.370000000003</v>
      </c>
      <c r="L186" s="77">
        <f>16248.67+1092.81+2003.49+401.4</f>
        <v>19746.370000000003</v>
      </c>
      <c r="M186" s="78">
        <f t="shared" si="5"/>
        <v>0</v>
      </c>
      <c r="N186" s="100">
        <f>7+2+1+1+2+1</f>
        <v>14</v>
      </c>
      <c r="O186" s="77">
        <f>20193.14+7541.5+685.38</f>
        <v>28420.02</v>
      </c>
      <c r="P186" s="77">
        <f>20193.14+7541.5+685.38</f>
        <v>28420.02</v>
      </c>
      <c r="Q186" s="232">
        <f t="shared" si="6"/>
        <v>0</v>
      </c>
    </row>
    <row r="187" spans="1:17" s="13" customFormat="1" x14ac:dyDescent="0.25">
      <c r="A187" s="229"/>
      <c r="B187" s="27" t="s">
        <v>103</v>
      </c>
      <c r="C187" s="181" t="s">
        <v>17</v>
      </c>
      <c r="D187" s="182"/>
      <c r="E187" s="183" t="s">
        <v>20</v>
      </c>
      <c r="F187" s="73" t="s">
        <v>470</v>
      </c>
      <c r="G187" s="230" t="s">
        <v>114</v>
      </c>
      <c r="H187" s="181">
        <v>16</v>
      </c>
      <c r="I187" s="231">
        <v>5</v>
      </c>
      <c r="J187" s="190">
        <v>5</v>
      </c>
      <c r="K187" s="77">
        <v>10158.299999999999</v>
      </c>
      <c r="L187" s="77">
        <v>10158.299999999999</v>
      </c>
      <c r="M187" s="78">
        <f t="shared" si="5"/>
        <v>0</v>
      </c>
      <c r="N187" s="100">
        <v>5</v>
      </c>
      <c r="O187" s="224">
        <v>14245.19</v>
      </c>
      <c r="P187" s="224">
        <v>14245.19</v>
      </c>
      <c r="Q187" s="232">
        <f t="shared" si="6"/>
        <v>0</v>
      </c>
    </row>
    <row r="188" spans="1:17" s="15" customFormat="1" x14ac:dyDescent="0.25">
      <c r="A188" s="229"/>
      <c r="B188" s="27" t="s">
        <v>104</v>
      </c>
      <c r="C188" s="181" t="s">
        <v>17</v>
      </c>
      <c r="D188" s="182"/>
      <c r="E188" s="183" t="s">
        <v>20</v>
      </c>
      <c r="F188" s="73" t="s">
        <v>413</v>
      </c>
      <c r="G188" s="74" t="s">
        <v>112</v>
      </c>
      <c r="H188" s="75">
        <v>18</v>
      </c>
      <c r="I188" s="76">
        <v>14</v>
      </c>
      <c r="J188" s="96">
        <f>3+1+2+4+1+1+1</f>
        <v>13</v>
      </c>
      <c r="K188" s="77">
        <f>5112.82+422.64+8302.14+1605.5+1092.81+1390.85</f>
        <v>17926.759999999998</v>
      </c>
      <c r="L188" s="77">
        <f>5112.82+422.64+8302.14+1605.5+1092.81+1390.85</f>
        <v>17926.759999999998</v>
      </c>
      <c r="M188" s="78">
        <f t="shared" si="5"/>
        <v>0</v>
      </c>
      <c r="N188" s="100">
        <f>4+1+1+2+1</f>
        <v>9</v>
      </c>
      <c r="O188" s="81">
        <f>7087.22+3426.18+3496.22</f>
        <v>14009.619999999999</v>
      </c>
      <c r="P188" s="81">
        <f>7087.22+3426.18+3496.22</f>
        <v>14009.619999999999</v>
      </c>
      <c r="Q188" s="232">
        <f t="shared" si="6"/>
        <v>0</v>
      </c>
    </row>
    <row r="189" spans="1:17" s="15" customFormat="1" x14ac:dyDescent="0.25">
      <c r="A189" s="229"/>
      <c r="B189" s="27" t="s">
        <v>104</v>
      </c>
      <c r="C189" s="181" t="s">
        <v>17</v>
      </c>
      <c r="D189" s="182"/>
      <c r="E189" s="183" t="s">
        <v>20</v>
      </c>
      <c r="F189" s="73" t="s">
        <v>471</v>
      </c>
      <c r="G189" s="230" t="s">
        <v>114</v>
      </c>
      <c r="H189" s="181">
        <v>40</v>
      </c>
      <c r="I189" s="231">
        <v>13</v>
      </c>
      <c r="J189" s="190">
        <v>13</v>
      </c>
      <c r="K189" s="77">
        <v>41748.910000000003</v>
      </c>
      <c r="L189" s="77">
        <v>28101.31</v>
      </c>
      <c r="M189" s="78">
        <f t="shared" si="5"/>
        <v>13647.600000000002</v>
      </c>
      <c r="N189" s="114">
        <v>20</v>
      </c>
      <c r="O189" s="224">
        <v>50922.05</v>
      </c>
      <c r="P189" s="224">
        <v>40887.050000000003</v>
      </c>
      <c r="Q189" s="232">
        <f t="shared" si="6"/>
        <v>10035</v>
      </c>
    </row>
    <row r="190" spans="1:17" s="13" customFormat="1" x14ac:dyDescent="0.25">
      <c r="A190" s="229"/>
      <c r="B190" s="30" t="s">
        <v>26</v>
      </c>
      <c r="C190" s="181" t="s">
        <v>17</v>
      </c>
      <c r="D190" s="182"/>
      <c r="E190" s="183" t="s">
        <v>32</v>
      </c>
      <c r="F190" s="73" t="s">
        <v>246</v>
      </c>
      <c r="G190" s="74" t="s">
        <v>117</v>
      </c>
      <c r="H190" s="75"/>
      <c r="I190" s="76"/>
      <c r="J190" s="96"/>
      <c r="K190" s="77"/>
      <c r="L190" s="77"/>
      <c r="M190" s="78">
        <f t="shared" si="5"/>
        <v>0</v>
      </c>
      <c r="N190" s="100">
        <v>5</v>
      </c>
      <c r="O190" s="81">
        <v>7808.15</v>
      </c>
      <c r="P190" s="81">
        <v>7808.15</v>
      </c>
      <c r="Q190" s="232">
        <f t="shared" si="6"/>
        <v>0</v>
      </c>
    </row>
    <row r="191" spans="1:17" s="13" customFormat="1" x14ac:dyDescent="0.25">
      <c r="A191" s="229"/>
      <c r="B191" s="30" t="s">
        <v>105</v>
      </c>
      <c r="C191" s="181" t="s">
        <v>17</v>
      </c>
      <c r="D191" s="182"/>
      <c r="E191" s="194" t="s">
        <v>35</v>
      </c>
      <c r="F191" s="73" t="s">
        <v>518</v>
      </c>
      <c r="G191" s="74" t="s">
        <v>112</v>
      </c>
      <c r="H191" s="75">
        <v>2</v>
      </c>
      <c r="I191" s="76"/>
      <c r="J191" s="96"/>
      <c r="K191" s="77"/>
      <c r="L191" s="77"/>
      <c r="M191" s="78"/>
      <c r="N191" s="100"/>
      <c r="O191" s="81"/>
      <c r="P191" s="81"/>
      <c r="Q191" s="232"/>
    </row>
    <row r="192" spans="1:17" s="13" customFormat="1" x14ac:dyDescent="0.25">
      <c r="A192" s="229"/>
      <c r="B192" s="62" t="s">
        <v>106</v>
      </c>
      <c r="C192" s="181" t="s">
        <v>17</v>
      </c>
      <c r="D192" s="205"/>
      <c r="E192" s="194" t="s">
        <v>20</v>
      </c>
      <c r="F192" s="73" t="s">
        <v>414</v>
      </c>
      <c r="G192" s="74" t="s">
        <v>112</v>
      </c>
      <c r="H192" s="75">
        <v>14</v>
      </c>
      <c r="I192" s="76">
        <f>8</f>
        <v>8</v>
      </c>
      <c r="J192" s="96">
        <f>1+4+2+2+1</f>
        <v>10</v>
      </c>
      <c r="K192" s="77">
        <f>4901.5+2119.39</f>
        <v>7020.8899999999994</v>
      </c>
      <c r="L192" s="77">
        <f>4901.5+2119.39</f>
        <v>7020.8899999999994</v>
      </c>
      <c r="M192" s="78">
        <f t="shared" si="5"/>
        <v>0</v>
      </c>
      <c r="N192" s="100">
        <f>3+1+1</f>
        <v>5</v>
      </c>
      <c r="O192" s="81">
        <f>49473.81+3066.27</f>
        <v>52540.079999999994</v>
      </c>
      <c r="P192" s="81">
        <f>49473.81+3066.27</f>
        <v>52540.079999999994</v>
      </c>
      <c r="Q192" s="232">
        <f t="shared" si="6"/>
        <v>0</v>
      </c>
    </row>
    <row r="193" spans="1:17" x14ac:dyDescent="0.25">
      <c r="A193" s="299"/>
      <c r="B193" s="66"/>
      <c r="C193" s="300"/>
      <c r="D193" s="235"/>
      <c r="E193" s="235"/>
      <c r="F193" s="73"/>
      <c r="G193" s="235" t="s">
        <v>131</v>
      </c>
      <c r="H193" s="240">
        <f>SUM(H10:H192)</f>
        <v>2904</v>
      </c>
      <c r="I193" s="298">
        <f>SUM(I10:I192)</f>
        <v>1724</v>
      </c>
      <c r="J193" s="208">
        <f>SUM(J10:J192)</f>
        <v>2101</v>
      </c>
      <c r="K193" s="209">
        <f>SUM(K10:K192)</f>
        <v>4006800.1150000016</v>
      </c>
      <c r="L193" s="209">
        <f>SUM(L10:L192)</f>
        <v>3971256.1150000012</v>
      </c>
      <c r="M193" s="210">
        <f>K193-L193</f>
        <v>35544.000000000466</v>
      </c>
      <c r="N193" s="208">
        <f>SUM(N10:N192)</f>
        <v>1857</v>
      </c>
      <c r="O193" s="241">
        <f>SUM(O10:O192)</f>
        <v>5987324.9900000002</v>
      </c>
      <c r="P193" s="241">
        <f>SUM(P10:P192)</f>
        <v>5970215.3100000005</v>
      </c>
      <c r="Q193" s="79">
        <f t="shared" si="6"/>
        <v>17109.679999999702</v>
      </c>
    </row>
    <row r="194" spans="1:17" x14ac:dyDescent="0.25">
      <c r="K194" s="91" t="s">
        <v>305</v>
      </c>
    </row>
    <row r="195" spans="1:17" ht="45" x14ac:dyDescent="0.25">
      <c r="B195" s="89" t="s">
        <v>316</v>
      </c>
      <c r="F195" s="104" t="s">
        <v>317</v>
      </c>
      <c r="M195" s="142"/>
      <c r="N195" s="277"/>
      <c r="O195" s="278"/>
      <c r="P195" s="279"/>
      <c r="Q195" s="133"/>
    </row>
    <row r="196" spans="1:17" x14ac:dyDescent="0.25"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216"/>
      <c r="N196" s="6"/>
      <c r="O196" s="6"/>
      <c r="P196" s="6"/>
      <c r="Q196" s="6"/>
    </row>
    <row r="197" spans="1:17" x14ac:dyDescent="0.25">
      <c r="M197" s="216"/>
    </row>
    <row r="198" spans="1:17" x14ac:dyDescent="0.25">
      <c r="M198" s="216"/>
    </row>
    <row r="199" spans="1:17" x14ac:dyDescent="0.25">
      <c r="M199" s="216"/>
    </row>
    <row r="200" spans="1:17" x14ac:dyDescent="0.25">
      <c r="M200" s="216"/>
    </row>
  </sheetData>
  <mergeCells count="7">
    <mergeCell ref="O1:Q1"/>
    <mergeCell ref="A3:Q3"/>
    <mergeCell ref="A4:Q4"/>
    <mergeCell ref="A5:Q5"/>
    <mergeCell ref="B7:G7"/>
    <mergeCell ref="H7:M7"/>
    <mergeCell ref="N7:Q7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00"/>
  <sheetViews>
    <sheetView workbookViewId="0">
      <selection sqref="A1:XFD1048576"/>
    </sheetView>
  </sheetViews>
  <sheetFormatPr defaultRowHeight="15" x14ac:dyDescent="0.25"/>
  <cols>
    <col min="1" max="1" width="1.85546875" style="6" customWidth="1"/>
    <col min="2" max="2" width="38.28515625" style="88" customWidth="1"/>
    <col min="3" max="3" width="6.5703125" style="19" hidden="1" customWidth="1"/>
    <col min="4" max="4" width="17.42578125" style="19" hidden="1" customWidth="1"/>
    <col min="5" max="5" width="19" style="19" hidden="1" customWidth="1"/>
    <col min="6" max="6" width="19" style="89" hidden="1" customWidth="1"/>
    <col min="7" max="7" width="20.140625" style="89" customWidth="1"/>
    <col min="8" max="9" width="15.7109375" style="90" customWidth="1"/>
    <col min="10" max="10" width="15.7109375" style="99" customWidth="1"/>
    <col min="11" max="13" width="15.7109375" style="91" customWidth="1"/>
    <col min="14" max="14" width="15.7109375" style="99" customWidth="1"/>
    <col min="15" max="17" width="15.7109375" style="92" customWidth="1"/>
    <col min="18" max="18" width="8.85546875" style="6" customWidth="1"/>
    <col min="19" max="16384" width="9.140625" style="6"/>
  </cols>
  <sheetData>
    <row r="1" spans="1:17" s="105" customFormat="1" ht="15" customHeight="1" x14ac:dyDescent="0.25">
      <c r="A1" s="60"/>
      <c r="B1" s="60"/>
      <c r="C1" s="225"/>
      <c r="D1" s="225"/>
      <c r="E1" s="225"/>
      <c r="F1" s="63"/>
      <c r="G1" s="63"/>
      <c r="H1" s="64"/>
      <c r="I1" s="64"/>
      <c r="J1" s="93"/>
      <c r="K1" s="65"/>
      <c r="L1" s="65"/>
      <c r="M1" s="65"/>
      <c r="N1" s="93"/>
      <c r="O1" s="362" t="s">
        <v>15</v>
      </c>
      <c r="P1" s="362"/>
      <c r="Q1" s="362"/>
    </row>
    <row r="2" spans="1:17" s="105" customFormat="1" x14ac:dyDescent="0.25">
      <c r="A2" s="305"/>
      <c r="B2" s="305"/>
      <c r="C2" s="303"/>
      <c r="D2" s="303"/>
      <c r="E2" s="303"/>
      <c r="F2" s="66"/>
      <c r="G2" s="66"/>
      <c r="H2" s="304"/>
      <c r="I2" s="304"/>
      <c r="J2" s="94"/>
      <c r="K2" s="67"/>
      <c r="L2" s="67"/>
      <c r="M2" s="67"/>
      <c r="N2" s="94"/>
      <c r="O2" s="68"/>
      <c r="P2" s="68"/>
      <c r="Q2" s="68"/>
    </row>
    <row r="3" spans="1:17" s="105" customFormat="1" ht="15" customHeight="1" x14ac:dyDescent="0.25">
      <c r="A3" s="380" t="s">
        <v>318</v>
      </c>
      <c r="B3" s="367"/>
      <c r="C3" s="380"/>
      <c r="D3" s="380"/>
      <c r="E3" s="380"/>
      <c r="F3" s="367"/>
      <c r="G3" s="367"/>
      <c r="H3" s="366"/>
      <c r="I3" s="366"/>
      <c r="J3" s="367"/>
      <c r="K3" s="367"/>
      <c r="L3" s="367"/>
      <c r="M3" s="367"/>
      <c r="N3" s="367"/>
      <c r="O3" s="367"/>
      <c r="P3" s="367"/>
      <c r="Q3" s="367"/>
    </row>
    <row r="4" spans="1:17" s="105" customFormat="1" x14ac:dyDescent="0.25">
      <c r="A4" s="381">
        <v>43780</v>
      </c>
      <c r="B4" s="373"/>
      <c r="C4" s="382"/>
      <c r="D4" s="382"/>
      <c r="E4" s="382"/>
      <c r="F4" s="373"/>
      <c r="G4" s="373"/>
      <c r="H4" s="372"/>
      <c r="I4" s="372"/>
      <c r="J4" s="373"/>
      <c r="K4" s="373"/>
      <c r="L4" s="373"/>
      <c r="M4" s="373"/>
      <c r="N4" s="373"/>
      <c r="O4" s="373"/>
      <c r="P4" s="373"/>
      <c r="Q4" s="373"/>
    </row>
    <row r="5" spans="1:17" s="105" customFormat="1" ht="15" customHeight="1" x14ac:dyDescent="0.25">
      <c r="A5" s="367" t="s">
        <v>14</v>
      </c>
      <c r="B5" s="367"/>
      <c r="C5" s="367"/>
      <c r="D5" s="367"/>
      <c r="E5" s="367"/>
      <c r="F5" s="367"/>
      <c r="G5" s="367"/>
      <c r="H5" s="366"/>
      <c r="I5" s="366"/>
      <c r="J5" s="367"/>
      <c r="K5" s="367"/>
      <c r="L5" s="367"/>
      <c r="M5" s="367"/>
      <c r="N5" s="367"/>
      <c r="O5" s="367"/>
      <c r="P5" s="367"/>
      <c r="Q5" s="367"/>
    </row>
    <row r="6" spans="1:17" s="105" customFormat="1" x14ac:dyDescent="0.25">
      <c r="A6" s="305"/>
      <c r="B6" s="305"/>
      <c r="C6" s="303"/>
      <c r="D6" s="303"/>
      <c r="E6" s="303"/>
      <c r="F6" s="66"/>
      <c r="G6" s="66"/>
      <c r="H6" s="304"/>
      <c r="I6" s="304"/>
      <c r="J6" s="94"/>
      <c r="K6" s="67"/>
      <c r="L6" s="67"/>
      <c r="M6" s="67"/>
      <c r="N6" s="94"/>
      <c r="O6" s="68"/>
      <c r="P6" s="68"/>
      <c r="Q6" s="68"/>
    </row>
    <row r="7" spans="1:17" ht="15" customHeight="1" x14ac:dyDescent="0.25">
      <c r="A7" s="227" t="s">
        <v>0</v>
      </c>
      <c r="B7" s="367" t="s">
        <v>10</v>
      </c>
      <c r="C7" s="380"/>
      <c r="D7" s="380"/>
      <c r="E7" s="380"/>
      <c r="F7" s="367"/>
      <c r="G7" s="367"/>
      <c r="H7" s="366" t="s">
        <v>472</v>
      </c>
      <c r="I7" s="366"/>
      <c r="J7" s="367"/>
      <c r="K7" s="367"/>
      <c r="L7" s="367"/>
      <c r="M7" s="367"/>
      <c r="N7" s="367" t="s">
        <v>132</v>
      </c>
      <c r="O7" s="367"/>
      <c r="P7" s="367"/>
      <c r="Q7" s="367"/>
    </row>
    <row r="8" spans="1:17" ht="17.25" customHeight="1" x14ac:dyDescent="0.25">
      <c r="A8" s="227"/>
      <c r="B8" s="305" t="s">
        <v>4</v>
      </c>
      <c r="C8" s="303" t="s">
        <v>1</v>
      </c>
      <c r="D8" s="303" t="s">
        <v>3</v>
      </c>
      <c r="E8" s="303" t="s">
        <v>2</v>
      </c>
      <c r="F8" s="305" t="s">
        <v>6</v>
      </c>
      <c r="G8" s="66" t="s">
        <v>5</v>
      </c>
      <c r="H8" s="305" t="s">
        <v>7</v>
      </c>
      <c r="I8" s="305" t="s">
        <v>8</v>
      </c>
      <c r="J8" s="94" t="s">
        <v>9</v>
      </c>
      <c r="K8" s="67" t="s">
        <v>11</v>
      </c>
      <c r="L8" s="67" t="s">
        <v>12</v>
      </c>
      <c r="M8" s="67" t="s">
        <v>13</v>
      </c>
      <c r="N8" s="94" t="s">
        <v>9</v>
      </c>
      <c r="O8" s="68" t="s">
        <v>11</v>
      </c>
      <c r="P8" s="68" t="s">
        <v>12</v>
      </c>
      <c r="Q8" s="68" t="s">
        <v>13</v>
      </c>
    </row>
    <row r="9" spans="1:17" x14ac:dyDescent="0.25">
      <c r="A9" s="228">
        <v>1</v>
      </c>
      <c r="B9" s="61">
        <f>A9+1</f>
        <v>2</v>
      </c>
      <c r="C9" s="228">
        <f t="shared" ref="C9:Q9" si="0">B9+1</f>
        <v>3</v>
      </c>
      <c r="D9" s="228">
        <f t="shared" si="0"/>
        <v>4</v>
      </c>
      <c r="E9" s="228">
        <f t="shared" si="0"/>
        <v>5</v>
      </c>
      <c r="F9" s="69">
        <f t="shared" si="0"/>
        <v>6</v>
      </c>
      <c r="G9" s="69">
        <f t="shared" si="0"/>
        <v>7</v>
      </c>
      <c r="H9" s="70">
        <f t="shared" si="0"/>
        <v>8</v>
      </c>
      <c r="I9" s="70">
        <f t="shared" si="0"/>
        <v>9</v>
      </c>
      <c r="J9" s="95">
        <f t="shared" si="0"/>
        <v>10</v>
      </c>
      <c r="K9" s="71">
        <f t="shared" si="0"/>
        <v>11</v>
      </c>
      <c r="L9" s="71">
        <f t="shared" si="0"/>
        <v>12</v>
      </c>
      <c r="M9" s="71">
        <f t="shared" si="0"/>
        <v>13</v>
      </c>
      <c r="N9" s="95">
        <f t="shared" si="0"/>
        <v>14</v>
      </c>
      <c r="O9" s="72">
        <f t="shared" si="0"/>
        <v>15</v>
      </c>
      <c r="P9" s="72">
        <f t="shared" si="0"/>
        <v>16</v>
      </c>
      <c r="Q9" s="72">
        <f t="shared" si="0"/>
        <v>17</v>
      </c>
    </row>
    <row r="10" spans="1:17" s="13" customFormat="1" ht="15" customHeight="1" x14ac:dyDescent="0.25">
      <c r="A10" s="229"/>
      <c r="B10" s="62" t="s">
        <v>16</v>
      </c>
      <c r="C10" s="181" t="s">
        <v>304</v>
      </c>
      <c r="D10" s="182" t="s">
        <v>315</v>
      </c>
      <c r="E10" s="183" t="s">
        <v>18</v>
      </c>
      <c r="F10" s="73" t="s">
        <v>322</v>
      </c>
      <c r="G10" s="74" t="s">
        <v>112</v>
      </c>
      <c r="H10" s="75">
        <v>12</v>
      </c>
      <c r="I10" s="76">
        <v>11</v>
      </c>
      <c r="J10" s="98">
        <f>2+1+3+3+1+3</f>
        <v>13</v>
      </c>
      <c r="K10" s="77">
        <f>4792.51+1138.19+504.26+11366.06+4859.68+3954.5+12023.46</f>
        <v>38638.660000000003</v>
      </c>
      <c r="L10" s="77">
        <f>4792.51+1138.19+504.26+11366.06+4859.68+3954.5+12023.46</f>
        <v>38638.660000000003</v>
      </c>
      <c r="M10" s="78">
        <f>K10-L10</f>
        <v>0</v>
      </c>
      <c r="N10" s="100">
        <f>2+5+1+2+1</f>
        <v>11</v>
      </c>
      <c r="O10" s="77">
        <f>9108.77+6924.32+22366.06+8197.52</f>
        <v>46596.67</v>
      </c>
      <c r="P10" s="77">
        <f>9108.77+6924.32+22366.06+8197.52</f>
        <v>46596.67</v>
      </c>
      <c r="Q10" s="79">
        <f>O10-P10</f>
        <v>0</v>
      </c>
    </row>
    <row r="11" spans="1:17" s="13" customFormat="1" ht="15" customHeight="1" x14ac:dyDescent="0.25">
      <c r="A11" s="229"/>
      <c r="B11" s="62" t="s">
        <v>16</v>
      </c>
      <c r="C11" s="181" t="s">
        <v>304</v>
      </c>
      <c r="D11" s="182" t="s">
        <v>315</v>
      </c>
      <c r="E11" s="183" t="s">
        <v>18</v>
      </c>
      <c r="F11" s="73" t="s">
        <v>322</v>
      </c>
      <c r="G11" s="230" t="s">
        <v>116</v>
      </c>
      <c r="H11" s="181">
        <v>12</v>
      </c>
      <c r="I11" s="231">
        <v>6</v>
      </c>
      <c r="J11" s="96">
        <v>6</v>
      </c>
      <c r="K11" s="224">
        <v>11526</v>
      </c>
      <c r="L11" s="224">
        <v>11526</v>
      </c>
      <c r="M11" s="78">
        <f t="shared" ref="M11:M77" si="1">K11-L11</f>
        <v>0</v>
      </c>
      <c r="N11" s="100"/>
      <c r="O11" s="224">
        <v>2945</v>
      </c>
      <c r="P11" s="224">
        <v>2945</v>
      </c>
      <c r="Q11" s="232">
        <f t="shared" ref="Q11:Q81" si="2">O11-P11</f>
        <v>0</v>
      </c>
    </row>
    <row r="12" spans="1:17" s="13" customFormat="1" x14ac:dyDescent="0.25">
      <c r="A12" s="229"/>
      <c r="B12" s="62" t="s">
        <v>490</v>
      </c>
      <c r="C12" s="181" t="s">
        <v>304</v>
      </c>
      <c r="D12" s="182"/>
      <c r="E12" s="183"/>
      <c r="F12" s="189" t="s">
        <v>501</v>
      </c>
      <c r="G12" s="230" t="s">
        <v>112</v>
      </c>
      <c r="H12" s="181">
        <v>18</v>
      </c>
      <c r="I12" s="231">
        <v>16</v>
      </c>
      <c r="J12" s="96">
        <f>5+1+3+1+1+2+2+1+1</f>
        <v>17</v>
      </c>
      <c r="K12" s="224">
        <f>8352.39+384.2+1463.8+3720.67+546.41+5470.48+13100.4+2207.7</f>
        <v>35246.049999999996</v>
      </c>
      <c r="L12" s="224">
        <f>8352.39+384.2+1463.8+3720.67+546.41+5470.48+13100.4+2207.7</f>
        <v>35246.049999999996</v>
      </c>
      <c r="M12" s="78">
        <f t="shared" si="1"/>
        <v>0</v>
      </c>
      <c r="N12" s="100"/>
      <c r="O12" s="224"/>
      <c r="P12" s="224"/>
      <c r="Q12" s="79">
        <f t="shared" si="2"/>
        <v>0</v>
      </c>
    </row>
    <row r="13" spans="1:17" s="15" customFormat="1" x14ac:dyDescent="0.25">
      <c r="A13" s="229"/>
      <c r="B13" s="62" t="s">
        <v>19</v>
      </c>
      <c r="C13" s="181" t="s">
        <v>17</v>
      </c>
      <c r="D13" s="182"/>
      <c r="E13" s="183" t="s">
        <v>20</v>
      </c>
      <c r="F13" s="73" t="s">
        <v>323</v>
      </c>
      <c r="G13" s="74" t="s">
        <v>112</v>
      </c>
      <c r="H13" s="75">
        <v>16</v>
      </c>
      <c r="I13" s="76">
        <v>15</v>
      </c>
      <c r="J13" s="96">
        <f>1+2+5+2+1+5+1+3+1+2</f>
        <v>23</v>
      </c>
      <c r="K13" s="77">
        <f>422.62+4792.51+1796.14+1373.52+5511.59+1707.76+662.31</f>
        <v>16266.45</v>
      </c>
      <c r="L13" s="77">
        <f>422.62+4792.51+1796.14+1373.52+5511.59+1707.76+662.31</f>
        <v>16266.45</v>
      </c>
      <c r="M13" s="78">
        <f>K13-L13</f>
        <v>0</v>
      </c>
      <c r="N13" s="100">
        <f>8+3+1+2</f>
        <v>14</v>
      </c>
      <c r="O13" s="81">
        <f>6459.36+7124.45</f>
        <v>13583.81</v>
      </c>
      <c r="P13" s="81">
        <f>6459.36+7124.45</f>
        <v>13583.81</v>
      </c>
      <c r="Q13" s="79">
        <f t="shared" si="2"/>
        <v>0</v>
      </c>
    </row>
    <row r="14" spans="1:17" s="15" customFormat="1" x14ac:dyDescent="0.25">
      <c r="A14" s="229"/>
      <c r="B14" s="62" t="s">
        <v>19</v>
      </c>
      <c r="C14" s="181" t="s">
        <v>17</v>
      </c>
      <c r="D14" s="182"/>
      <c r="E14" s="183" t="s">
        <v>20</v>
      </c>
      <c r="F14" s="73" t="s">
        <v>451</v>
      </c>
      <c r="G14" s="230" t="s">
        <v>114</v>
      </c>
      <c r="H14" s="181">
        <v>13</v>
      </c>
      <c r="I14" s="231">
        <v>7</v>
      </c>
      <c r="J14" s="190">
        <v>7</v>
      </c>
      <c r="K14" s="77">
        <v>11142.12</v>
      </c>
      <c r="L14" s="77">
        <v>11142.12</v>
      </c>
      <c r="M14" s="78">
        <f t="shared" si="1"/>
        <v>0</v>
      </c>
      <c r="N14" s="100">
        <v>10</v>
      </c>
      <c r="O14" s="224">
        <v>18093.599999999999</v>
      </c>
      <c r="P14" s="224">
        <v>18093.599999999999</v>
      </c>
      <c r="Q14" s="232">
        <f t="shared" si="2"/>
        <v>0</v>
      </c>
    </row>
    <row r="15" spans="1:17" s="15" customFormat="1" x14ac:dyDescent="0.25">
      <c r="A15" s="229"/>
      <c r="B15" s="62" t="s">
        <v>153</v>
      </c>
      <c r="C15" s="181" t="s">
        <v>17</v>
      </c>
      <c r="D15" s="182"/>
      <c r="E15" s="183" t="s">
        <v>20</v>
      </c>
      <c r="F15" s="73" t="s">
        <v>324</v>
      </c>
      <c r="G15" s="74" t="s">
        <v>112</v>
      </c>
      <c r="H15" s="75">
        <v>18</v>
      </c>
      <c r="I15" s="82">
        <v>12</v>
      </c>
      <c r="J15" s="96">
        <f>1+1+2+1+1+2+1+1+1+1+2</f>
        <v>14</v>
      </c>
      <c r="K15" s="77">
        <f>950.9+2451.87+3074.57+845.24+1977.86+1284.48+883.08+401.4+1357.13+421.47</f>
        <v>13647.999999999998</v>
      </c>
      <c r="L15" s="77">
        <f>950.9+2451.87+3074.57+845.24+1977.86+1284.48+883.08+401.4+1357.13+421.47</f>
        <v>13647.999999999998</v>
      </c>
      <c r="M15" s="78">
        <f t="shared" si="1"/>
        <v>0</v>
      </c>
      <c r="N15" s="114">
        <f>1+2+1+2+1+1</f>
        <v>8</v>
      </c>
      <c r="O15" s="81">
        <f>422.62+945.61+2484.69+7964.81+1536.8+2498.17</f>
        <v>15852.699999999999</v>
      </c>
      <c r="P15" s="81">
        <f>422.62+945.61+2484.69+7964.81+1536.8+2498.17</f>
        <v>15852.699999999999</v>
      </c>
      <c r="Q15" s="79">
        <f t="shared" si="2"/>
        <v>0</v>
      </c>
    </row>
    <row r="16" spans="1:17" s="15" customFormat="1" x14ac:dyDescent="0.25">
      <c r="A16" s="229"/>
      <c r="B16" s="233" t="s">
        <v>153</v>
      </c>
      <c r="C16" s="181" t="s">
        <v>17</v>
      </c>
      <c r="D16" s="182"/>
      <c r="E16" s="183" t="s">
        <v>20</v>
      </c>
      <c r="F16" s="73" t="s">
        <v>452</v>
      </c>
      <c r="G16" s="230" t="s">
        <v>114</v>
      </c>
      <c r="H16" s="181">
        <v>19</v>
      </c>
      <c r="I16" s="231">
        <v>7</v>
      </c>
      <c r="J16" s="190">
        <v>7</v>
      </c>
      <c r="K16" s="77">
        <v>20595.29</v>
      </c>
      <c r="L16" s="77">
        <v>20595.29</v>
      </c>
      <c r="M16" s="78">
        <f t="shared" si="1"/>
        <v>0</v>
      </c>
      <c r="N16" s="100">
        <v>10</v>
      </c>
      <c r="O16" s="224">
        <v>23692.400000000001</v>
      </c>
      <c r="P16" s="224">
        <v>23692.400000000001</v>
      </c>
      <c r="Q16" s="232">
        <f t="shared" si="2"/>
        <v>0</v>
      </c>
    </row>
    <row r="17" spans="1:17" s="13" customFormat="1" x14ac:dyDescent="0.25">
      <c r="A17" s="229"/>
      <c r="B17" s="30" t="s">
        <v>22</v>
      </c>
      <c r="C17" s="181" t="s">
        <v>17</v>
      </c>
      <c r="D17" s="182"/>
      <c r="E17" s="183" t="s">
        <v>23</v>
      </c>
      <c r="F17" s="73" t="s">
        <v>325</v>
      </c>
      <c r="G17" s="74" t="s">
        <v>112</v>
      </c>
      <c r="H17" s="75">
        <v>51</v>
      </c>
      <c r="I17" s="76">
        <v>10</v>
      </c>
      <c r="J17" s="96">
        <f>1+2+1+9</f>
        <v>13</v>
      </c>
      <c r="K17" s="77">
        <f>2698.64+1402.33+11601.84+8586.48</f>
        <v>24289.29</v>
      </c>
      <c r="L17" s="77">
        <f>2698.64+1402.33+11601.84+8586.48</f>
        <v>24289.29</v>
      </c>
      <c r="M17" s="78">
        <f t="shared" si="1"/>
        <v>0</v>
      </c>
      <c r="N17" s="100">
        <f>14+3+7+1+1</f>
        <v>26</v>
      </c>
      <c r="O17" s="81">
        <f>22716.4+4171.06+18768.39+8172.47</f>
        <v>53828.320000000007</v>
      </c>
      <c r="P17" s="81">
        <f>22716.4+4171.06+18768.39+8172.47</f>
        <v>53828.320000000007</v>
      </c>
      <c r="Q17" s="79">
        <f t="shared" si="2"/>
        <v>0</v>
      </c>
    </row>
    <row r="18" spans="1:17" s="13" customFormat="1" x14ac:dyDescent="0.25">
      <c r="A18" s="229"/>
      <c r="B18" s="30" t="s">
        <v>154</v>
      </c>
      <c r="C18" s="181" t="s">
        <v>17</v>
      </c>
      <c r="D18" s="182"/>
      <c r="E18" s="183" t="s">
        <v>20</v>
      </c>
      <c r="F18" s="73" t="s">
        <v>453</v>
      </c>
      <c r="G18" s="230" t="s">
        <v>114</v>
      </c>
      <c r="H18" s="181">
        <v>34</v>
      </c>
      <c r="I18" s="234">
        <v>4</v>
      </c>
      <c r="J18" s="190">
        <v>4</v>
      </c>
      <c r="K18" s="193">
        <v>5346.6</v>
      </c>
      <c r="L18" s="193">
        <v>5346.6</v>
      </c>
      <c r="M18" s="78">
        <f t="shared" si="1"/>
        <v>0</v>
      </c>
      <c r="N18" s="114">
        <v>18</v>
      </c>
      <c r="O18" s="224">
        <v>45126.77</v>
      </c>
      <c r="P18" s="224">
        <v>45126.77</v>
      </c>
      <c r="Q18" s="232">
        <f t="shared" si="2"/>
        <v>0</v>
      </c>
    </row>
    <row r="19" spans="1:17" s="13" customFormat="1" x14ac:dyDescent="0.25">
      <c r="A19" s="229"/>
      <c r="B19" s="30" t="s">
        <v>154</v>
      </c>
      <c r="C19" s="181" t="s">
        <v>17</v>
      </c>
      <c r="D19" s="182"/>
      <c r="E19" s="183" t="s">
        <v>20</v>
      </c>
      <c r="F19" s="73" t="s">
        <v>326</v>
      </c>
      <c r="G19" s="74" t="s">
        <v>112</v>
      </c>
      <c r="H19" s="75">
        <v>30</v>
      </c>
      <c r="I19" s="76">
        <v>25</v>
      </c>
      <c r="J19" s="96">
        <f>1+1+2+2+2+6+1+4+1+2+2+3+1+1+1+3+1</f>
        <v>34</v>
      </c>
      <c r="K19" s="77">
        <f>950.9+864.46+845.24+405.02+739.59+6850.57+12952.58+883.08+2185.62+1053.68+5958.27+6539.59</f>
        <v>40228.600000000006</v>
      </c>
      <c r="L19" s="77">
        <f>950.9+864.46+845.24+405.02+739.59+6850.57+12952.58+883.08+2185.62+1053.68+5958.27+6539.59</f>
        <v>40228.600000000006</v>
      </c>
      <c r="M19" s="78">
        <f t="shared" si="1"/>
        <v>0</v>
      </c>
      <c r="N19" s="100">
        <f>6+3+1+1+1+2+1+1</f>
        <v>16</v>
      </c>
      <c r="O19" s="81">
        <f>6681.33+7017+1523.5+9094.74+3532.32</f>
        <v>27848.89</v>
      </c>
      <c r="P19" s="81">
        <f>6681.33+7017+1523.5+9094.74+3532.32</f>
        <v>27848.89</v>
      </c>
      <c r="Q19" s="79">
        <f t="shared" si="2"/>
        <v>0</v>
      </c>
    </row>
    <row r="20" spans="1:17" s="13" customFormat="1" x14ac:dyDescent="0.25">
      <c r="A20" s="229"/>
      <c r="B20" s="62" t="s">
        <v>24</v>
      </c>
      <c r="C20" s="181" t="s">
        <v>17</v>
      </c>
      <c r="D20" s="182"/>
      <c r="E20" s="183" t="s">
        <v>20</v>
      </c>
      <c r="F20" s="73" t="s">
        <v>327</v>
      </c>
      <c r="G20" s="74" t="s">
        <v>112</v>
      </c>
      <c r="H20" s="75">
        <v>9</v>
      </c>
      <c r="I20" s="76">
        <v>5</v>
      </c>
      <c r="J20" s="96">
        <f>3+1+1+2</f>
        <v>7</v>
      </c>
      <c r="K20" s="77">
        <f>1191.02</f>
        <v>1191.02</v>
      </c>
      <c r="L20" s="77">
        <f>1191.02</f>
        <v>1191.02</v>
      </c>
      <c r="M20" s="78">
        <f t="shared" si="1"/>
        <v>0</v>
      </c>
      <c r="N20" s="100">
        <f>1+1+1</f>
        <v>3</v>
      </c>
      <c r="O20" s="81">
        <f>576.3+1810.93</f>
        <v>2387.23</v>
      </c>
      <c r="P20" s="81">
        <f>576.3+1810.93</f>
        <v>2387.23</v>
      </c>
      <c r="Q20" s="232">
        <f t="shared" si="2"/>
        <v>0</v>
      </c>
    </row>
    <row r="21" spans="1:17" s="13" customFormat="1" x14ac:dyDescent="0.25">
      <c r="A21" s="229"/>
      <c r="B21" s="62" t="s">
        <v>24</v>
      </c>
      <c r="C21" s="181" t="s">
        <v>17</v>
      </c>
      <c r="D21" s="182"/>
      <c r="E21" s="183" t="s">
        <v>20</v>
      </c>
      <c r="F21" s="73" t="s">
        <v>454</v>
      </c>
      <c r="G21" s="230" t="s">
        <v>114</v>
      </c>
      <c r="H21" s="181">
        <v>14</v>
      </c>
      <c r="I21" s="231">
        <v>6</v>
      </c>
      <c r="J21" s="190">
        <v>6</v>
      </c>
      <c r="K21" s="77">
        <v>11832.85</v>
      </c>
      <c r="L21" s="77">
        <v>11832.85</v>
      </c>
      <c r="M21" s="78">
        <f t="shared" si="1"/>
        <v>0</v>
      </c>
      <c r="N21" s="100">
        <v>18</v>
      </c>
      <c r="O21" s="224">
        <v>36741.4</v>
      </c>
      <c r="P21" s="224">
        <v>36741.4</v>
      </c>
      <c r="Q21" s="232">
        <f t="shared" si="2"/>
        <v>0</v>
      </c>
    </row>
    <row r="22" spans="1:17" s="13" customFormat="1" x14ac:dyDescent="0.25">
      <c r="A22" s="229"/>
      <c r="B22" s="62" t="s">
        <v>25</v>
      </c>
      <c r="C22" s="181" t="s">
        <v>17</v>
      </c>
      <c r="D22" s="182"/>
      <c r="E22" s="183" t="s">
        <v>20</v>
      </c>
      <c r="F22" s="73" t="s">
        <v>328</v>
      </c>
      <c r="G22" s="74" t="s">
        <v>112</v>
      </c>
      <c r="H22" s="75">
        <v>16</v>
      </c>
      <c r="I22" s="76">
        <v>12</v>
      </c>
      <c r="J22" s="96">
        <f>1+1+1+1+1+1+1+2+1+2+1</f>
        <v>13</v>
      </c>
      <c r="K22" s="173">
        <f>403.41+1605.6+3697.9+1204.2+1092.81+3022.24+4486.05+4612.57+1457.08</f>
        <v>21581.86</v>
      </c>
      <c r="L22" s="173">
        <f>403.41+1605.6+3697.9+1204.2+1092.81+3022.24+4486.05+4612.57+1457.08</f>
        <v>21581.86</v>
      </c>
      <c r="M22" s="78">
        <f t="shared" si="1"/>
        <v>0</v>
      </c>
      <c r="N22" s="100">
        <f>6+1+2+2+1+2</f>
        <v>14</v>
      </c>
      <c r="O22" s="81">
        <f>14526.7+5595.3+2440.62+2839.24+10715.74</f>
        <v>36117.599999999999</v>
      </c>
      <c r="P22" s="81">
        <f>14526.7+5595.3+2440.62+2839.24+10715.74</f>
        <v>36117.599999999999</v>
      </c>
      <c r="Q22" s="232">
        <f t="shared" si="2"/>
        <v>0</v>
      </c>
    </row>
    <row r="23" spans="1:17" s="13" customFormat="1" x14ac:dyDescent="0.25">
      <c r="A23" s="229"/>
      <c r="B23" s="62" t="s">
        <v>25</v>
      </c>
      <c r="C23" s="181" t="s">
        <v>17</v>
      </c>
      <c r="D23" s="182"/>
      <c r="E23" s="183" t="s">
        <v>20</v>
      </c>
      <c r="F23" s="73" t="s">
        <v>455</v>
      </c>
      <c r="G23" s="230" t="s">
        <v>114</v>
      </c>
      <c r="H23" s="181">
        <v>6</v>
      </c>
      <c r="I23" s="231"/>
      <c r="J23" s="190">
        <f>1</f>
        <v>1</v>
      </c>
      <c r="K23" s="77"/>
      <c r="L23" s="77"/>
      <c r="M23" s="78">
        <f t="shared" si="1"/>
        <v>0</v>
      </c>
      <c r="N23" s="100">
        <v>3</v>
      </c>
      <c r="O23" s="224">
        <v>7219.8</v>
      </c>
      <c r="P23" s="224">
        <v>7219.8</v>
      </c>
      <c r="Q23" s="232">
        <f t="shared" si="2"/>
        <v>0</v>
      </c>
    </row>
    <row r="24" spans="1:17" s="13" customFormat="1" x14ac:dyDescent="0.25">
      <c r="A24" s="229"/>
      <c r="B24" s="62" t="s">
        <v>516</v>
      </c>
      <c r="C24" s="181" t="s">
        <v>17</v>
      </c>
      <c r="D24" s="182"/>
      <c r="E24" s="183" t="s">
        <v>20</v>
      </c>
      <c r="F24" s="73" t="s">
        <v>517</v>
      </c>
      <c r="G24" s="287" t="s">
        <v>112</v>
      </c>
      <c r="H24" s="181">
        <v>8</v>
      </c>
      <c r="I24" s="231"/>
      <c r="J24" s="190"/>
      <c r="K24" s="77"/>
      <c r="L24" s="77"/>
      <c r="M24" s="78"/>
      <c r="N24" s="100"/>
      <c r="O24" s="224"/>
      <c r="P24" s="224"/>
      <c r="Q24" s="232"/>
    </row>
    <row r="25" spans="1:17" s="13" customFormat="1" x14ac:dyDescent="0.25">
      <c r="A25" s="229"/>
      <c r="B25" s="62" t="s">
        <v>26</v>
      </c>
      <c r="C25" s="181" t="s">
        <v>17</v>
      </c>
      <c r="D25" s="182"/>
      <c r="E25" s="183" t="s">
        <v>27</v>
      </c>
      <c r="F25" s="73" t="s">
        <v>329</v>
      </c>
      <c r="G25" s="74" t="s">
        <v>112</v>
      </c>
      <c r="H25" s="75">
        <v>21</v>
      </c>
      <c r="I25" s="76">
        <v>15</v>
      </c>
      <c r="J25" s="96">
        <f>2+2+4+1+4+1+1+3</f>
        <v>18</v>
      </c>
      <c r="K25" s="77">
        <f>845.24+1056.55+5121.1+26225.35+422.62+16490.35+1457.08+1479.16+11270.02</f>
        <v>64367.47</v>
      </c>
      <c r="L25" s="77">
        <f>845.24+1056.55+5121.1+26225.35+422.62+16490.35+1457.08+1479.16+11270.02</f>
        <v>64367.47</v>
      </c>
      <c r="M25" s="78">
        <f t="shared" si="1"/>
        <v>0</v>
      </c>
      <c r="N25" s="100">
        <f>6+1+1+2+1+1</f>
        <v>12</v>
      </c>
      <c r="O25" s="81">
        <f>17838.53+2535.75+7238.9+9569.44</f>
        <v>37182.620000000003</v>
      </c>
      <c r="P25" s="81">
        <f>17838.53+2535.75+7238.9+9569.44</f>
        <v>37182.620000000003</v>
      </c>
      <c r="Q25" s="232">
        <f t="shared" si="2"/>
        <v>0</v>
      </c>
    </row>
    <row r="26" spans="1:17" s="15" customFormat="1" x14ac:dyDescent="0.25">
      <c r="A26" s="229"/>
      <c r="B26" s="62" t="s">
        <v>28</v>
      </c>
      <c r="C26" s="181" t="s">
        <v>17</v>
      </c>
      <c r="D26" s="182"/>
      <c r="E26" s="194" t="s">
        <v>29</v>
      </c>
      <c r="F26" s="73" t="s">
        <v>330</v>
      </c>
      <c r="G26" s="74" t="s">
        <v>112</v>
      </c>
      <c r="H26" s="75">
        <v>11</v>
      </c>
      <c r="I26" s="76">
        <v>10</v>
      </c>
      <c r="J26" s="96">
        <f>2+1+2+1+1+1+2+1+2+2</f>
        <v>15</v>
      </c>
      <c r="K26" s="77">
        <f>6135.14+2440.63+9722.07+968.96+2258.48+3607.78+10269+19480.76</f>
        <v>54882.819999999992</v>
      </c>
      <c r="L26" s="77">
        <f>6135.14+2440.63+9722.07+968.96+2258.48+3607.78+10269+19480.76</f>
        <v>54882.819999999992</v>
      </c>
      <c r="M26" s="78">
        <f t="shared" si="1"/>
        <v>0</v>
      </c>
      <c r="N26" s="100">
        <f>3+2+4+3+1+1+3+1</f>
        <v>18</v>
      </c>
      <c r="O26" s="81">
        <f>5310.83+4630.52+14679.01+36087.29+8956.5+10112.26+3030.29+9937.51</f>
        <v>92744.209999999977</v>
      </c>
      <c r="P26" s="81">
        <f>5310.83+4630.52+14679.01+36087.29+8956.5+10112.26+3030.29+9937.51</f>
        <v>92744.209999999977</v>
      </c>
      <c r="Q26" s="232">
        <f t="shared" si="2"/>
        <v>0</v>
      </c>
    </row>
    <row r="27" spans="1:17" s="15" customFormat="1" x14ac:dyDescent="0.25">
      <c r="A27" s="229"/>
      <c r="B27" s="62" t="s">
        <v>28</v>
      </c>
      <c r="C27" s="181" t="s">
        <v>17</v>
      </c>
      <c r="D27" s="182"/>
      <c r="E27" s="194" t="s">
        <v>29</v>
      </c>
      <c r="F27" s="73" t="s">
        <v>420</v>
      </c>
      <c r="G27" s="235" t="s">
        <v>117</v>
      </c>
      <c r="H27" s="181">
        <v>2</v>
      </c>
      <c r="I27" s="231"/>
      <c r="J27" s="96"/>
      <c r="K27" s="77"/>
      <c r="L27" s="77"/>
      <c r="M27" s="78">
        <f t="shared" si="1"/>
        <v>0</v>
      </c>
      <c r="N27" s="100">
        <v>3</v>
      </c>
      <c r="O27" s="224">
        <v>2766.24</v>
      </c>
      <c r="P27" s="224">
        <v>2766.24</v>
      </c>
      <c r="Q27" s="79">
        <f t="shared" si="2"/>
        <v>0</v>
      </c>
    </row>
    <row r="28" spans="1:17" s="15" customFormat="1" x14ac:dyDescent="0.25">
      <c r="A28" s="229"/>
      <c r="B28" s="233" t="s">
        <v>500</v>
      </c>
      <c r="C28" s="181" t="s">
        <v>17</v>
      </c>
      <c r="D28" s="182"/>
      <c r="E28" s="194"/>
      <c r="F28" s="73" t="s">
        <v>503</v>
      </c>
      <c r="G28" s="235" t="s">
        <v>112</v>
      </c>
      <c r="H28" s="181">
        <v>30</v>
      </c>
      <c r="I28" s="231">
        <v>22</v>
      </c>
      <c r="J28" s="96">
        <f>2+2+2+1+3+5+2+1+5+1+6</f>
        <v>30</v>
      </c>
      <c r="K28" s="77">
        <f>1202.51+3555.1+602.1+708.47+7232.25+1003.5+1938.63+15028.21+1324.62+9088.69</f>
        <v>41684.080000000002</v>
      </c>
      <c r="L28" s="77">
        <f>1202.51+3555.1+602.1+708.47+7232.25+1003.5+1938.63+15028.21+1324.62+9088.69</f>
        <v>41684.080000000002</v>
      </c>
      <c r="M28" s="78">
        <f t="shared" si="1"/>
        <v>0</v>
      </c>
      <c r="N28" s="100">
        <f>1</f>
        <v>1</v>
      </c>
      <c r="O28" s="224"/>
      <c r="P28" s="224"/>
      <c r="Q28" s="79">
        <f t="shared" si="2"/>
        <v>0</v>
      </c>
    </row>
    <row r="29" spans="1:17" s="13" customFormat="1" x14ac:dyDescent="0.25">
      <c r="A29" s="229"/>
      <c r="B29" s="27" t="s">
        <v>30</v>
      </c>
      <c r="C29" s="181" t="s">
        <v>17</v>
      </c>
      <c r="D29" s="182"/>
      <c r="E29" s="194" t="s">
        <v>21</v>
      </c>
      <c r="F29" s="73" t="s">
        <v>333</v>
      </c>
      <c r="G29" s="74" t="s">
        <v>112</v>
      </c>
      <c r="H29" s="75">
        <v>24</v>
      </c>
      <c r="I29" s="76">
        <v>15</v>
      </c>
      <c r="J29" s="96">
        <f>3+1+3+1+4+1+1+2+1+3</f>
        <v>20</v>
      </c>
      <c r="K29" s="77">
        <f>16637.24+1045.98+2789.73+1629.68+3146.97+1646.5</f>
        <v>26896.100000000002</v>
      </c>
      <c r="L29" s="77">
        <f>16637.24+1045.98+2789.73+1629.68+3146.97+1646.5</f>
        <v>26896.100000000002</v>
      </c>
      <c r="M29" s="78">
        <f t="shared" si="1"/>
        <v>0</v>
      </c>
      <c r="N29" s="100">
        <f>9+1+3+1+1+1+2+1+1+2+1+1</f>
        <v>24</v>
      </c>
      <c r="O29" s="81">
        <f>77047.8+15703.07+7288.94+1341.33+1730.62</f>
        <v>103111.76</v>
      </c>
      <c r="P29" s="81">
        <f>77047.8+15703.07+7288.94+1341.33+1730.62</f>
        <v>103111.76</v>
      </c>
      <c r="Q29" s="79">
        <f>O29-P29</f>
        <v>0</v>
      </c>
    </row>
    <row r="30" spans="1:17" s="13" customFormat="1" x14ac:dyDescent="0.25">
      <c r="A30" s="229"/>
      <c r="B30" s="27" t="s">
        <v>491</v>
      </c>
      <c r="C30" s="181" t="s">
        <v>17</v>
      </c>
      <c r="D30" s="182"/>
      <c r="E30" s="183" t="s">
        <v>20</v>
      </c>
      <c r="F30" s="73" t="s">
        <v>495</v>
      </c>
      <c r="G30" s="74" t="s">
        <v>112</v>
      </c>
      <c r="H30" s="75">
        <v>17</v>
      </c>
      <c r="I30" s="76">
        <v>13</v>
      </c>
      <c r="J30" s="96">
        <f>2+2+1+1+1+1+1+1+3</f>
        <v>13</v>
      </c>
      <c r="K30" s="77">
        <f>1727.9+2093.89+728.54+3535.53+2649.24+401.4+802.8</f>
        <v>11939.3</v>
      </c>
      <c r="L30" s="77">
        <f>1727.9+2093.89+728.54+3535.53+2649.24+401.4+802.8</f>
        <v>11939.3</v>
      </c>
      <c r="M30" s="78">
        <f t="shared" si="1"/>
        <v>0</v>
      </c>
      <c r="N30" s="100"/>
      <c r="O30" s="81"/>
      <c r="P30" s="81"/>
      <c r="Q30" s="79">
        <f t="shared" si="2"/>
        <v>0</v>
      </c>
    </row>
    <row r="31" spans="1:17" s="13" customFormat="1" x14ac:dyDescent="0.25">
      <c r="A31" s="229"/>
      <c r="B31" s="27" t="s">
        <v>491</v>
      </c>
      <c r="C31" s="181" t="s">
        <v>17</v>
      </c>
      <c r="D31" s="182"/>
      <c r="E31" s="183" t="s">
        <v>20</v>
      </c>
      <c r="F31" s="73" t="s">
        <v>504</v>
      </c>
      <c r="G31" s="74" t="s">
        <v>114</v>
      </c>
      <c r="H31" s="75">
        <v>12</v>
      </c>
      <c r="I31" s="76">
        <v>2</v>
      </c>
      <c r="J31" s="96">
        <v>2</v>
      </c>
      <c r="K31" s="77">
        <v>2672.76</v>
      </c>
      <c r="L31" s="77">
        <v>2672.76</v>
      </c>
      <c r="M31" s="78">
        <f t="shared" si="1"/>
        <v>0</v>
      </c>
      <c r="N31" s="100"/>
      <c r="O31" s="81"/>
      <c r="P31" s="81"/>
      <c r="Q31" s="232">
        <f t="shared" si="2"/>
        <v>0</v>
      </c>
    </row>
    <row r="32" spans="1:17" s="13" customFormat="1" x14ac:dyDescent="0.25">
      <c r="A32" s="229"/>
      <c r="B32" s="27" t="s">
        <v>491</v>
      </c>
      <c r="C32" s="181" t="s">
        <v>17</v>
      </c>
      <c r="D32" s="182"/>
      <c r="E32" s="183"/>
      <c r="F32" s="73" t="s">
        <v>510</v>
      </c>
      <c r="G32" s="235" t="s">
        <v>117</v>
      </c>
      <c r="H32" s="75">
        <v>1</v>
      </c>
      <c r="I32" s="76"/>
      <c r="J32" s="96"/>
      <c r="K32" s="77"/>
      <c r="L32" s="77"/>
      <c r="M32" s="78">
        <f t="shared" si="1"/>
        <v>0</v>
      </c>
      <c r="N32" s="100"/>
      <c r="O32" s="81"/>
      <c r="P32" s="81"/>
      <c r="Q32" s="232">
        <f t="shared" si="2"/>
        <v>0</v>
      </c>
    </row>
    <row r="33" spans="1:17" s="13" customFormat="1" x14ac:dyDescent="0.25">
      <c r="A33" s="229"/>
      <c r="B33" s="30" t="s">
        <v>31</v>
      </c>
      <c r="C33" s="181" t="s">
        <v>17</v>
      </c>
      <c r="D33" s="182"/>
      <c r="E33" s="183" t="s">
        <v>32</v>
      </c>
      <c r="F33" s="73" t="s">
        <v>331</v>
      </c>
      <c r="G33" s="74" t="s">
        <v>112</v>
      </c>
      <c r="H33" s="75">
        <v>20</v>
      </c>
      <c r="I33" s="76">
        <v>15</v>
      </c>
      <c r="J33" s="96">
        <f>1+2+3+1+4+3+3+3+1</f>
        <v>21</v>
      </c>
      <c r="K33" s="77">
        <f>633.93+1045.98+5377.62+950.9+6004.09+4598.82+8410.14+1846.04+4737.83+728.54</f>
        <v>34333.89</v>
      </c>
      <c r="L33" s="77">
        <f>633.93+1045.98+5377.62+950.9+6004.09+4598.82+8410.14+1846.04+4737.83+728.54</f>
        <v>34333.89</v>
      </c>
      <c r="M33" s="78">
        <f t="shared" si="1"/>
        <v>0</v>
      </c>
      <c r="N33" s="100">
        <f>1+3+3+1+1+2+1</f>
        <v>12</v>
      </c>
      <c r="O33" s="81">
        <f>2299.8+15239.58+6152.75+2720.49+1483.38+7043.49+11175.04</f>
        <v>46114.530000000006</v>
      </c>
      <c r="P33" s="81">
        <f>2299.8+15239.58+6152.75+2720.49+1483.38+7043.49+11175.04</f>
        <v>46114.530000000006</v>
      </c>
      <c r="Q33" s="232">
        <f t="shared" si="2"/>
        <v>0</v>
      </c>
    </row>
    <row r="34" spans="1:17" s="13" customFormat="1" x14ac:dyDescent="0.25">
      <c r="A34" s="229"/>
      <c r="B34" s="30" t="s">
        <v>31</v>
      </c>
      <c r="C34" s="181" t="s">
        <v>17</v>
      </c>
      <c r="D34" s="182"/>
      <c r="E34" s="183" t="s">
        <v>32</v>
      </c>
      <c r="F34" s="73" t="s">
        <v>422</v>
      </c>
      <c r="G34" s="235" t="s">
        <v>117</v>
      </c>
      <c r="H34" s="181">
        <v>16</v>
      </c>
      <c r="I34" s="231">
        <v>4</v>
      </c>
      <c r="J34" s="96">
        <v>4</v>
      </c>
      <c r="K34" s="77">
        <v>9994.9</v>
      </c>
      <c r="L34" s="77">
        <v>9994.9</v>
      </c>
      <c r="M34" s="78">
        <f t="shared" si="1"/>
        <v>0</v>
      </c>
      <c r="N34" s="100">
        <v>10</v>
      </c>
      <c r="O34" s="77">
        <v>21507.42</v>
      </c>
      <c r="P34" s="77">
        <v>21507.42</v>
      </c>
      <c r="Q34" s="232">
        <f t="shared" si="2"/>
        <v>0</v>
      </c>
    </row>
    <row r="35" spans="1:17" s="15" customFormat="1" x14ac:dyDescent="0.25">
      <c r="A35" s="229"/>
      <c r="B35" s="62" t="s">
        <v>33</v>
      </c>
      <c r="C35" s="181" t="s">
        <v>17</v>
      </c>
      <c r="D35" s="182"/>
      <c r="E35" s="183" t="s">
        <v>20</v>
      </c>
      <c r="F35" s="73" t="s">
        <v>332</v>
      </c>
      <c r="G35" s="74" t="s">
        <v>112</v>
      </c>
      <c r="H35" s="75">
        <v>12</v>
      </c>
      <c r="I35" s="76">
        <v>9</v>
      </c>
      <c r="J35" s="96">
        <f>1+1+1+1+1+2+1+1+1+1+1</f>
        <v>12</v>
      </c>
      <c r="K35" s="77">
        <f>845.245+5363.43+5912.72+845.24+12887.16+2852.15+6514.08+2058.13</f>
        <v>37278.154999999999</v>
      </c>
      <c r="L35" s="77">
        <f>845.245+5363.43+5912.72+845.24+12887.16+2852.15+6514.08+2058.13</f>
        <v>37278.154999999999</v>
      </c>
      <c r="M35" s="78">
        <f t="shared" si="1"/>
        <v>0</v>
      </c>
      <c r="N35" s="100">
        <f>2+1+1+1+1+2+1+1+1</f>
        <v>11</v>
      </c>
      <c r="O35" s="81">
        <f>845.24+1613.64+3380.96+3639.33+1152.6+1518.9</f>
        <v>12150.67</v>
      </c>
      <c r="P35" s="81">
        <f>845.24+1613.64+3380.96+3639.33+1152.6+1518.9</f>
        <v>12150.67</v>
      </c>
      <c r="Q35" s="79">
        <f t="shared" si="2"/>
        <v>0</v>
      </c>
    </row>
    <row r="36" spans="1:17" s="15" customFormat="1" x14ac:dyDescent="0.25">
      <c r="A36" s="229"/>
      <c r="B36" s="62" t="s">
        <v>33</v>
      </c>
      <c r="C36" s="181" t="s">
        <v>17</v>
      </c>
      <c r="D36" s="182"/>
      <c r="E36" s="183" t="s">
        <v>20</v>
      </c>
      <c r="F36" s="73" t="s">
        <v>481</v>
      </c>
      <c r="G36" s="230" t="s">
        <v>114</v>
      </c>
      <c r="H36" s="181">
        <v>8</v>
      </c>
      <c r="I36" s="231">
        <v>1</v>
      </c>
      <c r="J36" s="190">
        <v>1</v>
      </c>
      <c r="K36" s="77">
        <v>3472.11</v>
      </c>
      <c r="L36" s="77">
        <v>3472.11</v>
      </c>
      <c r="M36" s="78">
        <f t="shared" si="1"/>
        <v>0</v>
      </c>
      <c r="N36" s="100">
        <v>16</v>
      </c>
      <c r="O36" s="224">
        <v>45328.13</v>
      </c>
      <c r="P36" s="224">
        <v>45328.13</v>
      </c>
      <c r="Q36" s="232">
        <f t="shared" si="2"/>
        <v>0</v>
      </c>
    </row>
    <row r="37" spans="1:17" s="15" customFormat="1" x14ac:dyDescent="0.25">
      <c r="A37" s="229"/>
      <c r="B37" s="62" t="s">
        <v>147</v>
      </c>
      <c r="C37" s="181" t="s">
        <v>17</v>
      </c>
      <c r="D37" s="182"/>
      <c r="E37" s="183" t="s">
        <v>29</v>
      </c>
      <c r="F37" s="73" t="s">
        <v>334</v>
      </c>
      <c r="G37" s="74" t="s">
        <v>112</v>
      </c>
      <c r="H37" s="75">
        <v>9</v>
      </c>
      <c r="I37" s="234">
        <v>9</v>
      </c>
      <c r="J37" s="96">
        <f>1+1+2+1+3+4</f>
        <v>12</v>
      </c>
      <c r="K37" s="77">
        <f>1854.88+2824.48+3058.67+5384.79+14792.98</f>
        <v>27915.8</v>
      </c>
      <c r="L37" s="77">
        <f>1854.88+2824.48+3058.67+5384.79+14792.98</f>
        <v>27915.8</v>
      </c>
      <c r="M37" s="78">
        <f t="shared" si="1"/>
        <v>0</v>
      </c>
      <c r="N37" s="114">
        <f>1+1+1</f>
        <v>3</v>
      </c>
      <c r="O37" s="81">
        <f>1394.65+2473.17+1961.49</f>
        <v>5829.31</v>
      </c>
      <c r="P37" s="81">
        <f>1394.65+2473.17+1961.49</f>
        <v>5829.31</v>
      </c>
      <c r="Q37" s="79">
        <f t="shared" si="2"/>
        <v>0</v>
      </c>
    </row>
    <row r="38" spans="1:17" s="15" customFormat="1" x14ac:dyDescent="0.25">
      <c r="A38" s="229"/>
      <c r="B38" s="233" t="s">
        <v>147</v>
      </c>
      <c r="C38" s="181" t="s">
        <v>17</v>
      </c>
      <c r="D38" s="182"/>
      <c r="E38" s="183" t="s">
        <v>29</v>
      </c>
      <c r="F38" s="73" t="s">
        <v>423</v>
      </c>
      <c r="G38" s="230" t="s">
        <v>117</v>
      </c>
      <c r="H38" s="181">
        <v>13</v>
      </c>
      <c r="I38" s="231">
        <v>4</v>
      </c>
      <c r="J38" s="96">
        <v>4</v>
      </c>
      <c r="K38" s="77">
        <v>6847.1</v>
      </c>
      <c r="L38" s="77">
        <v>6847.1</v>
      </c>
      <c r="M38" s="78">
        <f t="shared" si="1"/>
        <v>0</v>
      </c>
      <c r="N38" s="100">
        <v>4</v>
      </c>
      <c r="O38" s="224">
        <v>4706.45</v>
      </c>
      <c r="P38" s="224">
        <v>4706.45</v>
      </c>
      <c r="Q38" s="232">
        <f t="shared" si="2"/>
        <v>0</v>
      </c>
    </row>
    <row r="39" spans="1:17" s="13" customFormat="1" x14ac:dyDescent="0.25">
      <c r="A39" s="229"/>
      <c r="B39" s="62" t="s">
        <v>34</v>
      </c>
      <c r="C39" s="181" t="s">
        <v>17</v>
      </c>
      <c r="D39" s="182"/>
      <c r="E39" s="194" t="s">
        <v>35</v>
      </c>
      <c r="F39" s="73" t="s">
        <v>335</v>
      </c>
      <c r="G39" s="74" t="s">
        <v>112</v>
      </c>
      <c r="H39" s="75">
        <v>35</v>
      </c>
      <c r="I39" s="76">
        <v>25</v>
      </c>
      <c r="J39" s="96">
        <f>4+2+2+7+4+1+1+2+5</f>
        <v>28</v>
      </c>
      <c r="K39" s="77">
        <f>8288.4+1267.86+845.24+13964.6+11418.26+21175.62+1092.81+2207.7+6312.67</f>
        <v>66573.159999999989</v>
      </c>
      <c r="L39" s="77">
        <f>8288.4+1267.86+845.24+13964.6+11418.26+21175.62+1092.81+2207.7+6312.67</f>
        <v>66573.159999999989</v>
      </c>
      <c r="M39" s="78">
        <f t="shared" si="1"/>
        <v>0</v>
      </c>
      <c r="N39" s="100">
        <f>4+4+6+1+3+1+3+1+2+1+1+2</f>
        <v>29</v>
      </c>
      <c r="O39" s="81">
        <f>23915.04+21171.88+6399.1+11460.81+1501.24+2795.71</f>
        <v>67243.78</v>
      </c>
      <c r="P39" s="81">
        <f>23915.04+21171.88+6399.1+11460.81+1501.24+2795.71</f>
        <v>67243.78</v>
      </c>
      <c r="Q39" s="79">
        <f t="shared" si="2"/>
        <v>0</v>
      </c>
    </row>
    <row r="40" spans="1:17" s="13" customFormat="1" x14ac:dyDescent="0.25">
      <c r="A40" s="229"/>
      <c r="B40" s="62" t="s">
        <v>34</v>
      </c>
      <c r="C40" s="181" t="s">
        <v>17</v>
      </c>
      <c r="D40" s="182"/>
      <c r="E40" s="194" t="s">
        <v>35</v>
      </c>
      <c r="F40" s="73" t="s">
        <v>424</v>
      </c>
      <c r="G40" s="235" t="s">
        <v>117</v>
      </c>
      <c r="H40" s="181">
        <v>2</v>
      </c>
      <c r="I40" s="231">
        <v>1</v>
      </c>
      <c r="J40" s="96">
        <v>2</v>
      </c>
      <c r="K40" s="77">
        <v>3842</v>
      </c>
      <c r="L40" s="77">
        <v>3842</v>
      </c>
      <c r="M40" s="78">
        <f t="shared" si="1"/>
        <v>0</v>
      </c>
      <c r="N40" s="100">
        <v>3</v>
      </c>
      <c r="O40" s="224">
        <v>9220.7999999999993</v>
      </c>
      <c r="P40" s="224">
        <v>9220.7999999999993</v>
      </c>
      <c r="Q40" s="232">
        <f t="shared" si="2"/>
        <v>0</v>
      </c>
    </row>
    <row r="41" spans="1:17" s="13" customFormat="1" x14ac:dyDescent="0.25">
      <c r="A41" s="229"/>
      <c r="B41" s="27" t="s">
        <v>36</v>
      </c>
      <c r="C41" s="181" t="s">
        <v>17</v>
      </c>
      <c r="D41" s="182"/>
      <c r="E41" s="194" t="s">
        <v>32</v>
      </c>
      <c r="F41" s="73" t="s">
        <v>336</v>
      </c>
      <c r="G41" s="74" t="s">
        <v>112</v>
      </c>
      <c r="H41" s="75">
        <v>34</v>
      </c>
      <c r="I41" s="76">
        <v>24</v>
      </c>
      <c r="J41" s="96">
        <f>1+3+4+2+2+7+6+2+5</f>
        <v>32</v>
      </c>
      <c r="K41" s="77">
        <f>2091.97+4201.22+3643.94+998.92+6188.59+7556.35+3399.86+9711</f>
        <v>37791.85</v>
      </c>
      <c r="L41" s="77">
        <f>2091.97+4201.22+3643.94+998.92+6188.59+7556.35+3399.86+9711</f>
        <v>37791.85</v>
      </c>
      <c r="M41" s="78">
        <f t="shared" si="1"/>
        <v>0</v>
      </c>
      <c r="N41" s="100">
        <f>4+2+5+1+1+4+1+1</f>
        <v>19</v>
      </c>
      <c r="O41" s="81">
        <f>26828.22+3116.2+14162+4691+13237.22+22342.31+1888.86</f>
        <v>86265.81</v>
      </c>
      <c r="P41" s="81">
        <f>26828.22+3116.2+14162+4691+13237.22+22342.31+1888.86</f>
        <v>86265.81</v>
      </c>
      <c r="Q41" s="79">
        <f t="shared" si="2"/>
        <v>0</v>
      </c>
    </row>
    <row r="42" spans="1:17" s="13" customFormat="1" x14ac:dyDescent="0.25">
      <c r="A42" s="229"/>
      <c r="B42" s="27" t="s">
        <v>38</v>
      </c>
      <c r="C42" s="181" t="s">
        <v>17</v>
      </c>
      <c r="D42" s="182"/>
      <c r="E42" s="183" t="s">
        <v>20</v>
      </c>
      <c r="F42" s="73" t="s">
        <v>338</v>
      </c>
      <c r="G42" s="74" t="s">
        <v>112</v>
      </c>
      <c r="H42" s="75">
        <v>55</v>
      </c>
      <c r="I42" s="76">
        <v>47</v>
      </c>
      <c r="J42" s="96">
        <f>5+9+3+4+4+2+3+3+11+3+4+4+1+5+7</f>
        <v>68</v>
      </c>
      <c r="K42" s="77">
        <f>4427.07+14262.52+23391.74+11108.38+9141.17+3923.07+23674.29+5445.61</f>
        <v>95373.849999999991</v>
      </c>
      <c r="L42" s="77">
        <f>4427.07+14262.52+23391.74+11108.38+9141.17+3923.07+23674.29+5445.61</f>
        <v>95373.849999999991</v>
      </c>
      <c r="M42" s="78">
        <f t="shared" si="1"/>
        <v>0</v>
      </c>
      <c r="N42" s="100">
        <f>1+14+2+2+2+3+1+1+2+1+1</f>
        <v>30</v>
      </c>
      <c r="O42" s="81">
        <f>34449.99+27363.78+23604.86+16739.26+15240.34+16003.48+4203.85</f>
        <v>137605.56</v>
      </c>
      <c r="P42" s="81">
        <f>34449.99+27363.78+23604.86+16739.26+15240.34+16003.48+4203.85</f>
        <v>137605.56</v>
      </c>
      <c r="Q42" s="79">
        <f t="shared" si="2"/>
        <v>0</v>
      </c>
    </row>
    <row r="43" spans="1:17" s="13" customFormat="1" x14ac:dyDescent="0.25">
      <c r="A43" s="229"/>
      <c r="B43" s="27" t="s">
        <v>38</v>
      </c>
      <c r="C43" s="181" t="s">
        <v>17</v>
      </c>
      <c r="D43" s="182"/>
      <c r="E43" s="183" t="s">
        <v>20</v>
      </c>
      <c r="F43" s="73" t="s">
        <v>268</v>
      </c>
      <c r="G43" s="230" t="s">
        <v>114</v>
      </c>
      <c r="H43" s="181"/>
      <c r="I43" s="231"/>
      <c r="J43" s="190"/>
      <c r="K43" s="77"/>
      <c r="L43" s="77"/>
      <c r="M43" s="78">
        <f t="shared" si="1"/>
        <v>0</v>
      </c>
      <c r="N43" s="100"/>
      <c r="O43" s="224"/>
      <c r="P43" s="224"/>
      <c r="Q43" s="232">
        <f t="shared" si="2"/>
        <v>0</v>
      </c>
    </row>
    <row r="44" spans="1:17" s="13" customFormat="1" x14ac:dyDescent="0.25">
      <c r="A44" s="229"/>
      <c r="B44" s="27" t="s">
        <v>38</v>
      </c>
      <c r="C44" s="181" t="s">
        <v>17</v>
      </c>
      <c r="D44" s="182"/>
      <c r="E44" s="183" t="s">
        <v>18</v>
      </c>
      <c r="F44" s="73" t="s">
        <v>324</v>
      </c>
      <c r="G44" s="230" t="s">
        <v>116</v>
      </c>
      <c r="H44" s="181">
        <v>6</v>
      </c>
      <c r="I44" s="231">
        <v>3</v>
      </c>
      <c r="J44" s="190">
        <v>3</v>
      </c>
      <c r="K44" s="77">
        <v>4098</v>
      </c>
      <c r="L44" s="77">
        <v>4098</v>
      </c>
      <c r="M44" s="78">
        <f t="shared" si="1"/>
        <v>0</v>
      </c>
      <c r="N44" s="100"/>
      <c r="O44" s="224"/>
      <c r="P44" s="224"/>
      <c r="Q44" s="232">
        <f t="shared" si="2"/>
        <v>0</v>
      </c>
    </row>
    <row r="45" spans="1:17" s="13" customFormat="1" x14ac:dyDescent="0.25">
      <c r="A45" s="229"/>
      <c r="B45" s="62" t="s">
        <v>39</v>
      </c>
      <c r="C45" s="181" t="s">
        <v>17</v>
      </c>
      <c r="D45" s="182"/>
      <c r="E45" s="183" t="s">
        <v>20</v>
      </c>
      <c r="F45" s="73" t="s">
        <v>269</v>
      </c>
      <c r="G45" s="230" t="s">
        <v>114</v>
      </c>
      <c r="H45" s="181"/>
      <c r="I45" s="231"/>
      <c r="J45" s="190"/>
      <c r="K45" s="77"/>
      <c r="L45" s="77"/>
      <c r="M45" s="78">
        <f t="shared" si="1"/>
        <v>0</v>
      </c>
      <c r="N45" s="100"/>
      <c r="O45" s="224"/>
      <c r="P45" s="224"/>
      <c r="Q45" s="232">
        <f t="shared" si="2"/>
        <v>0</v>
      </c>
    </row>
    <row r="46" spans="1:17" s="13" customFormat="1" x14ac:dyDescent="0.25">
      <c r="A46" s="229"/>
      <c r="B46" s="27" t="s">
        <v>40</v>
      </c>
      <c r="C46" s="181" t="s">
        <v>17</v>
      </c>
      <c r="D46" s="182"/>
      <c r="E46" s="194" t="s">
        <v>41</v>
      </c>
      <c r="F46" s="73" t="s">
        <v>339</v>
      </c>
      <c r="G46" s="74" t="s">
        <v>112</v>
      </c>
      <c r="H46" s="75">
        <v>29</v>
      </c>
      <c r="I46" s="76">
        <v>23</v>
      </c>
      <c r="J46" s="96">
        <f>1+1+3+9+4+4+3+2+1+1+2+3+3</f>
        <v>37</v>
      </c>
      <c r="K46" s="77">
        <f>1045.98+12271.86+15658.52+8166.35+6035.99+8024.36+2759.63+3460.61+3962.12+3444.02+17333.58</f>
        <v>82163.01999999999</v>
      </c>
      <c r="L46" s="77">
        <f>1045.98+12271.86+15658.52+8166.35+6035.99+8024.36+2759.63+3460.61+3962.12+3444.02+17333.58</f>
        <v>82163.01999999999</v>
      </c>
      <c r="M46" s="78">
        <f t="shared" si="1"/>
        <v>0</v>
      </c>
      <c r="N46" s="100">
        <f>3+13+6+5+4+2+1+1+1</f>
        <v>36</v>
      </c>
      <c r="O46" s="81">
        <f>17269.31+39990.78+16582.12+23492.44+7068.31+4243.84</f>
        <v>108646.79999999999</v>
      </c>
      <c r="P46" s="81">
        <f>17269.31+39990.78+16582.12+23492.44+7068.31+4243.84</f>
        <v>108646.79999999999</v>
      </c>
      <c r="Q46" s="79">
        <f t="shared" si="2"/>
        <v>0</v>
      </c>
    </row>
    <row r="47" spans="1:17" s="13" customFormat="1" x14ac:dyDescent="0.25">
      <c r="A47" s="229"/>
      <c r="B47" s="27" t="s">
        <v>40</v>
      </c>
      <c r="C47" s="181" t="s">
        <v>17</v>
      </c>
      <c r="D47" s="182"/>
      <c r="E47" s="194" t="s">
        <v>41</v>
      </c>
      <c r="F47" s="73" t="s">
        <v>482</v>
      </c>
      <c r="G47" s="230" t="s">
        <v>114</v>
      </c>
      <c r="H47" s="181"/>
      <c r="I47" s="231"/>
      <c r="J47" s="190"/>
      <c r="K47" s="77"/>
      <c r="L47" s="77"/>
      <c r="M47" s="78">
        <f t="shared" si="1"/>
        <v>0</v>
      </c>
      <c r="N47" s="100">
        <v>1</v>
      </c>
      <c r="O47" s="224">
        <v>3073.6</v>
      </c>
      <c r="P47" s="224">
        <f>3073.6</f>
        <v>3073.6</v>
      </c>
      <c r="Q47" s="232">
        <f t="shared" si="2"/>
        <v>0</v>
      </c>
    </row>
    <row r="48" spans="1:17" s="13" customFormat="1" x14ac:dyDescent="0.25">
      <c r="A48" s="229"/>
      <c r="B48" s="27" t="s">
        <v>148</v>
      </c>
      <c r="C48" s="181" t="s">
        <v>17</v>
      </c>
      <c r="D48" s="182"/>
      <c r="E48" s="183" t="s">
        <v>20</v>
      </c>
      <c r="F48" s="73" t="s">
        <v>340</v>
      </c>
      <c r="G48" s="74" t="s">
        <v>112</v>
      </c>
      <c r="H48" s="75">
        <v>22</v>
      </c>
      <c r="I48" s="82">
        <v>16</v>
      </c>
      <c r="J48" s="96">
        <f>1+2+1+4+4+2+3+1</f>
        <v>18</v>
      </c>
      <c r="K48" s="77">
        <f>537.88+2110.03+6723.98+8914.21+1204.2+602.1+903.15+1324.62</f>
        <v>22320.17</v>
      </c>
      <c r="L48" s="77">
        <f>537.88+2110.03+6723.98+8914.21+1204.2+602.1+903.15+1324.62</f>
        <v>22320.17</v>
      </c>
      <c r="M48" s="78">
        <f t="shared" si="1"/>
        <v>0</v>
      </c>
      <c r="N48" s="100">
        <f>6+5+3+1+1+1+1</f>
        <v>18</v>
      </c>
      <c r="O48" s="81">
        <f>9370.6+9456.38+8868.69+5367.27+11572.62</f>
        <v>44635.560000000005</v>
      </c>
      <c r="P48" s="81">
        <f>9370.6+9456.38+8868.69+5367.27+11572.62</f>
        <v>44635.560000000005</v>
      </c>
      <c r="Q48" s="79">
        <f t="shared" si="2"/>
        <v>0</v>
      </c>
    </row>
    <row r="49" spans="1:17" s="13" customFormat="1" x14ac:dyDescent="0.25">
      <c r="A49" s="229"/>
      <c r="B49" s="27" t="s">
        <v>148</v>
      </c>
      <c r="C49" s="181" t="s">
        <v>17</v>
      </c>
      <c r="D49" s="182"/>
      <c r="E49" s="194" t="s">
        <v>32</v>
      </c>
      <c r="F49" s="73" t="s">
        <v>425</v>
      </c>
      <c r="G49" s="230" t="s">
        <v>117</v>
      </c>
      <c r="H49" s="181">
        <v>13</v>
      </c>
      <c r="I49" s="231">
        <v>4</v>
      </c>
      <c r="J49" s="96">
        <v>4</v>
      </c>
      <c r="K49" s="77">
        <v>13707.82</v>
      </c>
      <c r="L49" s="77">
        <v>13707.82</v>
      </c>
      <c r="M49" s="78">
        <f t="shared" si="1"/>
        <v>0</v>
      </c>
      <c r="N49" s="100">
        <v>4</v>
      </c>
      <c r="O49" s="224">
        <v>12851.49</v>
      </c>
      <c r="P49" s="224">
        <v>12851.49</v>
      </c>
      <c r="Q49" s="232">
        <f t="shared" si="2"/>
        <v>0</v>
      </c>
    </row>
    <row r="50" spans="1:17" s="13" customFormat="1" x14ac:dyDescent="0.25">
      <c r="A50" s="229"/>
      <c r="B50" s="30" t="s">
        <v>42</v>
      </c>
      <c r="C50" s="181" t="s">
        <v>17</v>
      </c>
      <c r="D50" s="182"/>
      <c r="E50" s="183" t="s">
        <v>23</v>
      </c>
      <c r="F50" s="73" t="s">
        <v>341</v>
      </c>
      <c r="G50" s="74" t="s">
        <v>112</v>
      </c>
      <c r="H50" s="75">
        <v>36</v>
      </c>
      <c r="I50" s="76">
        <v>30</v>
      </c>
      <c r="J50" s="96">
        <f>5+3+5+3+8+3+8+5</f>
        <v>40</v>
      </c>
      <c r="K50" s="77">
        <f>7156.22+3849.11+8154.25+4149.36+15912.38+18649.91</f>
        <v>57871.229999999996</v>
      </c>
      <c r="L50" s="77">
        <f>7156.22+3849.11+8154.25+4149.36+15912.38+18649.91</f>
        <v>57871.229999999996</v>
      </c>
      <c r="M50" s="78">
        <f t="shared" si="1"/>
        <v>0</v>
      </c>
      <c r="N50" s="100">
        <f>4+6+9+2+4+2+2+3+3+2</f>
        <v>37</v>
      </c>
      <c r="O50" s="81">
        <f>5364.2+26170.88+2849.25+18965.6+9565.56+9423.5+18214.56</f>
        <v>90553.549999999988</v>
      </c>
      <c r="P50" s="81">
        <f>5364.2+26170.88+2849.25+18965.6+9565.56+9423.5+18214.56</f>
        <v>90553.549999999988</v>
      </c>
      <c r="Q50" s="79">
        <f t="shared" si="2"/>
        <v>0</v>
      </c>
    </row>
    <row r="51" spans="1:17" s="13" customFormat="1" x14ac:dyDescent="0.25">
      <c r="A51" s="229"/>
      <c r="B51" s="30" t="s">
        <v>42</v>
      </c>
      <c r="C51" s="181" t="s">
        <v>17</v>
      </c>
      <c r="D51" s="182"/>
      <c r="E51" s="183" t="s">
        <v>23</v>
      </c>
      <c r="F51" s="73" t="s">
        <v>437</v>
      </c>
      <c r="G51" s="230" t="s">
        <v>118</v>
      </c>
      <c r="H51" s="181">
        <v>2</v>
      </c>
      <c r="I51" s="231"/>
      <c r="J51" s="96"/>
      <c r="K51" s="77"/>
      <c r="L51" s="77"/>
      <c r="M51" s="78">
        <f t="shared" si="1"/>
        <v>0</v>
      </c>
      <c r="N51" s="100">
        <v>1</v>
      </c>
      <c r="O51" s="224">
        <v>7766.4</v>
      </c>
      <c r="P51" s="224">
        <v>7766.4</v>
      </c>
      <c r="Q51" s="232">
        <f t="shared" si="2"/>
        <v>0</v>
      </c>
    </row>
    <row r="52" spans="1:17" s="13" customFormat="1" x14ac:dyDescent="0.25">
      <c r="A52" s="229"/>
      <c r="B52" s="30" t="s">
        <v>173</v>
      </c>
      <c r="C52" s="181" t="s">
        <v>17</v>
      </c>
      <c r="D52" s="182"/>
      <c r="E52" s="230" t="s">
        <v>118</v>
      </c>
      <c r="F52" s="73" t="s">
        <v>342</v>
      </c>
      <c r="G52" s="74" t="s">
        <v>112</v>
      </c>
      <c r="H52" s="75">
        <v>4</v>
      </c>
      <c r="I52" s="76">
        <v>4</v>
      </c>
      <c r="J52" s="96">
        <f>1+2+1</f>
        <v>4</v>
      </c>
      <c r="K52" s="77">
        <f>6833.76+696.36</f>
        <v>7530.12</v>
      </c>
      <c r="L52" s="77">
        <f>6833.76+696.36</f>
        <v>7530.12</v>
      </c>
      <c r="M52" s="78">
        <f t="shared" si="1"/>
        <v>0</v>
      </c>
      <c r="N52" s="100">
        <f>4+2</f>
        <v>6</v>
      </c>
      <c r="O52" s="81">
        <f>5931.9+4183.92+3158.95</f>
        <v>13274.77</v>
      </c>
      <c r="P52" s="81">
        <f>5931.9+4183.92+3158.95</f>
        <v>13274.77</v>
      </c>
      <c r="Q52" s="79">
        <f t="shared" si="2"/>
        <v>0</v>
      </c>
    </row>
    <row r="53" spans="1:17" s="13" customFormat="1" x14ac:dyDescent="0.25">
      <c r="A53" s="229"/>
      <c r="B53" s="62" t="s">
        <v>143</v>
      </c>
      <c r="C53" s="181" t="s">
        <v>64</v>
      </c>
      <c r="D53" s="182" t="s">
        <v>444</v>
      </c>
      <c r="E53" s="183" t="s">
        <v>20</v>
      </c>
      <c r="F53" s="73" t="s">
        <v>445</v>
      </c>
      <c r="G53" s="230" t="s">
        <v>114</v>
      </c>
      <c r="H53" s="181">
        <v>28</v>
      </c>
      <c r="I53" s="234">
        <v>18</v>
      </c>
      <c r="J53" s="190">
        <v>18</v>
      </c>
      <c r="K53" s="193">
        <v>37516</v>
      </c>
      <c r="L53" s="193">
        <v>37516</v>
      </c>
      <c r="M53" s="78">
        <f t="shared" si="1"/>
        <v>0</v>
      </c>
      <c r="N53" s="114">
        <v>18</v>
      </c>
      <c r="O53" s="224">
        <v>27390.400000000001</v>
      </c>
      <c r="P53" s="224">
        <v>27390.400000000001</v>
      </c>
      <c r="Q53" s="232">
        <f t="shared" si="2"/>
        <v>0</v>
      </c>
    </row>
    <row r="54" spans="1:17" s="13" customFormat="1" x14ac:dyDescent="0.25">
      <c r="A54" s="229"/>
      <c r="B54" s="30" t="s">
        <v>158</v>
      </c>
      <c r="C54" s="181" t="s">
        <v>17</v>
      </c>
      <c r="D54" s="182"/>
      <c r="E54" s="194" t="s">
        <v>32</v>
      </c>
      <c r="F54" s="73" t="s">
        <v>426</v>
      </c>
      <c r="G54" s="230" t="s">
        <v>117</v>
      </c>
      <c r="H54" s="181">
        <v>13</v>
      </c>
      <c r="I54" s="234">
        <v>6</v>
      </c>
      <c r="J54" s="190">
        <v>7</v>
      </c>
      <c r="K54" s="193">
        <v>12275.74</v>
      </c>
      <c r="L54" s="193">
        <v>12275.74</v>
      </c>
      <c r="M54" s="78">
        <f t="shared" si="1"/>
        <v>0</v>
      </c>
      <c r="N54" s="114">
        <v>5</v>
      </c>
      <c r="O54" s="224">
        <v>16813.7</v>
      </c>
      <c r="P54" s="224">
        <v>16813.7</v>
      </c>
      <c r="Q54" s="232">
        <f t="shared" si="2"/>
        <v>0</v>
      </c>
    </row>
    <row r="55" spans="1:17" s="15" customFormat="1" x14ac:dyDescent="0.25">
      <c r="A55" s="229"/>
      <c r="B55" s="62" t="s">
        <v>43</v>
      </c>
      <c r="C55" s="181" t="s">
        <v>17</v>
      </c>
      <c r="D55" s="182"/>
      <c r="E55" s="183" t="s">
        <v>18</v>
      </c>
      <c r="F55" s="73" t="s">
        <v>344</v>
      </c>
      <c r="G55" s="74" t="s">
        <v>112</v>
      </c>
      <c r="H55" s="75">
        <v>37</v>
      </c>
      <c r="I55" s="76">
        <v>27</v>
      </c>
      <c r="J55" s="96">
        <f>1+2+2+5+2+3+2+3+3+3+5</f>
        <v>31</v>
      </c>
      <c r="K55" s="77">
        <f>1776.93+926.88+3328.29+3172.19+9832.29+3539.2+3058.67+13375.29</f>
        <v>39009.740000000005</v>
      </c>
      <c r="L55" s="77">
        <f>1776.93+926.88+3328.29+3172.19+9832.29+3539.2+3058.67+13375.29</f>
        <v>39009.740000000005</v>
      </c>
      <c r="M55" s="78">
        <f t="shared" si="1"/>
        <v>0</v>
      </c>
      <c r="N55" s="100">
        <f>1+5+4+1+1+1+1+1+2</f>
        <v>17</v>
      </c>
      <c r="O55" s="81">
        <f>1223.8+3810.29+4959.02+10043.87+2769.48+2146.91+11926.24-1465.64</f>
        <v>35413.97</v>
      </c>
      <c r="P55" s="81">
        <f>1223.8+3810.29+4959.02+10043.87+2769.48+2146.91+11926.24-1465.64</f>
        <v>35413.97</v>
      </c>
      <c r="Q55" s="79">
        <f t="shared" si="2"/>
        <v>0</v>
      </c>
    </row>
    <row r="56" spans="1:17" s="15" customFormat="1" ht="15" customHeight="1" x14ac:dyDescent="0.25">
      <c r="A56" s="229"/>
      <c r="B56" s="62" t="s">
        <v>43</v>
      </c>
      <c r="C56" s="181" t="s">
        <v>304</v>
      </c>
      <c r="D56" s="182" t="s">
        <v>473</v>
      </c>
      <c r="E56" s="183" t="s">
        <v>18</v>
      </c>
      <c r="F56" s="73" t="s">
        <v>323</v>
      </c>
      <c r="G56" s="271" t="s">
        <v>116</v>
      </c>
      <c r="H56" s="181">
        <v>28</v>
      </c>
      <c r="I56" s="234">
        <v>24</v>
      </c>
      <c r="J56" s="98">
        <v>27</v>
      </c>
      <c r="K56" s="77">
        <v>36684</v>
      </c>
      <c r="L56" s="77">
        <v>36684</v>
      </c>
      <c r="M56" s="78">
        <f t="shared" si="1"/>
        <v>0</v>
      </c>
      <c r="N56" s="114">
        <v>21</v>
      </c>
      <c r="O56" s="224">
        <v>68563</v>
      </c>
      <c r="P56" s="224">
        <v>68563</v>
      </c>
      <c r="Q56" s="232">
        <f t="shared" si="2"/>
        <v>0</v>
      </c>
    </row>
    <row r="57" spans="1:17" s="13" customFormat="1" x14ac:dyDescent="0.25">
      <c r="A57" s="229"/>
      <c r="B57" s="30" t="s">
        <v>44</v>
      </c>
      <c r="C57" s="181" t="s">
        <v>17</v>
      </c>
      <c r="D57" s="182"/>
      <c r="E57" s="183" t="s">
        <v>20</v>
      </c>
      <c r="F57" s="73" t="s">
        <v>345</v>
      </c>
      <c r="G57" s="74" t="s">
        <v>112</v>
      </c>
      <c r="H57" s="75">
        <v>19</v>
      </c>
      <c r="I57" s="76">
        <v>11</v>
      </c>
      <c r="J57" s="96">
        <f>1+1+1+4+2+1+1+1</f>
        <v>12</v>
      </c>
      <c r="K57" s="77">
        <f>2422.38+1267.86+15410.58+1534.35+708.47</f>
        <v>21343.64</v>
      </c>
      <c r="L57" s="77">
        <f>2422.38+1267.86+15410.58+1534.35+708.47</f>
        <v>21343.64</v>
      </c>
      <c r="M57" s="78">
        <f t="shared" si="1"/>
        <v>0</v>
      </c>
      <c r="N57" s="100">
        <f>1+11</f>
        <v>12</v>
      </c>
      <c r="O57" s="81">
        <f>421.62+4603.39+10559.77+72902.04+3435.31</f>
        <v>91922.12999999999</v>
      </c>
      <c r="P57" s="81">
        <f>421.62+4603.39+10559.77+72902.04+3435.31</f>
        <v>91922.12999999999</v>
      </c>
      <c r="Q57" s="79">
        <f t="shared" si="2"/>
        <v>0</v>
      </c>
    </row>
    <row r="58" spans="1:17" s="13" customFormat="1" x14ac:dyDescent="0.25">
      <c r="A58" s="229"/>
      <c r="B58" s="30" t="s">
        <v>44</v>
      </c>
      <c r="C58" s="181" t="s">
        <v>17</v>
      </c>
      <c r="D58" s="182"/>
      <c r="E58" s="183" t="s">
        <v>20</v>
      </c>
      <c r="F58" s="73" t="s">
        <v>483</v>
      </c>
      <c r="G58" s="230" t="s">
        <v>114</v>
      </c>
      <c r="H58" s="181"/>
      <c r="I58" s="231"/>
      <c r="J58" s="190"/>
      <c r="K58" s="77"/>
      <c r="L58" s="77"/>
      <c r="M58" s="78">
        <f t="shared" si="1"/>
        <v>0</v>
      </c>
      <c r="N58" s="100">
        <v>3</v>
      </c>
      <c r="O58" s="224">
        <v>9934.7000000000007</v>
      </c>
      <c r="P58" s="224">
        <v>9934.7000000000007</v>
      </c>
      <c r="Q58" s="232">
        <f t="shared" si="2"/>
        <v>0</v>
      </c>
    </row>
    <row r="59" spans="1:17" s="13" customFormat="1" x14ac:dyDescent="0.25">
      <c r="A59" s="229"/>
      <c r="B59" s="30" t="s">
        <v>492</v>
      </c>
      <c r="C59" s="181" t="s">
        <v>17</v>
      </c>
      <c r="D59" s="182"/>
      <c r="E59" s="183" t="s">
        <v>20</v>
      </c>
      <c r="F59" s="73" t="s">
        <v>499</v>
      </c>
      <c r="G59" s="230" t="s">
        <v>112</v>
      </c>
      <c r="H59" s="181">
        <v>10</v>
      </c>
      <c r="I59" s="231">
        <v>8</v>
      </c>
      <c r="J59" s="190">
        <f>1+8</f>
        <v>9</v>
      </c>
      <c r="K59" s="77">
        <f>1044.98+2096.62</f>
        <v>3141.6</v>
      </c>
      <c r="L59" s="77">
        <f>1044.98+2096.62</f>
        <v>3141.6</v>
      </c>
      <c r="M59" s="78">
        <f t="shared" si="1"/>
        <v>0</v>
      </c>
      <c r="N59" s="100"/>
      <c r="O59" s="224"/>
      <c r="P59" s="224"/>
      <c r="Q59" s="79">
        <f t="shared" si="2"/>
        <v>0</v>
      </c>
    </row>
    <row r="60" spans="1:17" s="13" customFormat="1" x14ac:dyDescent="0.25">
      <c r="A60" s="229"/>
      <c r="B60" s="27" t="s">
        <v>45</v>
      </c>
      <c r="C60" s="181" t="s">
        <v>17</v>
      </c>
      <c r="D60" s="182"/>
      <c r="E60" s="183" t="s">
        <v>20</v>
      </c>
      <c r="F60" s="73" t="s">
        <v>346</v>
      </c>
      <c r="G60" s="74" t="s">
        <v>112</v>
      </c>
      <c r="H60" s="75"/>
      <c r="I60" s="76"/>
      <c r="J60" s="96"/>
      <c r="K60" s="77"/>
      <c r="L60" s="77"/>
      <c r="M60" s="78">
        <f t="shared" si="1"/>
        <v>0</v>
      </c>
      <c r="N60" s="100">
        <f>1</f>
        <v>1</v>
      </c>
      <c r="O60" s="81">
        <f>17995.91+2729.8</f>
        <v>20725.71</v>
      </c>
      <c r="P60" s="81">
        <f>17995.91+2729.8</f>
        <v>20725.71</v>
      </c>
      <c r="Q60" s="79">
        <f t="shared" si="2"/>
        <v>0</v>
      </c>
    </row>
    <row r="61" spans="1:17" s="13" customFormat="1" x14ac:dyDescent="0.25">
      <c r="A61" s="229"/>
      <c r="B61" s="27" t="s">
        <v>45</v>
      </c>
      <c r="C61" s="181" t="s">
        <v>17</v>
      </c>
      <c r="D61" s="182"/>
      <c r="E61" s="183" t="s">
        <v>20</v>
      </c>
      <c r="F61" s="73" t="s">
        <v>484</v>
      </c>
      <c r="G61" s="230" t="s">
        <v>114</v>
      </c>
      <c r="H61" s="181"/>
      <c r="I61" s="231"/>
      <c r="J61" s="190"/>
      <c r="K61" s="77"/>
      <c r="L61" s="77"/>
      <c r="M61" s="78">
        <f t="shared" si="1"/>
        <v>0</v>
      </c>
      <c r="N61" s="100"/>
      <c r="O61" s="224"/>
      <c r="P61" s="224"/>
      <c r="Q61" s="232">
        <f t="shared" si="2"/>
        <v>0</v>
      </c>
    </row>
    <row r="62" spans="1:17" s="15" customFormat="1" x14ac:dyDescent="0.25">
      <c r="A62" s="229"/>
      <c r="B62" s="27" t="s">
        <v>46</v>
      </c>
      <c r="C62" s="181" t="s">
        <v>17</v>
      </c>
      <c r="D62" s="182"/>
      <c r="E62" s="183" t="s">
        <v>20</v>
      </c>
      <c r="F62" s="73" t="s">
        <v>347</v>
      </c>
      <c r="G62" s="74" t="s">
        <v>112</v>
      </c>
      <c r="H62" s="75">
        <v>20</v>
      </c>
      <c r="I62" s="76">
        <v>17</v>
      </c>
      <c r="J62" s="96">
        <f>1+2+3+2+4+1+4+2+1+5+1+1+4</f>
        <v>31</v>
      </c>
      <c r="K62" s="77">
        <f>1045.98+1068.08+8157.32+1778.85+9152.67+11156.63+11271.63+1490.2+9025.41+10714.36+1457.08+12068.04</f>
        <v>78386.25</v>
      </c>
      <c r="L62" s="77">
        <f>1045.98+1068.08+8157.32+1778.85+9152.67+11156.63+11271.63+1490.2+9025.41+10714.36+1457.08+12068.04</f>
        <v>78386.25</v>
      </c>
      <c r="M62" s="78">
        <f t="shared" si="1"/>
        <v>0</v>
      </c>
      <c r="N62" s="100">
        <f>4+4+1+1+1+2</f>
        <v>13</v>
      </c>
      <c r="O62" s="81">
        <f>10759.2+10685.34+7362.04+22509.72</f>
        <v>51316.3</v>
      </c>
      <c r="P62" s="81">
        <f>10759.2+10685.34+7362.04+22509.72</f>
        <v>51316.3</v>
      </c>
      <c r="Q62" s="79">
        <f t="shared" si="2"/>
        <v>0</v>
      </c>
    </row>
    <row r="63" spans="1:17" s="15" customFormat="1" x14ac:dyDescent="0.25">
      <c r="A63" s="229"/>
      <c r="B63" s="27" t="s">
        <v>46</v>
      </c>
      <c r="C63" s="181" t="s">
        <v>17</v>
      </c>
      <c r="D63" s="182"/>
      <c r="E63" s="183" t="s">
        <v>20</v>
      </c>
      <c r="F63" s="73" t="s">
        <v>273</v>
      </c>
      <c r="G63" s="230" t="s">
        <v>114</v>
      </c>
      <c r="H63" s="181">
        <v>6</v>
      </c>
      <c r="I63" s="231">
        <v>1</v>
      </c>
      <c r="J63" s="190">
        <v>1</v>
      </c>
      <c r="K63" s="77">
        <v>576.29999999999995</v>
      </c>
      <c r="L63" s="77">
        <v>576.29999999999995</v>
      </c>
      <c r="M63" s="78">
        <f t="shared" si="1"/>
        <v>0</v>
      </c>
      <c r="N63" s="100">
        <v>3</v>
      </c>
      <c r="O63" s="224">
        <v>9356.9</v>
      </c>
      <c r="P63" s="224">
        <v>9356.9</v>
      </c>
      <c r="Q63" s="232">
        <f t="shared" si="2"/>
        <v>0</v>
      </c>
    </row>
    <row r="64" spans="1:17" s="13" customFormat="1" ht="15" customHeight="1" x14ac:dyDescent="0.25">
      <c r="A64" s="229"/>
      <c r="B64" s="30" t="s">
        <v>47</v>
      </c>
      <c r="C64" s="181" t="s">
        <v>304</v>
      </c>
      <c r="D64" s="182" t="s">
        <v>474</v>
      </c>
      <c r="E64" s="183" t="s">
        <v>18</v>
      </c>
      <c r="F64" s="73" t="s">
        <v>348</v>
      </c>
      <c r="G64" s="74" t="s">
        <v>112</v>
      </c>
      <c r="H64" s="75">
        <v>63</v>
      </c>
      <c r="I64" s="76">
        <v>47</v>
      </c>
      <c r="J64" s="98">
        <f>1+1+3+21+7+2+5+2+7+15+14+7+2+5</f>
        <v>92</v>
      </c>
      <c r="K64" s="77">
        <f>30728.27+19236.99+22614.7+52735.68</f>
        <v>125315.64000000001</v>
      </c>
      <c r="L64" s="77">
        <f>30728.27+19236.99+22614.7+52735.68</f>
        <v>125315.64000000001</v>
      </c>
      <c r="M64" s="78">
        <f t="shared" si="1"/>
        <v>0</v>
      </c>
      <c r="N64" s="100">
        <f>7+3+4+10+6+1+2+1+3+2+5</f>
        <v>44</v>
      </c>
      <c r="O64" s="81">
        <f>8477.51+15159.83+14079.46+15414.2+17995.91+2065.56+1859.53+9543.86+1728.53+14526.84</f>
        <v>100851.23</v>
      </c>
      <c r="P64" s="81">
        <f>8477.51+15159.83+14079.46+15414.2+17995.91+2065.56+1859.53+9543.86+1728.53+14526.84</f>
        <v>100851.23</v>
      </c>
      <c r="Q64" s="79">
        <f t="shared" si="2"/>
        <v>0</v>
      </c>
    </row>
    <row r="65" spans="1:17" s="13" customFormat="1" ht="15" customHeight="1" x14ac:dyDescent="0.25">
      <c r="A65" s="229"/>
      <c r="B65" s="62" t="s">
        <v>120</v>
      </c>
      <c r="C65" s="181" t="s">
        <v>304</v>
      </c>
      <c r="D65" s="182" t="s">
        <v>474</v>
      </c>
      <c r="E65" s="183" t="s">
        <v>18</v>
      </c>
      <c r="F65" s="73" t="s">
        <v>334</v>
      </c>
      <c r="G65" s="230" t="s">
        <v>116</v>
      </c>
      <c r="H65" s="181">
        <v>32</v>
      </c>
      <c r="I65" s="234">
        <v>21</v>
      </c>
      <c r="J65" s="98">
        <v>23</v>
      </c>
      <c r="K65" s="77">
        <v>43355</v>
      </c>
      <c r="L65" s="77">
        <v>43355</v>
      </c>
      <c r="M65" s="78">
        <f t="shared" si="1"/>
        <v>0</v>
      </c>
      <c r="N65" s="100">
        <v>15</v>
      </c>
      <c r="O65" s="224">
        <v>60831</v>
      </c>
      <c r="P65" s="224">
        <v>60831</v>
      </c>
      <c r="Q65" s="232">
        <f t="shared" si="2"/>
        <v>0</v>
      </c>
    </row>
    <row r="66" spans="1:17" s="13" customFormat="1" x14ac:dyDescent="0.25">
      <c r="A66" s="229"/>
      <c r="B66" s="30" t="s">
        <v>134</v>
      </c>
      <c r="C66" s="181" t="s">
        <v>17</v>
      </c>
      <c r="D66" s="182"/>
      <c r="E66" s="183" t="s">
        <v>20</v>
      </c>
      <c r="F66" s="73" t="s">
        <v>349</v>
      </c>
      <c r="G66" s="74" t="s">
        <v>112</v>
      </c>
      <c r="H66" s="75">
        <v>23</v>
      </c>
      <c r="I66" s="76">
        <v>22</v>
      </c>
      <c r="J66" s="96">
        <f>1+4+1+1+2+1+1+7+1+1+2</f>
        <v>22</v>
      </c>
      <c r="K66" s="77">
        <f>7301.48+1473.89+1911.09+1690.48+845.24+6268.51+441.51+1983.45+3361.83+883.11+2668.51+2972.45+3953.39+2549.89</f>
        <v>38304.83</v>
      </c>
      <c r="L66" s="77">
        <f>7301.48+1473.89+1911.09+1690.48+845.24+6268.51+441.51+1983.45+3361.83+883.11+2668.51+2972.45+3953.39+2549.89</f>
        <v>38304.83</v>
      </c>
      <c r="M66" s="78">
        <f t="shared" si="1"/>
        <v>0</v>
      </c>
      <c r="N66" s="100">
        <f>4+1+1+1+1+1</f>
        <v>9</v>
      </c>
      <c r="O66" s="81">
        <f>5020.05+3215.31+12312.39+4648.82+32425.98+7889.42+3294.46</f>
        <v>68806.430000000008</v>
      </c>
      <c r="P66" s="81">
        <f>5020.05+3215.31+12312.39+4648.82+32425.98+7889.42+3294.46</f>
        <v>68806.430000000008</v>
      </c>
      <c r="Q66" s="79">
        <f t="shared" si="2"/>
        <v>0</v>
      </c>
    </row>
    <row r="67" spans="1:17" s="13" customFormat="1" x14ac:dyDescent="0.25">
      <c r="A67" s="229"/>
      <c r="B67" s="30" t="s">
        <v>134</v>
      </c>
      <c r="C67" s="181" t="s">
        <v>17</v>
      </c>
      <c r="D67" s="182"/>
      <c r="E67" s="183" t="s">
        <v>20</v>
      </c>
      <c r="F67" s="73" t="s">
        <v>456</v>
      </c>
      <c r="G67" s="230" t="s">
        <v>114</v>
      </c>
      <c r="H67" s="181">
        <v>25</v>
      </c>
      <c r="I67" s="231">
        <v>9</v>
      </c>
      <c r="J67" s="190">
        <v>9</v>
      </c>
      <c r="K67" s="77">
        <v>17181.12</v>
      </c>
      <c r="L67" s="77">
        <v>17181.12</v>
      </c>
      <c r="M67" s="78">
        <f t="shared" si="1"/>
        <v>0</v>
      </c>
      <c r="N67" s="100">
        <v>27</v>
      </c>
      <c r="O67" s="224">
        <v>61494.8</v>
      </c>
      <c r="P67" s="224">
        <v>61494.8</v>
      </c>
      <c r="Q67" s="232">
        <f t="shared" si="2"/>
        <v>0</v>
      </c>
    </row>
    <row r="68" spans="1:17" s="13" customFormat="1" x14ac:dyDescent="0.25">
      <c r="A68" s="229"/>
      <c r="B68" s="62" t="s">
        <v>48</v>
      </c>
      <c r="C68" s="181" t="s">
        <v>17</v>
      </c>
      <c r="D68" s="182"/>
      <c r="E68" s="183" t="s">
        <v>20</v>
      </c>
      <c r="F68" s="73" t="s">
        <v>350</v>
      </c>
      <c r="G68" s="74" t="s">
        <v>112</v>
      </c>
      <c r="H68" s="75">
        <v>21</v>
      </c>
      <c r="I68" s="76">
        <v>14</v>
      </c>
      <c r="J68" s="96">
        <f>1+1+2+1+3+2+6</f>
        <v>16</v>
      </c>
      <c r="K68" s="77">
        <f>4805.96+2585.78+3065.92+2588.55+14407.5+9289.05+3030.73+11469.98+21400.25</f>
        <v>72643.72</v>
      </c>
      <c r="L68" s="77">
        <f>4805.96+2585.78+3065.92+2588.55+14407.5+9289.05+3030.73+11469.98+21400.25</f>
        <v>72643.72</v>
      </c>
      <c r="M68" s="78">
        <f t="shared" si="1"/>
        <v>0</v>
      </c>
      <c r="N68" s="100">
        <f>2+1+2+1+3+2</f>
        <v>11</v>
      </c>
      <c r="O68" s="81">
        <f>23174.33+2535.72+11633.02+6993.42+20756.4+5079.09</f>
        <v>70171.98000000001</v>
      </c>
      <c r="P68" s="81">
        <f>23174.33+2535.72+11633.02+6993.42+20756.4+5079.09</f>
        <v>70171.98000000001</v>
      </c>
      <c r="Q68" s="79">
        <f t="shared" si="2"/>
        <v>0</v>
      </c>
    </row>
    <row r="69" spans="1:17" s="13" customFormat="1" x14ac:dyDescent="0.25">
      <c r="A69" s="229"/>
      <c r="B69" s="62" t="s">
        <v>49</v>
      </c>
      <c r="C69" s="181" t="s">
        <v>17</v>
      </c>
      <c r="D69" s="182"/>
      <c r="E69" s="183" t="s">
        <v>50</v>
      </c>
      <c r="F69" s="73" t="s">
        <v>351</v>
      </c>
      <c r="G69" s="74" t="s">
        <v>112</v>
      </c>
      <c r="H69" s="75">
        <v>30</v>
      </c>
      <c r="I69" s="76">
        <v>21</v>
      </c>
      <c r="J69" s="96">
        <f>1+4+8+6+5+1+2</f>
        <v>27</v>
      </c>
      <c r="K69" s="77">
        <f>525.65+1267.86+6544.72+13939.57+2896.54+9712.48+14471.86+991.75+8615.66</f>
        <v>58966.09</v>
      </c>
      <c r="L69" s="77">
        <f>525.65+1267.86+6544.72+13939.57+2896.54+9712.48+14471.86+991.75+8615.66</f>
        <v>58966.09</v>
      </c>
      <c r="M69" s="78">
        <f t="shared" si="1"/>
        <v>0</v>
      </c>
      <c r="N69" s="100">
        <f>5+1+3+1+1+1</f>
        <v>12</v>
      </c>
      <c r="O69" s="81">
        <f>7374+1806.93+7275.53+4666.9+2684.03+6682.03+10412.84</f>
        <v>40902.259999999995</v>
      </c>
      <c r="P69" s="81">
        <f>7374+1806.93+7275.53+4666.9+2684.03+6682.03+10412.84</f>
        <v>40902.259999999995</v>
      </c>
      <c r="Q69" s="232">
        <f t="shared" si="2"/>
        <v>0</v>
      </c>
    </row>
    <row r="70" spans="1:17" s="13" customFormat="1" x14ac:dyDescent="0.25">
      <c r="A70" s="229"/>
      <c r="B70" s="62" t="s">
        <v>49</v>
      </c>
      <c r="C70" s="181" t="s">
        <v>17</v>
      </c>
      <c r="D70" s="182"/>
      <c r="E70" s="183" t="s">
        <v>50</v>
      </c>
      <c r="F70" s="73" t="s">
        <v>427</v>
      </c>
      <c r="G70" s="230" t="s">
        <v>115</v>
      </c>
      <c r="H70" s="181">
        <v>18</v>
      </c>
      <c r="I70" s="231">
        <v>7</v>
      </c>
      <c r="J70" s="96">
        <v>7</v>
      </c>
      <c r="K70" s="77">
        <v>14739.83</v>
      </c>
      <c r="L70" s="77">
        <v>14739.83</v>
      </c>
      <c r="M70" s="78">
        <f t="shared" si="1"/>
        <v>0</v>
      </c>
      <c r="N70" s="100">
        <v>11</v>
      </c>
      <c r="O70" s="224">
        <v>25688.3</v>
      </c>
      <c r="P70" s="224">
        <v>25688.3</v>
      </c>
      <c r="Q70" s="79">
        <f t="shared" si="2"/>
        <v>0</v>
      </c>
    </row>
    <row r="71" spans="1:17" s="13" customFormat="1" x14ac:dyDescent="0.25">
      <c r="A71" s="229"/>
      <c r="B71" s="27" t="s">
        <v>51</v>
      </c>
      <c r="C71" s="181" t="s">
        <v>17</v>
      </c>
      <c r="D71" s="182"/>
      <c r="E71" s="183" t="s">
        <v>20</v>
      </c>
      <c r="F71" s="73" t="s">
        <v>186</v>
      </c>
      <c r="G71" s="74" t="s">
        <v>112</v>
      </c>
      <c r="H71" s="75"/>
      <c r="I71" s="76"/>
      <c r="J71" s="96"/>
      <c r="K71" s="77"/>
      <c r="L71" s="77"/>
      <c r="M71" s="78">
        <f t="shared" si="1"/>
        <v>0</v>
      </c>
      <c r="N71" s="100">
        <f>1</f>
        <v>1</v>
      </c>
      <c r="O71" s="81">
        <v>2451.87</v>
      </c>
      <c r="P71" s="81">
        <v>2451.87</v>
      </c>
      <c r="Q71" s="232">
        <f t="shared" si="2"/>
        <v>0</v>
      </c>
    </row>
    <row r="72" spans="1:17" s="13" customFormat="1" x14ac:dyDescent="0.25">
      <c r="A72" s="229"/>
      <c r="B72" s="27" t="s">
        <v>51</v>
      </c>
      <c r="C72" s="181" t="s">
        <v>17</v>
      </c>
      <c r="D72" s="182"/>
      <c r="E72" s="183" t="s">
        <v>20</v>
      </c>
      <c r="F72" s="73" t="s">
        <v>276</v>
      </c>
      <c r="G72" s="230" t="s">
        <v>114</v>
      </c>
      <c r="H72" s="181"/>
      <c r="I72" s="231"/>
      <c r="J72" s="190"/>
      <c r="K72" s="77"/>
      <c r="L72" s="77"/>
      <c r="M72" s="78">
        <f t="shared" si="1"/>
        <v>0</v>
      </c>
      <c r="N72" s="100">
        <v>3</v>
      </c>
      <c r="O72" s="224">
        <v>6763.6</v>
      </c>
      <c r="P72" s="224">
        <v>6763.6</v>
      </c>
      <c r="Q72" s="232">
        <f t="shared" si="2"/>
        <v>0</v>
      </c>
    </row>
    <row r="73" spans="1:17" s="13" customFormat="1" x14ac:dyDescent="0.25">
      <c r="A73" s="229"/>
      <c r="B73" s="62" t="s">
        <v>52</v>
      </c>
      <c r="C73" s="181" t="s">
        <v>17</v>
      </c>
      <c r="D73" s="182"/>
      <c r="E73" s="183" t="s">
        <v>20</v>
      </c>
      <c r="F73" s="73" t="s">
        <v>352</v>
      </c>
      <c r="G73" s="74" t="s">
        <v>112</v>
      </c>
      <c r="H73" s="75">
        <v>16</v>
      </c>
      <c r="I73" s="76">
        <v>13</v>
      </c>
      <c r="J73" s="96">
        <f>1+1+1+1+2+3+1+1+1+2+1+1</f>
        <v>16</v>
      </c>
      <c r="K73" s="77">
        <f>10714.2+2747.14+2138.07+6709.4+7033.21+883.08+708.47+8516.02</f>
        <v>39449.589999999997</v>
      </c>
      <c r="L73" s="77">
        <f>10714.2+2747.14+2138.07+6709.4+7033.21+883.08+708.47+8516.02</f>
        <v>39449.589999999997</v>
      </c>
      <c r="M73" s="78">
        <f t="shared" si="1"/>
        <v>0</v>
      </c>
      <c r="N73" s="100">
        <f>4+3+1+1+2+3+1+1+2+1</f>
        <v>19</v>
      </c>
      <c r="O73" s="81">
        <f>5977.15+48296.91+7596.86+1061.83+8902.9+6856.31+2935.36+8136.06+17654.09</f>
        <v>107417.47</v>
      </c>
      <c r="P73" s="81">
        <f>5977.15+48296.91+7596.86+1061.83+8902.9+6856.31+2935.36+8136.06+17654.09</f>
        <v>107417.47</v>
      </c>
      <c r="Q73" s="232">
        <f t="shared" si="2"/>
        <v>0</v>
      </c>
    </row>
    <row r="74" spans="1:17" s="13" customFormat="1" x14ac:dyDescent="0.25">
      <c r="A74" s="229"/>
      <c r="B74" s="62" t="s">
        <v>52</v>
      </c>
      <c r="C74" s="181" t="s">
        <v>17</v>
      </c>
      <c r="D74" s="182"/>
      <c r="E74" s="183" t="s">
        <v>20</v>
      </c>
      <c r="F74" s="73" t="s">
        <v>457</v>
      </c>
      <c r="G74" s="230" t="s">
        <v>114</v>
      </c>
      <c r="H74" s="181">
        <v>16</v>
      </c>
      <c r="I74" s="231">
        <v>6</v>
      </c>
      <c r="J74" s="190">
        <v>6</v>
      </c>
      <c r="K74" s="77">
        <v>15055.4</v>
      </c>
      <c r="L74" s="77">
        <v>15055.4</v>
      </c>
      <c r="M74" s="78">
        <f t="shared" si="1"/>
        <v>0</v>
      </c>
      <c r="N74" s="100">
        <v>23</v>
      </c>
      <c r="O74" s="264">
        <v>64407.22</v>
      </c>
      <c r="P74" s="264">
        <v>64407.22</v>
      </c>
      <c r="Q74" s="232">
        <f t="shared" si="2"/>
        <v>0</v>
      </c>
    </row>
    <row r="75" spans="1:17" s="13" customFormat="1" x14ac:dyDescent="0.25">
      <c r="A75" s="229"/>
      <c r="B75" s="27" t="s">
        <v>53</v>
      </c>
      <c r="C75" s="181" t="s">
        <v>17</v>
      </c>
      <c r="D75" s="182"/>
      <c r="E75" s="183" t="s">
        <v>20</v>
      </c>
      <c r="F75" s="73" t="s">
        <v>353</v>
      </c>
      <c r="G75" s="74" t="s">
        <v>112</v>
      </c>
      <c r="H75" s="75">
        <v>18</v>
      </c>
      <c r="I75" s="76">
        <v>12</v>
      </c>
      <c r="J75" s="96">
        <f>2+2+2+1+2+1+1+3+2</f>
        <v>16</v>
      </c>
      <c r="K75" s="77">
        <f>3655.66+6862.24+2535.72+3550.85+401.4+441.54</f>
        <v>17447.41</v>
      </c>
      <c r="L75" s="77">
        <f>3655.66+6862.24+2535.72+3550.85+401.4+441.54</f>
        <v>17447.41</v>
      </c>
      <c r="M75" s="78">
        <f t="shared" si="1"/>
        <v>0</v>
      </c>
      <c r="N75" s="100">
        <f>1+2+2+1+1+1</f>
        <v>8</v>
      </c>
      <c r="O75" s="81">
        <f>1743.3+3921.71+422.62+5626.45+37901.04</f>
        <v>49615.12</v>
      </c>
      <c r="P75" s="81">
        <f>1743.3+3921.71+422.62+5626.45+37901.04</f>
        <v>49615.12</v>
      </c>
      <c r="Q75" s="232">
        <f t="shared" si="2"/>
        <v>0</v>
      </c>
    </row>
    <row r="76" spans="1:17" s="13" customFormat="1" x14ac:dyDescent="0.25">
      <c r="A76" s="229"/>
      <c r="B76" s="27" t="s">
        <v>149</v>
      </c>
      <c r="C76" s="181" t="s">
        <v>17</v>
      </c>
      <c r="D76" s="182"/>
      <c r="E76" s="183" t="s">
        <v>383</v>
      </c>
      <c r="F76" s="73" t="s">
        <v>354</v>
      </c>
      <c r="G76" s="74" t="s">
        <v>112</v>
      </c>
      <c r="H76" s="75">
        <v>41</v>
      </c>
      <c r="I76" s="76">
        <v>12</v>
      </c>
      <c r="J76" s="96">
        <f>7+3+3</f>
        <v>13</v>
      </c>
      <c r="K76" s="77">
        <f>7743.07+4386.1+10376.2</f>
        <v>22505.370000000003</v>
      </c>
      <c r="L76" s="77">
        <f>7743.07+4386.1+10376.2</f>
        <v>22505.370000000003</v>
      </c>
      <c r="M76" s="78">
        <f t="shared" si="1"/>
        <v>0</v>
      </c>
      <c r="N76" s="100">
        <f>2+2+2+1</f>
        <v>7</v>
      </c>
      <c r="O76" s="81">
        <f>3676.8+3431.65+6320.35+4068.03</f>
        <v>17496.830000000002</v>
      </c>
      <c r="P76" s="81">
        <f>3676.8+3431.65+6320.35+4068.03</f>
        <v>17496.830000000002</v>
      </c>
      <c r="Q76" s="79">
        <f t="shared" si="2"/>
        <v>0</v>
      </c>
    </row>
    <row r="77" spans="1:17" s="13" customFormat="1" x14ac:dyDescent="0.25">
      <c r="A77" s="229"/>
      <c r="B77" s="27" t="s">
        <v>149</v>
      </c>
      <c r="C77" s="181" t="s">
        <v>17</v>
      </c>
      <c r="D77" s="182"/>
      <c r="E77" s="183" t="s">
        <v>383</v>
      </c>
      <c r="F77" s="73" t="s">
        <v>438</v>
      </c>
      <c r="G77" s="230" t="s">
        <v>118</v>
      </c>
      <c r="H77" s="181">
        <v>16</v>
      </c>
      <c r="I77" s="234">
        <v>2</v>
      </c>
      <c r="J77" s="190">
        <v>2</v>
      </c>
      <c r="K77" s="193">
        <v>3988.2</v>
      </c>
      <c r="L77" s="193">
        <v>3988.2</v>
      </c>
      <c r="M77" s="78">
        <f t="shared" si="1"/>
        <v>0</v>
      </c>
      <c r="N77" s="114">
        <v>10</v>
      </c>
      <c r="O77" s="224">
        <v>9835.52</v>
      </c>
      <c r="P77" s="224">
        <v>9835.52</v>
      </c>
      <c r="Q77" s="232">
        <f t="shared" si="2"/>
        <v>0</v>
      </c>
    </row>
    <row r="78" spans="1:17" s="13" customFormat="1" x14ac:dyDescent="0.25">
      <c r="A78" s="229"/>
      <c r="B78" s="62" t="s">
        <v>107</v>
      </c>
      <c r="C78" s="181" t="s">
        <v>17</v>
      </c>
      <c r="D78" s="182"/>
      <c r="E78" s="194" t="s">
        <v>20</v>
      </c>
      <c r="F78" s="73" t="s">
        <v>355</v>
      </c>
      <c r="G78" s="74" t="s">
        <v>112</v>
      </c>
      <c r="H78" s="75">
        <v>17</v>
      </c>
      <c r="I78" s="76">
        <v>12</v>
      </c>
      <c r="J78" s="96">
        <f>1+3+3+2+1+2+1+1</f>
        <v>14</v>
      </c>
      <c r="K78" s="77">
        <f>666.63+7071.2+5333.38+13316.37+23091.24+4686.95+2216.53+401.4+401.4</f>
        <v>57185.100000000006</v>
      </c>
      <c r="L78" s="77">
        <f>666.63+7071.2+5333.38+13316.37+23091.24+4686.95+2216.53+401.4+401.4</f>
        <v>57185.100000000006</v>
      </c>
      <c r="M78" s="78">
        <f t="shared" ref="M78:M141" si="3">K78-L78</f>
        <v>0</v>
      </c>
      <c r="N78" s="100">
        <f>2+6+1+1+2+1</f>
        <v>13</v>
      </c>
      <c r="O78" s="81">
        <f>7612.92+18804.48+9163.33+3260.98+6297.63+2609.1</f>
        <v>47748.44</v>
      </c>
      <c r="P78" s="81">
        <f>7612.92+18804.48+9163.33+3260.98+6297.63+2609.1</f>
        <v>47748.44</v>
      </c>
      <c r="Q78" s="79">
        <f t="shared" si="2"/>
        <v>0</v>
      </c>
    </row>
    <row r="79" spans="1:17" s="13" customFormat="1" x14ac:dyDescent="0.25">
      <c r="A79" s="229"/>
      <c r="B79" s="30" t="s">
        <v>54</v>
      </c>
      <c r="C79" s="181" t="s">
        <v>17</v>
      </c>
      <c r="D79" s="182"/>
      <c r="E79" s="194" t="s">
        <v>20</v>
      </c>
      <c r="F79" s="73" t="s">
        <v>356</v>
      </c>
      <c r="G79" s="74" t="s">
        <v>112</v>
      </c>
      <c r="H79" s="75"/>
      <c r="I79" s="76"/>
      <c r="J79" s="96"/>
      <c r="K79" s="77">
        <f>9075.37</f>
        <v>9075.3700000000008</v>
      </c>
      <c r="L79" s="77">
        <f>9075.37</f>
        <v>9075.3700000000008</v>
      </c>
      <c r="M79" s="78">
        <f t="shared" si="3"/>
        <v>0</v>
      </c>
      <c r="N79" s="100">
        <f>4+1+1+2+1</f>
        <v>9</v>
      </c>
      <c r="O79" s="81">
        <f>17895.28+17443.73+5473.41+2994.97</f>
        <v>43807.39</v>
      </c>
      <c r="P79" s="81">
        <f>17895.28+17443.73+5473.41+2994.97</f>
        <v>43807.39</v>
      </c>
      <c r="Q79" s="79">
        <f t="shared" si="2"/>
        <v>0</v>
      </c>
    </row>
    <row r="80" spans="1:17" s="13" customFormat="1" ht="15" customHeight="1" x14ac:dyDescent="0.25">
      <c r="A80" s="229"/>
      <c r="B80" s="27" t="s">
        <v>55</v>
      </c>
      <c r="C80" s="181" t="s">
        <v>304</v>
      </c>
      <c r="D80" s="182" t="s">
        <v>387</v>
      </c>
      <c r="E80" s="183" t="s">
        <v>20</v>
      </c>
      <c r="F80" s="73" t="s">
        <v>357</v>
      </c>
      <c r="G80" s="74" t="s">
        <v>112</v>
      </c>
      <c r="H80" s="75">
        <v>26</v>
      </c>
      <c r="I80" s="76">
        <v>20</v>
      </c>
      <c r="J80" s="98">
        <f>3+1+1+2+1+1+1+3+3+1+3</f>
        <v>20</v>
      </c>
      <c r="K80" s="77">
        <f>1267.86+6667.8+5756.15+1180.38+4780.37+4352.43+2850.42+2493.42+1404.9+10097.91+883.08+8774.66</f>
        <v>50509.380000000005</v>
      </c>
      <c r="L80" s="77">
        <f>1267.86+6667.8+5756.15+1180.38+4780.37+4352.43+2850.42+2493.42+1404.9+10097.91+883.08+8774.66</f>
        <v>50509.380000000005</v>
      </c>
      <c r="M80" s="78">
        <f t="shared" si="3"/>
        <v>0</v>
      </c>
      <c r="N80" s="100">
        <f>2+1+2+2+2+1+2+1+1+1</f>
        <v>15</v>
      </c>
      <c r="O80" s="81">
        <f>34854.19+2113.1+6430.67+5463.42+39145.22+2535.72+5132.44+12985.86+3492.63</f>
        <v>112153.25000000001</v>
      </c>
      <c r="P80" s="81">
        <f>34854.19+2113.1+6430.67+5463.42+39145.22+2535.72+5132.44+12985.86+3492.63</f>
        <v>112153.25000000001</v>
      </c>
      <c r="Q80" s="232">
        <f t="shared" si="2"/>
        <v>0</v>
      </c>
    </row>
    <row r="81" spans="1:17" s="13" customFormat="1" ht="15" customHeight="1" x14ac:dyDescent="0.25">
      <c r="A81" s="229"/>
      <c r="B81" s="62" t="s">
        <v>56</v>
      </c>
      <c r="C81" s="181" t="s">
        <v>17</v>
      </c>
      <c r="D81" s="182" t="s">
        <v>386</v>
      </c>
      <c r="E81" s="183" t="s">
        <v>18</v>
      </c>
      <c r="F81" s="73" t="s">
        <v>358</v>
      </c>
      <c r="G81" s="74" t="s">
        <v>112</v>
      </c>
      <c r="H81" s="75">
        <v>14</v>
      </c>
      <c r="I81" s="76">
        <v>12</v>
      </c>
      <c r="J81" s="96">
        <f>1+1+2+2+5+1</f>
        <v>12</v>
      </c>
      <c r="K81" s="77">
        <f>678.11+678.11+4865.7+5265.72+4915.15+2243.02</f>
        <v>18645.810000000001</v>
      </c>
      <c r="L81" s="77">
        <f>678.11+678.11+4865.7+5265.72+4915.15+2243.02</f>
        <v>18645.810000000001</v>
      </c>
      <c r="M81" s="78">
        <f t="shared" si="3"/>
        <v>0</v>
      </c>
      <c r="N81" s="100">
        <f>1</f>
        <v>1</v>
      </c>
      <c r="O81" s="81">
        <f>4395.5</f>
        <v>4395.5</v>
      </c>
      <c r="P81" s="81">
        <f>4395.5</f>
        <v>4395.5</v>
      </c>
      <c r="Q81" s="79">
        <f t="shared" si="2"/>
        <v>0</v>
      </c>
    </row>
    <row r="82" spans="1:17" s="13" customFormat="1" ht="15" customHeight="1" x14ac:dyDescent="0.25">
      <c r="A82" s="229"/>
      <c r="B82" s="62" t="s">
        <v>56</v>
      </c>
      <c r="C82" s="181" t="s">
        <v>304</v>
      </c>
      <c r="D82" s="182" t="s">
        <v>386</v>
      </c>
      <c r="E82" s="183" t="s">
        <v>18</v>
      </c>
      <c r="F82" s="73" t="s">
        <v>476</v>
      </c>
      <c r="G82" s="230" t="s">
        <v>113</v>
      </c>
      <c r="H82" s="181">
        <v>14</v>
      </c>
      <c r="I82" s="234">
        <v>10</v>
      </c>
      <c r="J82" s="98">
        <v>11</v>
      </c>
      <c r="K82" s="77">
        <v>20460</v>
      </c>
      <c r="L82" s="77">
        <v>20460</v>
      </c>
      <c r="M82" s="78">
        <f t="shared" si="3"/>
        <v>0</v>
      </c>
      <c r="N82" s="100"/>
      <c r="O82" s="224">
        <v>7612</v>
      </c>
      <c r="P82" s="224">
        <v>7612</v>
      </c>
      <c r="Q82" s="232">
        <f t="shared" ref="Q82:Q147" si="4">O82-P82</f>
        <v>0</v>
      </c>
    </row>
    <row r="83" spans="1:17" s="13" customFormat="1" x14ac:dyDescent="0.25">
      <c r="A83" s="229"/>
      <c r="B83" s="62" t="s">
        <v>156</v>
      </c>
      <c r="C83" s="181" t="s">
        <v>304</v>
      </c>
      <c r="D83" s="182"/>
      <c r="E83" s="183" t="s">
        <v>20</v>
      </c>
      <c r="F83" s="73" t="s">
        <v>359</v>
      </c>
      <c r="G83" s="74" t="s">
        <v>112</v>
      </c>
      <c r="H83" s="75">
        <v>5</v>
      </c>
      <c r="I83" s="76">
        <v>2</v>
      </c>
      <c r="J83" s="96">
        <f>2</f>
        <v>2</v>
      </c>
      <c r="K83" s="77">
        <f>1690.48+993.47</f>
        <v>2683.95</v>
      </c>
      <c r="L83" s="77">
        <f>1690.48+993.47</f>
        <v>2683.95</v>
      </c>
      <c r="M83" s="78">
        <f t="shared" si="3"/>
        <v>0</v>
      </c>
      <c r="N83" s="100">
        <f>3+1+1</f>
        <v>5</v>
      </c>
      <c r="O83" s="81">
        <f>5488.54+2398.37+422.62+1605.6</f>
        <v>9915.130000000001</v>
      </c>
      <c r="P83" s="81">
        <f>5488.54+2398.37+422.62+1605.6</f>
        <v>9915.130000000001</v>
      </c>
      <c r="Q83" s="79">
        <f t="shared" si="4"/>
        <v>0</v>
      </c>
    </row>
    <row r="84" spans="1:17" s="15" customFormat="1" x14ac:dyDescent="0.25">
      <c r="A84" s="229"/>
      <c r="B84" s="62" t="s">
        <v>57</v>
      </c>
      <c r="C84" s="181" t="s">
        <v>17</v>
      </c>
      <c r="D84" s="182"/>
      <c r="E84" s="183" t="s">
        <v>20</v>
      </c>
      <c r="F84" s="73" t="s">
        <v>360</v>
      </c>
      <c r="G84" s="74" t="s">
        <v>112</v>
      </c>
      <c r="H84" s="75">
        <v>9</v>
      </c>
      <c r="I84" s="76">
        <v>8</v>
      </c>
      <c r="J84" s="96">
        <f>2+1+1+2+2</f>
        <v>8</v>
      </c>
      <c r="K84" s="77">
        <f>806.82+1728.9+422.62+2958.34</f>
        <v>5916.68</v>
      </c>
      <c r="L84" s="77">
        <f>806.82+1728.9+422.62+2958.34</f>
        <v>5916.68</v>
      </c>
      <c r="M84" s="78">
        <f t="shared" si="3"/>
        <v>0</v>
      </c>
      <c r="N84" s="100">
        <f>2+1</f>
        <v>3</v>
      </c>
      <c r="O84" s="81">
        <f>2745.3</f>
        <v>2745.3</v>
      </c>
      <c r="P84" s="81">
        <f>2745.3</f>
        <v>2745.3</v>
      </c>
      <c r="Q84" s="232">
        <f t="shared" si="4"/>
        <v>0</v>
      </c>
    </row>
    <row r="85" spans="1:17" s="15" customFormat="1" x14ac:dyDescent="0.25">
      <c r="A85" s="229"/>
      <c r="B85" s="62" t="s">
        <v>57</v>
      </c>
      <c r="C85" s="181" t="s">
        <v>17</v>
      </c>
      <c r="D85" s="182"/>
      <c r="E85" s="183" t="s">
        <v>20</v>
      </c>
      <c r="F85" s="73" t="s">
        <v>458</v>
      </c>
      <c r="G85" s="230" t="s">
        <v>114</v>
      </c>
      <c r="H85" s="181">
        <v>39</v>
      </c>
      <c r="I85" s="231">
        <v>18</v>
      </c>
      <c r="J85" s="190">
        <v>18</v>
      </c>
      <c r="K85" s="77">
        <v>44800.97</v>
      </c>
      <c r="L85" s="77">
        <v>44800.97</v>
      </c>
      <c r="M85" s="78">
        <f t="shared" si="3"/>
        <v>0</v>
      </c>
      <c r="N85" s="100">
        <v>20</v>
      </c>
      <c r="O85" s="224">
        <v>42687.199999999997</v>
      </c>
      <c r="P85" s="224">
        <v>42687.199999999997</v>
      </c>
      <c r="Q85" s="232">
        <f t="shared" si="4"/>
        <v>0</v>
      </c>
    </row>
    <row r="86" spans="1:17" s="13" customFormat="1" x14ac:dyDescent="0.25">
      <c r="A86" s="229"/>
      <c r="B86" s="62" t="s">
        <v>58</v>
      </c>
      <c r="C86" s="181" t="s">
        <v>17</v>
      </c>
      <c r="D86" s="182"/>
      <c r="E86" s="183" t="s">
        <v>20</v>
      </c>
      <c r="F86" s="73" t="s">
        <v>361</v>
      </c>
      <c r="G86" s="74" t="s">
        <v>112</v>
      </c>
      <c r="H86" s="75">
        <v>11</v>
      </c>
      <c r="I86" s="76">
        <v>9</v>
      </c>
      <c r="J86" s="96">
        <f>1+2+1+1+1+1+2</f>
        <v>9</v>
      </c>
      <c r="K86" s="77">
        <f>1892.47+3118.94+422.62+1324.62+12755.56</f>
        <v>19514.21</v>
      </c>
      <c r="L86" s="77">
        <f>1892.47+3118.94+422.62+1324.62+12755.56</f>
        <v>19514.21</v>
      </c>
      <c r="M86" s="78">
        <f t="shared" si="3"/>
        <v>0</v>
      </c>
      <c r="N86" s="100">
        <f>1+1+3+1</f>
        <v>6</v>
      </c>
      <c r="O86" s="81">
        <f>9196.24+2480.78+2954.11+15214.32</f>
        <v>29845.45</v>
      </c>
      <c r="P86" s="81">
        <f>9196.24+2480.78+2954.11+15214.32</f>
        <v>29845.45</v>
      </c>
      <c r="Q86" s="232">
        <f t="shared" si="4"/>
        <v>0</v>
      </c>
    </row>
    <row r="87" spans="1:17" s="13" customFormat="1" x14ac:dyDescent="0.25">
      <c r="A87" s="229"/>
      <c r="B87" s="62" t="s">
        <v>58</v>
      </c>
      <c r="C87" s="181" t="s">
        <v>17</v>
      </c>
      <c r="D87" s="182"/>
      <c r="E87" s="183" t="s">
        <v>20</v>
      </c>
      <c r="F87" s="73" t="s">
        <v>478</v>
      </c>
      <c r="G87" s="230" t="s">
        <v>114</v>
      </c>
      <c r="H87" s="181">
        <v>15</v>
      </c>
      <c r="I87" s="231">
        <v>3</v>
      </c>
      <c r="J87" s="190">
        <v>3</v>
      </c>
      <c r="K87" s="77">
        <v>3765.16</v>
      </c>
      <c r="L87" s="77">
        <v>3765.16</v>
      </c>
      <c r="M87" s="78">
        <f t="shared" si="3"/>
        <v>0</v>
      </c>
      <c r="N87" s="100">
        <v>21</v>
      </c>
      <c r="O87" s="224">
        <v>54215.77</v>
      </c>
      <c r="P87" s="224">
        <v>54215.77</v>
      </c>
      <c r="Q87" s="232">
        <f t="shared" si="4"/>
        <v>0</v>
      </c>
    </row>
    <row r="88" spans="1:17" s="13" customFormat="1" x14ac:dyDescent="0.25">
      <c r="A88" s="229"/>
      <c r="B88" s="62" t="s">
        <v>59</v>
      </c>
      <c r="C88" s="181" t="s">
        <v>17</v>
      </c>
      <c r="D88" s="182"/>
      <c r="E88" s="183" t="s">
        <v>20</v>
      </c>
      <c r="F88" s="73" t="s">
        <v>362</v>
      </c>
      <c r="G88" s="74" t="s">
        <v>112</v>
      </c>
      <c r="H88" s="75">
        <v>15</v>
      </c>
      <c r="I88" s="76">
        <v>8</v>
      </c>
      <c r="J88" s="96">
        <f>1+1+1+3+1+1</f>
        <v>8</v>
      </c>
      <c r="K88" s="77">
        <f>403.41+1431.16+845.24+998.92+3059.87</f>
        <v>6738.6</v>
      </c>
      <c r="L88" s="77">
        <f>403.41+1431.16+845.24+998.92+3059.87</f>
        <v>6738.6</v>
      </c>
      <c r="M88" s="78">
        <f t="shared" si="3"/>
        <v>0</v>
      </c>
      <c r="N88" s="100">
        <f>1+2+2+1+1+1+1+1</f>
        <v>10</v>
      </c>
      <c r="O88" s="81">
        <f>6646.05+1267.86+979.71</f>
        <v>8893.619999999999</v>
      </c>
      <c r="P88" s="81">
        <f>2353.23+5561.68+978.71</f>
        <v>8893.619999999999</v>
      </c>
      <c r="Q88" s="232">
        <f t="shared" si="4"/>
        <v>0</v>
      </c>
    </row>
    <row r="89" spans="1:17" s="13" customFormat="1" x14ac:dyDescent="0.25">
      <c r="A89" s="229"/>
      <c r="B89" s="62" t="s">
        <v>59</v>
      </c>
      <c r="C89" s="181" t="s">
        <v>17</v>
      </c>
      <c r="D89" s="182"/>
      <c r="E89" s="183" t="s">
        <v>20</v>
      </c>
      <c r="F89" s="73" t="s">
        <v>128</v>
      </c>
      <c r="G89" s="230" t="s">
        <v>114</v>
      </c>
      <c r="H89" s="181"/>
      <c r="I89" s="231"/>
      <c r="J89" s="190"/>
      <c r="K89" s="77"/>
      <c r="L89" s="77"/>
      <c r="M89" s="78">
        <f t="shared" si="3"/>
        <v>0</v>
      </c>
      <c r="N89" s="100"/>
      <c r="O89" s="224"/>
      <c r="P89" s="224"/>
      <c r="Q89" s="232">
        <f t="shared" si="4"/>
        <v>0</v>
      </c>
    </row>
    <row r="90" spans="1:17" s="13" customFormat="1" x14ac:dyDescent="0.25">
      <c r="A90" s="229"/>
      <c r="B90" s="27" t="s">
        <v>60</v>
      </c>
      <c r="C90" s="181" t="s">
        <v>17</v>
      </c>
      <c r="D90" s="182"/>
      <c r="E90" s="183" t="s">
        <v>20</v>
      </c>
      <c r="F90" s="73" t="s">
        <v>364</v>
      </c>
      <c r="G90" s="74" t="s">
        <v>112</v>
      </c>
      <c r="H90" s="75">
        <v>21</v>
      </c>
      <c r="I90" s="76">
        <v>11</v>
      </c>
      <c r="J90" s="96">
        <f>1+1+1+4+4+2</f>
        <v>13</v>
      </c>
      <c r="K90" s="77">
        <f>634.93+893.27+2930.22+8503.46</f>
        <v>12961.88</v>
      </c>
      <c r="L90" s="77">
        <f>634.93+893.27+2930.22+8503.46</f>
        <v>12961.88</v>
      </c>
      <c r="M90" s="78">
        <f t="shared" si="3"/>
        <v>0</v>
      </c>
      <c r="N90" s="100">
        <f>4+1+3+1+1+2</f>
        <v>12</v>
      </c>
      <c r="O90" s="81">
        <f>15124.53+2065.75+8492.52+5828.3+7183.28</f>
        <v>38694.379999999997</v>
      </c>
      <c r="P90" s="81">
        <f>15124.53+2065.75+8492.52+5828.3+7183.28</f>
        <v>38694.379999999997</v>
      </c>
      <c r="Q90" s="232">
        <f t="shared" si="4"/>
        <v>0</v>
      </c>
    </row>
    <row r="91" spans="1:17" s="13" customFormat="1" x14ac:dyDescent="0.25">
      <c r="A91" s="229"/>
      <c r="B91" s="27" t="s">
        <v>60</v>
      </c>
      <c r="C91" s="181" t="s">
        <v>17</v>
      </c>
      <c r="D91" s="182"/>
      <c r="E91" s="183" t="s">
        <v>20</v>
      </c>
      <c r="F91" s="73" t="s">
        <v>479</v>
      </c>
      <c r="G91" s="230" t="s">
        <v>114</v>
      </c>
      <c r="H91" s="181">
        <v>17</v>
      </c>
      <c r="I91" s="231">
        <v>4</v>
      </c>
      <c r="J91" s="190">
        <v>4</v>
      </c>
      <c r="K91" s="77">
        <v>8197.2000000000007</v>
      </c>
      <c r="L91" s="77">
        <v>8197.2000000000007</v>
      </c>
      <c r="M91" s="78">
        <f t="shared" si="3"/>
        <v>0</v>
      </c>
      <c r="N91" s="100">
        <v>14</v>
      </c>
      <c r="O91" s="224">
        <v>44683.68</v>
      </c>
      <c r="P91" s="224">
        <v>44683.68</v>
      </c>
      <c r="Q91" s="232">
        <f t="shared" si="4"/>
        <v>0</v>
      </c>
    </row>
    <row r="92" spans="1:17" s="13" customFormat="1" x14ac:dyDescent="0.25">
      <c r="A92" s="229"/>
      <c r="B92" s="27" t="s">
        <v>493</v>
      </c>
      <c r="C92" s="181" t="s">
        <v>17</v>
      </c>
      <c r="D92" s="182"/>
      <c r="E92" s="183" t="s">
        <v>20</v>
      </c>
      <c r="F92" s="73" t="s">
        <v>496</v>
      </c>
      <c r="G92" s="230" t="s">
        <v>112</v>
      </c>
      <c r="H92" s="181">
        <v>15</v>
      </c>
      <c r="I92" s="231">
        <v>11</v>
      </c>
      <c r="J92" s="190">
        <f>3+2+1+3+1+2+1+3</f>
        <v>16</v>
      </c>
      <c r="K92" s="77">
        <f>3387.04+3467.41+1267.86+2218.74+8089.94+1924.71+5638.36</f>
        <v>25994.059999999998</v>
      </c>
      <c r="L92" s="77">
        <f>3387.04+3467.41+1267.86+2218.74+8089.94+1924.71+5638.36</f>
        <v>25994.059999999998</v>
      </c>
      <c r="M92" s="78">
        <f t="shared" si="3"/>
        <v>0</v>
      </c>
      <c r="N92" s="100"/>
      <c r="O92" s="224"/>
      <c r="P92" s="224"/>
      <c r="Q92" s="232">
        <f t="shared" si="4"/>
        <v>0</v>
      </c>
    </row>
    <row r="93" spans="1:17" s="15" customFormat="1" x14ac:dyDescent="0.25">
      <c r="A93" s="229"/>
      <c r="B93" s="27" t="s">
        <v>61</v>
      </c>
      <c r="C93" s="181" t="s">
        <v>17</v>
      </c>
      <c r="D93" s="182"/>
      <c r="E93" s="183" t="s">
        <v>20</v>
      </c>
      <c r="F93" s="73" t="s">
        <v>363</v>
      </c>
      <c r="G93" s="74" t="s">
        <v>112</v>
      </c>
      <c r="H93" s="75"/>
      <c r="I93" s="76"/>
      <c r="J93" s="96"/>
      <c r="K93" s="77"/>
      <c r="L93" s="77"/>
      <c r="M93" s="78">
        <f t="shared" si="3"/>
        <v>0</v>
      </c>
      <c r="N93" s="100"/>
      <c r="O93" s="81"/>
      <c r="P93" s="81"/>
      <c r="Q93" s="232">
        <f t="shared" si="4"/>
        <v>0</v>
      </c>
    </row>
    <row r="94" spans="1:17" s="15" customFormat="1" x14ac:dyDescent="0.25">
      <c r="A94" s="229"/>
      <c r="B94" s="236" t="s">
        <v>306</v>
      </c>
      <c r="C94" s="181" t="s">
        <v>17</v>
      </c>
      <c r="D94" s="182"/>
      <c r="E94" s="183" t="s">
        <v>35</v>
      </c>
      <c r="F94" s="73" t="s">
        <v>365</v>
      </c>
      <c r="G94" s="230" t="s">
        <v>112</v>
      </c>
      <c r="H94" s="181">
        <v>41</v>
      </c>
      <c r="I94" s="231">
        <v>27</v>
      </c>
      <c r="J94" s="190">
        <f>1+2+1+3+3+2+3+1+2+1+3+4+3</f>
        <v>29</v>
      </c>
      <c r="K94" s="77">
        <f>1045.98+2658.7+35696.14+4892.46+1024.04+2384.53+10793.24+5320.79+2075.24+1324.62+1192.16+2649.24</f>
        <v>71057.14</v>
      </c>
      <c r="L94" s="77">
        <f>1045.98+2658.7+35696.14+4892.46+1024.04+2384.53+10793.24+5320.79+2075.24+1324.62+1192.16+2649.24</f>
        <v>71057.14</v>
      </c>
      <c r="M94" s="78">
        <f t="shared" si="3"/>
        <v>0</v>
      </c>
      <c r="N94" s="114">
        <f>7+2+2+2+1+1+1</f>
        <v>16</v>
      </c>
      <c r="O94" s="224">
        <f>2313.84+6162.57+2330.32+1690.48+3706.14+3107.65+4960.7</f>
        <v>24271.7</v>
      </c>
      <c r="P94" s="224">
        <f>2313.84+6162.57+2330.32+1690.48+3706.14+3107.65+4960.7</f>
        <v>24271.7</v>
      </c>
      <c r="Q94" s="232">
        <f t="shared" si="4"/>
        <v>0</v>
      </c>
    </row>
    <row r="95" spans="1:17" s="13" customFormat="1" x14ac:dyDescent="0.25">
      <c r="A95" s="229"/>
      <c r="B95" s="62" t="s">
        <v>306</v>
      </c>
      <c r="C95" s="181" t="s">
        <v>17</v>
      </c>
      <c r="D95" s="182"/>
      <c r="E95" s="183" t="s">
        <v>27</v>
      </c>
      <c r="F95" s="73" t="s">
        <v>421</v>
      </c>
      <c r="G95" s="230" t="s">
        <v>117</v>
      </c>
      <c r="H95" s="181">
        <v>5</v>
      </c>
      <c r="I95" s="231"/>
      <c r="J95" s="96"/>
      <c r="K95" s="77"/>
      <c r="L95" s="77"/>
      <c r="M95" s="78">
        <f t="shared" si="3"/>
        <v>0</v>
      </c>
      <c r="N95" s="100"/>
      <c r="O95" s="77"/>
      <c r="P95" s="77"/>
      <c r="Q95" s="79">
        <f>O95-P95</f>
        <v>0</v>
      </c>
    </row>
    <row r="96" spans="1:17" s="13" customFormat="1" x14ac:dyDescent="0.25">
      <c r="A96" s="229"/>
      <c r="B96" s="27" t="s">
        <v>62</v>
      </c>
      <c r="C96" s="181" t="s">
        <v>17</v>
      </c>
      <c r="D96" s="182"/>
      <c r="E96" s="183" t="s">
        <v>35</v>
      </c>
      <c r="F96" s="73" t="s">
        <v>366</v>
      </c>
      <c r="G96" s="74" t="s">
        <v>112</v>
      </c>
      <c r="H96" s="75">
        <v>35</v>
      </c>
      <c r="I96" s="76">
        <v>27</v>
      </c>
      <c r="J96" s="96">
        <f>1+3+1+1+2+4+4+3+3+4+2</f>
        <v>28</v>
      </c>
      <c r="K96" s="77">
        <f>3613.4+1872.01+1394.65+3518.32+15902.72+5370.89+2686.97+19155.26+5281.5</f>
        <v>58795.72</v>
      </c>
      <c r="L96" s="77">
        <f>3613.4+1872.01+1394.65+3518.32+15902.72+5370.89+2686.97+19155.26+5281.5</f>
        <v>58795.72</v>
      </c>
      <c r="M96" s="78">
        <f t="shared" si="3"/>
        <v>0</v>
      </c>
      <c r="N96" s="100">
        <f>6+2+1+2+1+3+1+1</f>
        <v>17</v>
      </c>
      <c r="O96" s="81">
        <f>19511.33+1270.93+3979.74+2500.85+8530.18+845.24+12787.47+17476.07</f>
        <v>66901.81</v>
      </c>
      <c r="P96" s="81">
        <f>19511.33+1270.93+3979.74+2500.85+8530.18+845.24+12787.47+17476.07</f>
        <v>66901.81</v>
      </c>
      <c r="Q96" s="79">
        <f t="shared" si="4"/>
        <v>0</v>
      </c>
    </row>
    <row r="97" spans="1:17" s="13" customFormat="1" x14ac:dyDescent="0.25">
      <c r="A97" s="229"/>
      <c r="B97" s="27" t="s">
        <v>62</v>
      </c>
      <c r="C97" s="181" t="s">
        <v>17</v>
      </c>
      <c r="D97" s="182"/>
      <c r="E97" s="183" t="s">
        <v>35</v>
      </c>
      <c r="F97" s="73" t="s">
        <v>428</v>
      </c>
      <c r="G97" s="230" t="s">
        <v>117</v>
      </c>
      <c r="H97" s="181">
        <v>6</v>
      </c>
      <c r="I97" s="231"/>
      <c r="J97" s="96"/>
      <c r="K97" s="77"/>
      <c r="L97" s="77"/>
      <c r="M97" s="78">
        <f t="shared" si="3"/>
        <v>0</v>
      </c>
      <c r="N97" s="100">
        <v>9</v>
      </c>
      <c r="O97" s="224">
        <v>22788.1</v>
      </c>
      <c r="P97" s="224">
        <v>22788.1</v>
      </c>
      <c r="Q97" s="232">
        <f t="shared" si="4"/>
        <v>0</v>
      </c>
    </row>
    <row r="98" spans="1:17" s="13" customFormat="1" x14ac:dyDescent="0.25">
      <c r="A98" s="229"/>
      <c r="B98" s="27" t="s">
        <v>155</v>
      </c>
      <c r="C98" s="181" t="s">
        <v>17</v>
      </c>
      <c r="D98" s="182"/>
      <c r="E98" s="183" t="s">
        <v>20</v>
      </c>
      <c r="F98" s="73" t="s">
        <v>367</v>
      </c>
      <c r="G98" s="74" t="s">
        <v>112</v>
      </c>
      <c r="H98" s="75">
        <v>14</v>
      </c>
      <c r="I98" s="82">
        <v>9</v>
      </c>
      <c r="J98" s="96">
        <f>1+2+3+1+2+2+1</f>
        <v>12</v>
      </c>
      <c r="K98" s="77">
        <f>3117.56+2266.78+5307.72+3606.94+1494.21+6905.68+2817.8</f>
        <v>25516.690000000002</v>
      </c>
      <c r="L98" s="77">
        <f>3117.56+2266.78+5307.72+3606.94+1494.21+6905.68+2817.8</f>
        <v>25516.690000000002</v>
      </c>
      <c r="M98" s="78">
        <f t="shared" si="3"/>
        <v>0</v>
      </c>
      <c r="N98" s="100">
        <f>1+1+1+1+1</f>
        <v>5</v>
      </c>
      <c r="O98" s="81">
        <f>1798.06+2123.67+2959.73</f>
        <v>6881.46</v>
      </c>
      <c r="P98" s="81">
        <f>1798.06+2123.67+2959.73</f>
        <v>6881.46</v>
      </c>
      <c r="Q98" s="232">
        <f t="shared" si="4"/>
        <v>0</v>
      </c>
    </row>
    <row r="99" spans="1:17" s="13" customFormat="1" ht="15" customHeight="1" x14ac:dyDescent="0.25">
      <c r="A99" s="229"/>
      <c r="B99" s="27" t="s">
        <v>155</v>
      </c>
      <c r="C99" s="181" t="s">
        <v>17</v>
      </c>
      <c r="D99" s="182"/>
      <c r="E99" s="183" t="s">
        <v>20</v>
      </c>
      <c r="F99" s="73" t="s">
        <v>459</v>
      </c>
      <c r="G99" s="230" t="s">
        <v>114</v>
      </c>
      <c r="H99" s="1">
        <v>16</v>
      </c>
      <c r="I99" s="231">
        <v>4</v>
      </c>
      <c r="J99" s="190">
        <v>4</v>
      </c>
      <c r="K99" s="77">
        <v>8816.51</v>
      </c>
      <c r="L99" s="77">
        <v>8816.51</v>
      </c>
      <c r="M99" s="78">
        <f t="shared" si="3"/>
        <v>0</v>
      </c>
      <c r="N99" s="100">
        <v>16</v>
      </c>
      <c r="O99" s="224">
        <v>36413.46</v>
      </c>
      <c r="P99" s="224">
        <v>36413.46</v>
      </c>
      <c r="Q99" s="232">
        <f t="shared" si="4"/>
        <v>0</v>
      </c>
    </row>
    <row r="100" spans="1:17" s="13" customFormat="1" x14ac:dyDescent="0.25">
      <c r="A100" s="229"/>
      <c r="B100" s="30" t="s">
        <v>66</v>
      </c>
      <c r="C100" s="181" t="s">
        <v>17</v>
      </c>
      <c r="D100" s="182"/>
      <c r="E100" s="183" t="s">
        <v>21</v>
      </c>
      <c r="F100" s="73" t="s">
        <v>368</v>
      </c>
      <c r="G100" s="74" t="s">
        <v>112</v>
      </c>
      <c r="H100" s="75">
        <v>36</v>
      </c>
      <c r="I100" s="76">
        <v>31</v>
      </c>
      <c r="J100" s="96">
        <f>1+3+2+3+2+1+2+1+3+7+4+3+2+3+4+5</f>
        <v>46</v>
      </c>
      <c r="K100" s="77">
        <f>1045.98+4309.04+3820.12+1872.01+4253.49+3044.79+1191.19+4942.84+9299.2+9796.16+4139.27+2886.87+11269.91+12820.57</f>
        <v>74691.44</v>
      </c>
      <c r="L100" s="77">
        <f>1045.98+4309.04+3820.12+1872.01+4253.49+3044.79+1191.19+4942.84+9299.2+9796.16+4139.27+2886.87+11269.91+12820.57</f>
        <v>74691.44</v>
      </c>
      <c r="M100" s="78">
        <f t="shared" si="3"/>
        <v>0</v>
      </c>
      <c r="N100" s="100">
        <f>6+3+8+7+1+1+1+2+1+1+1+1+1+1</f>
        <v>35</v>
      </c>
      <c r="O100" s="81">
        <f>11911.17+23136+18060.17+1977.84+2091.97+19535.65+19124.11+3199.71+4430.07+5418.9+2717.24</f>
        <v>111602.83</v>
      </c>
      <c r="P100" s="81">
        <f>11911.17+23136+18060.17+1977.84+2091.97+19535.65+19124.11+3199.71+4430.07+5418.9+2717.24</f>
        <v>111602.83</v>
      </c>
      <c r="Q100" s="232">
        <f t="shared" si="4"/>
        <v>0</v>
      </c>
    </row>
    <row r="101" spans="1:17" s="13" customFormat="1" x14ac:dyDescent="0.25">
      <c r="A101" s="229"/>
      <c r="B101" s="30" t="s">
        <v>66</v>
      </c>
      <c r="C101" s="181" t="s">
        <v>17</v>
      </c>
      <c r="D101" s="182"/>
      <c r="E101" s="183" t="s">
        <v>21</v>
      </c>
      <c r="F101" s="73" t="s">
        <v>439</v>
      </c>
      <c r="G101" s="230" t="s">
        <v>118</v>
      </c>
      <c r="H101" s="181">
        <v>8</v>
      </c>
      <c r="I101" s="231">
        <v>4</v>
      </c>
      <c r="J101" s="96">
        <v>4</v>
      </c>
      <c r="K101" s="77">
        <v>5367.3</v>
      </c>
      <c r="L101" s="77">
        <v>5367.3</v>
      </c>
      <c r="M101" s="78">
        <f t="shared" si="3"/>
        <v>0</v>
      </c>
      <c r="N101" s="100">
        <v>24</v>
      </c>
      <c r="O101" s="224">
        <v>81462.58</v>
      </c>
      <c r="P101" s="224">
        <v>81462.58</v>
      </c>
      <c r="Q101" s="79">
        <f t="shared" si="4"/>
        <v>0</v>
      </c>
    </row>
    <row r="102" spans="1:17" s="13" customFormat="1" x14ac:dyDescent="0.25">
      <c r="A102" s="229"/>
      <c r="B102" s="62" t="s">
        <v>137</v>
      </c>
      <c r="C102" s="181" t="s">
        <v>17</v>
      </c>
      <c r="D102" s="182"/>
      <c r="E102" s="194" t="s">
        <v>35</v>
      </c>
      <c r="F102" s="73" t="s">
        <v>369</v>
      </c>
      <c r="G102" s="74" t="s">
        <v>112</v>
      </c>
      <c r="H102" s="75">
        <v>38</v>
      </c>
      <c r="I102" s="76">
        <v>27</v>
      </c>
      <c r="J102" s="96">
        <f>3+3+1+4+1+3+2+3+6+2</f>
        <v>28</v>
      </c>
      <c r="K102" s="77">
        <f>504.26+845.24+3380.96+422.62+2535.72+6256.62+883.08+2649.24+4395.33</f>
        <v>21873.07</v>
      </c>
      <c r="L102" s="77">
        <f>504.26+845.24+3380.96+422.62+2535.72+6256.62+883.08+2649.24+4395.33</f>
        <v>21873.07</v>
      </c>
      <c r="M102" s="78">
        <f t="shared" si="3"/>
        <v>0</v>
      </c>
      <c r="N102" s="100">
        <f>5+1+1+2+1</f>
        <v>10</v>
      </c>
      <c r="O102" s="81">
        <f>2617.36+422.62+3852.18+3380.96+422.62</f>
        <v>10695.74</v>
      </c>
      <c r="P102" s="81">
        <f>2617.36+422.62+3852.18+3380.96+422.62</f>
        <v>10695.74</v>
      </c>
      <c r="Q102" s="232">
        <f t="shared" si="4"/>
        <v>0</v>
      </c>
    </row>
    <row r="103" spans="1:17" s="13" customFormat="1" x14ac:dyDescent="0.25">
      <c r="A103" s="229"/>
      <c r="B103" s="62" t="s">
        <v>137</v>
      </c>
      <c r="C103" s="181" t="s">
        <v>17</v>
      </c>
      <c r="D103" s="182"/>
      <c r="E103" s="194" t="s">
        <v>35</v>
      </c>
      <c r="F103" s="73" t="s">
        <v>429</v>
      </c>
      <c r="G103" s="230" t="s">
        <v>117</v>
      </c>
      <c r="H103" s="181">
        <v>12</v>
      </c>
      <c r="I103" s="231">
        <v>4</v>
      </c>
      <c r="J103" s="190">
        <v>4</v>
      </c>
      <c r="K103" s="193">
        <v>4530.1000000000004</v>
      </c>
      <c r="L103" s="193">
        <v>4530.1000000000004</v>
      </c>
      <c r="M103" s="78">
        <f t="shared" si="3"/>
        <v>0</v>
      </c>
      <c r="N103" s="114">
        <v>2</v>
      </c>
      <c r="O103" s="224">
        <v>10565.5</v>
      </c>
      <c r="P103" s="224">
        <v>10565.5</v>
      </c>
      <c r="Q103" s="79">
        <f t="shared" si="4"/>
        <v>0</v>
      </c>
    </row>
    <row r="104" spans="1:17" s="13" customFormat="1" x14ac:dyDescent="0.25">
      <c r="A104" s="229"/>
      <c r="B104" s="30" t="s">
        <v>67</v>
      </c>
      <c r="C104" s="181" t="s">
        <v>17</v>
      </c>
      <c r="D104" s="182"/>
      <c r="E104" s="194" t="s">
        <v>21</v>
      </c>
      <c r="F104" s="73" t="s">
        <v>370</v>
      </c>
      <c r="G104" s="74" t="s">
        <v>112</v>
      </c>
      <c r="H104" s="75">
        <v>39</v>
      </c>
      <c r="I104" s="76">
        <v>31</v>
      </c>
      <c r="J104" s="96">
        <f>2+1+1+2+1+1+2+2+1+2+5+5+2+5+3+2</f>
        <v>37</v>
      </c>
      <c r="K104" s="77">
        <f>3319.85+1198.9+864.45+7235.32+1947.89+5377.75+8701.73+3581.7+8737.54+7647.65</f>
        <v>48612.780000000006</v>
      </c>
      <c r="L104" s="77">
        <f>3319.85+1198.9+864.45+7235.32+1947.89+5377.75+8701.73+3581.7+8737.54+7647.65</f>
        <v>48612.780000000006</v>
      </c>
      <c r="M104" s="78">
        <f t="shared" si="3"/>
        <v>0</v>
      </c>
      <c r="N104" s="100">
        <f>4+9+4+4+1+3+1+3+1+1+1+1+1+1+3</f>
        <v>38</v>
      </c>
      <c r="O104" s="81">
        <f>29696.65+38129.03+13567.9+20687.05+2022.79+8145.77+17250.05+1233.28+5568.04+11106.62</f>
        <v>147407.18</v>
      </c>
      <c r="P104" s="81">
        <f>29696.65+38129.03+13567.9+20687.05+2022.79+8145.77+17250.05+1233.28+5568.04+11106.62</f>
        <v>147407.18</v>
      </c>
      <c r="Q104" s="232">
        <f t="shared" si="4"/>
        <v>0</v>
      </c>
    </row>
    <row r="105" spans="1:17" s="13" customFormat="1" x14ac:dyDescent="0.25">
      <c r="A105" s="229"/>
      <c r="B105" s="30" t="s">
        <v>67</v>
      </c>
      <c r="C105" s="181" t="s">
        <v>17</v>
      </c>
      <c r="D105" s="182"/>
      <c r="E105" s="194" t="s">
        <v>21</v>
      </c>
      <c r="F105" s="73" t="s">
        <v>440</v>
      </c>
      <c r="G105" s="230" t="s">
        <v>118</v>
      </c>
      <c r="H105" s="181">
        <v>15</v>
      </c>
      <c r="I105" s="231">
        <v>3</v>
      </c>
      <c r="J105" s="96">
        <v>3</v>
      </c>
      <c r="K105" s="77">
        <v>5282.54</v>
      </c>
      <c r="L105" s="77">
        <v>5282.54</v>
      </c>
      <c r="M105" s="78">
        <f t="shared" si="3"/>
        <v>0</v>
      </c>
      <c r="N105" s="100">
        <v>22</v>
      </c>
      <c r="O105" s="224">
        <v>74857.98</v>
      </c>
      <c r="P105" s="224">
        <v>74857.98</v>
      </c>
      <c r="Q105" s="79">
        <f t="shared" si="4"/>
        <v>0</v>
      </c>
    </row>
    <row r="106" spans="1:17" s="13" customFormat="1" x14ac:dyDescent="0.25">
      <c r="A106" s="229"/>
      <c r="B106" s="30" t="s">
        <v>68</v>
      </c>
      <c r="C106" s="181" t="s">
        <v>17</v>
      </c>
      <c r="D106" s="182"/>
      <c r="E106" s="194" t="s">
        <v>32</v>
      </c>
      <c r="F106" s="73" t="s">
        <v>371</v>
      </c>
      <c r="G106" s="74" t="s">
        <v>112</v>
      </c>
      <c r="H106" s="75">
        <v>22</v>
      </c>
      <c r="I106" s="76">
        <v>18</v>
      </c>
      <c r="J106" s="96">
        <f>2+1+2+5+5+3+1+2+2</f>
        <v>23</v>
      </c>
      <c r="K106" s="77">
        <f>1128.59+422.62+1152.6+4557.81+10981.59+5362.88+4996.85+4352.15+3073.96+3697.9+1003.5</f>
        <v>40730.450000000004</v>
      </c>
      <c r="L106" s="77">
        <f>1128.59+422.62+1152.6+4557.81+10981.59+5362.88+4996.85+4352.15+3073.96+3697.9+1003.5</f>
        <v>40730.450000000004</v>
      </c>
      <c r="M106" s="78">
        <f t="shared" si="3"/>
        <v>0</v>
      </c>
      <c r="N106" s="100">
        <f>6+5+1+4+2+2+1+1</f>
        <v>22</v>
      </c>
      <c r="O106" s="81">
        <f>7813.73+8523.5+1452.28+12582.19+18077.76+4987.46+2373.79+1831.3</f>
        <v>57642.009999999995</v>
      </c>
      <c r="P106" s="81">
        <f>7813.73+8523.5+1452.28+12582.19+18077.76+4987.46+2373.79+1831.3</f>
        <v>57642.009999999995</v>
      </c>
      <c r="Q106" s="232">
        <f t="shared" si="4"/>
        <v>0</v>
      </c>
    </row>
    <row r="107" spans="1:17" s="13" customFormat="1" x14ac:dyDescent="0.25">
      <c r="A107" s="229"/>
      <c r="B107" s="30" t="s">
        <v>68</v>
      </c>
      <c r="C107" s="181" t="s">
        <v>17</v>
      </c>
      <c r="D107" s="182"/>
      <c r="E107" s="194" t="s">
        <v>32</v>
      </c>
      <c r="F107" s="73" t="s">
        <v>430</v>
      </c>
      <c r="G107" s="235" t="s">
        <v>117</v>
      </c>
      <c r="H107" s="181">
        <v>4</v>
      </c>
      <c r="I107" s="231">
        <v>2</v>
      </c>
      <c r="J107" s="96">
        <v>2</v>
      </c>
      <c r="K107" s="77">
        <v>1204.2</v>
      </c>
      <c r="L107" s="77">
        <v>1204.2</v>
      </c>
      <c r="M107" s="78">
        <f t="shared" si="3"/>
        <v>0</v>
      </c>
      <c r="N107" s="100"/>
      <c r="O107" s="77"/>
      <c r="P107" s="77"/>
      <c r="Q107" s="79">
        <f t="shared" si="4"/>
        <v>0</v>
      </c>
    </row>
    <row r="108" spans="1:17" s="15" customFormat="1" x14ac:dyDescent="0.25">
      <c r="A108" s="229"/>
      <c r="B108" s="27" t="s">
        <v>69</v>
      </c>
      <c r="C108" s="181" t="s">
        <v>17</v>
      </c>
      <c r="D108" s="182"/>
      <c r="E108" s="183" t="s">
        <v>20</v>
      </c>
      <c r="F108" s="73" t="s">
        <v>372</v>
      </c>
      <c r="G108" s="74" t="s">
        <v>112</v>
      </c>
      <c r="H108" s="75">
        <v>9</v>
      </c>
      <c r="I108" s="76">
        <v>5</v>
      </c>
      <c r="J108" s="96">
        <f>1+1+1+1+3+1</f>
        <v>8</v>
      </c>
      <c r="K108" s="77">
        <f>422.62+17390.69+3114.71+475.45+2326.92+1707.76</f>
        <v>25438.149999999998</v>
      </c>
      <c r="L108" s="77">
        <f>422.62+17390.69+3114.71+475.45+2326.92+1707.76</f>
        <v>25438.149999999998</v>
      </c>
      <c r="M108" s="78">
        <f t="shared" si="3"/>
        <v>0</v>
      </c>
      <c r="N108" s="100">
        <f>3+2+1+1+1+1</f>
        <v>9</v>
      </c>
      <c r="O108" s="77">
        <f>7210.31+3647.96+1306.28+1267.86+2697.06</f>
        <v>16129.470000000001</v>
      </c>
      <c r="P108" s="77">
        <f>7210.31+3647.96+1306.28+1267.86+2697.06</f>
        <v>16129.470000000001</v>
      </c>
      <c r="Q108" s="232">
        <f t="shared" si="4"/>
        <v>0</v>
      </c>
    </row>
    <row r="109" spans="1:17" s="15" customFormat="1" x14ac:dyDescent="0.25">
      <c r="A109" s="229"/>
      <c r="B109" s="236" t="s">
        <v>502</v>
      </c>
      <c r="C109" s="181" t="s">
        <v>17</v>
      </c>
      <c r="D109" s="182"/>
      <c r="E109" s="183" t="s">
        <v>20</v>
      </c>
      <c r="F109" s="73" t="s">
        <v>508</v>
      </c>
      <c r="G109" s="74" t="s">
        <v>112</v>
      </c>
      <c r="H109" s="75">
        <v>17</v>
      </c>
      <c r="I109" s="76">
        <v>10</v>
      </c>
      <c r="J109" s="96">
        <f>4+1+4+1+2</f>
        <v>12</v>
      </c>
      <c r="K109" s="77">
        <f>6145.3+993.47+5403.3+2759.63+2599.77</f>
        <v>17901.47</v>
      </c>
      <c r="L109" s="77">
        <f>6145.3+993.47+5403.3+2759.63+2599.77</f>
        <v>17901.47</v>
      </c>
      <c r="M109" s="78">
        <f t="shared" si="3"/>
        <v>0</v>
      </c>
      <c r="N109" s="100"/>
      <c r="O109" s="77"/>
      <c r="P109" s="77"/>
      <c r="Q109" s="232">
        <f t="shared" si="4"/>
        <v>0</v>
      </c>
    </row>
    <row r="110" spans="1:17" s="15" customFormat="1" x14ac:dyDescent="0.25">
      <c r="A110" s="229"/>
      <c r="B110" s="236" t="s">
        <v>502</v>
      </c>
      <c r="C110" s="181" t="s">
        <v>17</v>
      </c>
      <c r="D110" s="182"/>
      <c r="E110" s="183" t="s">
        <v>32</v>
      </c>
      <c r="F110" s="73" t="s">
        <v>511</v>
      </c>
      <c r="G110" s="235" t="s">
        <v>117</v>
      </c>
      <c r="H110" s="75">
        <v>7</v>
      </c>
      <c r="I110" s="76"/>
      <c r="J110" s="96"/>
      <c r="K110" s="77"/>
      <c r="L110" s="77"/>
      <c r="M110" s="78">
        <f t="shared" si="3"/>
        <v>0</v>
      </c>
      <c r="N110" s="100"/>
      <c r="O110" s="77"/>
      <c r="P110" s="77"/>
      <c r="Q110" s="232">
        <f t="shared" si="4"/>
        <v>0</v>
      </c>
    </row>
    <row r="111" spans="1:17" s="13" customFormat="1" x14ac:dyDescent="0.25">
      <c r="A111" s="229"/>
      <c r="B111" s="62" t="s">
        <v>70</v>
      </c>
      <c r="C111" s="181" t="s">
        <v>17</v>
      </c>
      <c r="D111" s="182"/>
      <c r="E111" s="183" t="s">
        <v>20</v>
      </c>
      <c r="F111" s="73" t="s">
        <v>373</v>
      </c>
      <c r="G111" s="74" t="s">
        <v>112</v>
      </c>
      <c r="H111" s="75">
        <v>18</v>
      </c>
      <c r="I111" s="76">
        <v>13</v>
      </c>
      <c r="J111" s="96">
        <f>2+2+2+3+1+2+1+1</f>
        <v>14</v>
      </c>
      <c r="K111" s="77">
        <f>19498+3011.17+8156.45</f>
        <v>30665.62</v>
      </c>
      <c r="L111" s="77">
        <f>19498+3011.17+8156.45</f>
        <v>30665.62</v>
      </c>
      <c r="M111" s="78">
        <f t="shared" si="3"/>
        <v>0</v>
      </c>
      <c r="N111" s="100">
        <f>2+3+4+2+1+1</f>
        <v>13</v>
      </c>
      <c r="O111" s="81">
        <f>7606.2+16795.84+3492.18</f>
        <v>27894.22</v>
      </c>
      <c r="P111" s="81">
        <f>7606.2+16795.84+3492.18</f>
        <v>27894.22</v>
      </c>
      <c r="Q111" s="79">
        <f t="shared" si="4"/>
        <v>0</v>
      </c>
    </row>
    <row r="112" spans="1:17" s="13" customFormat="1" x14ac:dyDescent="0.25">
      <c r="A112" s="229"/>
      <c r="B112" s="62" t="s">
        <v>70</v>
      </c>
      <c r="C112" s="181" t="s">
        <v>17</v>
      </c>
      <c r="D112" s="182"/>
      <c r="E112" s="183" t="s">
        <v>20</v>
      </c>
      <c r="F112" s="73" t="s">
        <v>460</v>
      </c>
      <c r="G112" s="230" t="s">
        <v>114</v>
      </c>
      <c r="H112" s="181">
        <v>41</v>
      </c>
      <c r="I112" s="231">
        <v>20</v>
      </c>
      <c r="J112" s="190">
        <v>20</v>
      </c>
      <c r="K112" s="77">
        <v>58916.74</v>
      </c>
      <c r="L112" s="77">
        <v>58916.74</v>
      </c>
      <c r="M112" s="78">
        <f t="shared" si="3"/>
        <v>0</v>
      </c>
      <c r="N112" s="100">
        <v>33</v>
      </c>
      <c r="O112" s="224">
        <v>79611.08</v>
      </c>
      <c r="P112" s="224">
        <v>79611.08</v>
      </c>
      <c r="Q112" s="232">
        <f t="shared" si="4"/>
        <v>0</v>
      </c>
    </row>
    <row r="113" spans="1:17" s="15" customFormat="1" x14ac:dyDescent="0.25">
      <c r="A113" s="229"/>
      <c r="B113" s="62" t="s">
        <v>71</v>
      </c>
      <c r="C113" s="181" t="s">
        <v>17</v>
      </c>
      <c r="D113" s="182"/>
      <c r="E113" s="183" t="s">
        <v>32</v>
      </c>
      <c r="F113" s="73" t="s">
        <v>374</v>
      </c>
      <c r="G113" s="74" t="s">
        <v>112</v>
      </c>
      <c r="H113" s="75">
        <v>25</v>
      </c>
      <c r="I113" s="76">
        <v>20</v>
      </c>
      <c r="J113" s="96">
        <f>3+1+2+1+1+3+3+1+3+4</f>
        <v>22</v>
      </c>
      <c r="K113" s="77">
        <f>1536.8+461.04+1748.88+633.93+3169.65+2435.83+13203.17+728.54+3984.13</f>
        <v>27901.970000000005</v>
      </c>
      <c r="L113" s="77">
        <f>1536.8+461.04+1748.88+633.93+3169.65+2435.83+13203.17+728.54+3984.13</f>
        <v>27901.970000000005</v>
      </c>
      <c r="M113" s="78">
        <f t="shared" si="3"/>
        <v>0</v>
      </c>
      <c r="N113" s="100">
        <f>3+2+1+1+2+1+1</f>
        <v>11</v>
      </c>
      <c r="O113" s="81">
        <f>9567.93+3616.67+403.41+14275.52+10922.18+12907.41+5701.38</f>
        <v>57394.499999999993</v>
      </c>
      <c r="P113" s="81">
        <f>9567.93+3616.67+403.41+14275.52+10922.18+12907.41+5701.38</f>
        <v>57394.499999999993</v>
      </c>
      <c r="Q113" s="79">
        <f t="shared" si="4"/>
        <v>0</v>
      </c>
    </row>
    <row r="114" spans="1:17" s="15" customFormat="1" x14ac:dyDescent="0.25">
      <c r="A114" s="229"/>
      <c r="B114" s="62" t="s">
        <v>71</v>
      </c>
      <c r="C114" s="181" t="s">
        <v>17</v>
      </c>
      <c r="D114" s="182"/>
      <c r="E114" s="183" t="s">
        <v>32</v>
      </c>
      <c r="F114" s="73" t="s">
        <v>431</v>
      </c>
      <c r="G114" s="230" t="s">
        <v>115</v>
      </c>
      <c r="H114" s="181">
        <v>8</v>
      </c>
      <c r="I114" s="231">
        <v>5</v>
      </c>
      <c r="J114" s="96">
        <v>5</v>
      </c>
      <c r="K114" s="237">
        <v>9236.5499999999993</v>
      </c>
      <c r="L114" s="237">
        <v>9236.5499999999993</v>
      </c>
      <c r="M114" s="78">
        <f t="shared" si="3"/>
        <v>0</v>
      </c>
      <c r="N114" s="114">
        <f>5</f>
        <v>5</v>
      </c>
      <c r="O114" s="77">
        <v>6595.5</v>
      </c>
      <c r="P114" s="77">
        <v>6595.5</v>
      </c>
      <c r="Q114" s="232">
        <f t="shared" si="4"/>
        <v>0</v>
      </c>
    </row>
    <row r="115" spans="1:17" s="13" customFormat="1" x14ac:dyDescent="0.25">
      <c r="A115" s="229"/>
      <c r="B115" s="62" t="s">
        <v>319</v>
      </c>
      <c r="C115" s="181" t="s">
        <v>17</v>
      </c>
      <c r="D115" s="182"/>
      <c r="E115" s="183" t="s">
        <v>20</v>
      </c>
      <c r="F115" s="73" t="s">
        <v>375</v>
      </c>
      <c r="G115" s="74" t="s">
        <v>112</v>
      </c>
      <c r="H115" s="75">
        <v>42</v>
      </c>
      <c r="I115" s="76">
        <v>29</v>
      </c>
      <c r="J115" s="96">
        <f>2+1+4+3+6+2+7+1+2+1+1+7</f>
        <v>37</v>
      </c>
      <c r="K115" s="77">
        <f>710.77+1523.35+6753.23+7215.52+1437.48+28056.52+6091.99+2561.63+3510.24+1726.58+441.54+15673.73</f>
        <v>75702.579999999987</v>
      </c>
      <c r="L115" s="77">
        <f>710.77+1523.35+6753.23+7215.52+1437.48+28056.52+6091.99+2561.63+3510.24+1726.58+441.54+15673.73</f>
        <v>75702.579999999987</v>
      </c>
      <c r="M115" s="78">
        <f t="shared" si="3"/>
        <v>0</v>
      </c>
      <c r="N115" s="100">
        <f>3+1+2+1+2+1</f>
        <v>10</v>
      </c>
      <c r="O115" s="77">
        <f>13419.94+726.71+2846.77+3770.56+4653.31+2237.23</f>
        <v>27654.520000000004</v>
      </c>
      <c r="P115" s="77">
        <f>13419.94+726.71+2846.77+3770.56+4653.31+2237.23</f>
        <v>27654.520000000004</v>
      </c>
      <c r="Q115" s="79">
        <f>O115-P115</f>
        <v>0</v>
      </c>
    </row>
    <row r="116" spans="1:17" s="15" customFormat="1" x14ac:dyDescent="0.25">
      <c r="A116" s="229"/>
      <c r="B116" s="62" t="s">
        <v>150</v>
      </c>
      <c r="C116" s="181" t="s">
        <v>17</v>
      </c>
      <c r="D116" s="182"/>
      <c r="E116" s="183" t="s">
        <v>35</v>
      </c>
      <c r="F116" s="73" t="s">
        <v>376</v>
      </c>
      <c r="G116" s="74" t="s">
        <v>112</v>
      </c>
      <c r="H116" s="75">
        <v>36</v>
      </c>
      <c r="I116" s="76">
        <v>19</v>
      </c>
      <c r="J116" s="96">
        <f>1+1+2+2+1+3+1+4+4+1</f>
        <v>20</v>
      </c>
      <c r="K116" s="77">
        <f>1343.65+384.2+1690.4+4889.84+2417.43+2791.74+5298.48+5960.79</f>
        <v>24776.53</v>
      </c>
      <c r="L116" s="77">
        <f>1343.65+384.2+1690.4+4889.84+2417.43+2791.74+5298.48+5960.79</f>
        <v>24776.53</v>
      </c>
      <c r="M116" s="78">
        <f t="shared" si="3"/>
        <v>0</v>
      </c>
      <c r="N116" s="114">
        <f>8+1+1+2+3+1+1+1+1</f>
        <v>19</v>
      </c>
      <c r="O116" s="77">
        <f>5997.32+3719.39+3054.34+13138.17+6578.46+6198.68</f>
        <v>38686.36</v>
      </c>
      <c r="P116" s="77">
        <f>5997.32+3719.39+3054.34+13138.17+6578.46+6198.68</f>
        <v>38686.36</v>
      </c>
      <c r="Q116" s="79">
        <f t="shared" si="4"/>
        <v>0</v>
      </c>
    </row>
    <row r="117" spans="1:17" s="15" customFormat="1" x14ac:dyDescent="0.25">
      <c r="A117" s="229"/>
      <c r="B117" s="233" t="s">
        <v>150</v>
      </c>
      <c r="C117" s="181" t="s">
        <v>17</v>
      </c>
      <c r="D117" s="182"/>
      <c r="E117" s="183" t="s">
        <v>32</v>
      </c>
      <c r="F117" s="73" t="s">
        <v>487</v>
      </c>
      <c r="G117" s="230" t="s">
        <v>117</v>
      </c>
      <c r="H117" s="181">
        <v>6</v>
      </c>
      <c r="I117" s="231">
        <v>4</v>
      </c>
      <c r="J117" s="96">
        <v>5</v>
      </c>
      <c r="K117" s="77">
        <v>16858.8</v>
      </c>
      <c r="L117" s="77">
        <v>16858.8</v>
      </c>
      <c r="M117" s="78">
        <f t="shared" si="3"/>
        <v>0</v>
      </c>
      <c r="N117" s="100">
        <v>3</v>
      </c>
      <c r="O117" s="77">
        <v>9645.1</v>
      </c>
      <c r="P117" s="77">
        <v>9645.1</v>
      </c>
      <c r="Q117" s="232">
        <f t="shared" si="4"/>
        <v>0</v>
      </c>
    </row>
    <row r="118" spans="1:17" s="13" customFormat="1" x14ac:dyDescent="0.25">
      <c r="A118" s="229"/>
      <c r="B118" s="30" t="s">
        <v>72</v>
      </c>
      <c r="C118" s="181" t="s">
        <v>17</v>
      </c>
      <c r="D118" s="182"/>
      <c r="E118" s="183" t="s">
        <v>21</v>
      </c>
      <c r="F118" s="73" t="s">
        <v>377</v>
      </c>
      <c r="G118" s="74" t="s">
        <v>112</v>
      </c>
      <c r="H118" s="75">
        <v>27</v>
      </c>
      <c r="I118" s="76">
        <v>16</v>
      </c>
      <c r="J118" s="96">
        <f>1+1+1+1+6+2+1+2+3+1+1</f>
        <v>20</v>
      </c>
      <c r="K118" s="77">
        <f>633.93+1415.78+1610.18+1394.65+18140.86+2440.63+4140.81+3166.55+2165.55</f>
        <v>35108.94000000001</v>
      </c>
      <c r="L118" s="77">
        <f>633.93+1415.78+1610.18+1394.65+18140.86+2440.63+4140.81+3166.55+2165.55</f>
        <v>35108.94000000001</v>
      </c>
      <c r="M118" s="78">
        <f t="shared" si="3"/>
        <v>0</v>
      </c>
      <c r="N118" s="100">
        <f>1+3+1+1+1+3+1+3+1+1+2+1+1</f>
        <v>20</v>
      </c>
      <c r="O118" s="81">
        <f>1950.74+10237.13+6595.95+3861.21+1348.53+10328.94+50451.86-19567+15859.78+3744.76+5149.77</f>
        <v>89961.67</v>
      </c>
      <c r="P118" s="81">
        <f>1950.74+10237.13+6595.95+3861.21+1348.53+10328.94+50451.86-19567+15859.78+3744.76+5149.77</f>
        <v>89961.67</v>
      </c>
      <c r="Q118" s="79">
        <f t="shared" si="4"/>
        <v>0</v>
      </c>
    </row>
    <row r="119" spans="1:17" s="13" customFormat="1" x14ac:dyDescent="0.25">
      <c r="A119" s="229"/>
      <c r="B119" s="30" t="s">
        <v>72</v>
      </c>
      <c r="C119" s="181" t="s">
        <v>17</v>
      </c>
      <c r="D119" s="182"/>
      <c r="E119" s="183" t="s">
        <v>21</v>
      </c>
      <c r="F119" s="73" t="s">
        <v>441</v>
      </c>
      <c r="G119" s="230" t="s">
        <v>118</v>
      </c>
      <c r="H119" s="181">
        <v>10</v>
      </c>
      <c r="I119" s="231">
        <v>1</v>
      </c>
      <c r="J119" s="96">
        <v>1</v>
      </c>
      <c r="K119" s="77">
        <v>1728.9</v>
      </c>
      <c r="L119" s="77">
        <v>1728.9</v>
      </c>
      <c r="M119" s="78">
        <f t="shared" si="3"/>
        <v>0</v>
      </c>
      <c r="N119" s="100">
        <v>21</v>
      </c>
      <c r="O119" s="224">
        <v>63010.7</v>
      </c>
      <c r="P119" s="224">
        <v>63010.7</v>
      </c>
      <c r="Q119" s="232">
        <f t="shared" si="4"/>
        <v>0</v>
      </c>
    </row>
    <row r="120" spans="1:17" s="15" customFormat="1" x14ac:dyDescent="0.25">
      <c r="A120" s="229"/>
      <c r="B120" s="30" t="s">
        <v>73</v>
      </c>
      <c r="C120" s="181" t="s">
        <v>17</v>
      </c>
      <c r="D120" s="182"/>
      <c r="E120" s="183" t="s">
        <v>74</v>
      </c>
      <c r="F120" s="73" t="s">
        <v>378</v>
      </c>
      <c r="G120" s="74" t="s">
        <v>112</v>
      </c>
      <c r="H120" s="75">
        <v>36</v>
      </c>
      <c r="I120" s="76">
        <v>34</v>
      </c>
      <c r="J120" s="96">
        <f>9+8+2+2+10+1+6+5+9</f>
        <v>52</v>
      </c>
      <c r="K120" s="77">
        <f>6305.33+12574.83+14899.84+13657.06+15923.24+7697.06+2858.97</f>
        <v>73916.33</v>
      </c>
      <c r="L120" s="77">
        <f>6305.33+12574.83+14899.84+13657.06+15923.24+7697.06+2858.97</f>
        <v>73916.33</v>
      </c>
      <c r="M120" s="78">
        <f t="shared" si="3"/>
        <v>0</v>
      </c>
      <c r="N120" s="100">
        <f>5+3+3+1+1+2+2</f>
        <v>17</v>
      </c>
      <c r="O120" s="81">
        <f>5416.39+9506.99+12269.39+7610.68+1915.68</f>
        <v>36719.129999999997</v>
      </c>
      <c r="P120" s="81">
        <f>5416.39+9506.99+12269.39+7610.68+1915.68</f>
        <v>36719.129999999997</v>
      </c>
      <c r="Q120" s="79">
        <f t="shared" si="4"/>
        <v>0</v>
      </c>
    </row>
    <row r="121" spans="1:17" s="15" customFormat="1" x14ac:dyDescent="0.25">
      <c r="A121" s="229"/>
      <c r="B121" s="30" t="s">
        <v>73</v>
      </c>
      <c r="C121" s="181" t="s">
        <v>17</v>
      </c>
      <c r="D121" s="182"/>
      <c r="E121" s="183" t="s">
        <v>74</v>
      </c>
      <c r="F121" s="73" t="s">
        <v>282</v>
      </c>
      <c r="G121" s="230" t="s">
        <v>114</v>
      </c>
      <c r="H121" s="181"/>
      <c r="I121" s="231"/>
      <c r="J121" s="190"/>
      <c r="K121" s="77"/>
      <c r="L121" s="77"/>
      <c r="M121" s="78">
        <f t="shared" si="3"/>
        <v>0</v>
      </c>
      <c r="N121" s="100">
        <v>1</v>
      </c>
      <c r="O121" s="224">
        <v>1728.9</v>
      </c>
      <c r="P121" s="224">
        <v>1728.9</v>
      </c>
      <c r="Q121" s="232">
        <f t="shared" si="4"/>
        <v>0</v>
      </c>
    </row>
    <row r="122" spans="1:17" s="13" customFormat="1" x14ac:dyDescent="0.25">
      <c r="A122" s="229"/>
      <c r="B122" s="30" t="s">
        <v>135</v>
      </c>
      <c r="C122" s="181" t="s">
        <v>17</v>
      </c>
      <c r="D122" s="182"/>
      <c r="E122" s="194" t="s">
        <v>35</v>
      </c>
      <c r="F122" s="73" t="s">
        <v>379</v>
      </c>
      <c r="G122" s="74" t="s">
        <v>112</v>
      </c>
      <c r="H122" s="75">
        <v>40</v>
      </c>
      <c r="I122" s="76">
        <v>32</v>
      </c>
      <c r="J122" s="96">
        <f>1+6+5+3+3+5+1+5+4</f>
        <v>33</v>
      </c>
      <c r="K122" s="77">
        <f>697.32+4374.12+5747.44+4426.94+15712.05+4176.57+2649.24</f>
        <v>37783.68</v>
      </c>
      <c r="L122" s="77">
        <f>697.32+4374.12+5747.44+4426.94+15712.05+4176.57+2649.24</f>
        <v>37783.68</v>
      </c>
      <c r="M122" s="78">
        <f t="shared" si="3"/>
        <v>0</v>
      </c>
      <c r="N122" s="100">
        <f>2+5+1+2+2+2</f>
        <v>14</v>
      </c>
      <c r="O122" s="81">
        <f>6432.89+2283.68+4932.13+377</f>
        <v>14025.7</v>
      </c>
      <c r="P122" s="81">
        <f>6432.89+2283.68+4932.13+377</f>
        <v>14025.7</v>
      </c>
      <c r="Q122" s="232">
        <f t="shared" si="4"/>
        <v>0</v>
      </c>
    </row>
    <row r="123" spans="1:17" s="13" customFormat="1" x14ac:dyDescent="0.25">
      <c r="A123" s="229"/>
      <c r="B123" s="30" t="s">
        <v>135</v>
      </c>
      <c r="C123" s="181" t="s">
        <v>17</v>
      </c>
      <c r="D123" s="182"/>
      <c r="E123" s="194" t="s">
        <v>35</v>
      </c>
      <c r="F123" s="73" t="s">
        <v>432</v>
      </c>
      <c r="G123" s="230" t="s">
        <v>115</v>
      </c>
      <c r="H123" s="181">
        <v>2</v>
      </c>
      <c r="I123" s="231"/>
      <c r="J123" s="96"/>
      <c r="K123" s="77"/>
      <c r="L123" s="77"/>
      <c r="M123" s="78">
        <f t="shared" si="3"/>
        <v>0</v>
      </c>
      <c r="N123" s="100">
        <v>1</v>
      </c>
      <c r="O123" s="224">
        <v>2689.4</v>
      </c>
      <c r="P123" s="224">
        <v>2689.4</v>
      </c>
      <c r="Q123" s="79">
        <f t="shared" si="4"/>
        <v>0</v>
      </c>
    </row>
    <row r="124" spans="1:17" s="13" customFormat="1" x14ac:dyDescent="0.25">
      <c r="A124" s="229"/>
      <c r="B124" s="30" t="s">
        <v>145</v>
      </c>
      <c r="C124" s="181" t="s">
        <v>17</v>
      </c>
      <c r="D124" s="182"/>
      <c r="E124" s="194" t="s">
        <v>20</v>
      </c>
      <c r="F124" s="73" t="s">
        <v>380</v>
      </c>
      <c r="G124" s="74" t="s">
        <v>112</v>
      </c>
      <c r="H124" s="75">
        <v>17</v>
      </c>
      <c r="I124" s="82">
        <v>15</v>
      </c>
      <c r="J124" s="96">
        <f>2+1+1+2+2+5+3+2+3+1+1+2</f>
        <v>25</v>
      </c>
      <c r="K124" s="77">
        <f>5169.72+1100+538.84+4293.82+3949.22+3361.76+5643.1+4037.33+4704.3+6285.32</f>
        <v>39083.410000000003</v>
      </c>
      <c r="L124" s="77">
        <f>5169.72+1100+538.84+4293.82+3949.22+3361.76+5643.1+4037.33+4704.3+6285.32</f>
        <v>39083.410000000003</v>
      </c>
      <c r="M124" s="78">
        <f t="shared" si="3"/>
        <v>0</v>
      </c>
      <c r="N124" s="100">
        <f>1+1+2+1+2+1</f>
        <v>8</v>
      </c>
      <c r="O124" s="81">
        <f>5120.23+3915.15+1114.12+14002.49+7111.04</f>
        <v>31263.03</v>
      </c>
      <c r="P124" s="81">
        <f>5120.23+3915.15+1114.12+14002.49+7111.04</f>
        <v>31263.03</v>
      </c>
      <c r="Q124" s="232">
        <f t="shared" si="4"/>
        <v>0</v>
      </c>
    </row>
    <row r="125" spans="1:17" s="13" customFormat="1" x14ac:dyDescent="0.25">
      <c r="A125" s="229"/>
      <c r="B125" s="30" t="s">
        <v>145</v>
      </c>
      <c r="C125" s="181" t="s">
        <v>17</v>
      </c>
      <c r="D125" s="182"/>
      <c r="E125" s="194" t="s">
        <v>20</v>
      </c>
      <c r="F125" s="73" t="s">
        <v>461</v>
      </c>
      <c r="G125" s="230" t="s">
        <v>114</v>
      </c>
      <c r="H125" s="181">
        <v>7</v>
      </c>
      <c r="I125" s="231">
        <v>4</v>
      </c>
      <c r="J125" s="190">
        <v>4</v>
      </c>
      <c r="K125" s="77">
        <v>6135.7</v>
      </c>
      <c r="L125" s="77">
        <v>6135.7</v>
      </c>
      <c r="M125" s="78">
        <f t="shared" si="3"/>
        <v>0</v>
      </c>
      <c r="N125" s="100">
        <v>11</v>
      </c>
      <c r="O125" s="224">
        <v>24338.15</v>
      </c>
      <c r="P125" s="224">
        <v>24338.15</v>
      </c>
      <c r="Q125" s="232">
        <f t="shared" si="4"/>
        <v>0</v>
      </c>
    </row>
    <row r="126" spans="1:17" s="13" customFormat="1" x14ac:dyDescent="0.25">
      <c r="A126" s="229"/>
      <c r="B126" s="62" t="s">
        <v>76</v>
      </c>
      <c r="C126" s="181" t="s">
        <v>17</v>
      </c>
      <c r="D126" s="182"/>
      <c r="E126" s="183" t="s">
        <v>20</v>
      </c>
      <c r="F126" s="73" t="s">
        <v>381</v>
      </c>
      <c r="G126" s="74" t="s">
        <v>112</v>
      </c>
      <c r="H126" s="75">
        <v>28</v>
      </c>
      <c r="I126" s="76">
        <v>22</v>
      </c>
      <c r="J126" s="96">
        <f>1+6+3+1+3+1+2+2+2+1+1+6</f>
        <v>29</v>
      </c>
      <c r="K126" s="77">
        <f>6556.06+2806.39+2697.06+1267.86+11775.51+1557.35+2113.1+4117.36+1673.84+1724.01+1457.08+3514.26</f>
        <v>41259.879999999997</v>
      </c>
      <c r="L126" s="77">
        <f>6556.06+2806.39+2697.06+1267.86+11775.51+1557.35+2113.1+4117.36+1673.84+1724.01+1457.08+3514.26</f>
        <v>41259.879999999997</v>
      </c>
      <c r="M126" s="78">
        <f t="shared" si="3"/>
        <v>0</v>
      </c>
      <c r="N126" s="100">
        <f>5+6+2+1+1+1+1+2+2+1</f>
        <v>22</v>
      </c>
      <c r="O126" s="81">
        <f>11527.9+19846.52+1011.91+9641+2451.87+10072.83+11307.66+2243.83+6181.56+5655.45+1404.9</f>
        <v>81345.429999999993</v>
      </c>
      <c r="P126" s="81">
        <f>11527.9+19846.52+1011.91+9641+2451.87+10072.83+11307.66+2243.83+6181.56+5655.45+1404.9</f>
        <v>81345.429999999993</v>
      </c>
      <c r="Q126" s="232">
        <f t="shared" si="4"/>
        <v>0</v>
      </c>
    </row>
    <row r="127" spans="1:17" s="13" customFormat="1" x14ac:dyDescent="0.25">
      <c r="A127" s="229"/>
      <c r="B127" s="62" t="s">
        <v>76</v>
      </c>
      <c r="C127" s="181" t="s">
        <v>17</v>
      </c>
      <c r="D127" s="182"/>
      <c r="E127" s="183" t="s">
        <v>20</v>
      </c>
      <c r="F127" s="73" t="s">
        <v>462</v>
      </c>
      <c r="G127" s="230" t="s">
        <v>114</v>
      </c>
      <c r="H127" s="181">
        <v>14</v>
      </c>
      <c r="I127" s="231">
        <v>5</v>
      </c>
      <c r="J127" s="190">
        <v>5</v>
      </c>
      <c r="K127" s="77">
        <v>11144.6</v>
      </c>
      <c r="L127" s="77">
        <v>11144.6</v>
      </c>
      <c r="M127" s="78">
        <f t="shared" si="3"/>
        <v>0</v>
      </c>
      <c r="N127" s="100">
        <v>9</v>
      </c>
      <c r="O127" s="224">
        <v>30007.39</v>
      </c>
      <c r="P127" s="224">
        <v>30007.39</v>
      </c>
      <c r="Q127" s="232">
        <f t="shared" si="4"/>
        <v>0</v>
      </c>
    </row>
    <row r="128" spans="1:17" s="13" customFormat="1" x14ac:dyDescent="0.25">
      <c r="A128" s="229"/>
      <c r="B128" s="30" t="s">
        <v>77</v>
      </c>
      <c r="C128" s="181" t="s">
        <v>17</v>
      </c>
      <c r="D128" s="182"/>
      <c r="E128" s="183" t="s">
        <v>32</v>
      </c>
      <c r="F128" s="73" t="s">
        <v>388</v>
      </c>
      <c r="G128" s="74" t="s">
        <v>112</v>
      </c>
      <c r="H128" s="75">
        <v>22</v>
      </c>
      <c r="I128" s="76">
        <v>16</v>
      </c>
      <c r="J128" s="96">
        <f>2+2+2+6+1+1+1+7</f>
        <v>22</v>
      </c>
      <c r="K128" s="77">
        <f>2440.63+1507.02+2101.48+13625.7+1324.62+2083.47+13864.31</f>
        <v>36947.230000000003</v>
      </c>
      <c r="L128" s="77">
        <f>2440.63+1507.02+2101.48+13625.7+1324.62+2083.47+13864.31</f>
        <v>36947.230000000003</v>
      </c>
      <c r="M128" s="78">
        <f t="shared" si="3"/>
        <v>0</v>
      </c>
      <c r="N128" s="100">
        <f>5+2+3+3+1+1</f>
        <v>15</v>
      </c>
      <c r="O128" s="81">
        <f>11716.73+6848.82+4046.18+11166.34+8845.95</f>
        <v>42624.020000000004</v>
      </c>
      <c r="P128" s="81">
        <f>11716.73+6848.82+4046.18+11166.34+8845.95</f>
        <v>42624.020000000004</v>
      </c>
      <c r="Q128" s="232">
        <f t="shared" si="4"/>
        <v>0</v>
      </c>
    </row>
    <row r="129" spans="1:17" s="13" customFormat="1" x14ac:dyDescent="0.25">
      <c r="A129" s="229"/>
      <c r="B129" s="30" t="s">
        <v>77</v>
      </c>
      <c r="C129" s="181" t="s">
        <v>17</v>
      </c>
      <c r="D129" s="182"/>
      <c r="E129" s="183" t="s">
        <v>32</v>
      </c>
      <c r="F129" s="73" t="s">
        <v>433</v>
      </c>
      <c r="G129" s="230" t="s">
        <v>117</v>
      </c>
      <c r="H129" s="181">
        <v>4</v>
      </c>
      <c r="I129" s="231">
        <v>2</v>
      </c>
      <c r="J129" s="96">
        <v>2</v>
      </c>
      <c r="K129" s="77">
        <v>1921</v>
      </c>
      <c r="L129" s="77">
        <v>1921</v>
      </c>
      <c r="M129" s="78">
        <f t="shared" si="3"/>
        <v>0</v>
      </c>
      <c r="N129" s="100">
        <v>6</v>
      </c>
      <c r="O129" s="224">
        <v>18164.11</v>
      </c>
      <c r="P129" s="224">
        <v>18164.11</v>
      </c>
      <c r="Q129" s="79">
        <f t="shared" si="4"/>
        <v>0</v>
      </c>
    </row>
    <row r="130" spans="1:17" s="13" customFormat="1" x14ac:dyDescent="0.25">
      <c r="A130" s="229"/>
      <c r="B130" s="30" t="s">
        <v>321</v>
      </c>
      <c r="C130" s="181" t="s">
        <v>17</v>
      </c>
      <c r="D130" s="182"/>
      <c r="E130" s="183" t="s">
        <v>21</v>
      </c>
      <c r="F130" s="73" t="s">
        <v>489</v>
      </c>
      <c r="G130" s="230" t="s">
        <v>112</v>
      </c>
      <c r="H130" s="181">
        <v>6</v>
      </c>
      <c r="I130" s="231">
        <v>2</v>
      </c>
      <c r="J130" s="96">
        <f>1+1</f>
        <v>2</v>
      </c>
      <c r="K130" s="77">
        <f>2547.89+1766.16</f>
        <v>4314.05</v>
      </c>
      <c r="L130" s="77">
        <f>2547.89+1766.16</f>
        <v>4314.05</v>
      </c>
      <c r="M130" s="78">
        <f t="shared" si="3"/>
        <v>0</v>
      </c>
      <c r="N130" s="100"/>
      <c r="O130" s="224"/>
      <c r="P130" s="224"/>
      <c r="Q130" s="79">
        <f t="shared" si="4"/>
        <v>0</v>
      </c>
    </row>
    <row r="131" spans="1:17" s="13" customFormat="1" ht="15" customHeight="1" x14ac:dyDescent="0.25">
      <c r="A131" s="229"/>
      <c r="B131" s="62" t="s">
        <v>79</v>
      </c>
      <c r="C131" s="181" t="s">
        <v>304</v>
      </c>
      <c r="D131" s="182" t="s">
        <v>385</v>
      </c>
      <c r="E131" s="183" t="s">
        <v>18</v>
      </c>
      <c r="F131" s="73" t="s">
        <v>389</v>
      </c>
      <c r="G131" s="74" t="s">
        <v>112</v>
      </c>
      <c r="H131" s="75">
        <v>21</v>
      </c>
      <c r="I131" s="76">
        <v>18</v>
      </c>
      <c r="J131" s="98">
        <f>2+5+2+3+2+2+5+2</f>
        <v>23</v>
      </c>
      <c r="K131" s="77">
        <f>2091.97+3190.2+5703.08+6368.88+4029.68+4560.06+5101.32</f>
        <v>31045.190000000002</v>
      </c>
      <c r="L131" s="77">
        <f>2091.97+3190.2+5703.08+6368.88+4029.68+4560.06+5101.32</f>
        <v>31045.190000000002</v>
      </c>
      <c r="M131" s="78">
        <f t="shared" si="3"/>
        <v>0</v>
      </c>
      <c r="N131" s="100">
        <f>2+2+1+2+1+1+3+1+2</f>
        <v>15</v>
      </c>
      <c r="O131" s="81">
        <f>1547.4+4166.12+7835.61+1675.01+4717.63+6039.62+18829.39+23135.63+18613.81</f>
        <v>86560.22</v>
      </c>
      <c r="P131" s="81">
        <f>1547.4+4166.12+7835.61+1675.01+4717.63+6039.62+18829.39+23135.63+18613.81</f>
        <v>86560.22</v>
      </c>
      <c r="Q131" s="232">
        <f t="shared" si="4"/>
        <v>0</v>
      </c>
    </row>
    <row r="132" spans="1:17" s="13" customFormat="1" ht="15" customHeight="1" x14ac:dyDescent="0.25">
      <c r="A132" s="229"/>
      <c r="B132" s="62" t="s">
        <v>79</v>
      </c>
      <c r="C132" s="181" t="s">
        <v>304</v>
      </c>
      <c r="D132" s="182" t="s">
        <v>475</v>
      </c>
      <c r="E132" s="183" t="s">
        <v>18</v>
      </c>
      <c r="F132" s="73" t="s">
        <v>329</v>
      </c>
      <c r="G132" s="271" t="s">
        <v>116</v>
      </c>
      <c r="H132" s="181">
        <v>45</v>
      </c>
      <c r="I132" s="234">
        <v>32</v>
      </c>
      <c r="J132" s="98">
        <v>37</v>
      </c>
      <c r="K132" s="224">
        <v>70648</v>
      </c>
      <c r="L132" s="224">
        <v>70648</v>
      </c>
      <c r="M132" s="78">
        <f t="shared" si="3"/>
        <v>0</v>
      </c>
      <c r="N132" s="100">
        <v>16</v>
      </c>
      <c r="O132" s="224">
        <v>56311</v>
      </c>
      <c r="P132" s="224">
        <v>56311</v>
      </c>
      <c r="Q132" s="79">
        <f t="shared" si="4"/>
        <v>0</v>
      </c>
    </row>
    <row r="133" spans="1:17" s="13" customFormat="1" x14ac:dyDescent="0.25">
      <c r="A133" s="229"/>
      <c r="B133" s="62" t="s">
        <v>151</v>
      </c>
      <c r="C133" s="181" t="s">
        <v>17</v>
      </c>
      <c r="D133" s="182"/>
      <c r="E133" s="183" t="s">
        <v>32</v>
      </c>
      <c r="F133" s="73" t="s">
        <v>390</v>
      </c>
      <c r="G133" s="74" t="s">
        <v>112</v>
      </c>
      <c r="H133" s="75">
        <v>71</v>
      </c>
      <c r="I133" s="82">
        <v>53</v>
      </c>
      <c r="J133" s="96">
        <f>1+3+3+5+3+9+4+6+3+2+6+5+3+8+4+5</f>
        <v>70</v>
      </c>
      <c r="K133" s="81">
        <f>2317+4640.19+5864.19+10765+12519.53+4514.35+14486.46+3421.94+27163.56+5180.87+3460.57+13888.56</f>
        <v>108222.22</v>
      </c>
      <c r="L133" s="81">
        <f>2317+4640.19+5864.19+10765+12519.53+4514.35+14486.46+3421.94+27163.56+5180.87+3460.57+13888.56</f>
        <v>108222.22</v>
      </c>
      <c r="M133" s="78">
        <f t="shared" si="3"/>
        <v>0</v>
      </c>
      <c r="N133" s="100">
        <f>9+3+5+1+4+4+1+2</f>
        <v>29</v>
      </c>
      <c r="O133" s="81">
        <f>10726.94+18822.65+5703.53+12846.53+1320.36+4050.1+22728.38+3733.09</f>
        <v>79931.58</v>
      </c>
      <c r="P133" s="81">
        <f>10726.94+18822.65+5703.53+12846.53+1320.36+4050.1+22728.38+3733.09</f>
        <v>79931.58</v>
      </c>
      <c r="Q133" s="232">
        <f t="shared" si="4"/>
        <v>0</v>
      </c>
    </row>
    <row r="134" spans="1:17" s="13" customFormat="1" x14ac:dyDescent="0.25">
      <c r="A134" s="229"/>
      <c r="B134" s="62" t="s">
        <v>151</v>
      </c>
      <c r="C134" s="181" t="s">
        <v>17</v>
      </c>
      <c r="D134" s="182"/>
      <c r="E134" s="183" t="s">
        <v>32</v>
      </c>
      <c r="F134" s="73" t="s">
        <v>434</v>
      </c>
      <c r="G134" s="230" t="s">
        <v>117</v>
      </c>
      <c r="H134" s="181">
        <v>14</v>
      </c>
      <c r="I134" s="231">
        <v>5</v>
      </c>
      <c r="J134" s="96">
        <v>5</v>
      </c>
      <c r="K134" s="77">
        <v>5920.65</v>
      </c>
      <c r="L134" s="77">
        <v>5920.65</v>
      </c>
      <c r="M134" s="78">
        <f t="shared" si="3"/>
        <v>0</v>
      </c>
      <c r="N134" s="100">
        <v>13</v>
      </c>
      <c r="O134" s="224">
        <v>24537.7</v>
      </c>
      <c r="P134" s="224">
        <v>24537.7</v>
      </c>
      <c r="Q134" s="79">
        <f t="shared" si="4"/>
        <v>0</v>
      </c>
    </row>
    <row r="135" spans="1:17" s="13" customFormat="1" x14ac:dyDescent="0.25">
      <c r="A135" s="229"/>
      <c r="B135" s="62" t="s">
        <v>80</v>
      </c>
      <c r="C135" s="181" t="s">
        <v>17</v>
      </c>
      <c r="D135" s="182"/>
      <c r="E135" s="183" t="s">
        <v>81</v>
      </c>
      <c r="F135" s="73" t="s">
        <v>417</v>
      </c>
      <c r="G135" s="74" t="s">
        <v>112</v>
      </c>
      <c r="H135" s="75"/>
      <c r="I135" s="76"/>
      <c r="J135" s="96"/>
      <c r="K135" s="77">
        <f>749.19+8649.27</f>
        <v>9398.4600000000009</v>
      </c>
      <c r="L135" s="77">
        <f>749.19+8649.27</f>
        <v>9398.4600000000009</v>
      </c>
      <c r="M135" s="78">
        <f t="shared" si="3"/>
        <v>0</v>
      </c>
      <c r="N135" s="100">
        <f>2+2</f>
        <v>4</v>
      </c>
      <c r="O135" s="81">
        <f>3040.94+9398.46</f>
        <v>12439.4</v>
      </c>
      <c r="P135" s="81">
        <f>3040.94+9398.46</f>
        <v>12439.4</v>
      </c>
      <c r="Q135" s="232">
        <f t="shared" si="4"/>
        <v>0</v>
      </c>
    </row>
    <row r="136" spans="1:17" s="13" customFormat="1" x14ac:dyDescent="0.25">
      <c r="A136" s="229"/>
      <c r="B136" s="62" t="s">
        <v>80</v>
      </c>
      <c r="C136" s="181" t="s">
        <v>17</v>
      </c>
      <c r="D136" s="182"/>
      <c r="E136" s="183" t="s">
        <v>81</v>
      </c>
      <c r="F136" s="73" t="s">
        <v>285</v>
      </c>
      <c r="G136" s="230" t="s">
        <v>114</v>
      </c>
      <c r="H136" s="181"/>
      <c r="I136" s="231"/>
      <c r="J136" s="190"/>
      <c r="K136" s="77"/>
      <c r="L136" s="77"/>
      <c r="M136" s="78">
        <f t="shared" si="3"/>
        <v>0</v>
      </c>
      <c r="N136" s="100">
        <v>24</v>
      </c>
      <c r="O136" s="224">
        <v>62268.31</v>
      </c>
      <c r="P136" s="224">
        <v>62268.31</v>
      </c>
      <c r="Q136" s="232">
        <f t="shared" si="4"/>
        <v>0</v>
      </c>
    </row>
    <row r="137" spans="1:17" s="13" customFormat="1" x14ac:dyDescent="0.25">
      <c r="A137" s="229"/>
      <c r="B137" s="30" t="s">
        <v>82</v>
      </c>
      <c r="C137" s="181" t="s">
        <v>17</v>
      </c>
      <c r="D137" s="182"/>
      <c r="E137" s="183" t="s">
        <v>20</v>
      </c>
      <c r="F137" s="73" t="s">
        <v>394</v>
      </c>
      <c r="G137" s="74" t="s">
        <v>112</v>
      </c>
      <c r="H137" s="75">
        <v>16</v>
      </c>
      <c r="I137" s="76">
        <v>13</v>
      </c>
      <c r="J137" s="96">
        <f>4+3+2+2+1+1+1+1</f>
        <v>15</v>
      </c>
      <c r="K137" s="77">
        <f>20254+3953.39</f>
        <v>24207.39</v>
      </c>
      <c r="L137" s="77">
        <f>20254+3953.39</f>
        <v>24207.39</v>
      </c>
      <c r="M137" s="78">
        <f t="shared" si="3"/>
        <v>0</v>
      </c>
      <c r="N137" s="100">
        <f>3+5+1+1+1</f>
        <v>11</v>
      </c>
      <c r="O137" s="81">
        <f>5975.84+23579.15+1426.34+3500</f>
        <v>34481.33</v>
      </c>
      <c r="P137" s="81">
        <f>5975.84+23579.15+1426.34+3500</f>
        <v>34481.33</v>
      </c>
      <c r="Q137" s="232">
        <f t="shared" si="4"/>
        <v>0</v>
      </c>
    </row>
    <row r="138" spans="1:17" s="13" customFormat="1" x14ac:dyDescent="0.25">
      <c r="A138" s="229"/>
      <c r="B138" s="30" t="s">
        <v>82</v>
      </c>
      <c r="C138" s="181" t="s">
        <v>17</v>
      </c>
      <c r="D138" s="182"/>
      <c r="E138" s="183" t="s">
        <v>20</v>
      </c>
      <c r="F138" s="73" t="s">
        <v>463</v>
      </c>
      <c r="G138" s="230" t="s">
        <v>114</v>
      </c>
      <c r="H138" s="181">
        <v>25</v>
      </c>
      <c r="I138" s="231">
        <v>6</v>
      </c>
      <c r="J138" s="190">
        <v>6</v>
      </c>
      <c r="K138" s="77">
        <v>11385.5</v>
      </c>
      <c r="L138" s="77">
        <v>11385.5</v>
      </c>
      <c r="M138" s="78">
        <f t="shared" si="3"/>
        <v>0</v>
      </c>
      <c r="N138" s="100">
        <v>14</v>
      </c>
      <c r="O138" s="224">
        <v>48620.71</v>
      </c>
      <c r="P138" s="224">
        <v>48620.71</v>
      </c>
      <c r="Q138" s="232">
        <f t="shared" si="4"/>
        <v>0</v>
      </c>
    </row>
    <row r="139" spans="1:17" s="13" customFormat="1" x14ac:dyDescent="0.25">
      <c r="A139" s="229"/>
      <c r="B139" s="30" t="s">
        <v>309</v>
      </c>
      <c r="C139" s="181" t="s">
        <v>17</v>
      </c>
      <c r="D139" s="182"/>
      <c r="E139" s="183" t="s">
        <v>20</v>
      </c>
      <c r="F139" s="73" t="s">
        <v>391</v>
      </c>
      <c r="G139" s="230" t="s">
        <v>112</v>
      </c>
      <c r="H139" s="181">
        <v>19</v>
      </c>
      <c r="I139" s="231">
        <v>13</v>
      </c>
      <c r="J139" s="190">
        <f>1+5+2+1+1+1+2+1</f>
        <v>14</v>
      </c>
      <c r="K139" s="77">
        <f>3606.1+3402.77+2649.24+993.47+441.54+8488+4287.75</f>
        <v>23868.870000000003</v>
      </c>
      <c r="L139" s="77">
        <f>3606.1+3402.77+2649.24+993.47+441.54+8488+4287.75</f>
        <v>23868.870000000003</v>
      </c>
      <c r="M139" s="78">
        <f t="shared" si="3"/>
        <v>0</v>
      </c>
      <c r="N139" s="100">
        <f>1+5+1+3</f>
        <v>10</v>
      </c>
      <c r="O139" s="224">
        <f>3088.97+13147.65+1267.86+5955.71</f>
        <v>23460.19</v>
      </c>
      <c r="P139" s="224">
        <f>3088.97+13147.65+1267.86+5955.71</f>
        <v>23460.19</v>
      </c>
      <c r="Q139" s="232">
        <f t="shared" si="4"/>
        <v>0</v>
      </c>
    </row>
    <row r="140" spans="1:17" s="13" customFormat="1" x14ac:dyDescent="0.25">
      <c r="A140" s="229"/>
      <c r="B140" s="30" t="s">
        <v>152</v>
      </c>
      <c r="C140" s="181" t="s">
        <v>17</v>
      </c>
      <c r="D140" s="182"/>
      <c r="E140" s="183" t="s">
        <v>35</v>
      </c>
      <c r="F140" s="73" t="s">
        <v>392</v>
      </c>
      <c r="G140" s="74" t="s">
        <v>112</v>
      </c>
      <c r="H140" s="75">
        <v>7</v>
      </c>
      <c r="I140" s="76">
        <v>6</v>
      </c>
      <c r="J140" s="96">
        <f>1+1+2+1+1+1+2</f>
        <v>9</v>
      </c>
      <c r="K140" s="77">
        <f>403.41+845.24+2113.1+2649.24</f>
        <v>6010.99</v>
      </c>
      <c r="L140" s="77">
        <f>403.41+845.24+2113.1+2649.24</f>
        <v>6010.99</v>
      </c>
      <c r="M140" s="78">
        <f t="shared" si="3"/>
        <v>0</v>
      </c>
      <c r="N140" s="100">
        <f>2+2+2+1+1+1+2</f>
        <v>11</v>
      </c>
      <c r="O140" s="81">
        <f>1690.48+3050.26+3661.61+4648.82+1267.86+1690.48+9282.42+4052.53</f>
        <v>29344.46</v>
      </c>
      <c r="P140" s="81">
        <f>1690.48+3050.26+3661.61+4648.82+1267.86+1690.48+9282.42+4052.53</f>
        <v>29344.46</v>
      </c>
      <c r="Q140" s="232">
        <f t="shared" si="4"/>
        <v>0</v>
      </c>
    </row>
    <row r="141" spans="1:17" s="13" customFormat="1" x14ac:dyDescent="0.25">
      <c r="A141" s="229"/>
      <c r="B141" s="30" t="s">
        <v>83</v>
      </c>
      <c r="C141" s="181" t="s">
        <v>17</v>
      </c>
      <c r="D141" s="182"/>
      <c r="E141" s="183" t="s">
        <v>20</v>
      </c>
      <c r="F141" s="73" t="s">
        <v>393</v>
      </c>
      <c r="G141" s="74" t="s">
        <v>112</v>
      </c>
      <c r="H141" s="75">
        <v>14</v>
      </c>
      <c r="I141" s="76">
        <v>9</v>
      </c>
      <c r="J141" s="96">
        <f>1+1+2+1+1+1+1+1+1</f>
        <v>10</v>
      </c>
      <c r="K141" s="77">
        <f>768.4+2535.72+845.24+14407.5+883.08</f>
        <v>19439.940000000002</v>
      </c>
      <c r="L141" s="77">
        <f>768.4+2535.72+845.24+14407.5+883.08</f>
        <v>19439.940000000002</v>
      </c>
      <c r="M141" s="78">
        <f t="shared" si="3"/>
        <v>0</v>
      </c>
      <c r="N141" s="100">
        <f>1+2+1+1+1+2</f>
        <v>8</v>
      </c>
      <c r="O141" s="81">
        <f>5837.09+1922.92+4288.54+1686.25</f>
        <v>13734.8</v>
      </c>
      <c r="P141" s="81">
        <f>5837.09+1922.92+4288.54+1686.25</f>
        <v>13734.8</v>
      </c>
      <c r="Q141" s="232">
        <f t="shared" si="4"/>
        <v>0</v>
      </c>
    </row>
    <row r="142" spans="1:17" s="13" customFormat="1" x14ac:dyDescent="0.25">
      <c r="A142" s="229"/>
      <c r="B142" s="30" t="s">
        <v>83</v>
      </c>
      <c r="C142" s="181" t="s">
        <v>17</v>
      </c>
      <c r="D142" s="182"/>
      <c r="E142" s="183" t="s">
        <v>20</v>
      </c>
      <c r="F142" s="73" t="s">
        <v>464</v>
      </c>
      <c r="G142" s="230" t="s">
        <v>114</v>
      </c>
      <c r="H142" s="181">
        <v>33</v>
      </c>
      <c r="I142" s="231">
        <v>22</v>
      </c>
      <c r="J142" s="190">
        <v>22</v>
      </c>
      <c r="K142" s="77">
        <v>60040.41</v>
      </c>
      <c r="L142" s="77">
        <v>60040.41</v>
      </c>
      <c r="M142" s="78">
        <f t="shared" ref="M142:M192" si="5">K142-L142</f>
        <v>0</v>
      </c>
      <c r="N142" s="100">
        <v>31</v>
      </c>
      <c r="O142" s="224">
        <v>114176.52</v>
      </c>
      <c r="P142" s="224">
        <v>114176.52</v>
      </c>
      <c r="Q142" s="232">
        <f t="shared" si="4"/>
        <v>0</v>
      </c>
    </row>
    <row r="143" spans="1:17" s="13" customFormat="1" ht="15" customHeight="1" x14ac:dyDescent="0.25">
      <c r="A143" s="229"/>
      <c r="B143" s="30" t="s">
        <v>85</v>
      </c>
      <c r="C143" s="181" t="s">
        <v>304</v>
      </c>
      <c r="D143" s="182" t="s">
        <v>415</v>
      </c>
      <c r="E143" s="183" t="s">
        <v>20</v>
      </c>
      <c r="F143" s="73" t="s">
        <v>395</v>
      </c>
      <c r="G143" s="74" t="s">
        <v>112</v>
      </c>
      <c r="H143" s="75">
        <v>20</v>
      </c>
      <c r="I143" s="76">
        <v>9</v>
      </c>
      <c r="J143" s="98">
        <f>2+1+1+1</f>
        <v>5</v>
      </c>
      <c r="K143" s="77">
        <f>4800.58+2591.84+7239.38+3534.03</f>
        <v>18165.829999999998</v>
      </c>
      <c r="L143" s="77">
        <f>4800.58+2591.84+7239.38+3534.03</f>
        <v>18165.829999999998</v>
      </c>
      <c r="M143" s="78">
        <f t="shared" si="5"/>
        <v>0</v>
      </c>
      <c r="N143" s="100">
        <f>2+1+2</f>
        <v>5</v>
      </c>
      <c r="O143" s="81">
        <f>3917.73+8936.21+5669.37+31185.72+18292.46</f>
        <v>68001.489999999991</v>
      </c>
      <c r="P143" s="81">
        <f>3917.73+8936.21+5669.37+31185.72+18292.46</f>
        <v>68001.489999999991</v>
      </c>
      <c r="Q143" s="79">
        <f t="shared" si="4"/>
        <v>0</v>
      </c>
    </row>
    <row r="144" spans="1:17" s="13" customFormat="1" x14ac:dyDescent="0.25">
      <c r="A144" s="229"/>
      <c r="B144" s="27" t="s">
        <v>86</v>
      </c>
      <c r="C144" s="181" t="s">
        <v>17</v>
      </c>
      <c r="D144" s="182"/>
      <c r="E144" s="194" t="s">
        <v>20</v>
      </c>
      <c r="F144" s="73" t="s">
        <v>396</v>
      </c>
      <c r="G144" s="74" t="s">
        <v>112</v>
      </c>
      <c r="H144" s="75">
        <v>24</v>
      </c>
      <c r="I144" s="76">
        <v>20</v>
      </c>
      <c r="J144" s="96">
        <f>1+3+1+7+2+2+5+5+1+3</f>
        <v>30</v>
      </c>
      <c r="K144" s="77">
        <f>950.9+5134.06+2091.97+528.03+8954.46+5719.74+9578.1+2631.85</f>
        <v>35589.109999999993</v>
      </c>
      <c r="L144" s="77">
        <f>950.9+5134.06+2091.97+528.03+8954.46+5719.74+9578.1+2631.85</f>
        <v>35589.109999999993</v>
      </c>
      <c r="M144" s="78">
        <f t="shared" si="5"/>
        <v>0</v>
      </c>
      <c r="N144" s="100">
        <f>15+4+2+1+2+2</f>
        <v>26</v>
      </c>
      <c r="O144" s="81">
        <f>30236.61+18366.75+8887.09+1077.68+8961.95</f>
        <v>67530.080000000002</v>
      </c>
      <c r="P144" s="81">
        <f>30236.61+18366.75+8887.09+1077.68+8961.95</f>
        <v>67530.080000000002</v>
      </c>
      <c r="Q144" s="232">
        <f t="shared" si="4"/>
        <v>0</v>
      </c>
    </row>
    <row r="145" spans="1:17" s="13" customFormat="1" x14ac:dyDescent="0.25">
      <c r="A145" s="229"/>
      <c r="B145" s="27" t="s">
        <v>86</v>
      </c>
      <c r="C145" s="181" t="s">
        <v>17</v>
      </c>
      <c r="D145" s="182"/>
      <c r="E145" s="194" t="s">
        <v>20</v>
      </c>
      <c r="F145" s="73" t="s">
        <v>465</v>
      </c>
      <c r="G145" s="230" t="s">
        <v>114</v>
      </c>
      <c r="H145" s="181">
        <v>9</v>
      </c>
      <c r="I145" s="231">
        <v>4</v>
      </c>
      <c r="J145" s="190">
        <v>4</v>
      </c>
      <c r="K145" s="77">
        <v>5338.62</v>
      </c>
      <c r="L145" s="77">
        <v>5338.62</v>
      </c>
      <c r="M145" s="78">
        <f t="shared" si="5"/>
        <v>0</v>
      </c>
      <c r="N145" s="100">
        <v>10</v>
      </c>
      <c r="O145" s="224">
        <v>22234.03</v>
      </c>
      <c r="P145" s="224">
        <v>22234.03</v>
      </c>
      <c r="Q145" s="232">
        <f t="shared" si="4"/>
        <v>0</v>
      </c>
    </row>
    <row r="146" spans="1:17" s="13" customFormat="1" x14ac:dyDescent="0.25">
      <c r="A146" s="229"/>
      <c r="B146" s="27" t="s">
        <v>87</v>
      </c>
      <c r="C146" s="181" t="s">
        <v>17</v>
      </c>
      <c r="D146" s="182"/>
      <c r="E146" s="194" t="s">
        <v>20</v>
      </c>
      <c r="F146" s="73" t="s">
        <v>520</v>
      </c>
      <c r="G146" s="294" t="s">
        <v>112</v>
      </c>
      <c r="H146" s="181">
        <v>2</v>
      </c>
      <c r="I146" s="231">
        <v>2</v>
      </c>
      <c r="J146" s="190">
        <f>2</f>
        <v>2</v>
      </c>
      <c r="K146" s="77"/>
      <c r="L146" s="77"/>
      <c r="M146" s="78"/>
      <c r="N146" s="100"/>
      <c r="O146" s="224"/>
      <c r="P146" s="224"/>
      <c r="Q146" s="232"/>
    </row>
    <row r="147" spans="1:17" s="13" customFormat="1" x14ac:dyDescent="0.25">
      <c r="A147" s="229"/>
      <c r="B147" s="62" t="s">
        <v>312</v>
      </c>
      <c r="C147" s="181" t="s">
        <v>17</v>
      </c>
      <c r="D147" s="182"/>
      <c r="E147" s="194" t="s">
        <v>20</v>
      </c>
      <c r="F147" s="73" t="s">
        <v>320</v>
      </c>
      <c r="G147" s="74" t="s">
        <v>112</v>
      </c>
      <c r="H147" s="75">
        <v>23</v>
      </c>
      <c r="I147" s="76">
        <v>17</v>
      </c>
      <c r="J147" s="96">
        <f>1+1+1+2+3+4+4</f>
        <v>16</v>
      </c>
      <c r="K147" s="77">
        <f>3319.49+845.24+4965.79+4415.4</f>
        <v>13545.92</v>
      </c>
      <c r="L147" s="77">
        <f>3319.49+845.24+4965.79+4415.4</f>
        <v>13545.92</v>
      </c>
      <c r="M147" s="78">
        <f t="shared" si="5"/>
        <v>0</v>
      </c>
      <c r="N147" s="100">
        <f>5+6+1+1</f>
        <v>13</v>
      </c>
      <c r="O147" s="81">
        <f>4226.2+6627.45+4360.59+6336.1</f>
        <v>21550.34</v>
      </c>
      <c r="P147" s="81">
        <f>4226.2+6627.45+4360.59+6336.1</f>
        <v>21550.34</v>
      </c>
      <c r="Q147" s="232">
        <f t="shared" si="4"/>
        <v>0</v>
      </c>
    </row>
    <row r="148" spans="1:17" s="13" customFormat="1" x14ac:dyDescent="0.25">
      <c r="A148" s="229"/>
      <c r="B148" s="62" t="s">
        <v>494</v>
      </c>
      <c r="C148" s="181" t="s">
        <v>17</v>
      </c>
      <c r="D148" s="182"/>
      <c r="E148" s="194" t="s">
        <v>20</v>
      </c>
      <c r="F148" s="73" t="s">
        <v>497</v>
      </c>
      <c r="G148" s="74" t="s">
        <v>112</v>
      </c>
      <c r="H148" s="75">
        <v>14</v>
      </c>
      <c r="I148" s="76">
        <v>11</v>
      </c>
      <c r="J148" s="96">
        <f>1+1+1+1+2+1+2+2</f>
        <v>11</v>
      </c>
      <c r="K148" s="77">
        <f>3379+5494.06+576.3+2417.43+3057.66+2384.32+1986.93</f>
        <v>19295.7</v>
      </c>
      <c r="L148" s="77">
        <f>3379+5494.06+576.3+2417.43+3057.66+2384.32+1986.93</f>
        <v>19295.7</v>
      </c>
      <c r="M148" s="78">
        <f t="shared" si="5"/>
        <v>0</v>
      </c>
      <c r="N148" s="100"/>
      <c r="O148" s="81"/>
      <c r="P148" s="81"/>
      <c r="Q148" s="232">
        <f t="shared" ref="Q148:Q193" si="6">O148-P148</f>
        <v>0</v>
      </c>
    </row>
    <row r="149" spans="1:17" s="13" customFormat="1" x14ac:dyDescent="0.25">
      <c r="A149" s="229"/>
      <c r="B149" s="62" t="s">
        <v>494</v>
      </c>
      <c r="C149" s="181" t="s">
        <v>17</v>
      </c>
      <c r="D149" s="182"/>
      <c r="E149" s="194" t="s">
        <v>20</v>
      </c>
      <c r="F149" s="73" t="s">
        <v>507</v>
      </c>
      <c r="G149" s="74" t="s">
        <v>114</v>
      </c>
      <c r="H149" s="75">
        <v>36</v>
      </c>
      <c r="I149" s="76">
        <v>10</v>
      </c>
      <c r="J149" s="96">
        <v>10</v>
      </c>
      <c r="K149" s="77">
        <v>24597.26</v>
      </c>
      <c r="L149" s="77">
        <v>24597.26</v>
      </c>
      <c r="M149" s="78">
        <f t="shared" si="5"/>
        <v>0</v>
      </c>
      <c r="N149" s="100"/>
      <c r="O149" s="81"/>
      <c r="P149" s="81"/>
      <c r="Q149" s="232">
        <f t="shared" si="6"/>
        <v>0</v>
      </c>
    </row>
    <row r="150" spans="1:17" s="13" customFormat="1" x14ac:dyDescent="0.25">
      <c r="A150" s="229"/>
      <c r="B150" s="30" t="s">
        <v>88</v>
      </c>
      <c r="C150" s="181" t="s">
        <v>17</v>
      </c>
      <c r="D150" s="182"/>
      <c r="E150" s="183" t="s">
        <v>89</v>
      </c>
      <c r="F150" s="73" t="s">
        <v>397</v>
      </c>
      <c r="G150" s="74" t="s">
        <v>112</v>
      </c>
      <c r="H150" s="75">
        <v>25</v>
      </c>
      <c r="I150" s="76">
        <v>19</v>
      </c>
      <c r="J150" s="96">
        <f>1+3+1+2+4+1+2+5</f>
        <v>19</v>
      </c>
      <c r="K150" s="77">
        <f>4226.2+2394.91+6485.1+556.71+4126.31+9704.16+1282.67+1282.67+2185.62</f>
        <v>32244.349999999995</v>
      </c>
      <c r="L150" s="77">
        <f>4226.2+2394.91+6485.1+556.71+4126.31+9704.16+1282.67+1282.67+2185.62</f>
        <v>32244.349999999995</v>
      </c>
      <c r="M150" s="78">
        <f t="shared" si="5"/>
        <v>0</v>
      </c>
      <c r="N150" s="100">
        <f>4+1+3+1+2+2+1+1+2</f>
        <v>17</v>
      </c>
      <c r="O150" s="81">
        <f>11967.83+2831.55+10544.37+9418.99+3799.13+1798.04+2548.4-12193.52+4083.77</f>
        <v>34798.559999999998</v>
      </c>
      <c r="P150" s="81">
        <f>11967.83+2831.55+10544.37+9418.99+3799.13+1798.04+2548.4-12193.52+4083.77</f>
        <v>34798.559999999998</v>
      </c>
      <c r="Q150" s="79">
        <f t="shared" si="6"/>
        <v>0</v>
      </c>
    </row>
    <row r="151" spans="1:17" s="13" customFormat="1" x14ac:dyDescent="0.25">
      <c r="A151" s="229"/>
      <c r="B151" s="30" t="s">
        <v>88</v>
      </c>
      <c r="C151" s="181" t="s">
        <v>17</v>
      </c>
      <c r="D151" s="182"/>
      <c r="E151" s="183" t="s">
        <v>89</v>
      </c>
      <c r="F151" s="73" t="s">
        <v>442</v>
      </c>
      <c r="G151" s="230" t="s">
        <v>118</v>
      </c>
      <c r="H151" s="181">
        <v>7</v>
      </c>
      <c r="I151" s="231">
        <v>4</v>
      </c>
      <c r="J151" s="96">
        <v>4</v>
      </c>
      <c r="K151" s="77">
        <v>7937.26</v>
      </c>
      <c r="L151" s="77">
        <v>7937.26</v>
      </c>
      <c r="M151" s="78">
        <f>K151-L151</f>
        <v>0</v>
      </c>
      <c r="N151" s="100">
        <v>4</v>
      </c>
      <c r="O151" s="224">
        <v>19245.009999999998</v>
      </c>
      <c r="P151" s="224">
        <v>19245.009999999998</v>
      </c>
      <c r="Q151" s="232">
        <f t="shared" si="6"/>
        <v>0</v>
      </c>
    </row>
    <row r="152" spans="1:17" s="13" customFormat="1" x14ac:dyDescent="0.25">
      <c r="A152" s="229"/>
      <c r="B152" s="30" t="s">
        <v>88</v>
      </c>
      <c r="C152" s="181" t="s">
        <v>17</v>
      </c>
      <c r="D152" s="182"/>
      <c r="E152" s="194" t="s">
        <v>505</v>
      </c>
      <c r="F152" s="73" t="s">
        <v>506</v>
      </c>
      <c r="G152" s="230" t="s">
        <v>114</v>
      </c>
      <c r="H152" s="181">
        <v>9</v>
      </c>
      <c r="I152" s="231">
        <v>3</v>
      </c>
      <c r="J152" s="96">
        <v>3</v>
      </c>
      <c r="K152" s="77">
        <v>60040.41</v>
      </c>
      <c r="L152" s="77">
        <v>60040.41</v>
      </c>
      <c r="M152" s="78">
        <f t="shared" si="5"/>
        <v>0</v>
      </c>
      <c r="N152" s="100"/>
      <c r="O152" s="224"/>
      <c r="P152" s="224"/>
      <c r="Q152" s="232">
        <f t="shared" si="6"/>
        <v>0</v>
      </c>
    </row>
    <row r="153" spans="1:17" s="13" customFormat="1" x14ac:dyDescent="0.25">
      <c r="A153" s="229"/>
      <c r="B153" s="30" t="s">
        <v>90</v>
      </c>
      <c r="C153" s="181" t="s">
        <v>17</v>
      </c>
      <c r="D153" s="182"/>
      <c r="E153" s="194" t="s">
        <v>20</v>
      </c>
      <c r="F153" s="73" t="s">
        <v>398</v>
      </c>
      <c r="G153" s="74" t="s">
        <v>112</v>
      </c>
      <c r="H153" s="75">
        <v>14</v>
      </c>
      <c r="I153" s="76">
        <v>8</v>
      </c>
      <c r="J153" s="96">
        <f>1+1+1+4+1</f>
        <v>8</v>
      </c>
      <c r="K153" s="77">
        <f>422.62+4662.44+7580.13+2408.4+8770.77</f>
        <v>23844.36</v>
      </c>
      <c r="L153" s="77">
        <f>422.62+4662.44+7580.13+2408.4+8770.77</f>
        <v>23844.36</v>
      </c>
      <c r="M153" s="78">
        <f t="shared" si="5"/>
        <v>0</v>
      </c>
      <c r="N153" s="100">
        <f>1+1+1+1+2+1</f>
        <v>7</v>
      </c>
      <c r="O153" s="81">
        <f>2122.67+787.61+15453.48+6194.26+37549.5</f>
        <v>62107.519999999997</v>
      </c>
      <c r="P153" s="81">
        <f>2122.67+787.61+15453.48+6194.26+37549.5</f>
        <v>62107.519999999997</v>
      </c>
      <c r="Q153" s="79">
        <f t="shared" si="6"/>
        <v>0</v>
      </c>
    </row>
    <row r="154" spans="1:17" s="13" customFormat="1" x14ac:dyDescent="0.25">
      <c r="A154" s="229"/>
      <c r="B154" s="30" t="s">
        <v>90</v>
      </c>
      <c r="C154" s="181" t="s">
        <v>17</v>
      </c>
      <c r="D154" s="182"/>
      <c r="E154" s="194" t="s">
        <v>20</v>
      </c>
      <c r="F154" s="73" t="s">
        <v>466</v>
      </c>
      <c r="G154" s="230" t="s">
        <v>114</v>
      </c>
      <c r="H154" s="181">
        <v>19</v>
      </c>
      <c r="I154" s="231">
        <v>10</v>
      </c>
      <c r="J154" s="190">
        <v>10</v>
      </c>
      <c r="K154" s="77">
        <v>24517.56</v>
      </c>
      <c r="L154" s="77">
        <v>24517.56</v>
      </c>
      <c r="M154" s="78">
        <f t="shared" si="5"/>
        <v>0</v>
      </c>
      <c r="N154" s="100">
        <v>28</v>
      </c>
      <c r="O154" s="224">
        <v>115855.1</v>
      </c>
      <c r="P154" s="224">
        <v>115855.1</v>
      </c>
      <c r="Q154" s="232">
        <f t="shared" si="6"/>
        <v>0</v>
      </c>
    </row>
    <row r="155" spans="1:17" s="13" customFormat="1" x14ac:dyDescent="0.25">
      <c r="A155" s="229"/>
      <c r="B155" s="30" t="s">
        <v>91</v>
      </c>
      <c r="C155" s="181" t="s">
        <v>17</v>
      </c>
      <c r="D155" s="182"/>
      <c r="E155" s="194" t="s">
        <v>20</v>
      </c>
      <c r="F155" s="73" t="s">
        <v>399</v>
      </c>
      <c r="G155" s="74" t="s">
        <v>112</v>
      </c>
      <c r="H155" s="75"/>
      <c r="I155" s="76"/>
      <c r="J155" s="96"/>
      <c r="K155" s="77">
        <f>1091.81+1091.81</f>
        <v>2183.62</v>
      </c>
      <c r="L155" s="77">
        <f>1091.81+1091.81</f>
        <v>2183.62</v>
      </c>
      <c r="M155" s="78">
        <f t="shared" si="5"/>
        <v>0</v>
      </c>
      <c r="N155" s="100"/>
      <c r="O155" s="81"/>
      <c r="P155" s="81"/>
      <c r="Q155" s="79">
        <f t="shared" si="6"/>
        <v>0</v>
      </c>
    </row>
    <row r="156" spans="1:17" s="13" customFormat="1" x14ac:dyDescent="0.25">
      <c r="A156" s="229"/>
      <c r="B156" s="62" t="s">
        <v>138</v>
      </c>
      <c r="C156" s="181" t="s">
        <v>17</v>
      </c>
      <c r="D156" s="182"/>
      <c r="E156" s="194" t="s">
        <v>20</v>
      </c>
      <c r="F156" s="73" t="s">
        <v>467</v>
      </c>
      <c r="G156" s="230" t="s">
        <v>114</v>
      </c>
      <c r="H156" s="181">
        <v>18</v>
      </c>
      <c r="I156" s="231">
        <v>3</v>
      </c>
      <c r="J156" s="190">
        <v>3</v>
      </c>
      <c r="K156" s="193">
        <v>5542.2</v>
      </c>
      <c r="L156" s="193">
        <v>5542.2</v>
      </c>
      <c r="M156" s="78">
        <f t="shared" si="5"/>
        <v>0</v>
      </c>
      <c r="N156" s="114">
        <v>7</v>
      </c>
      <c r="O156" s="224">
        <v>16429.099999999999</v>
      </c>
      <c r="P156" s="224">
        <v>16429.099999999999</v>
      </c>
      <c r="Q156" s="232">
        <f t="shared" si="6"/>
        <v>0</v>
      </c>
    </row>
    <row r="157" spans="1:17" s="13" customFormat="1" x14ac:dyDescent="0.25">
      <c r="A157" s="229"/>
      <c r="B157" s="62" t="s">
        <v>138</v>
      </c>
      <c r="C157" s="181" t="s">
        <v>17</v>
      </c>
      <c r="D157" s="182"/>
      <c r="E157" s="194" t="s">
        <v>20</v>
      </c>
      <c r="F157" s="73" t="s">
        <v>400</v>
      </c>
      <c r="G157" s="74" t="s">
        <v>112</v>
      </c>
      <c r="H157" s="75">
        <v>15</v>
      </c>
      <c r="I157" s="82">
        <v>8</v>
      </c>
      <c r="J157" s="96">
        <f>3+1+1+2+2</f>
        <v>9</v>
      </c>
      <c r="K157" s="77">
        <f>2224.52+9639.33+3232.07+1625.67+1324.62</f>
        <v>18046.21</v>
      </c>
      <c r="L157" s="77">
        <f>2224.52+9639.33+3232.07+1625.67+1324.62</f>
        <v>18046.21</v>
      </c>
      <c r="M157" s="78">
        <f t="shared" si="5"/>
        <v>0</v>
      </c>
      <c r="N157" s="100">
        <f>5+4+2</f>
        <v>11</v>
      </c>
      <c r="O157" s="81">
        <f>8995.87+8641.99+5740.02</f>
        <v>23377.88</v>
      </c>
      <c r="P157" s="81">
        <f>8995.87+8641.99+5740.02</f>
        <v>23377.88</v>
      </c>
      <c r="Q157" s="79">
        <f t="shared" si="6"/>
        <v>0</v>
      </c>
    </row>
    <row r="158" spans="1:17" s="13" customFormat="1" x14ac:dyDescent="0.25">
      <c r="A158" s="229"/>
      <c r="B158" s="62" t="s">
        <v>157</v>
      </c>
      <c r="C158" s="181" t="s">
        <v>17</v>
      </c>
      <c r="D158" s="182"/>
      <c r="E158" s="194" t="s">
        <v>20</v>
      </c>
      <c r="F158" s="73" t="s">
        <v>401</v>
      </c>
      <c r="G158" s="74" t="s">
        <v>112</v>
      </c>
      <c r="H158" s="75">
        <v>15</v>
      </c>
      <c r="I158" s="82"/>
      <c r="J158" s="96"/>
      <c r="K158" s="77"/>
      <c r="L158" s="77"/>
      <c r="M158" s="78">
        <f t="shared" si="5"/>
        <v>0</v>
      </c>
      <c r="N158" s="100"/>
      <c r="O158" s="81"/>
      <c r="P158" s="81"/>
      <c r="Q158" s="232">
        <f t="shared" si="6"/>
        <v>0</v>
      </c>
    </row>
    <row r="159" spans="1:17" s="13" customFormat="1" x14ac:dyDescent="0.25">
      <c r="A159" s="229"/>
      <c r="B159" s="62" t="s">
        <v>515</v>
      </c>
      <c r="C159" s="181" t="s">
        <v>17</v>
      </c>
      <c r="D159" s="182"/>
      <c r="E159" s="194" t="s">
        <v>20</v>
      </c>
      <c r="F159" s="73" t="s">
        <v>519</v>
      </c>
      <c r="G159" s="74" t="s">
        <v>112</v>
      </c>
      <c r="H159" s="75">
        <v>7</v>
      </c>
      <c r="I159" s="82">
        <v>2</v>
      </c>
      <c r="J159" s="96">
        <f>1+1</f>
        <v>2</v>
      </c>
      <c r="K159" s="77"/>
      <c r="L159" s="77"/>
      <c r="M159" s="78">
        <f t="shared" si="5"/>
        <v>0</v>
      </c>
      <c r="N159" s="100"/>
      <c r="O159" s="81"/>
      <c r="P159" s="81"/>
      <c r="Q159" s="232"/>
    </row>
    <row r="160" spans="1:17" s="15" customFormat="1" x14ac:dyDescent="0.25">
      <c r="A160" s="229"/>
      <c r="B160" s="62" t="s">
        <v>92</v>
      </c>
      <c r="C160" s="181" t="s">
        <v>17</v>
      </c>
      <c r="D160" s="182"/>
      <c r="E160" s="194" t="s">
        <v>20</v>
      </c>
      <c r="F160" s="73" t="s">
        <v>402</v>
      </c>
      <c r="G160" s="74" t="s">
        <v>112</v>
      </c>
      <c r="H160" s="75">
        <v>13</v>
      </c>
      <c r="I160" s="76">
        <v>12</v>
      </c>
      <c r="J160" s="96">
        <f>1+2+5+2+2</f>
        <v>12</v>
      </c>
      <c r="K160" s="77">
        <f>1951.74+1335.1+2996.76+883.08+842.94</f>
        <v>8009.6200000000008</v>
      </c>
      <c r="L160" s="77">
        <f>1951.74+1335.1+2996.76+883.08+842.94</f>
        <v>8009.6200000000008</v>
      </c>
      <c r="M160" s="78">
        <f t="shared" si="5"/>
        <v>0</v>
      </c>
      <c r="N160" s="100">
        <f>4+1+1</f>
        <v>6</v>
      </c>
      <c r="O160" s="81">
        <f>12624.74+2697.06+1225.93</f>
        <v>16547.73</v>
      </c>
      <c r="P160" s="81">
        <f>12624.74+2697.06+1225.93</f>
        <v>16547.73</v>
      </c>
      <c r="Q160" s="232">
        <f t="shared" si="6"/>
        <v>0</v>
      </c>
    </row>
    <row r="161" spans="1:17" s="15" customFormat="1" x14ac:dyDescent="0.25">
      <c r="A161" s="229"/>
      <c r="B161" s="62" t="s">
        <v>92</v>
      </c>
      <c r="C161" s="181" t="s">
        <v>17</v>
      </c>
      <c r="D161" s="182"/>
      <c r="E161" s="194" t="s">
        <v>20</v>
      </c>
      <c r="F161" s="73" t="s">
        <v>129</v>
      </c>
      <c r="G161" s="230" t="s">
        <v>114</v>
      </c>
      <c r="H161" s="181"/>
      <c r="I161" s="231"/>
      <c r="J161" s="190"/>
      <c r="K161" s="77"/>
      <c r="L161" s="77"/>
      <c r="M161" s="78">
        <f t="shared" si="5"/>
        <v>0</v>
      </c>
      <c r="N161" s="114"/>
      <c r="O161" s="224"/>
      <c r="P161" s="224"/>
      <c r="Q161" s="232">
        <f t="shared" si="6"/>
        <v>0</v>
      </c>
    </row>
    <row r="162" spans="1:17" s="13" customFormat="1" x14ac:dyDescent="0.25">
      <c r="A162" s="229"/>
      <c r="B162" s="30" t="s">
        <v>93</v>
      </c>
      <c r="C162" s="181" t="s">
        <v>17</v>
      </c>
      <c r="D162" s="182"/>
      <c r="E162" s="183" t="s">
        <v>94</v>
      </c>
      <c r="F162" s="73" t="s">
        <v>403</v>
      </c>
      <c r="G162" s="74" t="s">
        <v>112</v>
      </c>
      <c r="H162" s="75">
        <v>7</v>
      </c>
      <c r="I162" s="76">
        <v>2</v>
      </c>
      <c r="J162" s="96">
        <f>2</f>
        <v>2</v>
      </c>
      <c r="K162" s="77">
        <f>2336.84</f>
        <v>2336.84</v>
      </c>
      <c r="L162" s="77">
        <f>2336.84</f>
        <v>2336.84</v>
      </c>
      <c r="M162" s="78">
        <f t="shared" si="5"/>
        <v>0</v>
      </c>
      <c r="N162" s="100">
        <f>3+8</f>
        <v>11</v>
      </c>
      <c r="O162" s="81">
        <f>20117.75</f>
        <v>20117.75</v>
      </c>
      <c r="P162" s="81">
        <f>20117.75</f>
        <v>20117.75</v>
      </c>
      <c r="Q162" s="232">
        <f t="shared" si="6"/>
        <v>0</v>
      </c>
    </row>
    <row r="163" spans="1:17" s="13" customFormat="1" x14ac:dyDescent="0.25">
      <c r="A163" s="229"/>
      <c r="B163" s="30" t="s">
        <v>93</v>
      </c>
      <c r="C163" s="181" t="s">
        <v>17</v>
      </c>
      <c r="D163" s="182"/>
      <c r="E163" s="183" t="s">
        <v>94</v>
      </c>
      <c r="F163" s="73" t="s">
        <v>130</v>
      </c>
      <c r="G163" s="230" t="s">
        <v>114</v>
      </c>
      <c r="H163" s="181"/>
      <c r="I163" s="231"/>
      <c r="J163" s="190"/>
      <c r="K163" s="77"/>
      <c r="L163" s="77"/>
      <c r="M163" s="78">
        <f t="shared" si="5"/>
        <v>0</v>
      </c>
      <c r="N163" s="100"/>
      <c r="O163" s="224"/>
      <c r="P163" s="224"/>
      <c r="Q163" s="232">
        <f t="shared" si="6"/>
        <v>0</v>
      </c>
    </row>
    <row r="164" spans="1:17" s="13" customFormat="1" x14ac:dyDescent="0.25">
      <c r="A164" s="229"/>
      <c r="B164" s="30" t="s">
        <v>93</v>
      </c>
      <c r="C164" s="181" t="s">
        <v>17</v>
      </c>
      <c r="D164" s="182"/>
      <c r="E164" s="183" t="s">
        <v>94</v>
      </c>
      <c r="F164" s="73" t="s">
        <v>240</v>
      </c>
      <c r="G164" s="230" t="s">
        <v>118</v>
      </c>
      <c r="H164" s="181"/>
      <c r="I164" s="231"/>
      <c r="J164" s="96"/>
      <c r="K164" s="77"/>
      <c r="L164" s="77"/>
      <c r="M164" s="78">
        <f t="shared" si="5"/>
        <v>0</v>
      </c>
      <c r="N164" s="100"/>
      <c r="O164" s="224"/>
      <c r="P164" s="224"/>
      <c r="Q164" s="232">
        <f t="shared" si="6"/>
        <v>0</v>
      </c>
    </row>
    <row r="165" spans="1:17" s="13" customFormat="1" x14ac:dyDescent="0.25">
      <c r="A165" s="229"/>
      <c r="B165" s="30" t="s">
        <v>95</v>
      </c>
      <c r="C165" s="181" t="s">
        <v>17</v>
      </c>
      <c r="D165" s="182"/>
      <c r="E165" s="194" t="s">
        <v>20</v>
      </c>
      <c r="F165" s="73" t="s">
        <v>404</v>
      </c>
      <c r="G165" s="74" t="s">
        <v>112</v>
      </c>
      <c r="H165" s="75">
        <v>23</v>
      </c>
      <c r="I165" s="76">
        <v>11</v>
      </c>
      <c r="J165" s="96">
        <f>1+4+4+5+2+1</f>
        <v>17</v>
      </c>
      <c r="K165" s="77">
        <f>1061.35+5770.05+5238.9+6606.04+6345.59</f>
        <v>25021.93</v>
      </c>
      <c r="L165" s="77">
        <f>1061.35+5770.05+5238.9+6606.04+6345.59</f>
        <v>25021.93</v>
      </c>
      <c r="M165" s="78">
        <f t="shared" si="5"/>
        <v>0</v>
      </c>
      <c r="N165" s="100">
        <f>1+6+1+4+1+1+1</f>
        <v>15</v>
      </c>
      <c r="O165" s="81">
        <f>11603.82+7559.28+6777.29+24757.02+4991.61</f>
        <v>55689.020000000004</v>
      </c>
      <c r="P165" s="81">
        <f>11603.82+7559.28+6777.29+24757.02+4991.61</f>
        <v>55689.020000000004</v>
      </c>
      <c r="Q165" s="79">
        <f t="shared" si="6"/>
        <v>0</v>
      </c>
    </row>
    <row r="166" spans="1:17" s="13" customFormat="1" x14ac:dyDescent="0.25">
      <c r="A166" s="229"/>
      <c r="B166" s="30" t="s">
        <v>95</v>
      </c>
      <c r="C166" s="181" t="s">
        <v>17</v>
      </c>
      <c r="D166" s="182"/>
      <c r="E166" s="194" t="s">
        <v>20</v>
      </c>
      <c r="F166" s="73" t="s">
        <v>291</v>
      </c>
      <c r="G166" s="230" t="s">
        <v>114</v>
      </c>
      <c r="H166" s="181">
        <v>12</v>
      </c>
      <c r="I166" s="231">
        <v>5</v>
      </c>
      <c r="J166" s="190">
        <v>5</v>
      </c>
      <c r="K166" s="77">
        <v>6270.46</v>
      </c>
      <c r="L166" s="77">
        <v>6270.46</v>
      </c>
      <c r="M166" s="78">
        <f t="shared" si="5"/>
        <v>0</v>
      </c>
      <c r="N166" s="100">
        <v>14</v>
      </c>
      <c r="O166" s="224">
        <v>32601.05</v>
      </c>
      <c r="P166" s="224">
        <v>32601.05</v>
      </c>
      <c r="Q166" s="232">
        <f t="shared" si="6"/>
        <v>0</v>
      </c>
    </row>
    <row r="167" spans="1:17" s="13" customFormat="1" x14ac:dyDescent="0.25">
      <c r="A167" s="229"/>
      <c r="B167" s="30" t="s">
        <v>96</v>
      </c>
      <c r="C167" s="181" t="s">
        <v>17</v>
      </c>
      <c r="D167" s="182"/>
      <c r="E167" s="194" t="s">
        <v>97</v>
      </c>
      <c r="F167" s="73" t="s">
        <v>405</v>
      </c>
      <c r="G167" s="74" t="s">
        <v>112</v>
      </c>
      <c r="H167" s="75">
        <v>1</v>
      </c>
      <c r="I167" s="76">
        <v>1</v>
      </c>
      <c r="J167" s="96">
        <f>2</f>
        <v>2</v>
      </c>
      <c r="K167" s="77">
        <f>3187.92</f>
        <v>3187.92</v>
      </c>
      <c r="L167" s="77">
        <f>3187.92</f>
        <v>3187.92</v>
      </c>
      <c r="M167" s="78">
        <f t="shared" si="5"/>
        <v>0</v>
      </c>
      <c r="N167" s="103">
        <f>1+2+1+2</f>
        <v>6</v>
      </c>
      <c r="O167" s="77">
        <f>1742.31+9358.48+3187.92</f>
        <v>14288.71</v>
      </c>
      <c r="P167" s="77">
        <f>1742.31+9358.48+3187.92</f>
        <v>14288.71</v>
      </c>
      <c r="Q167" s="79">
        <f t="shared" si="6"/>
        <v>0</v>
      </c>
    </row>
    <row r="168" spans="1:17" s="13" customFormat="1" x14ac:dyDescent="0.25">
      <c r="A168" s="229"/>
      <c r="B168" s="30" t="s">
        <v>96</v>
      </c>
      <c r="C168" s="181" t="s">
        <v>17</v>
      </c>
      <c r="D168" s="182"/>
      <c r="E168" s="194" t="s">
        <v>97</v>
      </c>
      <c r="F168" s="73" t="s">
        <v>468</v>
      </c>
      <c r="G168" s="230" t="s">
        <v>114</v>
      </c>
      <c r="H168" s="181">
        <v>1</v>
      </c>
      <c r="I168" s="231">
        <v>1</v>
      </c>
      <c r="J168" s="190">
        <v>1</v>
      </c>
      <c r="K168" s="77">
        <v>1204.2</v>
      </c>
      <c r="L168" s="77">
        <v>1204.2</v>
      </c>
      <c r="M168" s="78">
        <f t="shared" si="5"/>
        <v>0</v>
      </c>
      <c r="N168" s="100">
        <v>6</v>
      </c>
      <c r="O168" s="224">
        <v>18393.400000000001</v>
      </c>
      <c r="P168" s="224">
        <v>18393.400000000001</v>
      </c>
      <c r="Q168" s="232">
        <f t="shared" si="6"/>
        <v>0</v>
      </c>
    </row>
    <row r="169" spans="1:17" s="13" customFormat="1" x14ac:dyDescent="0.25">
      <c r="A169" s="229"/>
      <c r="B169" s="30" t="s">
        <v>98</v>
      </c>
      <c r="C169" s="181" t="s">
        <v>17</v>
      </c>
      <c r="D169" s="182"/>
      <c r="E169" s="194" t="s">
        <v>35</v>
      </c>
      <c r="F169" s="73" t="s">
        <v>406</v>
      </c>
      <c r="G169" s="74" t="s">
        <v>112</v>
      </c>
      <c r="H169" s="75">
        <v>46</v>
      </c>
      <c r="I169" s="76">
        <v>32</v>
      </c>
      <c r="J169" s="96">
        <f>1+2+1+1+4+4+1+2+1+5+5+3</f>
        <v>30</v>
      </c>
      <c r="K169" s="77">
        <f>845.24+1764.25+8353.03+1298.98+7610.68+13826.64+2752.31+9720.26+116979.76-2616.91+4851.2+993.47+3498.2</f>
        <v>169877.11000000002</v>
      </c>
      <c r="L169" s="77">
        <f>845.24+1764.25+8353.03+1298.98+7610.68+13826.64+2752.31+9720.26+116979.76-2616.91+4851.2+993.47+3498.2</f>
        <v>169877.11000000002</v>
      </c>
      <c r="M169" s="78">
        <f t="shared" si="5"/>
        <v>0</v>
      </c>
      <c r="N169" s="100">
        <f>9+1+1+4+2+1+2+4+2+1+1+1</f>
        <v>29</v>
      </c>
      <c r="O169" s="81">
        <f>76864.27+883.08+47501.34+5480.06+4025.41</f>
        <v>134754.16</v>
      </c>
      <c r="P169" s="81">
        <f>76864.27+883.08+47501.34+5480.06+4025.41</f>
        <v>134754.16</v>
      </c>
      <c r="Q169" s="79">
        <f t="shared" si="6"/>
        <v>0</v>
      </c>
    </row>
    <row r="170" spans="1:17" s="13" customFormat="1" x14ac:dyDescent="0.25">
      <c r="A170" s="229"/>
      <c r="B170" s="30" t="s">
        <v>98</v>
      </c>
      <c r="C170" s="181" t="s">
        <v>17</v>
      </c>
      <c r="D170" s="182"/>
      <c r="E170" s="194" t="s">
        <v>35</v>
      </c>
      <c r="F170" s="73" t="s">
        <v>435</v>
      </c>
      <c r="G170" s="235" t="s">
        <v>117</v>
      </c>
      <c r="H170" s="181">
        <v>6</v>
      </c>
      <c r="I170" s="231">
        <v>2</v>
      </c>
      <c r="J170" s="96">
        <v>2</v>
      </c>
      <c r="K170" s="77">
        <v>2486.83</v>
      </c>
      <c r="L170" s="77">
        <v>2486.83</v>
      </c>
      <c r="M170" s="78">
        <f t="shared" si="5"/>
        <v>0</v>
      </c>
      <c r="N170" s="100">
        <v>5</v>
      </c>
      <c r="O170" s="77">
        <v>18950.45</v>
      </c>
      <c r="P170" s="77">
        <v>18950.45</v>
      </c>
      <c r="Q170" s="232">
        <f t="shared" si="6"/>
        <v>0</v>
      </c>
    </row>
    <row r="171" spans="1:17" s="13" customFormat="1" x14ac:dyDescent="0.25">
      <c r="A171" s="229"/>
      <c r="B171" s="30" t="s">
        <v>488</v>
      </c>
      <c r="C171" s="181" t="s">
        <v>17</v>
      </c>
      <c r="D171" s="182"/>
      <c r="E171" s="194" t="s">
        <v>97</v>
      </c>
      <c r="F171" s="73" t="s">
        <v>498</v>
      </c>
      <c r="G171" s="235" t="s">
        <v>112</v>
      </c>
      <c r="H171" s="181">
        <v>16</v>
      </c>
      <c r="I171" s="231">
        <v>12</v>
      </c>
      <c r="J171" s="96">
        <f>4+1+1+2+3+1</f>
        <v>12</v>
      </c>
      <c r="K171" s="77">
        <f>1535.8+576.3+802.8+4667.08+421.47</f>
        <v>8003.45</v>
      </c>
      <c r="L171" s="77">
        <f>1535.8+576.3+802.8+4667.08+421.47</f>
        <v>8003.45</v>
      </c>
      <c r="M171" s="78">
        <f t="shared" si="5"/>
        <v>0</v>
      </c>
      <c r="N171" s="100"/>
      <c r="O171" s="77"/>
      <c r="P171" s="77"/>
      <c r="Q171" s="232"/>
    </row>
    <row r="172" spans="1:17" s="15" customFormat="1" x14ac:dyDescent="0.25">
      <c r="A172" s="229"/>
      <c r="B172" s="30" t="s">
        <v>99</v>
      </c>
      <c r="C172" s="181" t="s">
        <v>17</v>
      </c>
      <c r="D172" s="182"/>
      <c r="E172" s="183" t="s">
        <v>32</v>
      </c>
      <c r="F172" s="73" t="s">
        <v>418</v>
      </c>
      <c r="G172" s="74" t="s">
        <v>112</v>
      </c>
      <c r="H172" s="75"/>
      <c r="I172" s="76"/>
      <c r="J172" s="96"/>
      <c r="K172" s="77"/>
      <c r="L172" s="77"/>
      <c r="M172" s="78">
        <f t="shared" si="5"/>
        <v>0</v>
      </c>
      <c r="N172" s="100"/>
      <c r="O172" s="81"/>
      <c r="P172" s="81"/>
      <c r="Q172" s="79">
        <f t="shared" si="6"/>
        <v>0</v>
      </c>
    </row>
    <row r="173" spans="1:17" s="15" customFormat="1" x14ac:dyDescent="0.25">
      <c r="A173" s="229"/>
      <c r="B173" s="30" t="s">
        <v>99</v>
      </c>
      <c r="C173" s="181" t="s">
        <v>17</v>
      </c>
      <c r="D173" s="182"/>
      <c r="E173" s="183" t="s">
        <v>32</v>
      </c>
      <c r="F173" s="73" t="s">
        <v>423</v>
      </c>
      <c r="G173" s="235" t="s">
        <v>117</v>
      </c>
      <c r="H173" s="181"/>
      <c r="I173" s="231"/>
      <c r="J173" s="190"/>
      <c r="K173" s="77"/>
      <c r="L173" s="77"/>
      <c r="M173" s="78">
        <f t="shared" si="5"/>
        <v>0</v>
      </c>
      <c r="N173" s="114"/>
      <c r="O173" s="77"/>
      <c r="P173" s="77"/>
      <c r="Q173" s="232">
        <f t="shared" si="6"/>
        <v>0</v>
      </c>
    </row>
    <row r="174" spans="1:17" s="15" customFormat="1" ht="15" customHeight="1" x14ac:dyDescent="0.25">
      <c r="A174" s="229"/>
      <c r="B174" s="30" t="s">
        <v>144</v>
      </c>
      <c r="C174" s="181" t="s">
        <v>304</v>
      </c>
      <c r="D174" s="182" t="s">
        <v>313</v>
      </c>
      <c r="E174" s="194" t="s">
        <v>97</v>
      </c>
      <c r="F174" s="73" t="s">
        <v>407</v>
      </c>
      <c r="G174" s="66" t="s">
        <v>112</v>
      </c>
      <c r="H174" s="75">
        <v>23</v>
      </c>
      <c r="I174" s="76">
        <v>21</v>
      </c>
      <c r="J174" s="98">
        <f>2+2+1+3+1+1+5+2+1+4+2+4+1</f>
        <v>29</v>
      </c>
      <c r="K174" s="77">
        <f>950.9+1449.39+2272.32+2785.92+5112.01+6655.23+3700.19+4208.95+6370.42</f>
        <v>33505.33</v>
      </c>
      <c r="L174" s="77">
        <f>950.9+1449.39+2272.32+2785.92+5112.01+6655.23+3700.19+4208.95+6370.42</f>
        <v>33505.33</v>
      </c>
      <c r="M174" s="78">
        <f t="shared" si="5"/>
        <v>0</v>
      </c>
      <c r="N174" s="100">
        <f>3+2+1+1+1+1+1+1</f>
        <v>11</v>
      </c>
      <c r="O174" s="77">
        <f>5020.57+5566.06+2694.94+845.24+2460.18</f>
        <v>16586.990000000002</v>
      </c>
      <c r="P174" s="77">
        <f>5020.57+5566.06+2694.94+845.24+2460.18</f>
        <v>16586.990000000002</v>
      </c>
      <c r="Q174" s="79">
        <f t="shared" si="6"/>
        <v>0</v>
      </c>
    </row>
    <row r="175" spans="1:17" s="15" customFormat="1" x14ac:dyDescent="0.25">
      <c r="A175" s="229"/>
      <c r="B175" s="30" t="s">
        <v>488</v>
      </c>
      <c r="C175" s="181"/>
      <c r="D175" s="182"/>
      <c r="E175" s="194"/>
      <c r="F175" s="73" t="s">
        <v>509</v>
      </c>
      <c r="G175" s="66" t="s">
        <v>114</v>
      </c>
      <c r="H175" s="75">
        <v>28</v>
      </c>
      <c r="I175" s="76">
        <v>15</v>
      </c>
      <c r="J175" s="98">
        <v>15</v>
      </c>
      <c r="K175" s="77">
        <v>32602.84</v>
      </c>
      <c r="L175" s="77">
        <v>32602.84</v>
      </c>
      <c r="M175" s="78">
        <f t="shared" si="5"/>
        <v>0</v>
      </c>
      <c r="N175" s="100"/>
      <c r="O175" s="77"/>
      <c r="P175" s="77"/>
      <c r="Q175" s="232">
        <f t="shared" si="6"/>
        <v>0</v>
      </c>
    </row>
    <row r="176" spans="1:17" s="15" customFormat="1" x14ac:dyDescent="0.25">
      <c r="A176" s="229"/>
      <c r="B176" s="30" t="s">
        <v>514</v>
      </c>
      <c r="C176" s="181"/>
      <c r="D176" s="182"/>
      <c r="E176" s="194" t="s">
        <v>18</v>
      </c>
      <c r="F176" s="73"/>
      <c r="G176" s="66" t="s">
        <v>116</v>
      </c>
      <c r="H176" s="75">
        <v>6</v>
      </c>
      <c r="I176" s="76">
        <v>1</v>
      </c>
      <c r="J176" s="98">
        <v>1</v>
      </c>
      <c r="K176" s="77">
        <v>1766</v>
      </c>
      <c r="L176" s="77">
        <v>1766</v>
      </c>
      <c r="M176" s="78">
        <f t="shared" si="5"/>
        <v>0</v>
      </c>
      <c r="N176" s="100"/>
      <c r="O176" s="77"/>
      <c r="P176" s="77"/>
      <c r="Q176" s="232"/>
    </row>
    <row r="177" spans="1:17" s="15" customFormat="1" x14ac:dyDescent="0.25">
      <c r="A177" s="229"/>
      <c r="B177" s="30" t="s">
        <v>488</v>
      </c>
      <c r="C177" s="181"/>
      <c r="D177" s="182"/>
      <c r="E177" s="194"/>
      <c r="F177" s="73" t="s">
        <v>512</v>
      </c>
      <c r="G177" s="66" t="s">
        <v>116</v>
      </c>
      <c r="H177" s="75">
        <v>13</v>
      </c>
      <c r="I177" s="76">
        <v>7</v>
      </c>
      <c r="J177" s="98">
        <v>7</v>
      </c>
      <c r="K177" s="77">
        <v>12080</v>
      </c>
      <c r="L177" s="77">
        <v>12080</v>
      </c>
      <c r="M177" s="78">
        <f t="shared" si="5"/>
        <v>0</v>
      </c>
      <c r="N177" s="100"/>
      <c r="O177" s="77"/>
      <c r="P177" s="77"/>
      <c r="Q177" s="79"/>
    </row>
    <row r="178" spans="1:17" s="15" customFormat="1" ht="15" customHeight="1" x14ac:dyDescent="0.25">
      <c r="A178" s="229"/>
      <c r="B178" s="238" t="s">
        <v>144</v>
      </c>
      <c r="C178" s="181" t="s">
        <v>446</v>
      </c>
      <c r="D178" s="182" t="s">
        <v>313</v>
      </c>
      <c r="E178" s="183" t="s">
        <v>20</v>
      </c>
      <c r="F178" s="73" t="s">
        <v>485</v>
      </c>
      <c r="G178" s="235" t="s">
        <v>114</v>
      </c>
      <c r="H178" s="181">
        <v>42</v>
      </c>
      <c r="I178" s="234">
        <v>21</v>
      </c>
      <c r="J178" s="202">
        <v>21</v>
      </c>
      <c r="K178" s="77">
        <v>48146.53</v>
      </c>
      <c r="L178" s="77">
        <v>48146.53</v>
      </c>
      <c r="M178" s="78">
        <f t="shared" si="5"/>
        <v>0</v>
      </c>
      <c r="N178" s="100">
        <v>22</v>
      </c>
      <c r="O178" s="224">
        <v>55283.8</v>
      </c>
      <c r="P178" s="224">
        <v>55283.8</v>
      </c>
      <c r="Q178" s="232">
        <f t="shared" ref="Q178" si="7">O178-P178</f>
        <v>0</v>
      </c>
    </row>
    <row r="179" spans="1:17" s="21" customFormat="1" ht="15" customHeight="1" x14ac:dyDescent="0.25">
      <c r="A179" s="181"/>
      <c r="B179" s="30" t="s">
        <v>100</v>
      </c>
      <c r="C179" s="181" t="s">
        <v>304</v>
      </c>
      <c r="D179" s="182" t="s">
        <v>416</v>
      </c>
      <c r="E179" s="194" t="s">
        <v>20</v>
      </c>
      <c r="F179" s="73" t="s">
        <v>408</v>
      </c>
      <c r="G179" s="27" t="s">
        <v>112</v>
      </c>
      <c r="H179" s="75">
        <v>34</v>
      </c>
      <c r="I179" s="76">
        <v>20</v>
      </c>
      <c r="J179" s="98">
        <f>5+1+4+6+4+2+4</f>
        <v>26</v>
      </c>
      <c r="K179" s="86">
        <f>6524.55+600.31+19349.45+15377.18+2248.86</f>
        <v>44100.350000000006</v>
      </c>
      <c r="L179" s="86">
        <f>6524.55+600.31+19349.45+15377.18+2248.86</f>
        <v>44100.350000000006</v>
      </c>
      <c r="M179" s="78">
        <f t="shared" si="5"/>
        <v>0</v>
      </c>
      <c r="N179" s="100">
        <f>1+3+2+3+1+1</f>
        <v>11</v>
      </c>
      <c r="O179" s="87">
        <f>10770.58+2113.01+3508.24+19305.88+22849.19+23443.77</f>
        <v>81990.670000000013</v>
      </c>
      <c r="P179" s="87">
        <f>10770.58+2113.01+3508.24+19305.88+22849.19+23443.77</f>
        <v>81990.670000000013</v>
      </c>
      <c r="Q179" s="79">
        <f t="shared" si="6"/>
        <v>0</v>
      </c>
    </row>
    <row r="180" spans="1:17" s="21" customFormat="1" ht="15" customHeight="1" x14ac:dyDescent="0.25">
      <c r="A180" s="181"/>
      <c r="B180" s="30" t="s">
        <v>100</v>
      </c>
      <c r="C180" s="203" t="s">
        <v>125</v>
      </c>
      <c r="D180" s="182" t="s">
        <v>126</v>
      </c>
      <c r="E180" s="194" t="s">
        <v>20</v>
      </c>
      <c r="F180" s="73" t="s">
        <v>486</v>
      </c>
      <c r="G180" s="236" t="s">
        <v>114</v>
      </c>
      <c r="H180" s="181">
        <v>12</v>
      </c>
      <c r="I180" s="234">
        <v>2</v>
      </c>
      <c r="J180" s="202">
        <v>2</v>
      </c>
      <c r="K180" s="86">
        <v>17316</v>
      </c>
      <c r="L180" s="86">
        <v>17316</v>
      </c>
      <c r="M180" s="78">
        <f t="shared" si="5"/>
        <v>0</v>
      </c>
      <c r="N180" s="100"/>
      <c r="O180" s="239">
        <v>71568.429999999993</v>
      </c>
      <c r="P180" s="239">
        <v>71568.429999999993</v>
      </c>
      <c r="Q180" s="232">
        <f t="shared" si="6"/>
        <v>0</v>
      </c>
    </row>
    <row r="181" spans="1:17" s="13" customFormat="1" x14ac:dyDescent="0.25">
      <c r="A181" s="229"/>
      <c r="B181" s="62" t="s">
        <v>101</v>
      </c>
      <c r="C181" s="181" t="s">
        <v>17</v>
      </c>
      <c r="D181" s="182"/>
      <c r="E181" s="194" t="s">
        <v>20</v>
      </c>
      <c r="F181" s="73" t="s">
        <v>409</v>
      </c>
      <c r="G181" s="74" t="s">
        <v>112</v>
      </c>
      <c r="H181" s="75">
        <v>18</v>
      </c>
      <c r="I181" s="76">
        <v>8</v>
      </c>
      <c r="J181" s="96">
        <f>1+5+1+1+2+2+1</f>
        <v>13</v>
      </c>
      <c r="K181" s="77">
        <v>9863.65</v>
      </c>
      <c r="L181" s="77">
        <v>9863.65</v>
      </c>
      <c r="M181" s="78">
        <f t="shared" si="5"/>
        <v>0</v>
      </c>
      <c r="N181" s="100">
        <f>5+2+1+1+1</f>
        <v>10</v>
      </c>
      <c r="O181" s="81">
        <f>6288.07+3061.62+3426.18+12951.18</f>
        <v>25727.05</v>
      </c>
      <c r="P181" s="81">
        <f>6288.07+3061.62+3426.18+12951.18</f>
        <v>25727.05</v>
      </c>
      <c r="Q181" s="79">
        <f t="shared" si="6"/>
        <v>0</v>
      </c>
    </row>
    <row r="182" spans="1:17" s="13" customFormat="1" x14ac:dyDescent="0.25">
      <c r="A182" s="229"/>
      <c r="B182" s="62" t="s">
        <v>146</v>
      </c>
      <c r="C182" s="181" t="s">
        <v>17</v>
      </c>
      <c r="D182" s="182"/>
      <c r="E182" s="194" t="s">
        <v>20</v>
      </c>
      <c r="F182" s="73" t="s">
        <v>410</v>
      </c>
      <c r="G182" s="74" t="s">
        <v>112</v>
      </c>
      <c r="H182" s="75">
        <v>17</v>
      </c>
      <c r="I182" s="76">
        <v>14</v>
      </c>
      <c r="J182" s="96">
        <f>4+1+1+2+1+2+1+1+1+1</f>
        <v>15</v>
      </c>
      <c r="K182" s="77">
        <f>4610.77+1568.98+1854.88+422.62+1334.13+2599.07+5262.18+1092.81+1092.81+481.68</f>
        <v>20319.930000000004</v>
      </c>
      <c r="L182" s="77">
        <f>4610.77+1568.98+1854.88+422.62+1334.13+2599.07+5262.18+1092.81+1092.81+481.68</f>
        <v>20319.930000000004</v>
      </c>
      <c r="M182" s="78">
        <f t="shared" si="5"/>
        <v>0</v>
      </c>
      <c r="N182" s="100">
        <f>5+1+1+2+1+1+1</f>
        <v>12</v>
      </c>
      <c r="O182" s="81">
        <f>13579.06+1287.07+2636.18+26196.83+1204.2</f>
        <v>44903.34</v>
      </c>
      <c r="P182" s="81">
        <f>13579.06+1287.07+2636.18+26196.83+1204.2</f>
        <v>44903.34</v>
      </c>
      <c r="Q182" s="232">
        <f t="shared" si="6"/>
        <v>0</v>
      </c>
    </row>
    <row r="183" spans="1:17" s="13" customFormat="1" x14ac:dyDescent="0.25">
      <c r="A183" s="229"/>
      <c r="B183" s="62" t="s">
        <v>146</v>
      </c>
      <c r="C183" s="181" t="s">
        <v>17</v>
      </c>
      <c r="D183" s="182"/>
      <c r="E183" s="183" t="s">
        <v>21</v>
      </c>
      <c r="F183" s="73" t="s">
        <v>443</v>
      </c>
      <c r="G183" s="230" t="s">
        <v>118</v>
      </c>
      <c r="H183" s="181">
        <v>16</v>
      </c>
      <c r="I183" s="234">
        <v>5</v>
      </c>
      <c r="J183" s="190">
        <v>5</v>
      </c>
      <c r="K183" s="193">
        <v>9341.16</v>
      </c>
      <c r="L183" s="193">
        <v>9341.16</v>
      </c>
      <c r="M183" s="78">
        <f t="shared" si="5"/>
        <v>0</v>
      </c>
      <c r="N183" s="114">
        <v>6</v>
      </c>
      <c r="O183" s="224">
        <v>3363.06</v>
      </c>
      <c r="P183" s="224">
        <v>3363.06</v>
      </c>
      <c r="Q183" s="79">
        <f t="shared" si="6"/>
        <v>0</v>
      </c>
    </row>
    <row r="184" spans="1:17" s="13" customFormat="1" x14ac:dyDescent="0.25">
      <c r="A184" s="229"/>
      <c r="B184" s="27" t="s">
        <v>102</v>
      </c>
      <c r="C184" s="181" t="s">
        <v>17</v>
      </c>
      <c r="D184" s="182"/>
      <c r="E184" s="194" t="s">
        <v>20</v>
      </c>
      <c r="F184" s="73" t="s">
        <v>411</v>
      </c>
      <c r="G184" s="74" t="s">
        <v>112</v>
      </c>
      <c r="H184" s="75">
        <v>14</v>
      </c>
      <c r="I184" s="76">
        <v>11</v>
      </c>
      <c r="J184" s="96">
        <f>1+1+2+1+2+1+3</f>
        <v>11</v>
      </c>
      <c r="K184" s="77">
        <f>845.24+845.24+1690.48+1394.65+2689.38+1324.62</f>
        <v>8789.61</v>
      </c>
      <c r="L184" s="77">
        <f>845.24+845.24+1690.48+1394.65+2689.38+1324.62</f>
        <v>8789.61</v>
      </c>
      <c r="M184" s="78">
        <f t="shared" si="5"/>
        <v>0</v>
      </c>
      <c r="N184" s="100">
        <f>3+1+1+1+1</f>
        <v>7</v>
      </c>
      <c r="O184" s="81">
        <f>7808.21+30833.77-12193.52+9963.17+5385.9+14660.89</f>
        <v>56458.420000000006</v>
      </c>
      <c r="P184" s="81">
        <f>7808.21+30833.77-12193.52+9963.17+5385.9+14660.89</f>
        <v>56458.420000000006</v>
      </c>
      <c r="Q184" s="232">
        <f t="shared" si="6"/>
        <v>0</v>
      </c>
    </row>
    <row r="185" spans="1:17" s="13" customFormat="1" x14ac:dyDescent="0.25">
      <c r="A185" s="229"/>
      <c r="B185" s="27" t="s">
        <v>102</v>
      </c>
      <c r="C185" s="181" t="s">
        <v>17</v>
      </c>
      <c r="D185" s="182"/>
      <c r="E185" s="194" t="s">
        <v>20</v>
      </c>
      <c r="F185" s="73" t="s">
        <v>469</v>
      </c>
      <c r="G185" s="230" t="s">
        <v>114</v>
      </c>
      <c r="H185" s="181">
        <v>10</v>
      </c>
      <c r="I185" s="231">
        <v>3</v>
      </c>
      <c r="J185" s="190">
        <v>3</v>
      </c>
      <c r="K185" s="77">
        <v>7690.26</v>
      </c>
      <c r="L185" s="77">
        <v>7690.26</v>
      </c>
      <c r="M185" s="78">
        <f t="shared" si="5"/>
        <v>0</v>
      </c>
      <c r="N185" s="100">
        <v>8</v>
      </c>
      <c r="O185" s="224">
        <v>31795.42</v>
      </c>
      <c r="P185" s="224">
        <v>31795.42</v>
      </c>
      <c r="Q185" s="232">
        <f t="shared" si="6"/>
        <v>0</v>
      </c>
    </row>
    <row r="186" spans="1:17" s="13" customFormat="1" x14ac:dyDescent="0.25">
      <c r="A186" s="229"/>
      <c r="B186" s="27" t="s">
        <v>103</v>
      </c>
      <c r="C186" s="181" t="s">
        <v>17</v>
      </c>
      <c r="D186" s="182"/>
      <c r="E186" s="183" t="s">
        <v>20</v>
      </c>
      <c r="F186" s="73" t="s">
        <v>412</v>
      </c>
      <c r="G186" s="74" t="s">
        <v>112</v>
      </c>
      <c r="H186" s="75">
        <v>17</v>
      </c>
      <c r="I186" s="76">
        <v>11</v>
      </c>
      <c r="J186" s="96">
        <f>4+1+2+3+1+1</f>
        <v>12</v>
      </c>
      <c r="K186" s="77">
        <f>16248.67+1092.81+2003.49+401.4</f>
        <v>19746.370000000003</v>
      </c>
      <c r="L186" s="77">
        <f>16248.67+1092.81+2003.49+401.4</f>
        <v>19746.370000000003</v>
      </c>
      <c r="M186" s="78">
        <f t="shared" si="5"/>
        <v>0</v>
      </c>
      <c r="N186" s="100">
        <f>7+2+1+1+2+1+1</f>
        <v>15</v>
      </c>
      <c r="O186" s="77">
        <f>20193.14+7541.5+685.38</f>
        <v>28420.02</v>
      </c>
      <c r="P186" s="77">
        <f>20193.14+7541.5+685.38</f>
        <v>28420.02</v>
      </c>
      <c r="Q186" s="232">
        <f t="shared" si="6"/>
        <v>0</v>
      </c>
    </row>
    <row r="187" spans="1:17" s="13" customFormat="1" x14ac:dyDescent="0.25">
      <c r="A187" s="229"/>
      <c r="B187" s="27" t="s">
        <v>103</v>
      </c>
      <c r="C187" s="181" t="s">
        <v>17</v>
      </c>
      <c r="D187" s="182"/>
      <c r="E187" s="183" t="s">
        <v>20</v>
      </c>
      <c r="F187" s="73" t="s">
        <v>470</v>
      </c>
      <c r="G187" s="230" t="s">
        <v>114</v>
      </c>
      <c r="H187" s="181">
        <v>18</v>
      </c>
      <c r="I187" s="231">
        <v>5</v>
      </c>
      <c r="J187" s="190">
        <v>5</v>
      </c>
      <c r="K187" s="77">
        <v>10158.299999999999</v>
      </c>
      <c r="L187" s="77">
        <v>10158.299999999999</v>
      </c>
      <c r="M187" s="78">
        <f t="shared" si="5"/>
        <v>0</v>
      </c>
      <c r="N187" s="100">
        <v>5</v>
      </c>
      <c r="O187" s="224">
        <v>14245.19</v>
      </c>
      <c r="P187" s="224">
        <v>14245.19</v>
      </c>
      <c r="Q187" s="232">
        <f t="shared" si="6"/>
        <v>0</v>
      </c>
    </row>
    <row r="188" spans="1:17" s="15" customFormat="1" x14ac:dyDescent="0.25">
      <c r="A188" s="229"/>
      <c r="B188" s="27" t="s">
        <v>104</v>
      </c>
      <c r="C188" s="181" t="s">
        <v>17</v>
      </c>
      <c r="D188" s="182"/>
      <c r="E188" s="183" t="s">
        <v>20</v>
      </c>
      <c r="F188" s="73" t="s">
        <v>413</v>
      </c>
      <c r="G188" s="74" t="s">
        <v>112</v>
      </c>
      <c r="H188" s="75">
        <v>19</v>
      </c>
      <c r="I188" s="76">
        <v>17</v>
      </c>
      <c r="J188" s="96">
        <f>3+1+2+4+1+1+1+5</f>
        <v>18</v>
      </c>
      <c r="K188" s="77">
        <f>5112.82+422.64+8302.14+1605.5+1092.81+1390.85</f>
        <v>17926.759999999998</v>
      </c>
      <c r="L188" s="77">
        <f>5112.82+422.64+8302.14+1605.5+1092.81+1390.85</f>
        <v>17926.759999999998</v>
      </c>
      <c r="M188" s="78">
        <f t="shared" si="5"/>
        <v>0</v>
      </c>
      <c r="N188" s="100">
        <f>4+1+1+2+1</f>
        <v>9</v>
      </c>
      <c r="O188" s="81">
        <f>7087.22+3426.18+3496.22</f>
        <v>14009.619999999999</v>
      </c>
      <c r="P188" s="81">
        <f>7087.22+3426.18+3496.22</f>
        <v>14009.619999999999</v>
      </c>
      <c r="Q188" s="232">
        <f t="shared" si="6"/>
        <v>0</v>
      </c>
    </row>
    <row r="189" spans="1:17" s="15" customFormat="1" x14ac:dyDescent="0.25">
      <c r="A189" s="229"/>
      <c r="B189" s="27" t="s">
        <v>104</v>
      </c>
      <c r="C189" s="181" t="s">
        <v>17</v>
      </c>
      <c r="D189" s="182"/>
      <c r="E189" s="183" t="s">
        <v>20</v>
      </c>
      <c r="F189" s="73" t="s">
        <v>471</v>
      </c>
      <c r="G189" s="230" t="s">
        <v>114</v>
      </c>
      <c r="H189" s="181">
        <v>44</v>
      </c>
      <c r="I189" s="231">
        <v>13</v>
      </c>
      <c r="J189" s="190">
        <v>13</v>
      </c>
      <c r="K189" s="77">
        <v>41748.910000000003</v>
      </c>
      <c r="L189" s="77">
        <v>41748.910000000003</v>
      </c>
      <c r="M189" s="78">
        <f t="shared" si="5"/>
        <v>0</v>
      </c>
      <c r="N189" s="114">
        <v>20</v>
      </c>
      <c r="O189" s="224">
        <v>50922.05</v>
      </c>
      <c r="P189" s="224">
        <v>50922.05</v>
      </c>
      <c r="Q189" s="232">
        <f t="shared" si="6"/>
        <v>0</v>
      </c>
    </row>
    <row r="190" spans="1:17" s="13" customFormat="1" x14ac:dyDescent="0.25">
      <c r="A190" s="229"/>
      <c r="B190" s="30" t="s">
        <v>26</v>
      </c>
      <c r="C190" s="181" t="s">
        <v>17</v>
      </c>
      <c r="D190" s="182"/>
      <c r="E190" s="183" t="s">
        <v>32</v>
      </c>
      <c r="F190" s="73" t="s">
        <v>246</v>
      </c>
      <c r="G190" s="74" t="s">
        <v>117</v>
      </c>
      <c r="H190" s="75"/>
      <c r="I190" s="76"/>
      <c r="J190" s="96"/>
      <c r="K190" s="77"/>
      <c r="L190" s="77"/>
      <c r="M190" s="78">
        <f t="shared" si="5"/>
        <v>0</v>
      </c>
      <c r="N190" s="100">
        <v>5</v>
      </c>
      <c r="O190" s="81">
        <v>7808.15</v>
      </c>
      <c r="P190" s="81">
        <v>7808.15</v>
      </c>
      <c r="Q190" s="232">
        <f t="shared" si="6"/>
        <v>0</v>
      </c>
    </row>
    <row r="191" spans="1:17" s="13" customFormat="1" x14ac:dyDescent="0.25">
      <c r="A191" s="229"/>
      <c r="B191" s="30" t="s">
        <v>105</v>
      </c>
      <c r="C191" s="181" t="s">
        <v>17</v>
      </c>
      <c r="D191" s="182"/>
      <c r="E191" s="194" t="s">
        <v>35</v>
      </c>
      <c r="F191" s="73" t="s">
        <v>518</v>
      </c>
      <c r="G191" s="74" t="s">
        <v>112</v>
      </c>
      <c r="H191" s="75">
        <v>6</v>
      </c>
      <c r="I191" s="76"/>
      <c r="J191" s="96"/>
      <c r="K191" s="77"/>
      <c r="L191" s="77"/>
      <c r="M191" s="78"/>
      <c r="N191" s="100"/>
      <c r="O191" s="81"/>
      <c r="P191" s="81"/>
      <c r="Q191" s="232"/>
    </row>
    <row r="192" spans="1:17" s="13" customFormat="1" x14ac:dyDescent="0.25">
      <c r="A192" s="229"/>
      <c r="B192" s="62" t="s">
        <v>106</v>
      </c>
      <c r="C192" s="181" t="s">
        <v>17</v>
      </c>
      <c r="D192" s="205"/>
      <c r="E192" s="194" t="s">
        <v>20</v>
      </c>
      <c r="F192" s="73" t="s">
        <v>414</v>
      </c>
      <c r="G192" s="74" t="s">
        <v>112</v>
      </c>
      <c r="H192" s="75">
        <v>18</v>
      </c>
      <c r="I192" s="76">
        <f>8</f>
        <v>8</v>
      </c>
      <c r="J192" s="96">
        <f>1+4+2+2+1</f>
        <v>10</v>
      </c>
      <c r="K192" s="77">
        <f>4901.5+2119.39</f>
        <v>7020.8899999999994</v>
      </c>
      <c r="L192" s="77">
        <f>4901.5+2119.39</f>
        <v>7020.8899999999994</v>
      </c>
      <c r="M192" s="78">
        <f t="shared" si="5"/>
        <v>0</v>
      </c>
      <c r="N192" s="100">
        <f>3+1+1</f>
        <v>5</v>
      </c>
      <c r="O192" s="81">
        <f>49473.81+3066.27</f>
        <v>52540.079999999994</v>
      </c>
      <c r="P192" s="81">
        <f>49473.81+3066.27</f>
        <v>52540.079999999994</v>
      </c>
      <c r="Q192" s="232">
        <f t="shared" si="6"/>
        <v>0</v>
      </c>
    </row>
    <row r="193" spans="1:17" x14ac:dyDescent="0.25">
      <c r="A193" s="302"/>
      <c r="B193" s="66"/>
      <c r="C193" s="303"/>
      <c r="D193" s="235"/>
      <c r="E193" s="235"/>
      <c r="F193" s="73"/>
      <c r="G193" s="235" t="s">
        <v>131</v>
      </c>
      <c r="H193" s="240">
        <f>SUM(H10:H192)</f>
        <v>3123</v>
      </c>
      <c r="I193" s="301">
        <f>SUM(I10:I192)</f>
        <v>1886</v>
      </c>
      <c r="J193" s="208">
        <f>SUM(J10:J192)</f>
        <v>2270</v>
      </c>
      <c r="K193" s="209">
        <f>SUM(K10:K192)</f>
        <v>4122239.6850000015</v>
      </c>
      <c r="L193" s="209">
        <f>SUM(L10:L192)</f>
        <v>4122239.6850000015</v>
      </c>
      <c r="M193" s="210">
        <f>K193-L193</f>
        <v>0</v>
      </c>
      <c r="N193" s="208">
        <f>SUM(N10:N192)</f>
        <v>1887</v>
      </c>
      <c r="O193" s="241">
        <f>SUM(O10:O192)</f>
        <v>6003119.8200000003</v>
      </c>
      <c r="P193" s="241">
        <f>SUM(P10:P192)</f>
        <v>6003119.8200000003</v>
      </c>
      <c r="Q193" s="79">
        <f t="shared" si="6"/>
        <v>0</v>
      </c>
    </row>
    <row r="194" spans="1:17" x14ac:dyDescent="0.25">
      <c r="K194" s="91" t="s">
        <v>305</v>
      </c>
    </row>
    <row r="195" spans="1:17" ht="15" customHeight="1" x14ac:dyDescent="0.25">
      <c r="B195" s="89" t="s">
        <v>316</v>
      </c>
      <c r="F195" s="104" t="s">
        <v>317</v>
      </c>
      <c r="M195" s="142"/>
      <c r="N195" s="277"/>
      <c r="O195" s="278"/>
      <c r="P195" s="279"/>
      <c r="Q195" s="133"/>
    </row>
    <row r="196" spans="1:17" x14ac:dyDescent="0.25"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216"/>
      <c r="N196" s="6"/>
      <c r="O196" s="6"/>
      <c r="P196" s="6"/>
      <c r="Q196" s="6"/>
    </row>
    <row r="197" spans="1:17" x14ac:dyDescent="0.25">
      <c r="M197" s="216"/>
    </row>
    <row r="198" spans="1:17" x14ac:dyDescent="0.25">
      <c r="M198" s="216"/>
    </row>
    <row r="199" spans="1:17" x14ac:dyDescent="0.25">
      <c r="M199" s="216"/>
    </row>
    <row r="200" spans="1:17" x14ac:dyDescent="0.25">
      <c r="M200" s="216"/>
    </row>
  </sheetData>
  <mergeCells count="7">
    <mergeCell ref="O1:Q1"/>
    <mergeCell ref="A3:Q3"/>
    <mergeCell ref="A4:Q4"/>
    <mergeCell ref="A5:Q5"/>
    <mergeCell ref="B7:G7"/>
    <mergeCell ref="H7:M7"/>
    <mergeCell ref="N7:Q7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00"/>
  <sheetViews>
    <sheetView workbookViewId="0">
      <selection sqref="A1:XFD1048576"/>
    </sheetView>
  </sheetViews>
  <sheetFormatPr defaultRowHeight="15" x14ac:dyDescent="0.25"/>
  <cols>
    <col min="1" max="1" width="1.85546875" style="6" customWidth="1"/>
    <col min="2" max="2" width="38.28515625" style="88" customWidth="1"/>
    <col min="3" max="3" width="6.5703125" style="19" customWidth="1"/>
    <col min="4" max="4" width="17.42578125" style="19" customWidth="1"/>
    <col min="5" max="5" width="19" style="19" customWidth="1"/>
    <col min="6" max="6" width="19" style="89" customWidth="1"/>
    <col min="7" max="7" width="20.140625" style="89" customWidth="1"/>
    <col min="8" max="9" width="15.7109375" style="90" customWidth="1"/>
    <col min="10" max="10" width="15.7109375" style="99" customWidth="1"/>
    <col min="11" max="13" width="15.7109375" style="91" customWidth="1"/>
    <col min="14" max="14" width="15.7109375" style="99" customWidth="1"/>
    <col min="15" max="17" width="15.7109375" style="92" customWidth="1"/>
    <col min="18" max="18" width="8.85546875" style="6" customWidth="1"/>
    <col min="19" max="16384" width="9.140625" style="6"/>
  </cols>
  <sheetData>
    <row r="1" spans="1:17" s="105" customFormat="1" x14ac:dyDescent="0.25">
      <c r="A1" s="60"/>
      <c r="B1" s="60"/>
      <c r="C1" s="225"/>
      <c r="D1" s="225"/>
      <c r="E1" s="225"/>
      <c r="F1" s="63"/>
      <c r="G1" s="63"/>
      <c r="H1" s="64"/>
      <c r="I1" s="64"/>
      <c r="J1" s="93"/>
      <c r="K1" s="65"/>
      <c r="L1" s="65"/>
      <c r="M1" s="65"/>
      <c r="N1" s="93"/>
      <c r="O1" s="362" t="s">
        <v>15</v>
      </c>
      <c r="P1" s="362"/>
      <c r="Q1" s="362"/>
    </row>
    <row r="2" spans="1:17" s="105" customFormat="1" x14ac:dyDescent="0.25">
      <c r="A2" s="307"/>
      <c r="B2" s="307"/>
      <c r="C2" s="308"/>
      <c r="D2" s="308"/>
      <c r="E2" s="308"/>
      <c r="F2" s="66"/>
      <c r="G2" s="66"/>
      <c r="H2" s="306"/>
      <c r="I2" s="309"/>
      <c r="J2" s="94"/>
      <c r="K2" s="67"/>
      <c r="L2" s="67"/>
      <c r="M2" s="67"/>
      <c r="N2" s="94"/>
      <c r="O2" s="68"/>
      <c r="P2" s="68"/>
      <c r="Q2" s="68"/>
    </row>
    <row r="3" spans="1:17" s="105" customFormat="1" x14ac:dyDescent="0.25">
      <c r="A3" s="380" t="s">
        <v>318</v>
      </c>
      <c r="B3" s="367"/>
      <c r="C3" s="380"/>
      <c r="D3" s="380"/>
      <c r="E3" s="380"/>
      <c r="F3" s="367"/>
      <c r="G3" s="367"/>
      <c r="H3" s="366"/>
      <c r="I3" s="366"/>
      <c r="J3" s="367"/>
      <c r="K3" s="367"/>
      <c r="L3" s="367"/>
      <c r="M3" s="367"/>
      <c r="N3" s="367"/>
      <c r="O3" s="367"/>
      <c r="P3" s="367"/>
      <c r="Q3" s="367"/>
    </row>
    <row r="4" spans="1:17" s="105" customFormat="1" x14ac:dyDescent="0.25">
      <c r="A4" s="381">
        <v>43787</v>
      </c>
      <c r="B4" s="373"/>
      <c r="C4" s="382"/>
      <c r="D4" s="382"/>
      <c r="E4" s="382"/>
      <c r="F4" s="373"/>
      <c r="G4" s="373"/>
      <c r="H4" s="372"/>
      <c r="I4" s="372"/>
      <c r="J4" s="373"/>
      <c r="K4" s="373"/>
      <c r="L4" s="373"/>
      <c r="M4" s="373"/>
      <c r="N4" s="373"/>
      <c r="O4" s="373"/>
      <c r="P4" s="373"/>
      <c r="Q4" s="373"/>
    </row>
    <row r="5" spans="1:17" s="105" customFormat="1" x14ac:dyDescent="0.25">
      <c r="A5" s="367" t="s">
        <v>14</v>
      </c>
      <c r="B5" s="367"/>
      <c r="C5" s="367"/>
      <c r="D5" s="367"/>
      <c r="E5" s="367"/>
      <c r="F5" s="367"/>
      <c r="G5" s="367"/>
      <c r="H5" s="366"/>
      <c r="I5" s="366"/>
      <c r="J5" s="367"/>
      <c r="K5" s="367"/>
      <c r="L5" s="367"/>
      <c r="M5" s="367"/>
      <c r="N5" s="367"/>
      <c r="O5" s="367"/>
      <c r="P5" s="367"/>
      <c r="Q5" s="367"/>
    </row>
    <row r="6" spans="1:17" s="105" customFormat="1" x14ac:dyDescent="0.25">
      <c r="A6" s="307"/>
      <c r="B6" s="307"/>
      <c r="C6" s="308"/>
      <c r="D6" s="308"/>
      <c r="E6" s="308"/>
      <c r="F6" s="66"/>
      <c r="G6" s="66"/>
      <c r="H6" s="306"/>
      <c r="I6" s="309"/>
      <c r="J6" s="94"/>
      <c r="K6" s="67"/>
      <c r="L6" s="67"/>
      <c r="M6" s="67"/>
      <c r="N6" s="94"/>
      <c r="O6" s="68"/>
      <c r="P6" s="68"/>
      <c r="Q6" s="68"/>
    </row>
    <row r="7" spans="1:17" x14ac:dyDescent="0.25">
      <c r="A7" s="227" t="s">
        <v>0</v>
      </c>
      <c r="B7" s="367" t="s">
        <v>10</v>
      </c>
      <c r="C7" s="380"/>
      <c r="D7" s="380"/>
      <c r="E7" s="380"/>
      <c r="F7" s="367"/>
      <c r="G7" s="367"/>
      <c r="H7" s="366" t="s">
        <v>472</v>
      </c>
      <c r="I7" s="366"/>
      <c r="J7" s="367"/>
      <c r="K7" s="367"/>
      <c r="L7" s="367"/>
      <c r="M7" s="367"/>
      <c r="N7" s="367" t="s">
        <v>132</v>
      </c>
      <c r="O7" s="367"/>
      <c r="P7" s="367"/>
      <c r="Q7" s="367"/>
    </row>
    <row r="8" spans="1:17" ht="195" x14ac:dyDescent="0.25">
      <c r="A8" s="227"/>
      <c r="B8" s="307" t="s">
        <v>4</v>
      </c>
      <c r="C8" s="308" t="s">
        <v>1</v>
      </c>
      <c r="D8" s="308" t="s">
        <v>3</v>
      </c>
      <c r="E8" s="308" t="s">
        <v>2</v>
      </c>
      <c r="F8" s="307" t="s">
        <v>6</v>
      </c>
      <c r="G8" s="66" t="s">
        <v>5</v>
      </c>
      <c r="H8" s="307" t="s">
        <v>7</v>
      </c>
      <c r="I8" s="310" t="s">
        <v>8</v>
      </c>
      <c r="J8" s="94" t="s">
        <v>9</v>
      </c>
      <c r="K8" s="67" t="s">
        <v>11</v>
      </c>
      <c r="L8" s="67" t="s">
        <v>12</v>
      </c>
      <c r="M8" s="67" t="s">
        <v>13</v>
      </c>
      <c r="N8" s="94" t="s">
        <v>9</v>
      </c>
      <c r="O8" s="68" t="s">
        <v>11</v>
      </c>
      <c r="P8" s="68" t="s">
        <v>12</v>
      </c>
      <c r="Q8" s="68" t="s">
        <v>13</v>
      </c>
    </row>
    <row r="9" spans="1:17" x14ac:dyDescent="0.25">
      <c r="A9" s="228">
        <v>1</v>
      </c>
      <c r="B9" s="61">
        <f>A9+1</f>
        <v>2</v>
      </c>
      <c r="C9" s="228">
        <f t="shared" ref="C9:Q9" si="0">B9+1</f>
        <v>3</v>
      </c>
      <c r="D9" s="228">
        <f t="shared" si="0"/>
        <v>4</v>
      </c>
      <c r="E9" s="228">
        <f t="shared" si="0"/>
        <v>5</v>
      </c>
      <c r="F9" s="69">
        <f t="shared" si="0"/>
        <v>6</v>
      </c>
      <c r="G9" s="69">
        <f t="shared" si="0"/>
        <v>7</v>
      </c>
      <c r="H9" s="70">
        <f t="shared" si="0"/>
        <v>8</v>
      </c>
      <c r="I9" s="70">
        <f t="shared" si="0"/>
        <v>9</v>
      </c>
      <c r="J9" s="95">
        <f t="shared" si="0"/>
        <v>10</v>
      </c>
      <c r="K9" s="71">
        <f t="shared" si="0"/>
        <v>11</v>
      </c>
      <c r="L9" s="71">
        <f t="shared" si="0"/>
        <v>12</v>
      </c>
      <c r="M9" s="71">
        <f t="shared" si="0"/>
        <v>13</v>
      </c>
      <c r="N9" s="95">
        <f t="shared" si="0"/>
        <v>14</v>
      </c>
      <c r="O9" s="72">
        <f t="shared" si="0"/>
        <v>15</v>
      </c>
      <c r="P9" s="72">
        <f t="shared" si="0"/>
        <v>16</v>
      </c>
      <c r="Q9" s="72">
        <f t="shared" si="0"/>
        <v>17</v>
      </c>
    </row>
    <row r="10" spans="1:17" s="13" customFormat="1" ht="30" x14ac:dyDescent="0.25">
      <c r="A10" s="229"/>
      <c r="B10" s="62" t="s">
        <v>16</v>
      </c>
      <c r="C10" s="181" t="s">
        <v>304</v>
      </c>
      <c r="D10" s="182" t="s">
        <v>315</v>
      </c>
      <c r="E10" s="183" t="s">
        <v>18</v>
      </c>
      <c r="F10" s="73" t="s">
        <v>322</v>
      </c>
      <c r="G10" s="74" t="s">
        <v>112</v>
      </c>
      <c r="H10" s="75">
        <v>12</v>
      </c>
      <c r="I10" s="76">
        <v>11</v>
      </c>
      <c r="J10" s="98">
        <f>2+1+3+3+1+3</f>
        <v>13</v>
      </c>
      <c r="K10" s="77">
        <f>4792.51+1138.19+504.26+11366.06+4859.68+3954.5+12023.46+3259.34</f>
        <v>41898</v>
      </c>
      <c r="L10" s="77">
        <f>4792.51+1138.19+504.26+11366.06+4859.68+3954.5+12023.46+3259.34</f>
        <v>41898</v>
      </c>
      <c r="M10" s="78">
        <f>K10-L10</f>
        <v>0</v>
      </c>
      <c r="N10" s="100">
        <f>2+5+1+2+1</f>
        <v>11</v>
      </c>
      <c r="O10" s="77">
        <f>9108.77+6924.32+22366.06+8197.52</f>
        <v>46596.67</v>
      </c>
      <c r="P10" s="77">
        <f>9108.77+6924.32+22366.06+8197.52</f>
        <v>46596.67</v>
      </c>
      <c r="Q10" s="79">
        <f>O10-P10</f>
        <v>0</v>
      </c>
    </row>
    <row r="11" spans="1:17" s="13" customFormat="1" ht="30" x14ac:dyDescent="0.25">
      <c r="A11" s="229"/>
      <c r="B11" s="62" t="s">
        <v>16</v>
      </c>
      <c r="C11" s="181" t="s">
        <v>304</v>
      </c>
      <c r="D11" s="182" t="s">
        <v>315</v>
      </c>
      <c r="E11" s="183" t="s">
        <v>18</v>
      </c>
      <c r="F11" s="73" t="s">
        <v>322</v>
      </c>
      <c r="G11" s="230" t="s">
        <v>116</v>
      </c>
      <c r="H11" s="181">
        <v>13</v>
      </c>
      <c r="I11" s="231">
        <v>8</v>
      </c>
      <c r="J11" s="96">
        <v>8</v>
      </c>
      <c r="K11" s="224">
        <v>11526</v>
      </c>
      <c r="L11" s="224">
        <v>11526</v>
      </c>
      <c r="M11" s="78">
        <f t="shared" ref="M11:M77" si="1">K11-L11</f>
        <v>0</v>
      </c>
      <c r="N11" s="100"/>
      <c r="O11" s="224">
        <v>2945</v>
      </c>
      <c r="P11" s="224">
        <v>2945</v>
      </c>
      <c r="Q11" s="232">
        <f t="shared" ref="Q11:Q81" si="2">O11-P11</f>
        <v>0</v>
      </c>
    </row>
    <row r="12" spans="1:17" s="13" customFormat="1" x14ac:dyDescent="0.25">
      <c r="A12" s="229"/>
      <c r="B12" s="62" t="s">
        <v>490</v>
      </c>
      <c r="C12" s="181" t="s">
        <v>304</v>
      </c>
      <c r="D12" s="182"/>
      <c r="E12" s="183"/>
      <c r="F12" s="189" t="s">
        <v>501</v>
      </c>
      <c r="G12" s="230" t="s">
        <v>112</v>
      </c>
      <c r="H12" s="181">
        <v>20</v>
      </c>
      <c r="I12" s="231">
        <v>16</v>
      </c>
      <c r="J12" s="96">
        <f>5+1+3+1+1+2+2+1+1</f>
        <v>17</v>
      </c>
      <c r="K12" s="224">
        <f>8352.39+384.2+1463.8+3720.67+546.41+5470.48+13100.4+2207.7+4647.18</f>
        <v>39893.229999999996</v>
      </c>
      <c r="L12" s="224">
        <f>8352.39+384.2+1463.8+3720.67+546.41+5470.48+13100.4+2207.7+4647.18</f>
        <v>39893.229999999996</v>
      </c>
      <c r="M12" s="78">
        <f t="shared" si="1"/>
        <v>0</v>
      </c>
      <c r="N12" s="100"/>
      <c r="O12" s="224"/>
      <c r="P12" s="224"/>
      <c r="Q12" s="79">
        <f t="shared" si="2"/>
        <v>0</v>
      </c>
    </row>
    <row r="13" spans="1:17" s="15" customFormat="1" x14ac:dyDescent="0.25">
      <c r="A13" s="229"/>
      <c r="B13" s="62" t="s">
        <v>19</v>
      </c>
      <c r="C13" s="181" t="s">
        <v>17</v>
      </c>
      <c r="D13" s="182"/>
      <c r="E13" s="183" t="s">
        <v>20</v>
      </c>
      <c r="F13" s="73" t="s">
        <v>323</v>
      </c>
      <c r="G13" s="74" t="s">
        <v>112</v>
      </c>
      <c r="H13" s="75">
        <v>16</v>
      </c>
      <c r="I13" s="76">
        <v>15</v>
      </c>
      <c r="J13" s="96">
        <f>1+2+5+2+1+5+1+3+1+2</f>
        <v>23</v>
      </c>
      <c r="K13" s="77">
        <f>422.62+4792.51+1796.14+1373.52+5511.59+1707.76+662.31</f>
        <v>16266.45</v>
      </c>
      <c r="L13" s="77">
        <f>422.62+4792.51+1796.14+1373.52+5511.59+1707.76+662.31</f>
        <v>16266.45</v>
      </c>
      <c r="M13" s="78">
        <f>K13-L13</f>
        <v>0</v>
      </c>
      <c r="N13" s="100">
        <f>8+3+1+2</f>
        <v>14</v>
      </c>
      <c r="O13" s="81">
        <f>6459.36+7124.45</f>
        <v>13583.81</v>
      </c>
      <c r="P13" s="81">
        <f>6459.36+7124.45</f>
        <v>13583.81</v>
      </c>
      <c r="Q13" s="79">
        <f t="shared" si="2"/>
        <v>0</v>
      </c>
    </row>
    <row r="14" spans="1:17" s="15" customFormat="1" x14ac:dyDescent="0.25">
      <c r="A14" s="229"/>
      <c r="B14" s="62" t="s">
        <v>19</v>
      </c>
      <c r="C14" s="181" t="s">
        <v>17</v>
      </c>
      <c r="D14" s="182"/>
      <c r="E14" s="183" t="s">
        <v>20</v>
      </c>
      <c r="F14" s="73" t="s">
        <v>451</v>
      </c>
      <c r="G14" s="230" t="s">
        <v>114</v>
      </c>
      <c r="H14" s="181">
        <v>13</v>
      </c>
      <c r="I14" s="231">
        <v>7</v>
      </c>
      <c r="J14" s="190">
        <v>7</v>
      </c>
      <c r="K14" s="77">
        <v>11142.12</v>
      </c>
      <c r="L14" s="77">
        <v>11142.12</v>
      </c>
      <c r="M14" s="78">
        <f t="shared" si="1"/>
        <v>0</v>
      </c>
      <c r="N14" s="100">
        <v>10</v>
      </c>
      <c r="O14" s="224">
        <v>18093.599999999999</v>
      </c>
      <c r="P14" s="224">
        <v>18093.599999999999</v>
      </c>
      <c r="Q14" s="232">
        <f t="shared" si="2"/>
        <v>0</v>
      </c>
    </row>
    <row r="15" spans="1:17" s="15" customFormat="1" x14ac:dyDescent="0.25">
      <c r="A15" s="229"/>
      <c r="B15" s="62" t="s">
        <v>153</v>
      </c>
      <c r="C15" s="181" t="s">
        <v>17</v>
      </c>
      <c r="D15" s="182"/>
      <c r="E15" s="183" t="s">
        <v>20</v>
      </c>
      <c r="F15" s="73" t="s">
        <v>324</v>
      </c>
      <c r="G15" s="74" t="s">
        <v>112</v>
      </c>
      <c r="H15" s="75">
        <v>19</v>
      </c>
      <c r="I15" s="82">
        <v>12</v>
      </c>
      <c r="J15" s="96">
        <f>1+1+2+1+1+2+1+1+1+1+2</f>
        <v>14</v>
      </c>
      <c r="K15" s="77">
        <f>950.9+2451.87+3074.57+845.24+1977.86+1284.48+883.08+401.4+1357.13+421.47</f>
        <v>13647.999999999998</v>
      </c>
      <c r="L15" s="77">
        <f>950.9+2451.87+3074.57+845.24+1977.86+1284.48+883.08+401.4+1357.13+421.47</f>
        <v>13647.999999999998</v>
      </c>
      <c r="M15" s="78">
        <f t="shared" si="1"/>
        <v>0</v>
      </c>
      <c r="N15" s="114">
        <f>1+2+1+2+1+1</f>
        <v>8</v>
      </c>
      <c r="O15" s="81">
        <f>422.62+945.61+2484.69+7964.81+1536.8+2498.17</f>
        <v>15852.699999999999</v>
      </c>
      <c r="P15" s="81">
        <f>422.62+945.61+2484.69+7964.81+1536.8+2498.17</f>
        <v>15852.699999999999</v>
      </c>
      <c r="Q15" s="79">
        <f t="shared" si="2"/>
        <v>0</v>
      </c>
    </row>
    <row r="16" spans="1:17" s="15" customFormat="1" x14ac:dyDescent="0.25">
      <c r="A16" s="229"/>
      <c r="B16" s="233" t="s">
        <v>153</v>
      </c>
      <c r="C16" s="181" t="s">
        <v>17</v>
      </c>
      <c r="D16" s="182"/>
      <c r="E16" s="183" t="s">
        <v>20</v>
      </c>
      <c r="F16" s="73" t="s">
        <v>452</v>
      </c>
      <c r="G16" s="230" t="s">
        <v>114</v>
      </c>
      <c r="H16" s="181">
        <v>20</v>
      </c>
      <c r="I16" s="231">
        <v>7</v>
      </c>
      <c r="J16" s="190">
        <v>7</v>
      </c>
      <c r="K16" s="77">
        <v>20595.29</v>
      </c>
      <c r="L16" s="77">
        <v>20595.29</v>
      </c>
      <c r="M16" s="78">
        <f t="shared" si="1"/>
        <v>0</v>
      </c>
      <c r="N16" s="100">
        <v>10</v>
      </c>
      <c r="O16" s="224">
        <v>23692.400000000001</v>
      </c>
      <c r="P16" s="224">
        <v>23692.400000000001</v>
      </c>
      <c r="Q16" s="232">
        <f t="shared" si="2"/>
        <v>0</v>
      </c>
    </row>
    <row r="17" spans="1:17" s="13" customFormat="1" x14ac:dyDescent="0.25">
      <c r="A17" s="229"/>
      <c r="B17" s="30" t="s">
        <v>22</v>
      </c>
      <c r="C17" s="181" t="s">
        <v>17</v>
      </c>
      <c r="D17" s="182"/>
      <c r="E17" s="183" t="s">
        <v>23</v>
      </c>
      <c r="F17" s="73" t="s">
        <v>325</v>
      </c>
      <c r="G17" s="74" t="s">
        <v>112</v>
      </c>
      <c r="H17" s="75">
        <v>52</v>
      </c>
      <c r="I17" s="76">
        <v>10</v>
      </c>
      <c r="J17" s="96">
        <f>1+2+1+9</f>
        <v>13</v>
      </c>
      <c r="K17" s="77">
        <f>2698.64+1402.33+11601.84+8586.48</f>
        <v>24289.29</v>
      </c>
      <c r="L17" s="77">
        <f>2698.64+1402.33+11601.84+8586.48</f>
        <v>24289.29</v>
      </c>
      <c r="M17" s="78">
        <f t="shared" si="1"/>
        <v>0</v>
      </c>
      <c r="N17" s="100">
        <f>14+3+7+1+1</f>
        <v>26</v>
      </c>
      <c r="O17" s="81">
        <f>22716.4+4171.06+18768.39+8172.47</f>
        <v>53828.320000000007</v>
      </c>
      <c r="P17" s="81">
        <f>22716.4+4171.06+18768.39+8172.47</f>
        <v>53828.320000000007</v>
      </c>
      <c r="Q17" s="79">
        <f t="shared" si="2"/>
        <v>0</v>
      </c>
    </row>
    <row r="18" spans="1:17" s="13" customFormat="1" x14ac:dyDescent="0.25">
      <c r="A18" s="229"/>
      <c r="B18" s="30" t="s">
        <v>154</v>
      </c>
      <c r="C18" s="181" t="s">
        <v>17</v>
      </c>
      <c r="D18" s="182"/>
      <c r="E18" s="183" t="s">
        <v>20</v>
      </c>
      <c r="F18" s="73" t="s">
        <v>453</v>
      </c>
      <c r="G18" s="230" t="s">
        <v>114</v>
      </c>
      <c r="H18" s="181">
        <v>34</v>
      </c>
      <c r="I18" s="234">
        <v>4</v>
      </c>
      <c r="J18" s="190">
        <v>4</v>
      </c>
      <c r="K18" s="193">
        <v>5346.6</v>
      </c>
      <c r="L18" s="193">
        <v>5346.6</v>
      </c>
      <c r="M18" s="78">
        <f t="shared" si="1"/>
        <v>0</v>
      </c>
      <c r="N18" s="114">
        <v>18</v>
      </c>
      <c r="O18" s="224">
        <v>45126.77</v>
      </c>
      <c r="P18" s="224">
        <v>45126.77</v>
      </c>
      <c r="Q18" s="232">
        <f t="shared" si="2"/>
        <v>0</v>
      </c>
    </row>
    <row r="19" spans="1:17" s="13" customFormat="1" x14ac:dyDescent="0.25">
      <c r="A19" s="229"/>
      <c r="B19" s="30" t="s">
        <v>154</v>
      </c>
      <c r="C19" s="181" t="s">
        <v>17</v>
      </c>
      <c r="D19" s="182"/>
      <c r="E19" s="183" t="s">
        <v>20</v>
      </c>
      <c r="F19" s="73" t="s">
        <v>326</v>
      </c>
      <c r="G19" s="74" t="s">
        <v>112</v>
      </c>
      <c r="H19" s="75">
        <v>31</v>
      </c>
      <c r="I19" s="76">
        <v>25</v>
      </c>
      <c r="J19" s="96">
        <f>1+1+2+2+2+6+1+4+1+2+2+3+1+1+1+3+1+2</f>
        <v>36</v>
      </c>
      <c r="K19" s="77">
        <f>950.9+864.46+845.24+405.02+739.59+6850.57+12952.58+883.08+2185.62+1053.68+5958.27+6539.59+4664.82</f>
        <v>44893.420000000006</v>
      </c>
      <c r="L19" s="77">
        <f>950.9+864.46+845.24+405.02+739.59+6850.57+12952.58+883.08+2185.62+1053.68+5958.27+6539.59+4664.82</f>
        <v>44893.420000000006</v>
      </c>
      <c r="M19" s="78">
        <f t="shared" si="1"/>
        <v>0</v>
      </c>
      <c r="N19" s="100">
        <f>6+3+1+1+1+2+1+1</f>
        <v>16</v>
      </c>
      <c r="O19" s="81">
        <f>6681.33+7017+1523.5+9094.74+3532.32</f>
        <v>27848.89</v>
      </c>
      <c r="P19" s="81">
        <f>6681.33+7017+1523.5+9094.74+3532.32</f>
        <v>27848.89</v>
      </c>
      <c r="Q19" s="79">
        <f t="shared" si="2"/>
        <v>0</v>
      </c>
    </row>
    <row r="20" spans="1:17" s="13" customFormat="1" x14ac:dyDescent="0.25">
      <c r="A20" s="229"/>
      <c r="B20" s="62" t="s">
        <v>24</v>
      </c>
      <c r="C20" s="181" t="s">
        <v>17</v>
      </c>
      <c r="D20" s="182"/>
      <c r="E20" s="183" t="s">
        <v>20</v>
      </c>
      <c r="F20" s="73" t="s">
        <v>327</v>
      </c>
      <c r="G20" s="74" t="s">
        <v>112</v>
      </c>
      <c r="H20" s="75">
        <v>11</v>
      </c>
      <c r="I20" s="76">
        <v>5</v>
      </c>
      <c r="J20" s="96">
        <f>3+1+1+2</f>
        <v>7</v>
      </c>
      <c r="K20" s="77">
        <f>1191.02+5267.46</f>
        <v>6458.48</v>
      </c>
      <c r="L20" s="77">
        <f>1191.02+5267.46</f>
        <v>6458.48</v>
      </c>
      <c r="M20" s="78">
        <f t="shared" si="1"/>
        <v>0</v>
      </c>
      <c r="N20" s="100">
        <f>1+1+1</f>
        <v>3</v>
      </c>
      <c r="O20" s="81">
        <f>576.3+1810.93</f>
        <v>2387.23</v>
      </c>
      <c r="P20" s="81">
        <f>576.3+1810.93</f>
        <v>2387.23</v>
      </c>
      <c r="Q20" s="232">
        <f t="shared" si="2"/>
        <v>0</v>
      </c>
    </row>
    <row r="21" spans="1:17" s="13" customFormat="1" x14ac:dyDescent="0.25">
      <c r="A21" s="229"/>
      <c r="B21" s="62" t="s">
        <v>24</v>
      </c>
      <c r="C21" s="181" t="s">
        <v>17</v>
      </c>
      <c r="D21" s="182"/>
      <c r="E21" s="183" t="s">
        <v>20</v>
      </c>
      <c r="F21" s="73" t="s">
        <v>454</v>
      </c>
      <c r="G21" s="230" t="s">
        <v>114</v>
      </c>
      <c r="H21" s="181">
        <v>15</v>
      </c>
      <c r="I21" s="231">
        <v>6</v>
      </c>
      <c r="J21" s="190">
        <v>6</v>
      </c>
      <c r="K21" s="77">
        <v>11832.85</v>
      </c>
      <c r="L21" s="77">
        <v>11832.85</v>
      </c>
      <c r="M21" s="78">
        <f t="shared" si="1"/>
        <v>0</v>
      </c>
      <c r="N21" s="100">
        <v>18</v>
      </c>
      <c r="O21" s="224">
        <v>36741.4</v>
      </c>
      <c r="P21" s="224">
        <v>36741.4</v>
      </c>
      <c r="Q21" s="232">
        <f t="shared" si="2"/>
        <v>0</v>
      </c>
    </row>
    <row r="22" spans="1:17" s="13" customFormat="1" x14ac:dyDescent="0.25">
      <c r="A22" s="229"/>
      <c r="B22" s="62" t="s">
        <v>25</v>
      </c>
      <c r="C22" s="181" t="s">
        <v>17</v>
      </c>
      <c r="D22" s="182"/>
      <c r="E22" s="183" t="s">
        <v>20</v>
      </c>
      <c r="F22" s="73" t="s">
        <v>328</v>
      </c>
      <c r="G22" s="74" t="s">
        <v>112</v>
      </c>
      <c r="H22" s="75">
        <v>16</v>
      </c>
      <c r="I22" s="76">
        <v>12</v>
      </c>
      <c r="J22" s="96">
        <f>1+1+1+1+1+1+1+2+1+2+1</f>
        <v>13</v>
      </c>
      <c r="K22" s="173">
        <f>403.41+1605.6+3697.9+1204.2+1092.81+3022.24+4486.05+4612.57+1457.08</f>
        <v>21581.86</v>
      </c>
      <c r="L22" s="173">
        <f>403.41+1605.6+3697.9+1204.2+1092.81+3022.24+4486.05+4612.57+1457.08</f>
        <v>21581.86</v>
      </c>
      <c r="M22" s="78">
        <f t="shared" si="1"/>
        <v>0</v>
      </c>
      <c r="N22" s="100">
        <f>6+1+2+2+1+2</f>
        <v>14</v>
      </c>
      <c r="O22" s="81">
        <f>14526.7+5595.3+2440.62+2839.24+10715.74</f>
        <v>36117.599999999999</v>
      </c>
      <c r="P22" s="81">
        <f>14526.7+5595.3+2440.62+2839.24+10715.74</f>
        <v>36117.599999999999</v>
      </c>
      <c r="Q22" s="232">
        <f t="shared" si="2"/>
        <v>0</v>
      </c>
    </row>
    <row r="23" spans="1:17" s="13" customFormat="1" x14ac:dyDescent="0.25">
      <c r="A23" s="229"/>
      <c r="B23" s="62" t="s">
        <v>25</v>
      </c>
      <c r="C23" s="181" t="s">
        <v>17</v>
      </c>
      <c r="D23" s="182"/>
      <c r="E23" s="183" t="s">
        <v>20</v>
      </c>
      <c r="F23" s="73" t="s">
        <v>455</v>
      </c>
      <c r="G23" s="230" t="s">
        <v>114</v>
      </c>
      <c r="H23" s="181">
        <v>6</v>
      </c>
      <c r="I23" s="231"/>
      <c r="J23" s="190">
        <f>1</f>
        <v>1</v>
      </c>
      <c r="K23" s="77"/>
      <c r="L23" s="77"/>
      <c r="M23" s="78">
        <f t="shared" si="1"/>
        <v>0</v>
      </c>
      <c r="N23" s="100">
        <v>3</v>
      </c>
      <c r="O23" s="224">
        <v>7219.8</v>
      </c>
      <c r="P23" s="224">
        <v>7219.8</v>
      </c>
      <c r="Q23" s="232">
        <f t="shared" si="2"/>
        <v>0</v>
      </c>
    </row>
    <row r="24" spans="1:17" s="13" customFormat="1" x14ac:dyDescent="0.25">
      <c r="A24" s="229"/>
      <c r="B24" s="62" t="s">
        <v>516</v>
      </c>
      <c r="C24" s="181" t="s">
        <v>17</v>
      </c>
      <c r="D24" s="182"/>
      <c r="E24" s="183" t="s">
        <v>20</v>
      </c>
      <c r="F24" s="73" t="s">
        <v>517</v>
      </c>
      <c r="G24" s="287" t="s">
        <v>112</v>
      </c>
      <c r="H24" s="181">
        <v>9</v>
      </c>
      <c r="I24" s="231">
        <v>2</v>
      </c>
      <c r="J24" s="190">
        <f>2</f>
        <v>2</v>
      </c>
      <c r="K24" s="77"/>
      <c r="L24" s="77"/>
      <c r="M24" s="78"/>
      <c r="N24" s="100"/>
      <c r="O24" s="224"/>
      <c r="P24" s="224"/>
      <c r="Q24" s="232"/>
    </row>
    <row r="25" spans="1:17" s="13" customFormat="1" x14ac:dyDescent="0.25">
      <c r="A25" s="229"/>
      <c r="B25" s="62" t="s">
        <v>26</v>
      </c>
      <c r="C25" s="181" t="s">
        <v>17</v>
      </c>
      <c r="D25" s="182"/>
      <c r="E25" s="183" t="s">
        <v>27</v>
      </c>
      <c r="F25" s="73" t="s">
        <v>329</v>
      </c>
      <c r="G25" s="74" t="s">
        <v>112</v>
      </c>
      <c r="H25" s="75">
        <v>21</v>
      </c>
      <c r="I25" s="76">
        <v>15</v>
      </c>
      <c r="J25" s="96">
        <f>2+2+4+1+4+1+1+3</f>
        <v>18</v>
      </c>
      <c r="K25" s="77">
        <f>845.24+1056.55+5121.1+26225.35+422.62+16490.35+1457.08+1479.16+11270.02</f>
        <v>64367.47</v>
      </c>
      <c r="L25" s="77">
        <f>845.24+1056.55+5121.1+26225.35+422.62+16490.35+1457.08+1479.16+11270.02</f>
        <v>64367.47</v>
      </c>
      <c r="M25" s="78">
        <f t="shared" si="1"/>
        <v>0</v>
      </c>
      <c r="N25" s="100">
        <f>6+1+1+2+1+1</f>
        <v>12</v>
      </c>
      <c r="O25" s="81">
        <f>17838.53+2535.75+7238.9+9569.44</f>
        <v>37182.620000000003</v>
      </c>
      <c r="P25" s="81">
        <f>17838.53+2535.75+7238.9+9569.44</f>
        <v>37182.620000000003</v>
      </c>
      <c r="Q25" s="232">
        <f t="shared" si="2"/>
        <v>0</v>
      </c>
    </row>
    <row r="26" spans="1:17" s="15" customFormat="1" x14ac:dyDescent="0.25">
      <c r="A26" s="229"/>
      <c r="B26" s="62" t="s">
        <v>28</v>
      </c>
      <c r="C26" s="181" t="s">
        <v>17</v>
      </c>
      <c r="D26" s="182"/>
      <c r="E26" s="194" t="s">
        <v>29</v>
      </c>
      <c r="F26" s="73" t="s">
        <v>330</v>
      </c>
      <c r="G26" s="74" t="s">
        <v>112</v>
      </c>
      <c r="H26" s="75">
        <v>13</v>
      </c>
      <c r="I26" s="76">
        <v>10</v>
      </c>
      <c r="J26" s="96">
        <f>2+1+2+1+1+1+2+1+2+2</f>
        <v>15</v>
      </c>
      <c r="K26" s="77">
        <f>6135.14+2440.63+9722.07+968.96+2258.48+3607.78+10269+19480.76</f>
        <v>54882.819999999992</v>
      </c>
      <c r="L26" s="77">
        <f>6135.14+2440.63+9722.07+968.96+2258.48+3607.78+10269+19480.76</f>
        <v>54882.819999999992</v>
      </c>
      <c r="M26" s="78">
        <f t="shared" si="1"/>
        <v>0</v>
      </c>
      <c r="N26" s="100">
        <f>3+2+4+3+1+1+3+1</f>
        <v>18</v>
      </c>
      <c r="O26" s="81">
        <f>5310.83+4630.52+14679.01+36087.29+8956.5+10112.26+3030.29+9937.51</f>
        <v>92744.209999999977</v>
      </c>
      <c r="P26" s="81">
        <f>5310.83+4630.52+14679.01+36087.29+8956.5+10112.26+3030.29+9937.51</f>
        <v>92744.209999999977</v>
      </c>
      <c r="Q26" s="232">
        <f t="shared" si="2"/>
        <v>0</v>
      </c>
    </row>
    <row r="27" spans="1:17" s="15" customFormat="1" x14ac:dyDescent="0.25">
      <c r="A27" s="229"/>
      <c r="B27" s="62" t="s">
        <v>28</v>
      </c>
      <c r="C27" s="181" t="s">
        <v>17</v>
      </c>
      <c r="D27" s="182"/>
      <c r="E27" s="194" t="s">
        <v>29</v>
      </c>
      <c r="F27" s="73" t="s">
        <v>420</v>
      </c>
      <c r="G27" s="235" t="s">
        <v>117</v>
      </c>
      <c r="H27" s="181">
        <v>2</v>
      </c>
      <c r="I27" s="231"/>
      <c r="J27" s="96"/>
      <c r="K27" s="77"/>
      <c r="L27" s="77"/>
      <c r="M27" s="78">
        <f t="shared" si="1"/>
        <v>0</v>
      </c>
      <c r="N27" s="100">
        <v>3</v>
      </c>
      <c r="O27" s="224">
        <v>6579.54</v>
      </c>
      <c r="P27" s="224">
        <v>6579.54</v>
      </c>
      <c r="Q27" s="79">
        <f t="shared" si="2"/>
        <v>0</v>
      </c>
    </row>
    <row r="28" spans="1:17" s="15" customFormat="1" x14ac:dyDescent="0.25">
      <c r="A28" s="229"/>
      <c r="B28" s="233" t="s">
        <v>500</v>
      </c>
      <c r="C28" s="181" t="s">
        <v>17</v>
      </c>
      <c r="D28" s="182"/>
      <c r="E28" s="194"/>
      <c r="F28" s="73" t="s">
        <v>503</v>
      </c>
      <c r="G28" s="235" t="s">
        <v>112</v>
      </c>
      <c r="H28" s="181">
        <v>31</v>
      </c>
      <c r="I28" s="231">
        <v>23</v>
      </c>
      <c r="J28" s="96">
        <f>2+2+2+1+3+5+2+1+5+1+6+1</f>
        <v>31</v>
      </c>
      <c r="K28" s="77">
        <f>1202.51+3555.1+602.1+708.47+7232.25+1003.5+1938.63+15028.21+1324.62+9088.69</f>
        <v>41684.080000000002</v>
      </c>
      <c r="L28" s="77">
        <f>1202.51+3555.1+602.1+708.47+7232.25+1003.5+1938.63+15028.21+1324.62+9088.69</f>
        <v>41684.080000000002</v>
      </c>
      <c r="M28" s="78">
        <f t="shared" si="1"/>
        <v>0</v>
      </c>
      <c r="N28" s="100">
        <f>1</f>
        <v>1</v>
      </c>
      <c r="O28" s="224"/>
      <c r="P28" s="224"/>
      <c r="Q28" s="79">
        <f t="shared" si="2"/>
        <v>0</v>
      </c>
    </row>
    <row r="29" spans="1:17" s="13" customFormat="1" x14ac:dyDescent="0.25">
      <c r="A29" s="229"/>
      <c r="B29" s="27" t="s">
        <v>30</v>
      </c>
      <c r="C29" s="181" t="s">
        <v>17</v>
      </c>
      <c r="D29" s="182"/>
      <c r="E29" s="194" t="s">
        <v>21</v>
      </c>
      <c r="F29" s="73" t="s">
        <v>333</v>
      </c>
      <c r="G29" s="74" t="s">
        <v>112</v>
      </c>
      <c r="H29" s="75">
        <v>25</v>
      </c>
      <c r="I29" s="76">
        <v>17</v>
      </c>
      <c r="J29" s="96">
        <f>3+1+3+1+4+1+1+2+1+3+3</f>
        <v>23</v>
      </c>
      <c r="K29" s="77">
        <f>16637.24+1045.98+2789.73+1629.68+3146.97+1646.5</f>
        <v>26896.100000000002</v>
      </c>
      <c r="L29" s="77">
        <f>16637.24+1045.98+2789.73+1629.68+3146.97+1646.5</f>
        <v>26896.100000000002</v>
      </c>
      <c r="M29" s="78">
        <f t="shared" si="1"/>
        <v>0</v>
      </c>
      <c r="N29" s="100">
        <f>9+1+3+1+1+1+2+1+1+2+1+1+2</f>
        <v>26</v>
      </c>
      <c r="O29" s="81">
        <f>77047.8+15703.07+7288.94+1341.33+1730.62</f>
        <v>103111.76</v>
      </c>
      <c r="P29" s="81">
        <f>77047.8+15703.07+7288.94+1341.33+1730.62</f>
        <v>103111.76</v>
      </c>
      <c r="Q29" s="79">
        <f>O29-P29</f>
        <v>0</v>
      </c>
    </row>
    <row r="30" spans="1:17" s="13" customFormat="1" x14ac:dyDescent="0.25">
      <c r="A30" s="229"/>
      <c r="B30" s="27" t="s">
        <v>491</v>
      </c>
      <c r="C30" s="181" t="s">
        <v>17</v>
      </c>
      <c r="D30" s="182"/>
      <c r="E30" s="183" t="s">
        <v>20</v>
      </c>
      <c r="F30" s="73" t="s">
        <v>495</v>
      </c>
      <c r="G30" s="74" t="s">
        <v>112</v>
      </c>
      <c r="H30" s="75">
        <v>17</v>
      </c>
      <c r="I30" s="76">
        <v>13</v>
      </c>
      <c r="J30" s="96">
        <f>2+2+1+1+1+1+1+1+3</f>
        <v>13</v>
      </c>
      <c r="K30" s="77">
        <f>1727.9+2093.89+728.54+3535.53+2649.24+401.4+802.8+1505.25</f>
        <v>13444.55</v>
      </c>
      <c r="L30" s="77">
        <f>1727.9+2093.89+728.54+3535.53+2649.24+401.4+802.8+1505.25</f>
        <v>13444.55</v>
      </c>
      <c r="M30" s="78">
        <f t="shared" si="1"/>
        <v>0</v>
      </c>
      <c r="N30" s="100"/>
      <c r="O30" s="81"/>
      <c r="P30" s="81"/>
      <c r="Q30" s="79">
        <f t="shared" si="2"/>
        <v>0</v>
      </c>
    </row>
    <row r="31" spans="1:17" s="13" customFormat="1" x14ac:dyDescent="0.25">
      <c r="A31" s="229"/>
      <c r="B31" s="27" t="s">
        <v>491</v>
      </c>
      <c r="C31" s="181" t="s">
        <v>17</v>
      </c>
      <c r="D31" s="182"/>
      <c r="E31" s="183" t="s">
        <v>20</v>
      </c>
      <c r="F31" s="73" t="s">
        <v>504</v>
      </c>
      <c r="G31" s="74" t="s">
        <v>114</v>
      </c>
      <c r="H31" s="75">
        <v>12</v>
      </c>
      <c r="I31" s="76">
        <v>2</v>
      </c>
      <c r="J31" s="96">
        <v>2</v>
      </c>
      <c r="K31" s="77">
        <v>2672.76</v>
      </c>
      <c r="L31" s="77">
        <v>2672.76</v>
      </c>
      <c r="M31" s="78">
        <f t="shared" si="1"/>
        <v>0</v>
      </c>
      <c r="N31" s="100"/>
      <c r="O31" s="81"/>
      <c r="P31" s="81"/>
      <c r="Q31" s="232">
        <f t="shared" si="2"/>
        <v>0</v>
      </c>
    </row>
    <row r="32" spans="1:17" s="13" customFormat="1" x14ac:dyDescent="0.25">
      <c r="A32" s="229"/>
      <c r="B32" s="27" t="s">
        <v>491</v>
      </c>
      <c r="C32" s="181" t="s">
        <v>17</v>
      </c>
      <c r="D32" s="182"/>
      <c r="E32" s="183"/>
      <c r="F32" s="73" t="s">
        <v>510</v>
      </c>
      <c r="G32" s="235" t="s">
        <v>117</v>
      </c>
      <c r="H32" s="75">
        <v>1</v>
      </c>
      <c r="I32" s="76"/>
      <c r="J32" s="96"/>
      <c r="K32" s="77"/>
      <c r="L32" s="77"/>
      <c r="M32" s="78">
        <f t="shared" si="1"/>
        <v>0</v>
      </c>
      <c r="N32" s="100"/>
      <c r="O32" s="81"/>
      <c r="P32" s="81"/>
      <c r="Q32" s="232">
        <f t="shared" si="2"/>
        <v>0</v>
      </c>
    </row>
    <row r="33" spans="1:17" s="13" customFormat="1" x14ac:dyDescent="0.25">
      <c r="A33" s="229"/>
      <c r="B33" s="30" t="s">
        <v>31</v>
      </c>
      <c r="C33" s="181" t="s">
        <v>17</v>
      </c>
      <c r="D33" s="182"/>
      <c r="E33" s="183" t="s">
        <v>32</v>
      </c>
      <c r="F33" s="73" t="s">
        <v>331</v>
      </c>
      <c r="G33" s="74" t="s">
        <v>112</v>
      </c>
      <c r="H33" s="75">
        <v>22</v>
      </c>
      <c r="I33" s="76">
        <v>15</v>
      </c>
      <c r="J33" s="96">
        <f>1+2+3+1+4+3+3+3+1</f>
        <v>21</v>
      </c>
      <c r="K33" s="77">
        <f>633.93+1045.98+5377.62+950.9+6004.09+4598.82+8410.14+1846.04+4737.83+728.54</f>
        <v>34333.89</v>
      </c>
      <c r="L33" s="77">
        <f>633.93+1045.98+5377.62+950.9+6004.09+4598.82+8410.14+1846.04+4737.83+728.54</f>
        <v>34333.89</v>
      </c>
      <c r="M33" s="78">
        <f t="shared" si="1"/>
        <v>0</v>
      </c>
      <c r="N33" s="100">
        <f>1+3+3+1+1+2+1</f>
        <v>12</v>
      </c>
      <c r="O33" s="81">
        <f>2299.8+15239.58+6152.75+2720.49+1483.38+7043.49+11175.04</f>
        <v>46114.530000000006</v>
      </c>
      <c r="P33" s="81">
        <f>2299.8+15239.58+6152.75+2720.49+1483.38+7043.49+11175.04</f>
        <v>46114.530000000006</v>
      </c>
      <c r="Q33" s="232">
        <f t="shared" si="2"/>
        <v>0</v>
      </c>
    </row>
    <row r="34" spans="1:17" s="13" customFormat="1" x14ac:dyDescent="0.25">
      <c r="A34" s="229"/>
      <c r="B34" s="30" t="s">
        <v>31</v>
      </c>
      <c r="C34" s="181" t="s">
        <v>17</v>
      </c>
      <c r="D34" s="182"/>
      <c r="E34" s="183" t="s">
        <v>32</v>
      </c>
      <c r="F34" s="73" t="s">
        <v>422</v>
      </c>
      <c r="G34" s="235" t="s">
        <v>117</v>
      </c>
      <c r="H34" s="181">
        <v>16</v>
      </c>
      <c r="I34" s="231">
        <v>6</v>
      </c>
      <c r="J34" s="96">
        <v>6</v>
      </c>
      <c r="K34" s="77">
        <v>15915.55</v>
      </c>
      <c r="L34" s="77">
        <v>15915.55</v>
      </c>
      <c r="M34" s="78">
        <f t="shared" si="1"/>
        <v>0</v>
      </c>
      <c r="N34" s="100">
        <v>10</v>
      </c>
      <c r="O34" s="77">
        <v>21507.42</v>
      </c>
      <c r="P34" s="77">
        <v>21507.42</v>
      </c>
      <c r="Q34" s="232">
        <f t="shared" si="2"/>
        <v>0</v>
      </c>
    </row>
    <row r="35" spans="1:17" s="15" customFormat="1" x14ac:dyDescent="0.25">
      <c r="A35" s="229"/>
      <c r="B35" s="62" t="s">
        <v>33</v>
      </c>
      <c r="C35" s="181" t="s">
        <v>17</v>
      </c>
      <c r="D35" s="182"/>
      <c r="E35" s="183" t="s">
        <v>20</v>
      </c>
      <c r="F35" s="73" t="s">
        <v>332</v>
      </c>
      <c r="G35" s="74" t="s">
        <v>112</v>
      </c>
      <c r="H35" s="75">
        <v>12</v>
      </c>
      <c r="I35" s="76">
        <v>9</v>
      </c>
      <c r="J35" s="96">
        <f>1+1+1+1+1+2+1+1+1+1+1</f>
        <v>12</v>
      </c>
      <c r="K35" s="77">
        <f>845.245+5363.43+5912.72+845.24+12887.16+2852.15+6514.08+2058.13+5167.78</f>
        <v>42445.934999999998</v>
      </c>
      <c r="L35" s="77">
        <f>845.245+5363.43+5912.72+845.24+12887.16+2852.15+6514.08+2058.13+5167.78</f>
        <v>42445.934999999998</v>
      </c>
      <c r="M35" s="78">
        <f t="shared" si="1"/>
        <v>0</v>
      </c>
      <c r="N35" s="100">
        <f>2+1+1+1+1+2+1+1+1</f>
        <v>11</v>
      </c>
      <c r="O35" s="81">
        <f>845.24+1613.64+3380.96+3639.33+1152.6+1518.9</f>
        <v>12150.67</v>
      </c>
      <c r="P35" s="81">
        <f>845.24+1613.64+3380.96+3639.33+1152.6+1518.9</f>
        <v>12150.67</v>
      </c>
      <c r="Q35" s="79">
        <f t="shared" si="2"/>
        <v>0</v>
      </c>
    </row>
    <row r="36" spans="1:17" s="15" customFormat="1" x14ac:dyDescent="0.25">
      <c r="A36" s="229"/>
      <c r="B36" s="62" t="s">
        <v>33</v>
      </c>
      <c r="C36" s="181" t="s">
        <v>17</v>
      </c>
      <c r="D36" s="182"/>
      <c r="E36" s="183" t="s">
        <v>20</v>
      </c>
      <c r="F36" s="73" t="s">
        <v>481</v>
      </c>
      <c r="G36" s="230" t="s">
        <v>114</v>
      </c>
      <c r="H36" s="181">
        <v>9</v>
      </c>
      <c r="I36" s="231">
        <v>1</v>
      </c>
      <c r="J36" s="190">
        <v>1</v>
      </c>
      <c r="K36" s="77">
        <v>3472.11</v>
      </c>
      <c r="L36" s="77">
        <v>3472.11</v>
      </c>
      <c r="M36" s="78">
        <f t="shared" si="1"/>
        <v>0</v>
      </c>
      <c r="N36" s="100">
        <v>16</v>
      </c>
      <c r="O36" s="224">
        <v>45328.13</v>
      </c>
      <c r="P36" s="224">
        <v>45328.13</v>
      </c>
      <c r="Q36" s="232">
        <f t="shared" si="2"/>
        <v>0</v>
      </c>
    </row>
    <row r="37" spans="1:17" s="15" customFormat="1" x14ac:dyDescent="0.25">
      <c r="A37" s="229"/>
      <c r="B37" s="62" t="s">
        <v>147</v>
      </c>
      <c r="C37" s="181" t="s">
        <v>17</v>
      </c>
      <c r="D37" s="182"/>
      <c r="E37" s="183" t="s">
        <v>29</v>
      </c>
      <c r="F37" s="73" t="s">
        <v>334</v>
      </c>
      <c r="G37" s="74" t="s">
        <v>112</v>
      </c>
      <c r="H37" s="75">
        <v>10</v>
      </c>
      <c r="I37" s="234">
        <v>9</v>
      </c>
      <c r="J37" s="96">
        <f>1+1+2+1+3+4</f>
        <v>12</v>
      </c>
      <c r="K37" s="77">
        <f>1854.88+2824.48+3058.67+5384.79+14792.98</f>
        <v>27915.8</v>
      </c>
      <c r="L37" s="77">
        <f>1854.88+2824.48+3058.67+5384.79+14792.98</f>
        <v>27915.8</v>
      </c>
      <c r="M37" s="78">
        <f t="shared" si="1"/>
        <v>0</v>
      </c>
      <c r="N37" s="114">
        <f>1+1+1</f>
        <v>3</v>
      </c>
      <c r="O37" s="81">
        <f>1394.65+2473.17+1961.49</f>
        <v>5829.31</v>
      </c>
      <c r="P37" s="81">
        <f>1394.65+2473.17+1961.49</f>
        <v>5829.31</v>
      </c>
      <c r="Q37" s="79">
        <f t="shared" si="2"/>
        <v>0</v>
      </c>
    </row>
    <row r="38" spans="1:17" s="15" customFormat="1" x14ac:dyDescent="0.25">
      <c r="A38" s="229"/>
      <c r="B38" s="233" t="s">
        <v>147</v>
      </c>
      <c r="C38" s="181" t="s">
        <v>17</v>
      </c>
      <c r="D38" s="182"/>
      <c r="E38" s="183" t="s">
        <v>29</v>
      </c>
      <c r="F38" s="73" t="s">
        <v>423</v>
      </c>
      <c r="G38" s="230" t="s">
        <v>117</v>
      </c>
      <c r="H38" s="181">
        <v>13</v>
      </c>
      <c r="I38" s="231">
        <v>4</v>
      </c>
      <c r="J38" s="96">
        <v>4</v>
      </c>
      <c r="K38" s="77">
        <v>6847.1</v>
      </c>
      <c r="L38" s="77">
        <v>6847.1</v>
      </c>
      <c r="M38" s="78">
        <f t="shared" si="1"/>
        <v>0</v>
      </c>
      <c r="N38" s="100">
        <v>4</v>
      </c>
      <c r="O38" s="224">
        <v>4706.45</v>
      </c>
      <c r="P38" s="224">
        <v>4706.45</v>
      </c>
      <c r="Q38" s="232">
        <f t="shared" si="2"/>
        <v>0</v>
      </c>
    </row>
    <row r="39" spans="1:17" s="13" customFormat="1" x14ac:dyDescent="0.25">
      <c r="A39" s="229"/>
      <c r="B39" s="62" t="s">
        <v>34</v>
      </c>
      <c r="C39" s="181" t="s">
        <v>17</v>
      </c>
      <c r="D39" s="182"/>
      <c r="E39" s="194" t="s">
        <v>35</v>
      </c>
      <c r="F39" s="73" t="s">
        <v>335</v>
      </c>
      <c r="G39" s="74" t="s">
        <v>112</v>
      </c>
      <c r="H39" s="75">
        <v>37</v>
      </c>
      <c r="I39" s="76">
        <v>25</v>
      </c>
      <c r="J39" s="96">
        <f>4+2+2+7+4+1+1+2+5</f>
        <v>28</v>
      </c>
      <c r="K39" s="77">
        <f>8288.4+1267.86+845.24+13964.6+11418.26+21175.62+1092.81+2207.7+6312.67+3928.83</f>
        <v>70501.989999999991</v>
      </c>
      <c r="L39" s="77">
        <f>8288.4+1267.86+845.24+13964.6+11418.26+21175.62+1092.81+2207.7+6312.67+3928.83</f>
        <v>70501.989999999991</v>
      </c>
      <c r="M39" s="78">
        <f t="shared" si="1"/>
        <v>0</v>
      </c>
      <c r="N39" s="100">
        <f>4+4+6+1+3+1+3+1+2+1+1+2</f>
        <v>29</v>
      </c>
      <c r="O39" s="81">
        <f>23915.04+21171.88+6399.1+11460.81+1501.24+2795.71</f>
        <v>67243.78</v>
      </c>
      <c r="P39" s="81">
        <f>23915.04+21171.88+6399.1+11460.81+1501.24+2795.71</f>
        <v>67243.78</v>
      </c>
      <c r="Q39" s="79">
        <f t="shared" si="2"/>
        <v>0</v>
      </c>
    </row>
    <row r="40" spans="1:17" s="13" customFormat="1" x14ac:dyDescent="0.25">
      <c r="A40" s="229"/>
      <c r="B40" s="62" t="s">
        <v>34</v>
      </c>
      <c r="C40" s="181" t="s">
        <v>17</v>
      </c>
      <c r="D40" s="182"/>
      <c r="E40" s="194" t="s">
        <v>35</v>
      </c>
      <c r="F40" s="73" t="s">
        <v>424</v>
      </c>
      <c r="G40" s="235" t="s">
        <v>117</v>
      </c>
      <c r="H40" s="181">
        <v>2</v>
      </c>
      <c r="I40" s="231">
        <v>1</v>
      </c>
      <c r="J40" s="96">
        <v>2</v>
      </c>
      <c r="K40" s="77">
        <v>3842</v>
      </c>
      <c r="L40" s="77">
        <v>3842</v>
      </c>
      <c r="M40" s="78">
        <f t="shared" si="1"/>
        <v>0</v>
      </c>
      <c r="N40" s="100">
        <v>3</v>
      </c>
      <c r="O40" s="224">
        <v>9220.7999999999993</v>
      </c>
      <c r="P40" s="224">
        <v>9220.7999999999993</v>
      </c>
      <c r="Q40" s="232">
        <f t="shared" si="2"/>
        <v>0</v>
      </c>
    </row>
    <row r="41" spans="1:17" s="13" customFormat="1" x14ac:dyDescent="0.25">
      <c r="A41" s="229"/>
      <c r="B41" s="27" t="s">
        <v>36</v>
      </c>
      <c r="C41" s="181" t="s">
        <v>17</v>
      </c>
      <c r="D41" s="182"/>
      <c r="E41" s="194" t="s">
        <v>32</v>
      </c>
      <c r="F41" s="73" t="s">
        <v>336</v>
      </c>
      <c r="G41" s="74" t="s">
        <v>112</v>
      </c>
      <c r="H41" s="75">
        <v>35</v>
      </c>
      <c r="I41" s="76">
        <v>24</v>
      </c>
      <c r="J41" s="96">
        <f>1+3+4+2+2+7+6+2+5+2</f>
        <v>34</v>
      </c>
      <c r="K41" s="77">
        <f>2091.97+4201.22+3643.94+998.92+6188.59+7556.35+3399.86+9711</f>
        <v>37791.85</v>
      </c>
      <c r="L41" s="77">
        <f>2091.97+4201.22+3643.94+998.92+6188.59+7556.35+3399.86+9711</f>
        <v>37791.85</v>
      </c>
      <c r="M41" s="78">
        <f t="shared" si="1"/>
        <v>0</v>
      </c>
      <c r="N41" s="100">
        <f>4+2+5+1+1+4+1+1</f>
        <v>19</v>
      </c>
      <c r="O41" s="81">
        <f>26828.22+3116.2+14162+4691+13237.22+22342.31+1888.86</f>
        <v>86265.81</v>
      </c>
      <c r="P41" s="81">
        <f>26828.22+3116.2+14162+4691+13237.22+22342.31+1888.86</f>
        <v>86265.81</v>
      </c>
      <c r="Q41" s="79">
        <f t="shared" si="2"/>
        <v>0</v>
      </c>
    </row>
    <row r="42" spans="1:17" s="13" customFormat="1" x14ac:dyDescent="0.25">
      <c r="A42" s="229"/>
      <c r="B42" s="27" t="s">
        <v>38</v>
      </c>
      <c r="C42" s="181" t="s">
        <v>17</v>
      </c>
      <c r="D42" s="182"/>
      <c r="E42" s="183" t="s">
        <v>20</v>
      </c>
      <c r="F42" s="73" t="s">
        <v>338</v>
      </c>
      <c r="G42" s="74" t="s">
        <v>112</v>
      </c>
      <c r="H42" s="75">
        <v>55</v>
      </c>
      <c r="I42" s="76">
        <v>47</v>
      </c>
      <c r="J42" s="96">
        <f>5+9+3+4+4+2+3+3+11+3+4+4+1+5+7</f>
        <v>68</v>
      </c>
      <c r="K42" s="77">
        <f>4427.07+14262.52+23391.74+11108.38+9141.17+3923.07+23674.29+5445.61</f>
        <v>95373.849999999991</v>
      </c>
      <c r="L42" s="77">
        <f>4427.07+14262.52+23391.74+11108.38+9141.17+3923.07+23674.29+5445.61</f>
        <v>95373.849999999991</v>
      </c>
      <c r="M42" s="78">
        <f t="shared" si="1"/>
        <v>0</v>
      </c>
      <c r="N42" s="100">
        <f>1+14+2+2+2+3+1+1+2+1+1</f>
        <v>30</v>
      </c>
      <c r="O42" s="81">
        <f>34449.99+27363.78+23604.86+16739.26+15240.34+16003.48+4203.85</f>
        <v>137605.56</v>
      </c>
      <c r="P42" s="81">
        <f>34449.99+27363.78+23604.86+16739.26+15240.34+16003.48+4203.85</f>
        <v>137605.56</v>
      </c>
      <c r="Q42" s="79">
        <f t="shared" si="2"/>
        <v>0</v>
      </c>
    </row>
    <row r="43" spans="1:17" s="13" customFormat="1" x14ac:dyDescent="0.25">
      <c r="A43" s="229"/>
      <c r="B43" s="27" t="s">
        <v>38</v>
      </c>
      <c r="C43" s="181" t="s">
        <v>17</v>
      </c>
      <c r="D43" s="182"/>
      <c r="E43" s="183" t="s">
        <v>20</v>
      </c>
      <c r="F43" s="73" t="s">
        <v>268</v>
      </c>
      <c r="G43" s="230" t="s">
        <v>114</v>
      </c>
      <c r="H43" s="181"/>
      <c r="I43" s="231"/>
      <c r="J43" s="190"/>
      <c r="K43" s="77"/>
      <c r="L43" s="77"/>
      <c r="M43" s="78">
        <f t="shared" si="1"/>
        <v>0</v>
      </c>
      <c r="N43" s="100"/>
      <c r="O43" s="224"/>
      <c r="P43" s="224"/>
      <c r="Q43" s="232">
        <f t="shared" si="2"/>
        <v>0</v>
      </c>
    </row>
    <row r="44" spans="1:17" s="13" customFormat="1" x14ac:dyDescent="0.25">
      <c r="A44" s="229"/>
      <c r="B44" s="27" t="s">
        <v>38</v>
      </c>
      <c r="C44" s="181" t="s">
        <v>17</v>
      </c>
      <c r="D44" s="182"/>
      <c r="E44" s="183" t="s">
        <v>18</v>
      </c>
      <c r="F44" s="73" t="s">
        <v>324</v>
      </c>
      <c r="G44" s="230" t="s">
        <v>116</v>
      </c>
      <c r="H44" s="181">
        <v>6</v>
      </c>
      <c r="I44" s="231">
        <v>3</v>
      </c>
      <c r="J44" s="190">
        <v>3</v>
      </c>
      <c r="K44" s="77">
        <v>4098</v>
      </c>
      <c r="L44" s="77">
        <v>4098</v>
      </c>
      <c r="M44" s="78">
        <f t="shared" si="1"/>
        <v>0</v>
      </c>
      <c r="N44" s="100"/>
      <c r="O44" s="224"/>
      <c r="P44" s="224"/>
      <c r="Q44" s="232">
        <f t="shared" si="2"/>
        <v>0</v>
      </c>
    </row>
    <row r="45" spans="1:17" s="13" customFormat="1" x14ac:dyDescent="0.25">
      <c r="A45" s="229"/>
      <c r="B45" s="62" t="s">
        <v>39</v>
      </c>
      <c r="C45" s="181" t="s">
        <v>17</v>
      </c>
      <c r="D45" s="182"/>
      <c r="E45" s="183" t="s">
        <v>20</v>
      </c>
      <c r="F45" s="73" t="s">
        <v>269</v>
      </c>
      <c r="G45" s="230" t="s">
        <v>114</v>
      </c>
      <c r="H45" s="181"/>
      <c r="I45" s="231"/>
      <c r="J45" s="190"/>
      <c r="K45" s="77"/>
      <c r="L45" s="77"/>
      <c r="M45" s="78">
        <f t="shared" si="1"/>
        <v>0</v>
      </c>
      <c r="N45" s="100"/>
      <c r="O45" s="224"/>
      <c r="P45" s="224"/>
      <c r="Q45" s="232">
        <f t="shared" si="2"/>
        <v>0</v>
      </c>
    </row>
    <row r="46" spans="1:17" s="13" customFormat="1" x14ac:dyDescent="0.25">
      <c r="A46" s="229"/>
      <c r="B46" s="27" t="s">
        <v>40</v>
      </c>
      <c r="C46" s="181" t="s">
        <v>17</v>
      </c>
      <c r="D46" s="182"/>
      <c r="E46" s="194" t="s">
        <v>41</v>
      </c>
      <c r="F46" s="73" t="s">
        <v>339</v>
      </c>
      <c r="G46" s="74" t="s">
        <v>112</v>
      </c>
      <c r="H46" s="75">
        <v>30</v>
      </c>
      <c r="I46" s="76">
        <v>23</v>
      </c>
      <c r="J46" s="96">
        <f>1+1+3+9+4+4+3+2+1+1+2+3+3</f>
        <v>37</v>
      </c>
      <c r="K46" s="77">
        <f>1045.98+12271.86+15658.52+8166.35+6035.99+8024.36+2759.63+3460.61+3962.12+3444.02+17333.58</f>
        <v>82163.01999999999</v>
      </c>
      <c r="L46" s="77">
        <f>1045.98+12271.86+15658.52+8166.35+6035.99+8024.36+2759.63+3460.61+3962.12+3444.02+17333.58</f>
        <v>82163.01999999999</v>
      </c>
      <c r="M46" s="78">
        <f t="shared" si="1"/>
        <v>0</v>
      </c>
      <c r="N46" s="100">
        <f>3+13+6+5+4+2+1+1+1</f>
        <v>36</v>
      </c>
      <c r="O46" s="81">
        <f>17269.31+39990.78+16582.12+23492.44+7068.31+4243.84</f>
        <v>108646.79999999999</v>
      </c>
      <c r="P46" s="81">
        <f>17269.31+39990.78+16582.12+23492.44+7068.31+4243.84</f>
        <v>108646.79999999999</v>
      </c>
      <c r="Q46" s="79">
        <f t="shared" si="2"/>
        <v>0</v>
      </c>
    </row>
    <row r="47" spans="1:17" s="13" customFormat="1" x14ac:dyDescent="0.25">
      <c r="A47" s="229"/>
      <c r="B47" s="27" t="s">
        <v>40</v>
      </c>
      <c r="C47" s="181" t="s">
        <v>17</v>
      </c>
      <c r="D47" s="182"/>
      <c r="E47" s="194" t="s">
        <v>41</v>
      </c>
      <c r="F47" s="73" t="s">
        <v>482</v>
      </c>
      <c r="G47" s="230" t="s">
        <v>114</v>
      </c>
      <c r="H47" s="181"/>
      <c r="I47" s="231"/>
      <c r="J47" s="190"/>
      <c r="K47" s="77"/>
      <c r="L47" s="77"/>
      <c r="M47" s="78">
        <f t="shared" si="1"/>
        <v>0</v>
      </c>
      <c r="N47" s="100">
        <v>1</v>
      </c>
      <c r="O47" s="224">
        <v>3073.6</v>
      </c>
      <c r="P47" s="224">
        <f>3073.6</f>
        <v>3073.6</v>
      </c>
      <c r="Q47" s="232">
        <f t="shared" si="2"/>
        <v>0</v>
      </c>
    </row>
    <row r="48" spans="1:17" s="13" customFormat="1" x14ac:dyDescent="0.25">
      <c r="A48" s="229"/>
      <c r="B48" s="27" t="s">
        <v>148</v>
      </c>
      <c r="C48" s="181" t="s">
        <v>17</v>
      </c>
      <c r="D48" s="182"/>
      <c r="E48" s="183" t="s">
        <v>20</v>
      </c>
      <c r="F48" s="73" t="s">
        <v>340</v>
      </c>
      <c r="G48" s="74" t="s">
        <v>112</v>
      </c>
      <c r="H48" s="75">
        <v>22</v>
      </c>
      <c r="I48" s="82">
        <v>16</v>
      </c>
      <c r="J48" s="96">
        <f>1+2+1+4+4+2+3+1</f>
        <v>18</v>
      </c>
      <c r="K48" s="77">
        <f>537.88+2110.03+6723.98+8914.21+1204.2+602.1+903.15+1324.62</f>
        <v>22320.17</v>
      </c>
      <c r="L48" s="77">
        <f>537.88+2110.03+6723.98+8914.21+1204.2+602.1+903.15+1324.62</f>
        <v>22320.17</v>
      </c>
      <c r="M48" s="78">
        <f t="shared" si="1"/>
        <v>0</v>
      </c>
      <c r="N48" s="100">
        <f>6+5+3+1+1+1+1+1</f>
        <v>19</v>
      </c>
      <c r="O48" s="81">
        <f>9370.6+9456.38+8868.69+5367.27+11572.62</f>
        <v>44635.560000000005</v>
      </c>
      <c r="P48" s="81">
        <f>9370.6+9456.38+8868.69+5367.27+11572.62</f>
        <v>44635.560000000005</v>
      </c>
      <c r="Q48" s="79">
        <f t="shared" si="2"/>
        <v>0</v>
      </c>
    </row>
    <row r="49" spans="1:17" s="13" customFormat="1" x14ac:dyDescent="0.25">
      <c r="A49" s="229"/>
      <c r="B49" s="27" t="s">
        <v>148</v>
      </c>
      <c r="C49" s="181" t="s">
        <v>17</v>
      </c>
      <c r="D49" s="182"/>
      <c r="E49" s="194" t="s">
        <v>32</v>
      </c>
      <c r="F49" s="73" t="s">
        <v>425</v>
      </c>
      <c r="G49" s="230" t="s">
        <v>117</v>
      </c>
      <c r="H49" s="181">
        <v>13</v>
      </c>
      <c r="I49" s="231">
        <v>4</v>
      </c>
      <c r="J49" s="96">
        <v>4</v>
      </c>
      <c r="K49" s="77">
        <v>13707.82</v>
      </c>
      <c r="L49" s="77">
        <v>13707.82</v>
      </c>
      <c r="M49" s="78">
        <f t="shared" si="1"/>
        <v>0</v>
      </c>
      <c r="N49" s="100">
        <v>4</v>
      </c>
      <c r="O49" s="224">
        <v>12851.49</v>
      </c>
      <c r="P49" s="224">
        <v>12851.49</v>
      </c>
      <c r="Q49" s="232">
        <f t="shared" si="2"/>
        <v>0</v>
      </c>
    </row>
    <row r="50" spans="1:17" s="13" customFormat="1" x14ac:dyDescent="0.25">
      <c r="A50" s="229"/>
      <c r="B50" s="30" t="s">
        <v>42</v>
      </c>
      <c r="C50" s="181" t="s">
        <v>17</v>
      </c>
      <c r="D50" s="182"/>
      <c r="E50" s="183" t="s">
        <v>23</v>
      </c>
      <c r="F50" s="73" t="s">
        <v>341</v>
      </c>
      <c r="G50" s="74" t="s">
        <v>112</v>
      </c>
      <c r="H50" s="75">
        <v>36</v>
      </c>
      <c r="I50" s="76">
        <v>30</v>
      </c>
      <c r="J50" s="96">
        <f>5+3+5+3+8+3+8+5</f>
        <v>40</v>
      </c>
      <c r="K50" s="77">
        <f>7156.22+3849.11+8154.25+4149.36+15912.38+18649.91</f>
        <v>57871.229999999996</v>
      </c>
      <c r="L50" s="77">
        <f>7156.22+3849.11+8154.25+4149.36+15912.38+18649.91</f>
        <v>57871.229999999996</v>
      </c>
      <c r="M50" s="78">
        <f t="shared" si="1"/>
        <v>0</v>
      </c>
      <c r="N50" s="100">
        <f>4+6+9+2+4+2+2+3+3+2</f>
        <v>37</v>
      </c>
      <c r="O50" s="81">
        <f>5364.2+26170.88+2849.25+18965.6+9565.56+9423.5+18214.56</f>
        <v>90553.549999999988</v>
      </c>
      <c r="P50" s="81">
        <f>5364.2+26170.88+2849.25+18965.6+9565.56+9423.5+18214.56</f>
        <v>90553.549999999988</v>
      </c>
      <c r="Q50" s="79">
        <f t="shared" si="2"/>
        <v>0</v>
      </c>
    </row>
    <row r="51" spans="1:17" s="13" customFormat="1" x14ac:dyDescent="0.25">
      <c r="A51" s="229"/>
      <c r="B51" s="30" t="s">
        <v>42</v>
      </c>
      <c r="C51" s="181" t="s">
        <v>17</v>
      </c>
      <c r="D51" s="182"/>
      <c r="E51" s="183" t="s">
        <v>23</v>
      </c>
      <c r="F51" s="73" t="s">
        <v>437</v>
      </c>
      <c r="G51" s="230" t="s">
        <v>118</v>
      </c>
      <c r="H51" s="181">
        <v>2</v>
      </c>
      <c r="I51" s="231"/>
      <c r="J51" s="96"/>
      <c r="K51" s="77"/>
      <c r="L51" s="77"/>
      <c r="M51" s="78">
        <f t="shared" si="1"/>
        <v>0</v>
      </c>
      <c r="N51" s="100">
        <v>1</v>
      </c>
      <c r="O51" s="224">
        <v>7766.4</v>
      </c>
      <c r="P51" s="224">
        <v>7766.4</v>
      </c>
      <c r="Q51" s="232">
        <f t="shared" si="2"/>
        <v>0</v>
      </c>
    </row>
    <row r="52" spans="1:17" s="13" customFormat="1" x14ac:dyDescent="0.25">
      <c r="A52" s="229"/>
      <c r="B52" s="30" t="s">
        <v>173</v>
      </c>
      <c r="C52" s="181" t="s">
        <v>17</v>
      </c>
      <c r="D52" s="182"/>
      <c r="E52" s="230" t="s">
        <v>118</v>
      </c>
      <c r="F52" s="73" t="s">
        <v>342</v>
      </c>
      <c r="G52" s="74" t="s">
        <v>112</v>
      </c>
      <c r="H52" s="75">
        <v>4</v>
      </c>
      <c r="I52" s="76">
        <v>4</v>
      </c>
      <c r="J52" s="96">
        <f>1+2+1</f>
        <v>4</v>
      </c>
      <c r="K52" s="77">
        <f>6833.76+696.36</f>
        <v>7530.12</v>
      </c>
      <c r="L52" s="77">
        <f>6833.76+696.36</f>
        <v>7530.12</v>
      </c>
      <c r="M52" s="78">
        <f t="shared" si="1"/>
        <v>0</v>
      </c>
      <c r="N52" s="100">
        <f>4+2</f>
        <v>6</v>
      </c>
      <c r="O52" s="81">
        <f>5931.9+4183.92+3158.95</f>
        <v>13274.77</v>
      </c>
      <c r="P52" s="81">
        <f>5931.9+4183.92+3158.95</f>
        <v>13274.77</v>
      </c>
      <c r="Q52" s="79">
        <f t="shared" si="2"/>
        <v>0</v>
      </c>
    </row>
    <row r="53" spans="1:17" s="13" customFormat="1" x14ac:dyDescent="0.25">
      <c r="A53" s="229"/>
      <c r="B53" s="62" t="s">
        <v>143</v>
      </c>
      <c r="C53" s="181" t="s">
        <v>64</v>
      </c>
      <c r="D53" s="182" t="s">
        <v>444</v>
      </c>
      <c r="E53" s="183" t="s">
        <v>20</v>
      </c>
      <c r="F53" s="73" t="s">
        <v>445</v>
      </c>
      <c r="G53" s="230" t="s">
        <v>114</v>
      </c>
      <c r="H53" s="181">
        <v>29</v>
      </c>
      <c r="I53" s="234">
        <v>18</v>
      </c>
      <c r="J53" s="190">
        <v>18</v>
      </c>
      <c r="K53" s="193">
        <v>37516</v>
      </c>
      <c r="L53" s="193">
        <v>37516</v>
      </c>
      <c r="M53" s="78">
        <f t="shared" si="1"/>
        <v>0</v>
      </c>
      <c r="N53" s="114">
        <v>18</v>
      </c>
      <c r="O53" s="224">
        <v>27390.400000000001</v>
      </c>
      <c r="P53" s="224">
        <v>27390.400000000001</v>
      </c>
      <c r="Q53" s="232">
        <f t="shared" si="2"/>
        <v>0</v>
      </c>
    </row>
    <row r="54" spans="1:17" s="13" customFormat="1" x14ac:dyDescent="0.25">
      <c r="A54" s="229"/>
      <c r="B54" s="30" t="s">
        <v>158</v>
      </c>
      <c r="C54" s="181" t="s">
        <v>17</v>
      </c>
      <c r="D54" s="182"/>
      <c r="E54" s="194" t="s">
        <v>32</v>
      </c>
      <c r="F54" s="73" t="s">
        <v>426</v>
      </c>
      <c r="G54" s="230" t="s">
        <v>117</v>
      </c>
      <c r="H54" s="181">
        <v>13</v>
      </c>
      <c r="I54" s="234">
        <v>6</v>
      </c>
      <c r="J54" s="190">
        <v>7</v>
      </c>
      <c r="K54" s="193">
        <v>12275.74</v>
      </c>
      <c r="L54" s="193">
        <v>12275.74</v>
      </c>
      <c r="M54" s="78">
        <f t="shared" si="1"/>
        <v>0</v>
      </c>
      <c r="N54" s="114">
        <v>5</v>
      </c>
      <c r="O54" s="224">
        <v>16813.7</v>
      </c>
      <c r="P54" s="224">
        <v>16813.7</v>
      </c>
      <c r="Q54" s="232">
        <f t="shared" si="2"/>
        <v>0</v>
      </c>
    </row>
    <row r="55" spans="1:17" s="15" customFormat="1" x14ac:dyDescent="0.25">
      <c r="A55" s="229"/>
      <c r="B55" s="62" t="s">
        <v>43</v>
      </c>
      <c r="C55" s="181" t="s">
        <v>17</v>
      </c>
      <c r="D55" s="182"/>
      <c r="E55" s="183" t="s">
        <v>18</v>
      </c>
      <c r="F55" s="73" t="s">
        <v>344</v>
      </c>
      <c r="G55" s="74" t="s">
        <v>112</v>
      </c>
      <c r="H55" s="75">
        <v>39</v>
      </c>
      <c r="I55" s="76">
        <v>29</v>
      </c>
      <c r="J55" s="96">
        <f>1+2+2+5+2+3+2+3+3+3+5+2</f>
        <v>33</v>
      </c>
      <c r="K55" s="77">
        <f>1776.93+926.88+3328.29+3172.19+9832.29+3539.2+3058.67+13375.29</f>
        <v>39009.740000000005</v>
      </c>
      <c r="L55" s="77">
        <f>1776.93+926.88+3328.29+3172.19+9832.29+3539.2+3058.67+13375.29</f>
        <v>39009.740000000005</v>
      </c>
      <c r="M55" s="78">
        <f t="shared" si="1"/>
        <v>0</v>
      </c>
      <c r="N55" s="100">
        <f>1+5+4+1+1+1+1+1+2</f>
        <v>17</v>
      </c>
      <c r="O55" s="81">
        <f>1223.8+3810.29+4959.02+10043.87+2769.48+2146.91+11926.24-1465.64</f>
        <v>35413.97</v>
      </c>
      <c r="P55" s="81">
        <f>1223.8+3810.29+4959.02+10043.87+2769.48+2146.91+11926.24-1465.64</f>
        <v>35413.97</v>
      </c>
      <c r="Q55" s="79">
        <f t="shared" si="2"/>
        <v>0</v>
      </c>
    </row>
    <row r="56" spans="1:17" s="15" customFormat="1" ht="30" x14ac:dyDescent="0.25">
      <c r="A56" s="229"/>
      <c r="B56" s="62" t="s">
        <v>43</v>
      </c>
      <c r="C56" s="181" t="s">
        <v>304</v>
      </c>
      <c r="D56" s="182" t="s">
        <v>473</v>
      </c>
      <c r="E56" s="183" t="s">
        <v>18</v>
      </c>
      <c r="F56" s="73" t="s">
        <v>323</v>
      </c>
      <c r="G56" s="271" t="s">
        <v>116</v>
      </c>
      <c r="H56" s="181">
        <v>28</v>
      </c>
      <c r="I56" s="234">
        <v>24</v>
      </c>
      <c r="J56" s="98">
        <v>27</v>
      </c>
      <c r="K56" s="77">
        <v>36684</v>
      </c>
      <c r="L56" s="77">
        <v>36684</v>
      </c>
      <c r="M56" s="78">
        <f t="shared" si="1"/>
        <v>0</v>
      </c>
      <c r="N56" s="114">
        <v>21</v>
      </c>
      <c r="O56" s="224">
        <v>68563</v>
      </c>
      <c r="P56" s="224">
        <v>68563</v>
      </c>
      <c r="Q56" s="232">
        <f t="shared" si="2"/>
        <v>0</v>
      </c>
    </row>
    <row r="57" spans="1:17" s="13" customFormat="1" x14ac:dyDescent="0.25">
      <c r="A57" s="229"/>
      <c r="B57" s="30" t="s">
        <v>44</v>
      </c>
      <c r="C57" s="181" t="s">
        <v>17</v>
      </c>
      <c r="D57" s="182"/>
      <c r="E57" s="183" t="s">
        <v>20</v>
      </c>
      <c r="F57" s="73" t="s">
        <v>345</v>
      </c>
      <c r="G57" s="74" t="s">
        <v>112</v>
      </c>
      <c r="H57" s="75">
        <v>20</v>
      </c>
      <c r="I57" s="76">
        <v>13</v>
      </c>
      <c r="J57" s="96">
        <f>1+1+1+4+2+1+1+1+3</f>
        <v>15</v>
      </c>
      <c r="K57" s="77">
        <f>2422.38+1267.86+15410.58+1534.35+708.47+883.08</f>
        <v>22226.720000000001</v>
      </c>
      <c r="L57" s="77">
        <f>2422.38+1267.86+15410.58+1534.35+708.47+883.08</f>
        <v>22226.720000000001</v>
      </c>
      <c r="M57" s="78">
        <f t="shared" si="1"/>
        <v>0</v>
      </c>
      <c r="N57" s="100">
        <f>1+11</f>
        <v>12</v>
      </c>
      <c r="O57" s="81">
        <f>421.62+4603.39+10559.77+72902.04+3435.31</f>
        <v>91922.12999999999</v>
      </c>
      <c r="P57" s="81">
        <f>421.62+4603.39+10559.77+72902.04+3435.31</f>
        <v>91922.12999999999</v>
      </c>
      <c r="Q57" s="79">
        <f t="shared" si="2"/>
        <v>0</v>
      </c>
    </row>
    <row r="58" spans="1:17" s="13" customFormat="1" x14ac:dyDescent="0.25">
      <c r="A58" s="229"/>
      <c r="B58" s="30" t="s">
        <v>44</v>
      </c>
      <c r="C58" s="181" t="s">
        <v>17</v>
      </c>
      <c r="D58" s="182"/>
      <c r="E58" s="183" t="s">
        <v>20</v>
      </c>
      <c r="F58" s="73" t="s">
        <v>483</v>
      </c>
      <c r="G58" s="230" t="s">
        <v>114</v>
      </c>
      <c r="H58" s="181"/>
      <c r="I58" s="231"/>
      <c r="J58" s="190"/>
      <c r="K58" s="77"/>
      <c r="L58" s="77"/>
      <c r="M58" s="78">
        <f t="shared" si="1"/>
        <v>0</v>
      </c>
      <c r="N58" s="100">
        <v>3</v>
      </c>
      <c r="O58" s="224">
        <v>9934.7000000000007</v>
      </c>
      <c r="P58" s="224">
        <v>9934.7000000000007</v>
      </c>
      <c r="Q58" s="232">
        <f t="shared" si="2"/>
        <v>0</v>
      </c>
    </row>
    <row r="59" spans="1:17" s="13" customFormat="1" x14ac:dyDescent="0.25">
      <c r="A59" s="229"/>
      <c r="B59" s="30" t="s">
        <v>492</v>
      </c>
      <c r="C59" s="181" t="s">
        <v>17</v>
      </c>
      <c r="D59" s="182"/>
      <c r="E59" s="183" t="s">
        <v>20</v>
      </c>
      <c r="F59" s="73" t="s">
        <v>499</v>
      </c>
      <c r="G59" s="230" t="s">
        <v>112</v>
      </c>
      <c r="H59" s="181">
        <v>10</v>
      </c>
      <c r="I59" s="231">
        <v>8</v>
      </c>
      <c r="J59" s="190">
        <f>1+8</f>
        <v>9</v>
      </c>
      <c r="K59" s="77">
        <f>1044.98+2096.62</f>
        <v>3141.6</v>
      </c>
      <c r="L59" s="77">
        <f>1044.98+2096.62</f>
        <v>3141.6</v>
      </c>
      <c r="M59" s="78">
        <f t="shared" si="1"/>
        <v>0</v>
      </c>
      <c r="N59" s="100"/>
      <c r="O59" s="224"/>
      <c r="P59" s="224"/>
      <c r="Q59" s="79">
        <f t="shared" si="2"/>
        <v>0</v>
      </c>
    </row>
    <row r="60" spans="1:17" s="13" customFormat="1" x14ac:dyDescent="0.25">
      <c r="A60" s="229"/>
      <c r="B60" s="27" t="s">
        <v>45</v>
      </c>
      <c r="C60" s="181" t="s">
        <v>17</v>
      </c>
      <c r="D60" s="182"/>
      <c r="E60" s="183" t="s">
        <v>20</v>
      </c>
      <c r="F60" s="73" t="s">
        <v>346</v>
      </c>
      <c r="G60" s="74" t="s">
        <v>112</v>
      </c>
      <c r="H60" s="75"/>
      <c r="I60" s="76"/>
      <c r="J60" s="96"/>
      <c r="K60" s="77"/>
      <c r="L60" s="77"/>
      <c r="M60" s="78">
        <f t="shared" si="1"/>
        <v>0</v>
      </c>
      <c r="N60" s="100">
        <f>1</f>
        <v>1</v>
      </c>
      <c r="O60" s="81">
        <f>17995.91+2729.8</f>
        <v>20725.71</v>
      </c>
      <c r="P60" s="81">
        <f>17995.91+2729.8</f>
        <v>20725.71</v>
      </c>
      <c r="Q60" s="79">
        <f t="shared" si="2"/>
        <v>0</v>
      </c>
    </row>
    <row r="61" spans="1:17" s="13" customFormat="1" x14ac:dyDescent="0.25">
      <c r="A61" s="229"/>
      <c r="B61" s="27" t="s">
        <v>45</v>
      </c>
      <c r="C61" s="181" t="s">
        <v>17</v>
      </c>
      <c r="D61" s="182"/>
      <c r="E61" s="183" t="s">
        <v>20</v>
      </c>
      <c r="F61" s="73" t="s">
        <v>484</v>
      </c>
      <c r="G61" s="230" t="s">
        <v>114</v>
      </c>
      <c r="H61" s="181"/>
      <c r="I61" s="231"/>
      <c r="J61" s="190"/>
      <c r="K61" s="77"/>
      <c r="L61" s="77"/>
      <c r="M61" s="78">
        <f t="shared" si="1"/>
        <v>0</v>
      </c>
      <c r="N61" s="100"/>
      <c r="O61" s="224"/>
      <c r="P61" s="224"/>
      <c r="Q61" s="232">
        <f t="shared" si="2"/>
        <v>0</v>
      </c>
    </row>
    <row r="62" spans="1:17" s="15" customFormat="1" x14ac:dyDescent="0.25">
      <c r="A62" s="229"/>
      <c r="B62" s="27" t="s">
        <v>46</v>
      </c>
      <c r="C62" s="181" t="s">
        <v>17</v>
      </c>
      <c r="D62" s="182"/>
      <c r="E62" s="183" t="s">
        <v>20</v>
      </c>
      <c r="F62" s="73" t="s">
        <v>347</v>
      </c>
      <c r="G62" s="74" t="s">
        <v>112</v>
      </c>
      <c r="H62" s="75">
        <v>20</v>
      </c>
      <c r="I62" s="76">
        <v>18</v>
      </c>
      <c r="J62" s="96">
        <f>1+2+3+2+4+1+4+2+1+5+1+1+4+1</f>
        <v>32</v>
      </c>
      <c r="K62" s="77">
        <f>1045.98+1068.08+8157.32+1778.85+9152.67+11156.63+11271.63+1490.2+9025.41+10714.36+1457.08+12068.04</f>
        <v>78386.25</v>
      </c>
      <c r="L62" s="77">
        <f>1045.98+1068.08+8157.32+1778.85+9152.67+11156.63+11271.63+1490.2+9025.41+10714.36+1457.08+12068.04</f>
        <v>78386.25</v>
      </c>
      <c r="M62" s="78">
        <f t="shared" si="1"/>
        <v>0</v>
      </c>
      <c r="N62" s="100">
        <f>4+4+1+1+1+2</f>
        <v>13</v>
      </c>
      <c r="O62" s="81">
        <f>10759.2+10685.34+7362.04+22509.72</f>
        <v>51316.3</v>
      </c>
      <c r="P62" s="81">
        <f>10759.2+10685.34+7362.04+22509.72</f>
        <v>51316.3</v>
      </c>
      <c r="Q62" s="79">
        <f t="shared" si="2"/>
        <v>0</v>
      </c>
    </row>
    <row r="63" spans="1:17" s="15" customFormat="1" x14ac:dyDescent="0.25">
      <c r="A63" s="229"/>
      <c r="B63" s="27" t="s">
        <v>46</v>
      </c>
      <c r="C63" s="181" t="s">
        <v>17</v>
      </c>
      <c r="D63" s="182"/>
      <c r="E63" s="183" t="s">
        <v>20</v>
      </c>
      <c r="F63" s="73" t="s">
        <v>273</v>
      </c>
      <c r="G63" s="230" t="s">
        <v>114</v>
      </c>
      <c r="H63" s="181">
        <v>6</v>
      </c>
      <c r="I63" s="231">
        <v>1</v>
      </c>
      <c r="J63" s="190">
        <v>1</v>
      </c>
      <c r="K63" s="77">
        <v>576.29999999999995</v>
      </c>
      <c r="L63" s="77">
        <v>576.29999999999995</v>
      </c>
      <c r="M63" s="78">
        <f t="shared" si="1"/>
        <v>0</v>
      </c>
      <c r="N63" s="100">
        <v>3</v>
      </c>
      <c r="O63" s="224">
        <v>9356.9</v>
      </c>
      <c r="P63" s="224">
        <v>9356.9</v>
      </c>
      <c r="Q63" s="232">
        <f t="shared" si="2"/>
        <v>0</v>
      </c>
    </row>
    <row r="64" spans="1:17" s="13" customFormat="1" ht="45" x14ac:dyDescent="0.25">
      <c r="A64" s="229"/>
      <c r="B64" s="30" t="s">
        <v>47</v>
      </c>
      <c r="C64" s="181" t="s">
        <v>304</v>
      </c>
      <c r="D64" s="182" t="s">
        <v>474</v>
      </c>
      <c r="E64" s="183" t="s">
        <v>18</v>
      </c>
      <c r="F64" s="73" t="s">
        <v>348</v>
      </c>
      <c r="G64" s="74" t="s">
        <v>112</v>
      </c>
      <c r="H64" s="75">
        <v>63</v>
      </c>
      <c r="I64" s="76">
        <v>50</v>
      </c>
      <c r="J64" s="98">
        <f>1+1+3+21+7+2+5+2+7+15+14+7+2+5+5</f>
        <v>97</v>
      </c>
      <c r="K64" s="77">
        <f>30728.27+19236.99+22614.7+52735.68</f>
        <v>125315.64000000001</v>
      </c>
      <c r="L64" s="77">
        <f>30728.27+19236.99+22614.7+52735.68</f>
        <v>125315.64000000001</v>
      </c>
      <c r="M64" s="78">
        <f t="shared" si="1"/>
        <v>0</v>
      </c>
      <c r="N64" s="100">
        <f>7+3+4+10+6+1+2+1+3+2+5+1</f>
        <v>45</v>
      </c>
      <c r="O64" s="81">
        <f>8477.51+15159.83+14079.46+15414.2+17995.91+2065.56+1859.53+9543.86+1728.53+14526.84</f>
        <v>100851.23</v>
      </c>
      <c r="P64" s="81">
        <f>8477.51+15159.83+14079.46+15414.2+17995.91+2065.56+1859.53+9543.86+1728.53+14526.84</f>
        <v>100851.23</v>
      </c>
      <c r="Q64" s="79">
        <f t="shared" si="2"/>
        <v>0</v>
      </c>
    </row>
    <row r="65" spans="1:17" s="13" customFormat="1" ht="45" x14ac:dyDescent="0.25">
      <c r="A65" s="229">
        <v>22</v>
      </c>
      <c r="B65" s="62" t="s">
        <v>120</v>
      </c>
      <c r="C65" s="181" t="s">
        <v>304</v>
      </c>
      <c r="D65" s="182" t="s">
        <v>474</v>
      </c>
      <c r="E65" s="183" t="s">
        <v>18</v>
      </c>
      <c r="F65" s="73" t="s">
        <v>334</v>
      </c>
      <c r="G65" s="230" t="s">
        <v>116</v>
      </c>
      <c r="H65" s="181">
        <v>34</v>
      </c>
      <c r="I65" s="234">
        <v>22</v>
      </c>
      <c r="J65" s="98">
        <v>24</v>
      </c>
      <c r="K65" s="77">
        <v>43355</v>
      </c>
      <c r="L65" s="77">
        <v>43355</v>
      </c>
      <c r="M65" s="78">
        <f t="shared" si="1"/>
        <v>0</v>
      </c>
      <c r="N65" s="100">
        <v>15</v>
      </c>
      <c r="O65" s="224">
        <v>60831</v>
      </c>
      <c r="P65" s="224">
        <v>60831</v>
      </c>
      <c r="Q65" s="232">
        <f t="shared" si="2"/>
        <v>0</v>
      </c>
    </row>
    <row r="66" spans="1:17" s="13" customFormat="1" x14ac:dyDescent="0.25">
      <c r="A66" s="229"/>
      <c r="B66" s="30" t="s">
        <v>134</v>
      </c>
      <c r="C66" s="181" t="s">
        <v>17</v>
      </c>
      <c r="D66" s="182"/>
      <c r="E66" s="183" t="s">
        <v>20</v>
      </c>
      <c r="F66" s="73" t="s">
        <v>349</v>
      </c>
      <c r="G66" s="74" t="s">
        <v>112</v>
      </c>
      <c r="H66" s="75">
        <v>24</v>
      </c>
      <c r="I66" s="76">
        <v>22</v>
      </c>
      <c r="J66" s="96">
        <f>1+4+1+1+2+1+1+7+1+1+2</f>
        <v>22</v>
      </c>
      <c r="K66" s="77">
        <f>7301.48+1473.89+1911.09+1690.48+845.24+6268.51+441.51+1983.45+3361.83+883.11+2668.51+2972.45+3953.39+2549.89+1534.35</f>
        <v>39839.18</v>
      </c>
      <c r="L66" s="77">
        <f>7301.48+1473.89+1911.09+1690.48+845.24+6268.51+441.51+1983.45+3361.83+883.11+2668.51+2972.45+3953.39+2549.89+1534.35</f>
        <v>39839.18</v>
      </c>
      <c r="M66" s="78">
        <f t="shared" si="1"/>
        <v>0</v>
      </c>
      <c r="N66" s="100">
        <f>4+1+1+1+1+1</f>
        <v>9</v>
      </c>
      <c r="O66" s="81">
        <f>5020.05+3215.31+12312.39+4648.82+32425.98+7889.42+3294.46</f>
        <v>68806.430000000008</v>
      </c>
      <c r="P66" s="81">
        <f>5020.05+3215.31+12312.39+4648.82+32425.98+7889.42+3294.46</f>
        <v>68806.430000000008</v>
      </c>
      <c r="Q66" s="79">
        <f t="shared" si="2"/>
        <v>0</v>
      </c>
    </row>
    <row r="67" spans="1:17" s="13" customFormat="1" x14ac:dyDescent="0.25">
      <c r="A67" s="229"/>
      <c r="B67" s="30" t="s">
        <v>134</v>
      </c>
      <c r="C67" s="181" t="s">
        <v>17</v>
      </c>
      <c r="D67" s="182"/>
      <c r="E67" s="183" t="s">
        <v>20</v>
      </c>
      <c r="F67" s="73" t="s">
        <v>456</v>
      </c>
      <c r="G67" s="230" t="s">
        <v>114</v>
      </c>
      <c r="H67" s="181">
        <v>26</v>
      </c>
      <c r="I67" s="231">
        <v>9</v>
      </c>
      <c r="J67" s="190">
        <v>9</v>
      </c>
      <c r="K67" s="77">
        <v>17181.12</v>
      </c>
      <c r="L67" s="77">
        <v>17181.12</v>
      </c>
      <c r="M67" s="78">
        <f t="shared" si="1"/>
        <v>0</v>
      </c>
      <c r="N67" s="100">
        <v>27</v>
      </c>
      <c r="O67" s="224">
        <v>61494.8</v>
      </c>
      <c r="P67" s="224">
        <v>61494.8</v>
      </c>
      <c r="Q67" s="232">
        <f t="shared" si="2"/>
        <v>0</v>
      </c>
    </row>
    <row r="68" spans="1:17" s="13" customFormat="1" x14ac:dyDescent="0.25">
      <c r="A68" s="229"/>
      <c r="B68" s="62" t="s">
        <v>48</v>
      </c>
      <c r="C68" s="181" t="s">
        <v>17</v>
      </c>
      <c r="D68" s="182"/>
      <c r="E68" s="183" t="s">
        <v>20</v>
      </c>
      <c r="F68" s="73" t="s">
        <v>350</v>
      </c>
      <c r="G68" s="74" t="s">
        <v>112</v>
      </c>
      <c r="H68" s="75">
        <v>21</v>
      </c>
      <c r="I68" s="76">
        <v>14</v>
      </c>
      <c r="J68" s="96">
        <f>1+1+2+1+3+2+6</f>
        <v>16</v>
      </c>
      <c r="K68" s="77">
        <f>4805.96+2585.78+3065.92+2588.55+14407.5+9289.05+3030.73+11469.98+21400.25</f>
        <v>72643.72</v>
      </c>
      <c r="L68" s="77">
        <f>4805.96+2585.78+3065.92+2588.55+14407.5+9289.05+3030.73+11469.98+21400.25</f>
        <v>72643.72</v>
      </c>
      <c r="M68" s="78">
        <f t="shared" si="1"/>
        <v>0</v>
      </c>
      <c r="N68" s="100">
        <f>2+1+2+1+3+2</f>
        <v>11</v>
      </c>
      <c r="O68" s="81">
        <f>23174.33+2535.72+11633.02+6993.42+20756.4+5079.09</f>
        <v>70171.98000000001</v>
      </c>
      <c r="P68" s="81">
        <f>23174.33+2535.72+11633.02+6993.42+20756.4+5079.09</f>
        <v>70171.98000000001</v>
      </c>
      <c r="Q68" s="79">
        <f t="shared" si="2"/>
        <v>0</v>
      </c>
    </row>
    <row r="69" spans="1:17" s="13" customFormat="1" x14ac:dyDescent="0.25">
      <c r="A69" s="229"/>
      <c r="B69" s="62" t="s">
        <v>49</v>
      </c>
      <c r="C69" s="181" t="s">
        <v>17</v>
      </c>
      <c r="D69" s="182"/>
      <c r="E69" s="183" t="s">
        <v>50</v>
      </c>
      <c r="F69" s="73" t="s">
        <v>351</v>
      </c>
      <c r="G69" s="74" t="s">
        <v>112</v>
      </c>
      <c r="H69" s="75">
        <v>30</v>
      </c>
      <c r="I69" s="76">
        <v>23</v>
      </c>
      <c r="J69" s="96">
        <f>1+4+8+6+5+1+2+2</f>
        <v>29</v>
      </c>
      <c r="K69" s="77">
        <f>525.65+1267.86+6544.72+13939.57+2896.54+9712.48+14471.86+991.75+8615.66</f>
        <v>58966.09</v>
      </c>
      <c r="L69" s="77">
        <f>525.65+1267.86+6544.72+13939.57+2896.54+9712.48+14471.86+991.75+8615.66</f>
        <v>58966.09</v>
      </c>
      <c r="M69" s="78">
        <f t="shared" si="1"/>
        <v>0</v>
      </c>
      <c r="N69" s="100">
        <f>5+1+3+1+1+1</f>
        <v>12</v>
      </c>
      <c r="O69" s="81">
        <f>7374+1806.93+7275.53+4666.9+2684.03+6682.03+10412.84</f>
        <v>40902.259999999995</v>
      </c>
      <c r="P69" s="81">
        <f>7374+1806.93+7275.53+4666.9+2684.03+6682.03+10412.84</f>
        <v>40902.259999999995</v>
      </c>
      <c r="Q69" s="232">
        <f t="shared" si="2"/>
        <v>0</v>
      </c>
    </row>
    <row r="70" spans="1:17" s="13" customFormat="1" x14ac:dyDescent="0.25">
      <c r="A70" s="229"/>
      <c r="B70" s="62" t="s">
        <v>49</v>
      </c>
      <c r="C70" s="181" t="s">
        <v>17</v>
      </c>
      <c r="D70" s="182"/>
      <c r="E70" s="183" t="s">
        <v>50</v>
      </c>
      <c r="F70" s="73" t="s">
        <v>427</v>
      </c>
      <c r="G70" s="230" t="s">
        <v>115</v>
      </c>
      <c r="H70" s="181">
        <v>20</v>
      </c>
      <c r="I70" s="231">
        <v>7</v>
      </c>
      <c r="J70" s="96">
        <v>7</v>
      </c>
      <c r="K70" s="77">
        <v>14739.83</v>
      </c>
      <c r="L70" s="77">
        <v>14739.83</v>
      </c>
      <c r="M70" s="78">
        <f t="shared" si="1"/>
        <v>0</v>
      </c>
      <c r="N70" s="100">
        <v>11</v>
      </c>
      <c r="O70" s="224">
        <v>25688.3</v>
      </c>
      <c r="P70" s="224">
        <v>25688.3</v>
      </c>
      <c r="Q70" s="79">
        <f t="shared" si="2"/>
        <v>0</v>
      </c>
    </row>
    <row r="71" spans="1:17" s="13" customFormat="1" x14ac:dyDescent="0.25">
      <c r="A71" s="229"/>
      <c r="B71" s="27" t="s">
        <v>51</v>
      </c>
      <c r="C71" s="181" t="s">
        <v>17</v>
      </c>
      <c r="D71" s="182"/>
      <c r="E71" s="183" t="s">
        <v>20</v>
      </c>
      <c r="F71" s="73" t="s">
        <v>186</v>
      </c>
      <c r="G71" s="74" t="s">
        <v>112</v>
      </c>
      <c r="H71" s="75"/>
      <c r="I71" s="76"/>
      <c r="J71" s="96"/>
      <c r="K71" s="77"/>
      <c r="L71" s="77"/>
      <c r="M71" s="78">
        <f t="shared" si="1"/>
        <v>0</v>
      </c>
      <c r="N71" s="100">
        <f>1</f>
        <v>1</v>
      </c>
      <c r="O71" s="81">
        <v>2451.87</v>
      </c>
      <c r="P71" s="81">
        <v>2451.87</v>
      </c>
      <c r="Q71" s="232">
        <f t="shared" si="2"/>
        <v>0</v>
      </c>
    </row>
    <row r="72" spans="1:17" s="13" customFormat="1" x14ac:dyDescent="0.25">
      <c r="A72" s="229"/>
      <c r="B72" s="27" t="s">
        <v>51</v>
      </c>
      <c r="C72" s="181" t="s">
        <v>17</v>
      </c>
      <c r="D72" s="182"/>
      <c r="E72" s="183" t="s">
        <v>20</v>
      </c>
      <c r="F72" s="73" t="s">
        <v>276</v>
      </c>
      <c r="G72" s="230" t="s">
        <v>114</v>
      </c>
      <c r="H72" s="181"/>
      <c r="I72" s="231"/>
      <c r="J72" s="190"/>
      <c r="K72" s="77"/>
      <c r="L72" s="77"/>
      <c r="M72" s="78">
        <f t="shared" si="1"/>
        <v>0</v>
      </c>
      <c r="N72" s="100">
        <v>3</v>
      </c>
      <c r="O72" s="224">
        <v>6763.6</v>
      </c>
      <c r="P72" s="224">
        <v>6763.6</v>
      </c>
      <c r="Q72" s="232">
        <f t="shared" si="2"/>
        <v>0</v>
      </c>
    </row>
    <row r="73" spans="1:17" s="13" customFormat="1" x14ac:dyDescent="0.25">
      <c r="A73" s="229"/>
      <c r="B73" s="62" t="s">
        <v>52</v>
      </c>
      <c r="C73" s="181" t="s">
        <v>17</v>
      </c>
      <c r="D73" s="182"/>
      <c r="E73" s="183" t="s">
        <v>20</v>
      </c>
      <c r="F73" s="73" t="s">
        <v>352</v>
      </c>
      <c r="G73" s="74" t="s">
        <v>112</v>
      </c>
      <c r="H73" s="75">
        <v>16</v>
      </c>
      <c r="I73" s="76">
        <v>13</v>
      </c>
      <c r="J73" s="96">
        <f>1+1+1+1+2+3+1+1+1+2+1+1</f>
        <v>16</v>
      </c>
      <c r="K73" s="77">
        <f>10714.2+2747.14+2138.07+6709.4+7033.21+883.08+708.47+8516.02+1766.16</f>
        <v>41215.75</v>
      </c>
      <c r="L73" s="77">
        <f>10714.2+2747.14+2138.07+6709.4+7033.21+883.08+708.47+8516.02+1766.16</f>
        <v>41215.75</v>
      </c>
      <c r="M73" s="78">
        <f t="shared" si="1"/>
        <v>0</v>
      </c>
      <c r="N73" s="100">
        <f>4+3+1+1+2+3+1+1+2+1</f>
        <v>19</v>
      </c>
      <c r="O73" s="81">
        <f>5977.15+48296.91+7596.86+1061.83+8902.9+6856.31+2935.36+8136.06+17654.09</f>
        <v>107417.47</v>
      </c>
      <c r="P73" s="81">
        <f>5977.15+48296.91+7596.86+1061.83+8902.9+6856.31+2935.36+8136.06+17654.09</f>
        <v>107417.47</v>
      </c>
      <c r="Q73" s="232">
        <f t="shared" si="2"/>
        <v>0</v>
      </c>
    </row>
    <row r="74" spans="1:17" s="13" customFormat="1" x14ac:dyDescent="0.25">
      <c r="A74" s="229"/>
      <c r="B74" s="62" t="s">
        <v>52</v>
      </c>
      <c r="C74" s="181" t="s">
        <v>17</v>
      </c>
      <c r="D74" s="182"/>
      <c r="E74" s="183" t="s">
        <v>20</v>
      </c>
      <c r="F74" s="73" t="s">
        <v>457</v>
      </c>
      <c r="G74" s="230" t="s">
        <v>114</v>
      </c>
      <c r="H74" s="181">
        <v>16</v>
      </c>
      <c r="I74" s="231">
        <v>6</v>
      </c>
      <c r="J74" s="190">
        <v>6</v>
      </c>
      <c r="K74" s="77">
        <v>15055.4</v>
      </c>
      <c r="L74" s="77">
        <v>15055.4</v>
      </c>
      <c r="M74" s="78">
        <f t="shared" si="1"/>
        <v>0</v>
      </c>
      <c r="N74" s="100">
        <v>23</v>
      </c>
      <c r="O74" s="264">
        <v>64407.22</v>
      </c>
      <c r="P74" s="264">
        <v>64407.22</v>
      </c>
      <c r="Q74" s="232">
        <f t="shared" si="2"/>
        <v>0</v>
      </c>
    </row>
    <row r="75" spans="1:17" s="13" customFormat="1" x14ac:dyDescent="0.25">
      <c r="A75" s="229"/>
      <c r="B75" s="27" t="s">
        <v>53</v>
      </c>
      <c r="C75" s="181" t="s">
        <v>17</v>
      </c>
      <c r="D75" s="182"/>
      <c r="E75" s="183" t="s">
        <v>20</v>
      </c>
      <c r="F75" s="73" t="s">
        <v>353</v>
      </c>
      <c r="G75" s="74" t="s">
        <v>112</v>
      </c>
      <c r="H75" s="75">
        <v>18</v>
      </c>
      <c r="I75" s="76">
        <v>12</v>
      </c>
      <c r="J75" s="96">
        <f>2+2+2+1+2+1+1+3+2</f>
        <v>16</v>
      </c>
      <c r="K75" s="77">
        <f>3655.66+6862.24+2535.72+3550.85+401.4+441.54+3534.2</f>
        <v>20981.61</v>
      </c>
      <c r="L75" s="77">
        <f>3655.66+6862.24+2535.72+3550.85+401.4+441.54+3534.2</f>
        <v>20981.61</v>
      </c>
      <c r="M75" s="78">
        <f t="shared" si="1"/>
        <v>0</v>
      </c>
      <c r="N75" s="100">
        <f>1+2+2+1+1+1</f>
        <v>8</v>
      </c>
      <c r="O75" s="81">
        <f>1743.3+3921.71+422.62+5626.45+37901.04</f>
        <v>49615.12</v>
      </c>
      <c r="P75" s="81">
        <f>1743.3+3921.71+422.62+5626.45+37901.04</f>
        <v>49615.12</v>
      </c>
      <c r="Q75" s="232">
        <f t="shared" si="2"/>
        <v>0</v>
      </c>
    </row>
    <row r="76" spans="1:17" s="13" customFormat="1" x14ac:dyDescent="0.25">
      <c r="A76" s="229"/>
      <c r="B76" s="27" t="s">
        <v>149</v>
      </c>
      <c r="C76" s="181" t="s">
        <v>17</v>
      </c>
      <c r="D76" s="182"/>
      <c r="E76" s="183" t="s">
        <v>383</v>
      </c>
      <c r="F76" s="73" t="s">
        <v>354</v>
      </c>
      <c r="G76" s="74" t="s">
        <v>112</v>
      </c>
      <c r="H76" s="75">
        <v>42</v>
      </c>
      <c r="I76" s="76">
        <v>15</v>
      </c>
      <c r="J76" s="96">
        <f>7+3+3+7</f>
        <v>20</v>
      </c>
      <c r="K76" s="77">
        <f>7743.07+4386.1+10376.2</f>
        <v>22505.370000000003</v>
      </c>
      <c r="L76" s="77">
        <f>7743.07+4386.1+10376.2</f>
        <v>22505.370000000003</v>
      </c>
      <c r="M76" s="78">
        <f t="shared" si="1"/>
        <v>0</v>
      </c>
      <c r="N76" s="100">
        <f>2+2+2+1</f>
        <v>7</v>
      </c>
      <c r="O76" s="81">
        <f>3676.8+3431.65+6320.35+4068.03</f>
        <v>17496.830000000002</v>
      </c>
      <c r="P76" s="81">
        <f>3676.8+3431.65+6320.35+4068.03</f>
        <v>17496.830000000002</v>
      </c>
      <c r="Q76" s="79">
        <f t="shared" si="2"/>
        <v>0</v>
      </c>
    </row>
    <row r="77" spans="1:17" s="13" customFormat="1" x14ac:dyDescent="0.25">
      <c r="A77" s="229"/>
      <c r="B77" s="27" t="s">
        <v>149</v>
      </c>
      <c r="C77" s="181" t="s">
        <v>17</v>
      </c>
      <c r="D77" s="182"/>
      <c r="E77" s="183" t="s">
        <v>383</v>
      </c>
      <c r="F77" s="73" t="s">
        <v>438</v>
      </c>
      <c r="G77" s="230" t="s">
        <v>118</v>
      </c>
      <c r="H77" s="181">
        <v>17</v>
      </c>
      <c r="I77" s="234">
        <v>2</v>
      </c>
      <c r="J77" s="190">
        <v>2</v>
      </c>
      <c r="K77" s="193">
        <v>3988.2</v>
      </c>
      <c r="L77" s="193">
        <v>3988.2</v>
      </c>
      <c r="M77" s="78">
        <f t="shared" si="1"/>
        <v>0</v>
      </c>
      <c r="N77" s="114">
        <v>10</v>
      </c>
      <c r="O77" s="224">
        <v>9835.52</v>
      </c>
      <c r="P77" s="224">
        <v>9835.52</v>
      </c>
      <c r="Q77" s="232">
        <f t="shared" si="2"/>
        <v>0</v>
      </c>
    </row>
    <row r="78" spans="1:17" s="13" customFormat="1" x14ac:dyDescent="0.25">
      <c r="A78" s="229"/>
      <c r="B78" s="62" t="s">
        <v>107</v>
      </c>
      <c r="C78" s="181" t="s">
        <v>17</v>
      </c>
      <c r="D78" s="182"/>
      <c r="E78" s="194" t="s">
        <v>20</v>
      </c>
      <c r="F78" s="73" t="s">
        <v>355</v>
      </c>
      <c r="G78" s="74" t="s">
        <v>112</v>
      </c>
      <c r="H78" s="75">
        <v>18</v>
      </c>
      <c r="I78" s="76">
        <v>12</v>
      </c>
      <c r="J78" s="96">
        <f>1+3+3+2+1+2+1+1</f>
        <v>14</v>
      </c>
      <c r="K78" s="77">
        <f>666.63+7071.2+5333.38+13316.37+23091.24+4686.95+2216.53+401.4+401.4+9002.54</f>
        <v>66187.640000000014</v>
      </c>
      <c r="L78" s="77">
        <f>666.63+7071.2+5333.38+13316.37+23091.24+4686.95+2216.53+401.4+401.4+9002.54</f>
        <v>66187.640000000014</v>
      </c>
      <c r="M78" s="78">
        <f t="shared" ref="M78:M141" si="3">K78-L78</f>
        <v>0</v>
      </c>
      <c r="N78" s="100">
        <f>2+6+1+1+2+1</f>
        <v>13</v>
      </c>
      <c r="O78" s="81">
        <f>7612.92+18804.48+9163.33+3260.98+6297.63+2609.1</f>
        <v>47748.44</v>
      </c>
      <c r="P78" s="81">
        <f>7612.92+18804.48+9163.33+3260.98+6297.63+2609.1</f>
        <v>47748.44</v>
      </c>
      <c r="Q78" s="79">
        <f t="shared" si="2"/>
        <v>0</v>
      </c>
    </row>
    <row r="79" spans="1:17" s="13" customFormat="1" x14ac:dyDescent="0.25">
      <c r="A79" s="229"/>
      <c r="B79" s="30" t="s">
        <v>54</v>
      </c>
      <c r="C79" s="181" t="s">
        <v>17</v>
      </c>
      <c r="D79" s="182"/>
      <c r="E79" s="194" t="s">
        <v>20</v>
      </c>
      <c r="F79" s="73" t="s">
        <v>356</v>
      </c>
      <c r="G79" s="74" t="s">
        <v>112</v>
      </c>
      <c r="H79" s="75"/>
      <c r="I79" s="76"/>
      <c r="J79" s="96"/>
      <c r="K79" s="77">
        <f>9075.37</f>
        <v>9075.3700000000008</v>
      </c>
      <c r="L79" s="77">
        <f>9075.37</f>
        <v>9075.3700000000008</v>
      </c>
      <c r="M79" s="78">
        <f t="shared" si="3"/>
        <v>0</v>
      </c>
      <c r="N79" s="100">
        <f>4+1+1+2+1</f>
        <v>9</v>
      </c>
      <c r="O79" s="81">
        <f>17895.28+17443.73+5473.41+2994.97</f>
        <v>43807.39</v>
      </c>
      <c r="P79" s="81">
        <f>17895.28+17443.73+5473.41+2994.97</f>
        <v>43807.39</v>
      </c>
      <c r="Q79" s="79">
        <f t="shared" si="2"/>
        <v>0</v>
      </c>
    </row>
    <row r="80" spans="1:17" s="13" customFormat="1" ht="30" x14ac:dyDescent="0.25">
      <c r="A80" s="229"/>
      <c r="B80" s="27" t="s">
        <v>55</v>
      </c>
      <c r="C80" s="181" t="s">
        <v>304</v>
      </c>
      <c r="D80" s="182" t="s">
        <v>387</v>
      </c>
      <c r="E80" s="183" t="s">
        <v>20</v>
      </c>
      <c r="F80" s="73" t="s">
        <v>357</v>
      </c>
      <c r="G80" s="74" t="s">
        <v>112</v>
      </c>
      <c r="H80" s="75">
        <v>28</v>
      </c>
      <c r="I80" s="76">
        <v>20</v>
      </c>
      <c r="J80" s="98">
        <f>3+1+1+2+1+1+1+3+3+1+3+1</f>
        <v>21</v>
      </c>
      <c r="K80" s="77">
        <f>1267.86+6667.8+5756.15+1180.38+4780.37+4352.43+2850.42+2493.42+1404.9+10097.91+883.08+8774.66</f>
        <v>50509.380000000005</v>
      </c>
      <c r="L80" s="77">
        <f>1267.86+6667.8+5756.15+1180.38+4780.37+4352.43+2850.42+2493.42+1404.9+10097.91+883.08+8774.66</f>
        <v>50509.380000000005</v>
      </c>
      <c r="M80" s="78">
        <f t="shared" si="3"/>
        <v>0</v>
      </c>
      <c r="N80" s="100">
        <f>2+1+2+2+2+1+2+1+1+1</f>
        <v>15</v>
      </c>
      <c r="O80" s="81">
        <f>34854.19+2113.1+6430.67+5463.42+39145.22+2535.72+5132.44+12985.86+3492.63</f>
        <v>112153.25000000001</v>
      </c>
      <c r="P80" s="81">
        <f>34854.19+2113.1+6430.67+5463.42+39145.22+2535.72+5132.44+12985.86+3492.63</f>
        <v>112153.25000000001</v>
      </c>
      <c r="Q80" s="232">
        <f t="shared" si="2"/>
        <v>0</v>
      </c>
    </row>
    <row r="81" spans="1:17" s="13" customFormat="1" ht="30" x14ac:dyDescent="0.25">
      <c r="A81" s="229"/>
      <c r="B81" s="62" t="s">
        <v>56</v>
      </c>
      <c r="C81" s="181" t="s">
        <v>17</v>
      </c>
      <c r="D81" s="182" t="s">
        <v>386</v>
      </c>
      <c r="E81" s="183" t="s">
        <v>18</v>
      </c>
      <c r="F81" s="73" t="s">
        <v>358</v>
      </c>
      <c r="G81" s="74" t="s">
        <v>112</v>
      </c>
      <c r="H81" s="75">
        <v>14</v>
      </c>
      <c r="I81" s="76">
        <v>12</v>
      </c>
      <c r="J81" s="96">
        <f>1+1+2+2+5+1</f>
        <v>12</v>
      </c>
      <c r="K81" s="77">
        <f>678.11+678.11+4865.7+5265.72+4915.15+2243.02</f>
        <v>18645.810000000001</v>
      </c>
      <c r="L81" s="77">
        <f>678.11+678.11+4865.7+5265.72+4915.15+2243.02</f>
        <v>18645.810000000001</v>
      </c>
      <c r="M81" s="78">
        <f t="shared" si="3"/>
        <v>0</v>
      </c>
      <c r="N81" s="100">
        <f>1</f>
        <v>1</v>
      </c>
      <c r="O81" s="81">
        <f>4395.5</f>
        <v>4395.5</v>
      </c>
      <c r="P81" s="81">
        <f>4395.5</f>
        <v>4395.5</v>
      </c>
      <c r="Q81" s="79">
        <f t="shared" si="2"/>
        <v>0</v>
      </c>
    </row>
    <row r="82" spans="1:17" s="13" customFormat="1" ht="30" x14ac:dyDescent="0.25">
      <c r="A82" s="229"/>
      <c r="B82" s="62" t="s">
        <v>56</v>
      </c>
      <c r="C82" s="181" t="s">
        <v>304</v>
      </c>
      <c r="D82" s="182" t="s">
        <v>386</v>
      </c>
      <c r="E82" s="183" t="s">
        <v>18</v>
      </c>
      <c r="F82" s="73" t="s">
        <v>476</v>
      </c>
      <c r="G82" s="230" t="s">
        <v>113</v>
      </c>
      <c r="H82" s="181">
        <v>14</v>
      </c>
      <c r="I82" s="234">
        <v>10</v>
      </c>
      <c r="J82" s="98">
        <v>11</v>
      </c>
      <c r="K82" s="77">
        <v>20460</v>
      </c>
      <c r="L82" s="77">
        <v>20460</v>
      </c>
      <c r="M82" s="78">
        <f t="shared" si="3"/>
        <v>0</v>
      </c>
      <c r="N82" s="100"/>
      <c r="O82" s="224">
        <v>7612</v>
      </c>
      <c r="P82" s="224">
        <v>7612</v>
      </c>
      <c r="Q82" s="232">
        <f t="shared" ref="Q82:Q147" si="4">O82-P82</f>
        <v>0</v>
      </c>
    </row>
    <row r="83" spans="1:17" s="13" customFormat="1" x14ac:dyDescent="0.25">
      <c r="A83" s="229"/>
      <c r="B83" s="62" t="s">
        <v>156</v>
      </c>
      <c r="C83" s="181" t="s">
        <v>304</v>
      </c>
      <c r="D83" s="182"/>
      <c r="E83" s="183" t="s">
        <v>20</v>
      </c>
      <c r="F83" s="73" t="s">
        <v>359</v>
      </c>
      <c r="G83" s="74" t="s">
        <v>112</v>
      </c>
      <c r="H83" s="75">
        <v>5</v>
      </c>
      <c r="I83" s="76">
        <v>2</v>
      </c>
      <c r="J83" s="96">
        <f>2</f>
        <v>2</v>
      </c>
      <c r="K83" s="77">
        <f>1690.48+993.47</f>
        <v>2683.95</v>
      </c>
      <c r="L83" s="77">
        <f>1690.48+993.47</f>
        <v>2683.95</v>
      </c>
      <c r="M83" s="78">
        <f t="shared" si="3"/>
        <v>0</v>
      </c>
      <c r="N83" s="100">
        <f>3+1+1</f>
        <v>5</v>
      </c>
      <c r="O83" s="81">
        <f>5488.54+2398.37+422.62+1605.6</f>
        <v>9915.130000000001</v>
      </c>
      <c r="P83" s="81">
        <f>5488.54+2398.37+422.62+1605.6</f>
        <v>9915.130000000001</v>
      </c>
      <c r="Q83" s="79">
        <f t="shared" si="4"/>
        <v>0</v>
      </c>
    </row>
    <row r="84" spans="1:17" s="15" customFormat="1" x14ac:dyDescent="0.25">
      <c r="A84" s="229"/>
      <c r="B84" s="62" t="s">
        <v>57</v>
      </c>
      <c r="C84" s="181" t="s">
        <v>17</v>
      </c>
      <c r="D84" s="182"/>
      <c r="E84" s="183" t="s">
        <v>20</v>
      </c>
      <c r="F84" s="73" t="s">
        <v>360</v>
      </c>
      <c r="G84" s="74" t="s">
        <v>112</v>
      </c>
      <c r="H84" s="75">
        <v>9</v>
      </c>
      <c r="I84" s="76">
        <v>8</v>
      </c>
      <c r="J84" s="96">
        <f>2+1+1+2+2</f>
        <v>8</v>
      </c>
      <c r="K84" s="77">
        <f>806.82+1728.9+422.62+2958.34+863.01</f>
        <v>6779.6900000000005</v>
      </c>
      <c r="L84" s="77">
        <f>806.82+1728.9+422.62+2958.34+863.01</f>
        <v>6779.6900000000005</v>
      </c>
      <c r="M84" s="78">
        <f t="shared" si="3"/>
        <v>0</v>
      </c>
      <c r="N84" s="100">
        <f>2+1</f>
        <v>3</v>
      </c>
      <c r="O84" s="81">
        <f>2745.3</f>
        <v>2745.3</v>
      </c>
      <c r="P84" s="81">
        <f>2745.3</f>
        <v>2745.3</v>
      </c>
      <c r="Q84" s="232">
        <f t="shared" si="4"/>
        <v>0</v>
      </c>
    </row>
    <row r="85" spans="1:17" s="15" customFormat="1" x14ac:dyDescent="0.25">
      <c r="A85" s="229"/>
      <c r="B85" s="62" t="s">
        <v>57</v>
      </c>
      <c r="C85" s="181" t="s">
        <v>17</v>
      </c>
      <c r="D85" s="182"/>
      <c r="E85" s="183" t="s">
        <v>20</v>
      </c>
      <c r="F85" s="73" t="s">
        <v>458</v>
      </c>
      <c r="G85" s="230" t="s">
        <v>114</v>
      </c>
      <c r="H85" s="181">
        <v>40</v>
      </c>
      <c r="I85" s="231">
        <v>18</v>
      </c>
      <c r="J85" s="190">
        <v>18</v>
      </c>
      <c r="K85" s="77">
        <v>44800.97</v>
      </c>
      <c r="L85" s="77">
        <v>44800.97</v>
      </c>
      <c r="M85" s="78">
        <f t="shared" si="3"/>
        <v>0</v>
      </c>
      <c r="N85" s="100">
        <v>20</v>
      </c>
      <c r="O85" s="224">
        <v>42687.199999999997</v>
      </c>
      <c r="P85" s="224">
        <v>42687.199999999997</v>
      </c>
      <c r="Q85" s="232">
        <f t="shared" si="4"/>
        <v>0</v>
      </c>
    </row>
    <row r="86" spans="1:17" s="13" customFormat="1" x14ac:dyDescent="0.25">
      <c r="A86" s="229"/>
      <c r="B86" s="62" t="s">
        <v>58</v>
      </c>
      <c r="C86" s="181" t="s">
        <v>17</v>
      </c>
      <c r="D86" s="182"/>
      <c r="E86" s="183" t="s">
        <v>20</v>
      </c>
      <c r="F86" s="73" t="s">
        <v>361</v>
      </c>
      <c r="G86" s="74" t="s">
        <v>112</v>
      </c>
      <c r="H86" s="75">
        <v>11</v>
      </c>
      <c r="I86" s="76">
        <v>9</v>
      </c>
      <c r="J86" s="96">
        <f>1+2+1+1+1+1+2</f>
        <v>9</v>
      </c>
      <c r="K86" s="77">
        <f>1892.47+3118.94+422.62+1324.62+12755.56</f>
        <v>19514.21</v>
      </c>
      <c r="L86" s="77">
        <f>1892.47+3118.94+422.62+1324.62+12755.56</f>
        <v>19514.21</v>
      </c>
      <c r="M86" s="78">
        <f t="shared" si="3"/>
        <v>0</v>
      </c>
      <c r="N86" s="100">
        <f>1+1+3+1</f>
        <v>6</v>
      </c>
      <c r="O86" s="81">
        <f>9196.24+2480.78+2954.11+15214.32</f>
        <v>29845.45</v>
      </c>
      <c r="P86" s="81">
        <f>9196.24+2480.78+2954.11+15214.32</f>
        <v>29845.45</v>
      </c>
      <c r="Q86" s="232">
        <f t="shared" si="4"/>
        <v>0</v>
      </c>
    </row>
    <row r="87" spans="1:17" s="13" customFormat="1" x14ac:dyDescent="0.25">
      <c r="A87" s="229"/>
      <c r="B87" s="62" t="s">
        <v>58</v>
      </c>
      <c r="C87" s="181" t="s">
        <v>17</v>
      </c>
      <c r="D87" s="182"/>
      <c r="E87" s="183" t="s">
        <v>20</v>
      </c>
      <c r="F87" s="73" t="s">
        <v>478</v>
      </c>
      <c r="G87" s="230" t="s">
        <v>114</v>
      </c>
      <c r="H87" s="181">
        <v>15</v>
      </c>
      <c r="I87" s="231">
        <v>3</v>
      </c>
      <c r="J87" s="190">
        <v>3</v>
      </c>
      <c r="K87" s="77">
        <v>3765.16</v>
      </c>
      <c r="L87" s="77">
        <v>3765.16</v>
      </c>
      <c r="M87" s="78">
        <f t="shared" si="3"/>
        <v>0</v>
      </c>
      <c r="N87" s="100">
        <v>21</v>
      </c>
      <c r="O87" s="224">
        <v>54215.77</v>
      </c>
      <c r="P87" s="224">
        <v>54215.77</v>
      </c>
      <c r="Q87" s="232">
        <f t="shared" si="4"/>
        <v>0</v>
      </c>
    </row>
    <row r="88" spans="1:17" s="13" customFormat="1" x14ac:dyDescent="0.25">
      <c r="A88" s="229"/>
      <c r="B88" s="62" t="s">
        <v>59</v>
      </c>
      <c r="C88" s="181" t="s">
        <v>17</v>
      </c>
      <c r="D88" s="182"/>
      <c r="E88" s="183" t="s">
        <v>20</v>
      </c>
      <c r="F88" s="73" t="s">
        <v>362</v>
      </c>
      <c r="G88" s="74" t="s">
        <v>112</v>
      </c>
      <c r="H88" s="75">
        <v>16</v>
      </c>
      <c r="I88" s="76">
        <v>8</v>
      </c>
      <c r="J88" s="96">
        <f>1+1+1+3+1+1</f>
        <v>8</v>
      </c>
      <c r="K88" s="77">
        <f>403.41+1431.16+845.24+998.92+3059.87+5898.13</f>
        <v>12636.73</v>
      </c>
      <c r="L88" s="77">
        <f>403.41+1431.16+845.24+998.92+3059.87+5898.13</f>
        <v>12636.73</v>
      </c>
      <c r="M88" s="78">
        <f t="shared" si="3"/>
        <v>0</v>
      </c>
      <c r="N88" s="100">
        <f>1+2+2+1+1+1+1+1</f>
        <v>10</v>
      </c>
      <c r="O88" s="81">
        <f>6646.05+1267.86+979.71</f>
        <v>8893.619999999999</v>
      </c>
      <c r="P88" s="81">
        <f>2353.23+5561.68+978.71</f>
        <v>8893.619999999999</v>
      </c>
      <c r="Q88" s="232">
        <f t="shared" si="4"/>
        <v>0</v>
      </c>
    </row>
    <row r="89" spans="1:17" s="13" customFormat="1" x14ac:dyDescent="0.25">
      <c r="A89" s="229"/>
      <c r="B89" s="62" t="s">
        <v>59</v>
      </c>
      <c r="C89" s="181" t="s">
        <v>17</v>
      </c>
      <c r="D89" s="182"/>
      <c r="E89" s="183" t="s">
        <v>20</v>
      </c>
      <c r="F89" s="73" t="s">
        <v>128</v>
      </c>
      <c r="G89" s="230" t="s">
        <v>114</v>
      </c>
      <c r="H89" s="181"/>
      <c r="I89" s="231"/>
      <c r="J89" s="190"/>
      <c r="K89" s="77"/>
      <c r="L89" s="77"/>
      <c r="M89" s="78">
        <f t="shared" si="3"/>
        <v>0</v>
      </c>
      <c r="N89" s="100"/>
      <c r="O89" s="224"/>
      <c r="P89" s="224"/>
      <c r="Q89" s="232">
        <f t="shared" si="4"/>
        <v>0</v>
      </c>
    </row>
    <row r="90" spans="1:17" s="13" customFormat="1" x14ac:dyDescent="0.25">
      <c r="A90" s="229"/>
      <c r="B90" s="27" t="s">
        <v>60</v>
      </c>
      <c r="C90" s="181" t="s">
        <v>17</v>
      </c>
      <c r="D90" s="182"/>
      <c r="E90" s="183" t="s">
        <v>20</v>
      </c>
      <c r="F90" s="73" t="s">
        <v>364</v>
      </c>
      <c r="G90" s="74" t="s">
        <v>112</v>
      </c>
      <c r="H90" s="75">
        <v>21</v>
      </c>
      <c r="I90" s="76">
        <v>11</v>
      </c>
      <c r="J90" s="96">
        <f>1+1+1+4+4+2</f>
        <v>13</v>
      </c>
      <c r="K90" s="77">
        <f>634.93+893.27+2930.22+8503.46</f>
        <v>12961.88</v>
      </c>
      <c r="L90" s="77">
        <f>634.93+893.27+2930.22+8503.46</f>
        <v>12961.88</v>
      </c>
      <c r="M90" s="78">
        <f t="shared" si="3"/>
        <v>0</v>
      </c>
      <c r="N90" s="100">
        <f>4+1+3+1+1+2+2</f>
        <v>14</v>
      </c>
      <c r="O90" s="81">
        <f>15124.53+2065.75+8492.52+5828.3+7183.28</f>
        <v>38694.379999999997</v>
      </c>
      <c r="P90" s="81">
        <f>15124.53+2065.75+8492.52+5828.3+7183.28</f>
        <v>38694.379999999997</v>
      </c>
      <c r="Q90" s="232">
        <f t="shared" si="4"/>
        <v>0</v>
      </c>
    </row>
    <row r="91" spans="1:17" s="13" customFormat="1" x14ac:dyDescent="0.25">
      <c r="A91" s="229"/>
      <c r="B91" s="27" t="s">
        <v>60</v>
      </c>
      <c r="C91" s="181" t="s">
        <v>17</v>
      </c>
      <c r="D91" s="182"/>
      <c r="E91" s="183" t="s">
        <v>20</v>
      </c>
      <c r="F91" s="73" t="s">
        <v>479</v>
      </c>
      <c r="G91" s="230" t="s">
        <v>114</v>
      </c>
      <c r="H91" s="181">
        <v>17</v>
      </c>
      <c r="I91" s="231">
        <v>4</v>
      </c>
      <c r="J91" s="190">
        <v>4</v>
      </c>
      <c r="K91" s="77">
        <v>8197.2000000000007</v>
      </c>
      <c r="L91" s="77">
        <v>8197.2000000000007</v>
      </c>
      <c r="M91" s="78">
        <f t="shared" si="3"/>
        <v>0</v>
      </c>
      <c r="N91" s="100">
        <v>14</v>
      </c>
      <c r="O91" s="224">
        <v>44683.68</v>
      </c>
      <c r="P91" s="224">
        <v>44683.68</v>
      </c>
      <c r="Q91" s="232">
        <f t="shared" si="4"/>
        <v>0</v>
      </c>
    </row>
    <row r="92" spans="1:17" s="13" customFormat="1" x14ac:dyDescent="0.25">
      <c r="A92" s="229"/>
      <c r="B92" s="27" t="s">
        <v>493</v>
      </c>
      <c r="C92" s="181" t="s">
        <v>17</v>
      </c>
      <c r="D92" s="182"/>
      <c r="E92" s="183" t="s">
        <v>20</v>
      </c>
      <c r="F92" s="73" t="s">
        <v>496</v>
      </c>
      <c r="G92" s="230" t="s">
        <v>112</v>
      </c>
      <c r="H92" s="181">
        <v>16</v>
      </c>
      <c r="I92" s="231">
        <v>13</v>
      </c>
      <c r="J92" s="190">
        <f>3+2+1+3+1+2+1+3+3</f>
        <v>19</v>
      </c>
      <c r="K92" s="77">
        <f>3387.04+3467.41+1267.86+2218.74+8089.94+1924.71+5638.36</f>
        <v>25994.059999999998</v>
      </c>
      <c r="L92" s="77">
        <f>3387.04+3467.41+1267.86+2218.74+8089.94+1924.71+5638.36</f>
        <v>25994.059999999998</v>
      </c>
      <c r="M92" s="78">
        <f t="shared" si="3"/>
        <v>0</v>
      </c>
      <c r="N92" s="100"/>
      <c r="O92" s="224"/>
      <c r="P92" s="224"/>
      <c r="Q92" s="232">
        <f t="shared" si="4"/>
        <v>0</v>
      </c>
    </row>
    <row r="93" spans="1:17" s="15" customFormat="1" x14ac:dyDescent="0.25">
      <c r="A93" s="229"/>
      <c r="B93" s="27" t="s">
        <v>61</v>
      </c>
      <c r="C93" s="181" t="s">
        <v>17</v>
      </c>
      <c r="D93" s="182"/>
      <c r="E93" s="183" t="s">
        <v>20</v>
      </c>
      <c r="F93" s="73" t="s">
        <v>363</v>
      </c>
      <c r="G93" s="74" t="s">
        <v>112</v>
      </c>
      <c r="H93" s="75"/>
      <c r="I93" s="76"/>
      <c r="J93" s="96"/>
      <c r="K93" s="77"/>
      <c r="L93" s="77"/>
      <c r="M93" s="78">
        <f t="shared" si="3"/>
        <v>0</v>
      </c>
      <c r="N93" s="100"/>
      <c r="O93" s="81"/>
      <c r="P93" s="81"/>
      <c r="Q93" s="232">
        <f t="shared" si="4"/>
        <v>0</v>
      </c>
    </row>
    <row r="94" spans="1:17" s="15" customFormat="1" x14ac:dyDescent="0.25">
      <c r="A94" s="229"/>
      <c r="B94" s="236" t="s">
        <v>306</v>
      </c>
      <c r="C94" s="181" t="s">
        <v>17</v>
      </c>
      <c r="D94" s="182"/>
      <c r="E94" s="183" t="s">
        <v>35</v>
      </c>
      <c r="F94" s="73" t="s">
        <v>365</v>
      </c>
      <c r="G94" s="230" t="s">
        <v>112</v>
      </c>
      <c r="H94" s="181">
        <v>43</v>
      </c>
      <c r="I94" s="231">
        <v>27</v>
      </c>
      <c r="J94" s="190">
        <f>1+2+1+3+3+2+3+1+2+1+3+4+3</f>
        <v>29</v>
      </c>
      <c r="K94" s="77">
        <f>1045.98+2658.7+35696.14+4892.46+1024.04+2384.53+10793.24+5320.79+2075.24+1324.62+1192.16+2649.24+3973.86</f>
        <v>75031</v>
      </c>
      <c r="L94" s="77">
        <f>1045.98+2658.7+35696.14+4892.46+1024.04+2384.53+10793.24+5320.79+2075.24+1324.62+1192.16+2649.24+3973.86</f>
        <v>75031</v>
      </c>
      <c r="M94" s="78">
        <f t="shared" si="3"/>
        <v>0</v>
      </c>
      <c r="N94" s="114">
        <f>7+2+2+2+1+1+1</f>
        <v>16</v>
      </c>
      <c r="O94" s="224">
        <f>2313.84+6162.57+2330.32+1690.48+3706.14+3107.65+4960.7</f>
        <v>24271.7</v>
      </c>
      <c r="P94" s="224">
        <f>2313.84+6162.57+2330.32+1690.48+3706.14+3107.65+4960.7</f>
        <v>24271.7</v>
      </c>
      <c r="Q94" s="232">
        <f t="shared" si="4"/>
        <v>0</v>
      </c>
    </row>
    <row r="95" spans="1:17" s="13" customFormat="1" x14ac:dyDescent="0.25">
      <c r="A95" s="229"/>
      <c r="B95" s="62" t="s">
        <v>306</v>
      </c>
      <c r="C95" s="181" t="s">
        <v>17</v>
      </c>
      <c r="D95" s="182"/>
      <c r="E95" s="183" t="s">
        <v>27</v>
      </c>
      <c r="F95" s="73" t="s">
        <v>421</v>
      </c>
      <c r="G95" s="230" t="s">
        <v>117</v>
      </c>
      <c r="H95" s="181">
        <v>5</v>
      </c>
      <c r="I95" s="231"/>
      <c r="J95" s="96"/>
      <c r="K95" s="77"/>
      <c r="L95" s="77"/>
      <c r="M95" s="78">
        <f t="shared" si="3"/>
        <v>0</v>
      </c>
      <c r="N95" s="100"/>
      <c r="O95" s="77"/>
      <c r="P95" s="77"/>
      <c r="Q95" s="79">
        <f>O95-P95</f>
        <v>0</v>
      </c>
    </row>
    <row r="96" spans="1:17" s="13" customFormat="1" x14ac:dyDescent="0.25">
      <c r="A96" s="229"/>
      <c r="B96" s="27" t="s">
        <v>62</v>
      </c>
      <c r="C96" s="181" t="s">
        <v>17</v>
      </c>
      <c r="D96" s="182"/>
      <c r="E96" s="183" t="s">
        <v>35</v>
      </c>
      <c r="F96" s="73" t="s">
        <v>366</v>
      </c>
      <c r="G96" s="74" t="s">
        <v>112</v>
      </c>
      <c r="H96" s="75">
        <v>36</v>
      </c>
      <c r="I96" s="76">
        <v>27</v>
      </c>
      <c r="J96" s="96">
        <f>1+3+1+1+2+4+4+3+3+4+2</f>
        <v>28</v>
      </c>
      <c r="K96" s="77">
        <f>3613.4+1872.01+1394.65+3518.32+15902.72+5370.89+2686.97+19155.26+5281.5+2557.29</f>
        <v>61353.01</v>
      </c>
      <c r="L96" s="77">
        <f>3613.4+1872.01+1394.65+3518.32+15902.72+5370.89+2686.97+19155.26+5281.5+2557.29</f>
        <v>61353.01</v>
      </c>
      <c r="M96" s="78">
        <f t="shared" si="3"/>
        <v>0</v>
      </c>
      <c r="N96" s="100">
        <f>6+2+1+2+1+3+1+1</f>
        <v>17</v>
      </c>
      <c r="O96" s="81">
        <f>19511.33+1270.93+3979.74+2500.85+8530.18+845.24+12787.47+17476.07</f>
        <v>66901.81</v>
      </c>
      <c r="P96" s="81">
        <f>19511.33+1270.93+3979.74+2500.85+8530.18+845.24+12787.47+17476.07</f>
        <v>66901.81</v>
      </c>
      <c r="Q96" s="79">
        <f t="shared" si="4"/>
        <v>0</v>
      </c>
    </row>
    <row r="97" spans="1:17" s="13" customFormat="1" x14ac:dyDescent="0.25">
      <c r="A97" s="229"/>
      <c r="B97" s="27" t="s">
        <v>62</v>
      </c>
      <c r="C97" s="181" t="s">
        <v>17</v>
      </c>
      <c r="D97" s="182"/>
      <c r="E97" s="183" t="s">
        <v>35</v>
      </c>
      <c r="F97" s="73" t="s">
        <v>428</v>
      </c>
      <c r="G97" s="230" t="s">
        <v>117</v>
      </c>
      <c r="H97" s="181">
        <v>6</v>
      </c>
      <c r="I97" s="231"/>
      <c r="J97" s="96"/>
      <c r="K97" s="77"/>
      <c r="L97" s="77"/>
      <c r="M97" s="78">
        <f t="shared" si="3"/>
        <v>0</v>
      </c>
      <c r="N97" s="100">
        <v>10</v>
      </c>
      <c r="O97" s="224">
        <v>35030.800000000003</v>
      </c>
      <c r="P97" s="224">
        <v>35030.800000000003</v>
      </c>
      <c r="Q97" s="232">
        <f t="shared" si="4"/>
        <v>0</v>
      </c>
    </row>
    <row r="98" spans="1:17" s="13" customFormat="1" x14ac:dyDescent="0.25">
      <c r="A98" s="229"/>
      <c r="B98" s="27" t="s">
        <v>155</v>
      </c>
      <c r="C98" s="181" t="s">
        <v>17</v>
      </c>
      <c r="D98" s="182"/>
      <c r="E98" s="183" t="s">
        <v>20</v>
      </c>
      <c r="F98" s="73" t="s">
        <v>367</v>
      </c>
      <c r="G98" s="74" t="s">
        <v>112</v>
      </c>
      <c r="H98" s="75">
        <v>14</v>
      </c>
      <c r="I98" s="82">
        <v>10</v>
      </c>
      <c r="J98" s="96">
        <f>1+2+3+1+2+2+1+1</f>
        <v>13</v>
      </c>
      <c r="K98" s="77">
        <f>3117.56+2266.78+5307.72+3606.94+1494.21+6905.68+2817.8</f>
        <v>25516.690000000002</v>
      </c>
      <c r="L98" s="77">
        <f>3117.56+2266.78+5307.72+3606.94+1494.21+6905.68+2817.8</f>
        <v>25516.690000000002</v>
      </c>
      <c r="M98" s="78">
        <f t="shared" si="3"/>
        <v>0</v>
      </c>
      <c r="N98" s="100">
        <f>1+1+1+1+1</f>
        <v>5</v>
      </c>
      <c r="O98" s="81">
        <f>1798.06+2123.67+2959.73</f>
        <v>6881.46</v>
      </c>
      <c r="P98" s="81">
        <f>1798.06+2123.67+2959.73</f>
        <v>6881.46</v>
      </c>
      <c r="Q98" s="232">
        <f t="shared" si="4"/>
        <v>0</v>
      </c>
    </row>
    <row r="99" spans="1:17" s="13" customFormat="1" ht="15.75" x14ac:dyDescent="0.25">
      <c r="A99" s="229"/>
      <c r="B99" s="27" t="s">
        <v>155</v>
      </c>
      <c r="C99" s="181" t="s">
        <v>17</v>
      </c>
      <c r="D99" s="182"/>
      <c r="E99" s="183" t="s">
        <v>20</v>
      </c>
      <c r="F99" s="73" t="s">
        <v>459</v>
      </c>
      <c r="G99" s="230" t="s">
        <v>114</v>
      </c>
      <c r="H99" s="1">
        <v>16</v>
      </c>
      <c r="I99" s="231">
        <v>4</v>
      </c>
      <c r="J99" s="190">
        <v>4</v>
      </c>
      <c r="K99" s="77">
        <v>8816.51</v>
      </c>
      <c r="L99" s="77">
        <v>8816.51</v>
      </c>
      <c r="M99" s="78">
        <f t="shared" si="3"/>
        <v>0</v>
      </c>
      <c r="N99" s="100">
        <v>16</v>
      </c>
      <c r="O99" s="224">
        <v>36413.46</v>
      </c>
      <c r="P99" s="224">
        <v>36413.46</v>
      </c>
      <c r="Q99" s="232">
        <f t="shared" si="4"/>
        <v>0</v>
      </c>
    </row>
    <row r="100" spans="1:17" s="13" customFormat="1" x14ac:dyDescent="0.25">
      <c r="A100" s="229"/>
      <c r="B100" s="30" t="s">
        <v>66</v>
      </c>
      <c r="C100" s="181" t="s">
        <v>17</v>
      </c>
      <c r="D100" s="182"/>
      <c r="E100" s="183" t="s">
        <v>21</v>
      </c>
      <c r="F100" s="73" t="s">
        <v>368</v>
      </c>
      <c r="G100" s="74" t="s">
        <v>112</v>
      </c>
      <c r="H100" s="75">
        <v>36</v>
      </c>
      <c r="I100" s="76">
        <v>31</v>
      </c>
      <c r="J100" s="96">
        <f>1+3+2+3+2+1+2+1+3+7+4+3+2+3+4+5</f>
        <v>46</v>
      </c>
      <c r="K100" s="77">
        <f>1045.98+4309.04+3820.12+1872.01+4253.49+3044.79+1191.19+4942.84+9299.2+9796.16+4139.27+2886.87+11269.91+12820.57</f>
        <v>74691.44</v>
      </c>
      <c r="L100" s="77">
        <f>1045.98+4309.04+3820.12+1872.01+4253.49+3044.79+1191.19+4942.84+9299.2+9796.16+4139.27+2886.87+11269.91+12820.57</f>
        <v>74691.44</v>
      </c>
      <c r="M100" s="78">
        <f t="shared" si="3"/>
        <v>0</v>
      </c>
      <c r="N100" s="100">
        <f>6+3+8+7+1+1+1+2+1+1+1+1+1+1</f>
        <v>35</v>
      </c>
      <c r="O100" s="81">
        <f>11911.17+23136+18060.17+1977.84+2091.97+19535.65+19124.11+3199.71+4430.07+5418.9+2717.24</f>
        <v>111602.83</v>
      </c>
      <c r="P100" s="81">
        <f>11911.17+23136+18060.17+1977.84+2091.97+19535.65+19124.11+3199.71+4430.07+5418.9+2717.24</f>
        <v>111602.83</v>
      </c>
      <c r="Q100" s="232">
        <f t="shared" si="4"/>
        <v>0</v>
      </c>
    </row>
    <row r="101" spans="1:17" s="13" customFormat="1" x14ac:dyDescent="0.25">
      <c r="A101" s="229"/>
      <c r="B101" s="30" t="s">
        <v>66</v>
      </c>
      <c r="C101" s="181" t="s">
        <v>17</v>
      </c>
      <c r="D101" s="182"/>
      <c r="E101" s="183" t="s">
        <v>21</v>
      </c>
      <c r="F101" s="73" t="s">
        <v>439</v>
      </c>
      <c r="G101" s="230" t="s">
        <v>118</v>
      </c>
      <c r="H101" s="181">
        <v>8</v>
      </c>
      <c r="I101" s="231">
        <v>4</v>
      </c>
      <c r="J101" s="96">
        <v>4</v>
      </c>
      <c r="K101" s="77">
        <v>7173.6</v>
      </c>
      <c r="L101" s="77">
        <v>7173.6</v>
      </c>
      <c r="M101" s="78">
        <f t="shared" si="3"/>
        <v>0</v>
      </c>
      <c r="N101" s="100">
        <v>24</v>
      </c>
      <c r="O101" s="224">
        <v>81462.58</v>
      </c>
      <c r="P101" s="224">
        <v>81462.58</v>
      </c>
      <c r="Q101" s="79">
        <f t="shared" si="4"/>
        <v>0</v>
      </c>
    </row>
    <row r="102" spans="1:17" s="13" customFormat="1" x14ac:dyDescent="0.25">
      <c r="A102" s="229"/>
      <c r="B102" s="62" t="s">
        <v>137</v>
      </c>
      <c r="C102" s="181" t="s">
        <v>17</v>
      </c>
      <c r="D102" s="182"/>
      <c r="E102" s="194" t="s">
        <v>35</v>
      </c>
      <c r="F102" s="73" t="s">
        <v>369</v>
      </c>
      <c r="G102" s="74" t="s">
        <v>112</v>
      </c>
      <c r="H102" s="75">
        <v>41</v>
      </c>
      <c r="I102" s="76">
        <v>27</v>
      </c>
      <c r="J102" s="96">
        <f>3+3+1+4+1+3+2+3+6+2</f>
        <v>28</v>
      </c>
      <c r="K102" s="77">
        <f>504.26+845.24+3380.96+422.62+2535.72+6256.62+883.08+2649.24+4395.33+2649.24</f>
        <v>24522.309999999998</v>
      </c>
      <c r="L102" s="77">
        <f>504.26+845.24+3380.96+422.62+2535.72+6256.62+883.08+2649.24+4395.33</f>
        <v>21873.07</v>
      </c>
      <c r="M102" s="78">
        <f t="shared" si="3"/>
        <v>2649.239999999998</v>
      </c>
      <c r="N102" s="100">
        <f>5+1+1+2+1</f>
        <v>10</v>
      </c>
      <c r="O102" s="81">
        <f>2617.36+422.62+3852.18+3380.96+422.62</f>
        <v>10695.74</v>
      </c>
      <c r="P102" s="81">
        <f>2617.36+422.62+3852.18+3380.96+422.62</f>
        <v>10695.74</v>
      </c>
      <c r="Q102" s="232">
        <f t="shared" si="4"/>
        <v>0</v>
      </c>
    </row>
    <row r="103" spans="1:17" s="13" customFormat="1" x14ac:dyDescent="0.25">
      <c r="A103" s="229"/>
      <c r="B103" s="62" t="s">
        <v>137</v>
      </c>
      <c r="C103" s="181" t="s">
        <v>17</v>
      </c>
      <c r="D103" s="182"/>
      <c r="E103" s="194" t="s">
        <v>35</v>
      </c>
      <c r="F103" s="73" t="s">
        <v>429</v>
      </c>
      <c r="G103" s="230" t="s">
        <v>117</v>
      </c>
      <c r="H103" s="181">
        <v>12</v>
      </c>
      <c r="I103" s="231">
        <v>5</v>
      </c>
      <c r="J103" s="190">
        <v>6</v>
      </c>
      <c r="K103" s="193">
        <v>11675.02</v>
      </c>
      <c r="L103" s="193">
        <v>11675.02</v>
      </c>
      <c r="M103" s="78">
        <f t="shared" si="3"/>
        <v>0</v>
      </c>
      <c r="N103" s="114">
        <v>2</v>
      </c>
      <c r="O103" s="224">
        <v>10565.5</v>
      </c>
      <c r="P103" s="224">
        <v>10565.5</v>
      </c>
      <c r="Q103" s="79">
        <f t="shared" si="4"/>
        <v>0</v>
      </c>
    </row>
    <row r="104" spans="1:17" s="13" customFormat="1" x14ac:dyDescent="0.25">
      <c r="A104" s="229"/>
      <c r="B104" s="30" t="s">
        <v>67</v>
      </c>
      <c r="C104" s="181" t="s">
        <v>17</v>
      </c>
      <c r="D104" s="182"/>
      <c r="E104" s="194" t="s">
        <v>21</v>
      </c>
      <c r="F104" s="73" t="s">
        <v>370</v>
      </c>
      <c r="G104" s="74" t="s">
        <v>112</v>
      </c>
      <c r="H104" s="75">
        <v>39</v>
      </c>
      <c r="I104" s="76">
        <v>32</v>
      </c>
      <c r="J104" s="96">
        <f>2+1+1+2+1+1+2+2+1+2+5+5+2+5+3+2+1</f>
        <v>38</v>
      </c>
      <c r="K104" s="77">
        <f>3319.85+1198.9+864.45+7235.32+1947.89+5377.75+8701.73+3581.7+8737.54+7647.65</f>
        <v>48612.780000000006</v>
      </c>
      <c r="L104" s="77">
        <f>3319.85+1198.9+864.45+7235.32+1947.89+5377.75+8701.73+3581.7+8737.54+7647.65</f>
        <v>48612.780000000006</v>
      </c>
      <c r="M104" s="78">
        <f t="shared" si="3"/>
        <v>0</v>
      </c>
      <c r="N104" s="100">
        <f>4+9+4+4+1+3+1+3+1+1+1+1+1+1+3</f>
        <v>38</v>
      </c>
      <c r="O104" s="81">
        <f>29696.65+38129.03+13567.9+20687.05+2022.79+8145.77+17250.05+1233.28+5568.04+11106.62</f>
        <v>147407.18</v>
      </c>
      <c r="P104" s="81">
        <f>29696.65+38129.03+13567.9+20687.05+2022.79+8145.77+17250.05+1233.28+5568.04+11106.62</f>
        <v>147407.18</v>
      </c>
      <c r="Q104" s="232">
        <f t="shared" si="4"/>
        <v>0</v>
      </c>
    </row>
    <row r="105" spans="1:17" s="13" customFormat="1" x14ac:dyDescent="0.25">
      <c r="A105" s="229"/>
      <c r="B105" s="30" t="s">
        <v>67</v>
      </c>
      <c r="C105" s="181" t="s">
        <v>17</v>
      </c>
      <c r="D105" s="182"/>
      <c r="E105" s="194" t="s">
        <v>21</v>
      </c>
      <c r="F105" s="73" t="s">
        <v>440</v>
      </c>
      <c r="G105" s="230" t="s">
        <v>118</v>
      </c>
      <c r="H105" s="181">
        <v>16</v>
      </c>
      <c r="I105" s="231">
        <v>3</v>
      </c>
      <c r="J105" s="96">
        <v>3</v>
      </c>
      <c r="K105" s="77">
        <v>12778.52</v>
      </c>
      <c r="L105" s="77">
        <v>12778.52</v>
      </c>
      <c r="M105" s="78">
        <f t="shared" si="3"/>
        <v>0</v>
      </c>
      <c r="N105" s="100">
        <v>22</v>
      </c>
      <c r="O105" s="224">
        <v>74857.98</v>
      </c>
      <c r="P105" s="224">
        <v>74857.98</v>
      </c>
      <c r="Q105" s="79">
        <f t="shared" si="4"/>
        <v>0</v>
      </c>
    </row>
    <row r="106" spans="1:17" s="13" customFormat="1" x14ac:dyDescent="0.25">
      <c r="A106" s="229"/>
      <c r="B106" s="30" t="s">
        <v>68</v>
      </c>
      <c r="C106" s="181" t="s">
        <v>17</v>
      </c>
      <c r="D106" s="182"/>
      <c r="E106" s="194" t="s">
        <v>32</v>
      </c>
      <c r="F106" s="73" t="s">
        <v>371</v>
      </c>
      <c r="G106" s="74" t="s">
        <v>112</v>
      </c>
      <c r="H106" s="75">
        <v>22</v>
      </c>
      <c r="I106" s="76">
        <v>19</v>
      </c>
      <c r="J106" s="96">
        <f>2+1+2+5+5+3+1+2+2+1</f>
        <v>24</v>
      </c>
      <c r="K106" s="77">
        <f>1128.59+422.62+1152.6+4557.81+10981.59+5362.88+4996.85+4352.15+3073.96+3697.9+1003.5</f>
        <v>40730.450000000004</v>
      </c>
      <c r="L106" s="77">
        <f>1128.59+422.62+1152.6+4557.81+10981.59+5362.88+4996.85+4352.15+3073.96+3697.9+1003.5</f>
        <v>40730.450000000004</v>
      </c>
      <c r="M106" s="78">
        <f t="shared" si="3"/>
        <v>0</v>
      </c>
      <c r="N106" s="100">
        <f>6+5+1+4+2+2+1+1</f>
        <v>22</v>
      </c>
      <c r="O106" s="81">
        <f>7813.73+8523.5+1452.28+12582.19+18077.76+4987.46+2373.79+1831.3</f>
        <v>57642.009999999995</v>
      </c>
      <c r="P106" s="81">
        <f>7813.73+8523.5+1452.28+12582.19+18077.76+4987.46+2373.79+1831.3</f>
        <v>57642.009999999995</v>
      </c>
      <c r="Q106" s="232">
        <f t="shared" si="4"/>
        <v>0</v>
      </c>
    </row>
    <row r="107" spans="1:17" s="13" customFormat="1" x14ac:dyDescent="0.25">
      <c r="A107" s="229"/>
      <c r="B107" s="30" t="s">
        <v>68</v>
      </c>
      <c r="C107" s="181" t="s">
        <v>17</v>
      </c>
      <c r="D107" s="182"/>
      <c r="E107" s="194" t="s">
        <v>32</v>
      </c>
      <c r="F107" s="73" t="s">
        <v>430</v>
      </c>
      <c r="G107" s="235" t="s">
        <v>117</v>
      </c>
      <c r="H107" s="181">
        <v>4</v>
      </c>
      <c r="I107" s="231">
        <v>2</v>
      </c>
      <c r="J107" s="96">
        <v>2</v>
      </c>
      <c r="K107" s="77">
        <v>3010.5</v>
      </c>
      <c r="L107" s="77">
        <v>3010.5</v>
      </c>
      <c r="M107" s="78">
        <f t="shared" si="3"/>
        <v>0</v>
      </c>
      <c r="N107" s="100"/>
      <c r="O107" s="77"/>
      <c r="P107" s="77"/>
      <c r="Q107" s="79">
        <f t="shared" si="4"/>
        <v>0</v>
      </c>
    </row>
    <row r="108" spans="1:17" s="15" customFormat="1" x14ac:dyDescent="0.25">
      <c r="A108" s="229"/>
      <c r="B108" s="27" t="s">
        <v>69</v>
      </c>
      <c r="C108" s="181" t="s">
        <v>17</v>
      </c>
      <c r="D108" s="182"/>
      <c r="E108" s="183" t="s">
        <v>20</v>
      </c>
      <c r="F108" s="73" t="s">
        <v>372</v>
      </c>
      <c r="G108" s="74" t="s">
        <v>112</v>
      </c>
      <c r="H108" s="75">
        <v>10</v>
      </c>
      <c r="I108" s="76">
        <v>5</v>
      </c>
      <c r="J108" s="96">
        <f>1+1+1+1+3+1</f>
        <v>8</v>
      </c>
      <c r="K108" s="77">
        <f>422.62+17390.69+3114.71+475.45+2326.92+1707.76</f>
        <v>25438.149999999998</v>
      </c>
      <c r="L108" s="77">
        <f>422.62+17390.69+3114.71+475.45+2326.92+1707.76</f>
        <v>25438.149999999998</v>
      </c>
      <c r="M108" s="78">
        <f t="shared" si="3"/>
        <v>0</v>
      </c>
      <c r="N108" s="100">
        <f>3+2+1+1+1+1</f>
        <v>9</v>
      </c>
      <c r="O108" s="77">
        <f>7210.31+3647.96+1306.28+1267.86+2697.06</f>
        <v>16129.470000000001</v>
      </c>
      <c r="P108" s="77">
        <f>7210.31+3647.96+1306.28+1267.86+2697.06</f>
        <v>16129.470000000001</v>
      </c>
      <c r="Q108" s="232">
        <f t="shared" si="4"/>
        <v>0</v>
      </c>
    </row>
    <row r="109" spans="1:17" s="15" customFormat="1" x14ac:dyDescent="0.25">
      <c r="A109" s="229"/>
      <c r="B109" s="236" t="s">
        <v>502</v>
      </c>
      <c r="C109" s="181" t="s">
        <v>17</v>
      </c>
      <c r="D109" s="182"/>
      <c r="E109" s="183" t="s">
        <v>20</v>
      </c>
      <c r="F109" s="73" t="s">
        <v>508</v>
      </c>
      <c r="G109" s="74" t="s">
        <v>112</v>
      </c>
      <c r="H109" s="75">
        <v>17</v>
      </c>
      <c r="I109" s="76">
        <v>10</v>
      </c>
      <c r="J109" s="96">
        <f>4+1+4+1+2</f>
        <v>12</v>
      </c>
      <c r="K109" s="77">
        <f>6145.3+993.47+5403.3+2759.63+2599.77</f>
        <v>17901.47</v>
      </c>
      <c r="L109" s="77">
        <f>6145.3+993.47+5403.3+2759.63+2599.77</f>
        <v>17901.47</v>
      </c>
      <c r="M109" s="78">
        <f t="shared" si="3"/>
        <v>0</v>
      </c>
      <c r="N109" s="100"/>
      <c r="O109" s="77"/>
      <c r="P109" s="77"/>
      <c r="Q109" s="232">
        <f t="shared" si="4"/>
        <v>0</v>
      </c>
    </row>
    <row r="110" spans="1:17" s="15" customFormat="1" x14ac:dyDescent="0.25">
      <c r="A110" s="229"/>
      <c r="B110" s="236" t="s">
        <v>502</v>
      </c>
      <c r="C110" s="181" t="s">
        <v>17</v>
      </c>
      <c r="D110" s="182"/>
      <c r="E110" s="183" t="s">
        <v>32</v>
      </c>
      <c r="F110" s="73" t="s">
        <v>511</v>
      </c>
      <c r="G110" s="235" t="s">
        <v>117</v>
      </c>
      <c r="H110" s="75">
        <v>7</v>
      </c>
      <c r="I110" s="76"/>
      <c r="J110" s="96"/>
      <c r="K110" s="77"/>
      <c r="L110" s="77"/>
      <c r="M110" s="78">
        <f t="shared" si="3"/>
        <v>0</v>
      </c>
      <c r="N110" s="100"/>
      <c r="O110" s="77"/>
      <c r="P110" s="77"/>
      <c r="Q110" s="232">
        <f t="shared" si="4"/>
        <v>0</v>
      </c>
    </row>
    <row r="111" spans="1:17" s="13" customFormat="1" x14ac:dyDescent="0.25">
      <c r="A111" s="229"/>
      <c r="B111" s="62" t="s">
        <v>70</v>
      </c>
      <c r="C111" s="181" t="s">
        <v>17</v>
      </c>
      <c r="D111" s="182"/>
      <c r="E111" s="183" t="s">
        <v>20</v>
      </c>
      <c r="F111" s="73" t="s">
        <v>373</v>
      </c>
      <c r="G111" s="74" t="s">
        <v>112</v>
      </c>
      <c r="H111" s="75">
        <v>18</v>
      </c>
      <c r="I111" s="76">
        <v>13</v>
      </c>
      <c r="J111" s="96">
        <f>2+2+2+3+1+2+1+1</f>
        <v>14</v>
      </c>
      <c r="K111" s="77">
        <f>19498+3011.17+8156.45+4593.85</f>
        <v>35259.47</v>
      </c>
      <c r="L111" s="77">
        <f>19498+3011.17+8156.45+4593.85</f>
        <v>35259.47</v>
      </c>
      <c r="M111" s="78">
        <f t="shared" si="3"/>
        <v>0</v>
      </c>
      <c r="N111" s="100">
        <f>2+3+4+2+1+1</f>
        <v>13</v>
      </c>
      <c r="O111" s="81">
        <f>7606.2+16795.84+3492.18</f>
        <v>27894.22</v>
      </c>
      <c r="P111" s="81">
        <f>7606.2+16795.84+3492.18</f>
        <v>27894.22</v>
      </c>
      <c r="Q111" s="79">
        <f t="shared" si="4"/>
        <v>0</v>
      </c>
    </row>
    <row r="112" spans="1:17" s="13" customFormat="1" x14ac:dyDescent="0.25">
      <c r="A112" s="229"/>
      <c r="B112" s="62" t="s">
        <v>70</v>
      </c>
      <c r="C112" s="181" t="s">
        <v>17</v>
      </c>
      <c r="D112" s="182"/>
      <c r="E112" s="183" t="s">
        <v>20</v>
      </c>
      <c r="F112" s="73" t="s">
        <v>460</v>
      </c>
      <c r="G112" s="230" t="s">
        <v>114</v>
      </c>
      <c r="H112" s="181">
        <v>42</v>
      </c>
      <c r="I112" s="231">
        <v>20</v>
      </c>
      <c r="J112" s="190">
        <v>20</v>
      </c>
      <c r="K112" s="77">
        <v>58916.74</v>
      </c>
      <c r="L112" s="77">
        <v>58916.74</v>
      </c>
      <c r="M112" s="78">
        <f t="shared" si="3"/>
        <v>0</v>
      </c>
      <c r="N112" s="100">
        <v>33</v>
      </c>
      <c r="O112" s="224">
        <v>79611.08</v>
      </c>
      <c r="P112" s="224">
        <v>79611.08</v>
      </c>
      <c r="Q112" s="232">
        <f t="shared" si="4"/>
        <v>0</v>
      </c>
    </row>
    <row r="113" spans="1:17" s="15" customFormat="1" x14ac:dyDescent="0.25">
      <c r="A113" s="229"/>
      <c r="B113" s="62" t="s">
        <v>71</v>
      </c>
      <c r="C113" s="181" t="s">
        <v>17</v>
      </c>
      <c r="D113" s="182"/>
      <c r="E113" s="183" t="s">
        <v>32</v>
      </c>
      <c r="F113" s="73" t="s">
        <v>374</v>
      </c>
      <c r="G113" s="74" t="s">
        <v>112</v>
      </c>
      <c r="H113" s="75">
        <v>27</v>
      </c>
      <c r="I113" s="76">
        <v>20</v>
      </c>
      <c r="J113" s="96">
        <f>3+1+2+1+1+3+3+1+3+4+1</f>
        <v>23</v>
      </c>
      <c r="K113" s="77">
        <f>1536.8+461.04+1748.88+633.93+3169.65+2435.83+13203.17+728.54+3984.13</f>
        <v>27901.970000000005</v>
      </c>
      <c r="L113" s="77">
        <f>1536.8+461.04+1748.88+633.93+3169.65+2435.83+13203.17+728.54+3984.13</f>
        <v>27901.970000000005</v>
      </c>
      <c r="M113" s="78">
        <f t="shared" si="3"/>
        <v>0</v>
      </c>
      <c r="N113" s="100">
        <f>3+2+1+1+2+1+1</f>
        <v>11</v>
      </c>
      <c r="O113" s="81">
        <f>9567.93+3616.67+403.41+14275.52+10922.18+12907.41+5701.38</f>
        <v>57394.499999999993</v>
      </c>
      <c r="P113" s="81">
        <f>9567.93+3616.67+403.41+14275.52+10922.18+12907.41+5701.38</f>
        <v>57394.499999999993</v>
      </c>
      <c r="Q113" s="79">
        <f t="shared" si="4"/>
        <v>0</v>
      </c>
    </row>
    <row r="114" spans="1:17" s="15" customFormat="1" x14ac:dyDescent="0.25">
      <c r="A114" s="229"/>
      <c r="B114" s="62" t="s">
        <v>71</v>
      </c>
      <c r="C114" s="181" t="s">
        <v>17</v>
      </c>
      <c r="D114" s="182"/>
      <c r="E114" s="183" t="s">
        <v>32</v>
      </c>
      <c r="F114" s="73" t="s">
        <v>431</v>
      </c>
      <c r="G114" s="230" t="s">
        <v>115</v>
      </c>
      <c r="H114" s="181">
        <v>9</v>
      </c>
      <c r="I114" s="231">
        <v>5</v>
      </c>
      <c r="J114" s="96">
        <v>5</v>
      </c>
      <c r="K114" s="237">
        <v>9236.5499999999993</v>
      </c>
      <c r="L114" s="237">
        <v>9236.5499999999993</v>
      </c>
      <c r="M114" s="78">
        <f t="shared" si="3"/>
        <v>0</v>
      </c>
      <c r="N114" s="114">
        <f>5</f>
        <v>5</v>
      </c>
      <c r="O114" s="77">
        <v>6595.5</v>
      </c>
      <c r="P114" s="77">
        <v>6595.5</v>
      </c>
      <c r="Q114" s="232">
        <f t="shared" si="4"/>
        <v>0</v>
      </c>
    </row>
    <row r="115" spans="1:17" s="13" customFormat="1" x14ac:dyDescent="0.25">
      <c r="A115" s="229"/>
      <c r="B115" s="62" t="s">
        <v>319</v>
      </c>
      <c r="C115" s="181" t="s">
        <v>17</v>
      </c>
      <c r="D115" s="182"/>
      <c r="E115" s="183" t="s">
        <v>20</v>
      </c>
      <c r="F115" s="73" t="s">
        <v>375</v>
      </c>
      <c r="G115" s="74" t="s">
        <v>112</v>
      </c>
      <c r="H115" s="75">
        <v>45</v>
      </c>
      <c r="I115" s="76">
        <v>30</v>
      </c>
      <c r="J115" s="96">
        <f>2+1+4+3+6+2+7+1+2+1+1+7+1</f>
        <v>38</v>
      </c>
      <c r="K115" s="77">
        <f>710.77+1523.35+6753.23+7215.52+1437.48+28056.52+6091.99+2561.63+3510.24+1726.58+441.54+15673.73</f>
        <v>75702.579999999987</v>
      </c>
      <c r="L115" s="77">
        <f>710.77+1523.35+6753.23+7215.52+1437.48+28056.52+6091.99+2561.63+3510.24+1726.58+441.54+15673.73</f>
        <v>75702.579999999987</v>
      </c>
      <c r="M115" s="78">
        <f t="shared" si="3"/>
        <v>0</v>
      </c>
      <c r="N115" s="100">
        <f>3+1+2+1+2+1</f>
        <v>10</v>
      </c>
      <c r="O115" s="77">
        <f>13419.94+726.71+2846.77+3770.56+4653.31+2237.23</f>
        <v>27654.520000000004</v>
      </c>
      <c r="P115" s="77">
        <f>13419.94+726.71+2846.77+3770.56+4653.31+2237.23</f>
        <v>27654.520000000004</v>
      </c>
      <c r="Q115" s="79">
        <f>O115-P115</f>
        <v>0</v>
      </c>
    </row>
    <row r="116" spans="1:17" s="15" customFormat="1" x14ac:dyDescent="0.25">
      <c r="A116" s="229"/>
      <c r="B116" s="62" t="s">
        <v>150</v>
      </c>
      <c r="C116" s="181" t="s">
        <v>17</v>
      </c>
      <c r="D116" s="182"/>
      <c r="E116" s="183" t="s">
        <v>35</v>
      </c>
      <c r="F116" s="73" t="s">
        <v>376</v>
      </c>
      <c r="G116" s="74" t="s">
        <v>112</v>
      </c>
      <c r="H116" s="75">
        <v>38</v>
      </c>
      <c r="I116" s="76">
        <v>22</v>
      </c>
      <c r="J116" s="96">
        <f>1+1+2+2+1+3+1+4+4+1+3</f>
        <v>23</v>
      </c>
      <c r="K116" s="77">
        <f>1343.65+384.2+1690.4+4889.84+2417.43+2791.74+5298.48+5960.79+1192.16</f>
        <v>25968.69</v>
      </c>
      <c r="L116" s="77">
        <f>1343.65+384.2+1690.4+4889.84+2417.43+2791.74+5298.48+5960.79+1192.16</f>
        <v>25968.69</v>
      </c>
      <c r="M116" s="78">
        <f t="shared" si="3"/>
        <v>0</v>
      </c>
      <c r="N116" s="114">
        <f>8+1+1+2+3+1+1+1+1</f>
        <v>19</v>
      </c>
      <c r="O116" s="77">
        <f>5997.32+3719.39+3054.34+13138.17+6578.46+6198.68+2649.24</f>
        <v>41335.599999999999</v>
      </c>
      <c r="P116" s="77">
        <f>5997.32+3719.39+3054.34+13138.17+6578.46+6198.68+2649.24</f>
        <v>41335.599999999999</v>
      </c>
      <c r="Q116" s="79">
        <f t="shared" si="4"/>
        <v>0</v>
      </c>
    </row>
    <row r="117" spans="1:17" s="15" customFormat="1" x14ac:dyDescent="0.25">
      <c r="A117" s="229"/>
      <c r="B117" s="233" t="s">
        <v>150</v>
      </c>
      <c r="C117" s="181" t="s">
        <v>17</v>
      </c>
      <c r="D117" s="182"/>
      <c r="E117" s="183" t="s">
        <v>32</v>
      </c>
      <c r="F117" s="73" t="s">
        <v>487</v>
      </c>
      <c r="G117" s="230" t="s">
        <v>117</v>
      </c>
      <c r="H117" s="181">
        <v>6</v>
      </c>
      <c r="I117" s="231">
        <v>4</v>
      </c>
      <c r="J117" s="96">
        <v>5</v>
      </c>
      <c r="K117" s="77">
        <v>16858.8</v>
      </c>
      <c r="L117" s="77">
        <v>16858.8</v>
      </c>
      <c r="M117" s="78">
        <f t="shared" si="3"/>
        <v>0</v>
      </c>
      <c r="N117" s="100">
        <v>3</v>
      </c>
      <c r="O117" s="77">
        <v>9645.1</v>
      </c>
      <c r="P117" s="77">
        <v>9645.1</v>
      </c>
      <c r="Q117" s="232">
        <f t="shared" si="4"/>
        <v>0</v>
      </c>
    </row>
    <row r="118" spans="1:17" s="13" customFormat="1" x14ac:dyDescent="0.25">
      <c r="A118" s="229"/>
      <c r="B118" s="30" t="s">
        <v>72</v>
      </c>
      <c r="C118" s="181" t="s">
        <v>17</v>
      </c>
      <c r="D118" s="182"/>
      <c r="E118" s="183" t="s">
        <v>21</v>
      </c>
      <c r="F118" s="73" t="s">
        <v>377</v>
      </c>
      <c r="G118" s="74" t="s">
        <v>112</v>
      </c>
      <c r="H118" s="75">
        <v>28</v>
      </c>
      <c r="I118" s="76">
        <v>16</v>
      </c>
      <c r="J118" s="96">
        <f>1+1+1+1+6+2+1+2+3+1+1</f>
        <v>20</v>
      </c>
      <c r="K118" s="77">
        <f>633.93+1415.78+1610.18+1394.65+18140.86+2440.63+4140.81+3166.55+2165.55+10853.72</f>
        <v>45962.660000000011</v>
      </c>
      <c r="L118" s="77">
        <f>633.93+1415.78+1610.18+1394.65+18140.86+2440.63+4140.81+3166.55+2165.55+10853.72</f>
        <v>45962.660000000011</v>
      </c>
      <c r="M118" s="78">
        <f t="shared" si="3"/>
        <v>0</v>
      </c>
      <c r="N118" s="100">
        <f>1+3+1+1+1+3+1+3+1+1+2+1+1</f>
        <v>20</v>
      </c>
      <c r="O118" s="81">
        <f>1950.74+10237.13+6595.95+3861.21+1348.53+10328.94+50451.86-19567+15859.78+3744.76+5149.77</f>
        <v>89961.67</v>
      </c>
      <c r="P118" s="81">
        <f>1950.74+10237.13+6595.95+3861.21+1348.53+10328.94+50451.86-19567+15859.78+3744.76+5149.77</f>
        <v>89961.67</v>
      </c>
      <c r="Q118" s="79">
        <f t="shared" si="4"/>
        <v>0</v>
      </c>
    </row>
    <row r="119" spans="1:17" s="13" customFormat="1" x14ac:dyDescent="0.25">
      <c r="A119" s="229"/>
      <c r="B119" s="30" t="s">
        <v>72</v>
      </c>
      <c r="C119" s="181" t="s">
        <v>17</v>
      </c>
      <c r="D119" s="182"/>
      <c r="E119" s="183" t="s">
        <v>21</v>
      </c>
      <c r="F119" s="73" t="s">
        <v>441</v>
      </c>
      <c r="G119" s="230" t="s">
        <v>118</v>
      </c>
      <c r="H119" s="181">
        <v>10</v>
      </c>
      <c r="I119" s="231">
        <v>2</v>
      </c>
      <c r="J119" s="96">
        <v>2</v>
      </c>
      <c r="K119" s="77">
        <v>1728.9</v>
      </c>
      <c r="L119" s="77">
        <v>1728.9</v>
      </c>
      <c r="M119" s="78">
        <f t="shared" si="3"/>
        <v>0</v>
      </c>
      <c r="N119" s="100">
        <v>21</v>
      </c>
      <c r="O119" s="224">
        <v>63010.7</v>
      </c>
      <c r="P119" s="224">
        <v>63010.7</v>
      </c>
      <c r="Q119" s="232">
        <f t="shared" si="4"/>
        <v>0</v>
      </c>
    </row>
    <row r="120" spans="1:17" s="15" customFormat="1" x14ac:dyDescent="0.25">
      <c r="A120" s="229"/>
      <c r="B120" s="30" t="s">
        <v>73</v>
      </c>
      <c r="C120" s="181" t="s">
        <v>17</v>
      </c>
      <c r="D120" s="182"/>
      <c r="E120" s="183" t="s">
        <v>74</v>
      </c>
      <c r="F120" s="73" t="s">
        <v>378</v>
      </c>
      <c r="G120" s="74" t="s">
        <v>112</v>
      </c>
      <c r="H120" s="75">
        <v>36</v>
      </c>
      <c r="I120" s="76">
        <v>34</v>
      </c>
      <c r="J120" s="96">
        <f>9+8+2+2+10+1+6+5+9</f>
        <v>52</v>
      </c>
      <c r="K120" s="77">
        <f>6305.33+12574.83+14899.84+13657.06+15923.24+7697.06+2858.97+10093.97</f>
        <v>84010.3</v>
      </c>
      <c r="L120" s="77">
        <f>6305.33+12574.83+14899.84+13657.06+15923.24+7697.06+2858.97+10093.97</f>
        <v>84010.3</v>
      </c>
      <c r="M120" s="78">
        <f t="shared" si="3"/>
        <v>0</v>
      </c>
      <c r="N120" s="100">
        <f>5+3+3+1+1+2+2</f>
        <v>17</v>
      </c>
      <c r="O120" s="81">
        <f>5416.39+9506.99+12269.39+7610.68+1915.68+16508.04+12449.36</f>
        <v>65676.53</v>
      </c>
      <c r="P120" s="81">
        <f>5416.39+9506.99+12269.39+7610.68+1915.68+16508.04+12449.36</f>
        <v>65676.53</v>
      </c>
      <c r="Q120" s="79">
        <f t="shared" si="4"/>
        <v>0</v>
      </c>
    </row>
    <row r="121" spans="1:17" s="15" customFormat="1" x14ac:dyDescent="0.25">
      <c r="A121" s="229"/>
      <c r="B121" s="30" t="s">
        <v>73</v>
      </c>
      <c r="C121" s="181" t="s">
        <v>17</v>
      </c>
      <c r="D121" s="182"/>
      <c r="E121" s="183" t="s">
        <v>74</v>
      </c>
      <c r="F121" s="73" t="s">
        <v>282</v>
      </c>
      <c r="G121" s="230" t="s">
        <v>114</v>
      </c>
      <c r="H121" s="181"/>
      <c r="I121" s="231"/>
      <c r="J121" s="190"/>
      <c r="K121" s="77"/>
      <c r="L121" s="77"/>
      <c r="M121" s="78">
        <f t="shared" si="3"/>
        <v>0</v>
      </c>
      <c r="N121" s="100">
        <v>1</v>
      </c>
      <c r="O121" s="224">
        <v>1728.9</v>
      </c>
      <c r="P121" s="224">
        <v>1728.9</v>
      </c>
      <c r="Q121" s="232">
        <f t="shared" si="4"/>
        <v>0</v>
      </c>
    </row>
    <row r="122" spans="1:17" s="13" customFormat="1" x14ac:dyDescent="0.25">
      <c r="A122" s="229"/>
      <c r="B122" s="30" t="s">
        <v>135</v>
      </c>
      <c r="C122" s="181" t="s">
        <v>17</v>
      </c>
      <c r="D122" s="182"/>
      <c r="E122" s="194" t="s">
        <v>35</v>
      </c>
      <c r="F122" s="73" t="s">
        <v>379</v>
      </c>
      <c r="G122" s="74" t="s">
        <v>112</v>
      </c>
      <c r="H122" s="75">
        <v>40</v>
      </c>
      <c r="I122" s="76">
        <v>32</v>
      </c>
      <c r="J122" s="96">
        <f>1+6+5+3+3+5+1+5+4</f>
        <v>33</v>
      </c>
      <c r="K122" s="77">
        <f>697.32+4374.12+5747.44+4426.94+15712.05+4176.57+2649.24+4106.34</f>
        <v>41890.020000000004</v>
      </c>
      <c r="L122" s="77">
        <f>697.32+4374.12+5747.44+4426.94+15712.05+4176.57+2649.24+4106.34</f>
        <v>41890.020000000004</v>
      </c>
      <c r="M122" s="78">
        <f t="shared" si="3"/>
        <v>0</v>
      </c>
      <c r="N122" s="100">
        <f>2+5+1+2+2+2</f>
        <v>14</v>
      </c>
      <c r="O122" s="81">
        <f>6432.89+2283.68+4932.13+377</f>
        <v>14025.7</v>
      </c>
      <c r="P122" s="81">
        <f>6432.89+2283.68+4932.13+377</f>
        <v>14025.7</v>
      </c>
      <c r="Q122" s="232">
        <f t="shared" si="4"/>
        <v>0</v>
      </c>
    </row>
    <row r="123" spans="1:17" s="13" customFormat="1" x14ac:dyDescent="0.25">
      <c r="A123" s="229"/>
      <c r="B123" s="30" t="s">
        <v>135</v>
      </c>
      <c r="C123" s="181" t="s">
        <v>17</v>
      </c>
      <c r="D123" s="182"/>
      <c r="E123" s="194" t="s">
        <v>35</v>
      </c>
      <c r="F123" s="73" t="s">
        <v>432</v>
      </c>
      <c r="G123" s="230" t="s">
        <v>115</v>
      </c>
      <c r="H123" s="181">
        <v>2</v>
      </c>
      <c r="I123" s="231"/>
      <c r="J123" s="96"/>
      <c r="K123" s="77"/>
      <c r="L123" s="77"/>
      <c r="M123" s="78">
        <f t="shared" si="3"/>
        <v>0</v>
      </c>
      <c r="N123" s="100">
        <v>1</v>
      </c>
      <c r="O123" s="224">
        <v>2689.4</v>
      </c>
      <c r="P123" s="224">
        <v>2689.4</v>
      </c>
      <c r="Q123" s="79">
        <f t="shared" si="4"/>
        <v>0</v>
      </c>
    </row>
    <row r="124" spans="1:17" s="13" customFormat="1" x14ac:dyDescent="0.25">
      <c r="A124" s="229"/>
      <c r="B124" s="30" t="s">
        <v>145</v>
      </c>
      <c r="C124" s="181" t="s">
        <v>17</v>
      </c>
      <c r="D124" s="182"/>
      <c r="E124" s="194" t="s">
        <v>20</v>
      </c>
      <c r="F124" s="73" t="s">
        <v>380</v>
      </c>
      <c r="G124" s="74" t="s">
        <v>112</v>
      </c>
      <c r="H124" s="75">
        <v>17</v>
      </c>
      <c r="I124" s="82">
        <v>15</v>
      </c>
      <c r="J124" s="96">
        <f>2+1+1+2+2+5+3+2+3+1+1+2</f>
        <v>25</v>
      </c>
      <c r="K124" s="77">
        <f>5169.72+1100+538.84+4293.82+3949.22+3361.76+5643.1+4037.33+4704.3+6285.32</f>
        <v>39083.410000000003</v>
      </c>
      <c r="L124" s="77">
        <f>5169.72+1100+538.84+4293.82+3949.22+3361.76+5643.1+4037.33+4704.3+6285.32</f>
        <v>39083.410000000003</v>
      </c>
      <c r="M124" s="78">
        <f t="shared" si="3"/>
        <v>0</v>
      </c>
      <c r="N124" s="100">
        <f>1+1+2+1+2+1</f>
        <v>8</v>
      </c>
      <c r="O124" s="81">
        <f>5120.23+3915.15+1114.12+14002.49+7111.04</f>
        <v>31263.03</v>
      </c>
      <c r="P124" s="81">
        <f>5120.23+3915.15+1114.12+14002.49+7111.04</f>
        <v>31263.03</v>
      </c>
      <c r="Q124" s="232">
        <f t="shared" si="4"/>
        <v>0</v>
      </c>
    </row>
    <row r="125" spans="1:17" s="13" customFormat="1" x14ac:dyDescent="0.25">
      <c r="A125" s="229"/>
      <c r="B125" s="30" t="s">
        <v>145</v>
      </c>
      <c r="C125" s="181" t="s">
        <v>17</v>
      </c>
      <c r="D125" s="182"/>
      <c r="E125" s="194" t="s">
        <v>20</v>
      </c>
      <c r="F125" s="73" t="s">
        <v>461</v>
      </c>
      <c r="G125" s="230" t="s">
        <v>114</v>
      </c>
      <c r="H125" s="181">
        <v>7</v>
      </c>
      <c r="I125" s="231">
        <v>4</v>
      </c>
      <c r="J125" s="190">
        <v>4</v>
      </c>
      <c r="K125" s="77">
        <v>6135.7</v>
      </c>
      <c r="L125" s="77">
        <v>6135.7</v>
      </c>
      <c r="M125" s="78">
        <f t="shared" si="3"/>
        <v>0</v>
      </c>
      <c r="N125" s="100">
        <v>11</v>
      </c>
      <c r="O125" s="224">
        <v>24338.15</v>
      </c>
      <c r="P125" s="224">
        <v>24338.15</v>
      </c>
      <c r="Q125" s="232">
        <f t="shared" si="4"/>
        <v>0</v>
      </c>
    </row>
    <row r="126" spans="1:17" s="13" customFormat="1" x14ac:dyDescent="0.25">
      <c r="A126" s="229"/>
      <c r="B126" s="62" t="s">
        <v>76</v>
      </c>
      <c r="C126" s="181" t="s">
        <v>17</v>
      </c>
      <c r="D126" s="182"/>
      <c r="E126" s="183" t="s">
        <v>20</v>
      </c>
      <c r="F126" s="73" t="s">
        <v>381</v>
      </c>
      <c r="G126" s="74" t="s">
        <v>112</v>
      </c>
      <c r="H126" s="75">
        <v>28</v>
      </c>
      <c r="I126" s="76">
        <v>22</v>
      </c>
      <c r="J126" s="96">
        <f>1+6+3+1+3+1+2+2+2+1+1+6</f>
        <v>29</v>
      </c>
      <c r="K126" s="77">
        <f>6556.06+2806.39+2697.06+1267.86+11775.51+1557.35+2113.1+4117.36+1673.84+1724.01+1457.08+3514.26+14440.84</f>
        <v>55700.72</v>
      </c>
      <c r="L126" s="77">
        <f>6556.06+2806.39+2697.06+1267.86+11775.51+1557.35+2113.1+4117.36+1673.84+1724.01+1457.08+3514.26+14440.84</f>
        <v>55700.72</v>
      </c>
      <c r="M126" s="78">
        <f t="shared" si="3"/>
        <v>0</v>
      </c>
      <c r="N126" s="100">
        <f>5+6+2+1+1+1+1+2+2+1</f>
        <v>22</v>
      </c>
      <c r="O126" s="81">
        <f>11527.9+19846.52+1011.91+9641+2451.87+10072.83+11307.66+2243.83+6181.56+5655.45+1404.9</f>
        <v>81345.429999999993</v>
      </c>
      <c r="P126" s="81">
        <f>11527.9+19846.52+1011.91+9641+2451.87+10072.83+11307.66+2243.83+6181.56+5655.45+1404.9</f>
        <v>81345.429999999993</v>
      </c>
      <c r="Q126" s="232">
        <f t="shared" si="4"/>
        <v>0</v>
      </c>
    </row>
    <row r="127" spans="1:17" s="13" customFormat="1" x14ac:dyDescent="0.25">
      <c r="A127" s="229"/>
      <c r="B127" s="62" t="s">
        <v>76</v>
      </c>
      <c r="C127" s="181" t="s">
        <v>17</v>
      </c>
      <c r="D127" s="182"/>
      <c r="E127" s="183" t="s">
        <v>20</v>
      </c>
      <c r="F127" s="73" t="s">
        <v>462</v>
      </c>
      <c r="G127" s="230" t="s">
        <v>114</v>
      </c>
      <c r="H127" s="181">
        <v>14</v>
      </c>
      <c r="I127" s="231">
        <v>5</v>
      </c>
      <c r="J127" s="190">
        <v>5</v>
      </c>
      <c r="K127" s="77">
        <v>11144.6</v>
      </c>
      <c r="L127" s="77">
        <v>11144.6</v>
      </c>
      <c r="M127" s="78">
        <f t="shared" si="3"/>
        <v>0</v>
      </c>
      <c r="N127" s="100">
        <v>9</v>
      </c>
      <c r="O127" s="224">
        <v>30007.39</v>
      </c>
      <c r="P127" s="224">
        <v>30007.39</v>
      </c>
      <c r="Q127" s="232">
        <f t="shared" si="4"/>
        <v>0</v>
      </c>
    </row>
    <row r="128" spans="1:17" s="13" customFormat="1" x14ac:dyDescent="0.25">
      <c r="A128" s="229"/>
      <c r="B128" s="30" t="s">
        <v>77</v>
      </c>
      <c r="C128" s="181" t="s">
        <v>17</v>
      </c>
      <c r="D128" s="182"/>
      <c r="E128" s="183" t="s">
        <v>32</v>
      </c>
      <c r="F128" s="73" t="s">
        <v>388</v>
      </c>
      <c r="G128" s="74" t="s">
        <v>112</v>
      </c>
      <c r="H128" s="75">
        <v>23</v>
      </c>
      <c r="I128" s="76">
        <v>17</v>
      </c>
      <c r="J128" s="96">
        <f>2+2+2+6+1+1+1+7+3</f>
        <v>25</v>
      </c>
      <c r="K128" s="77">
        <f>2440.63+1507.02+2101.48+13625.7+1324.62+2083.47+13864.31</f>
        <v>36947.230000000003</v>
      </c>
      <c r="L128" s="77">
        <f>2440.63+1507.02+2101.48+13625.7+1324.62+2083.47+13864.31</f>
        <v>36947.230000000003</v>
      </c>
      <c r="M128" s="78">
        <f t="shared" si="3"/>
        <v>0</v>
      </c>
      <c r="N128" s="100">
        <f>5+2+3+3+1+1</f>
        <v>15</v>
      </c>
      <c r="O128" s="81">
        <f>11716.73+6848.82+4046.18+11166.34+8845.95</f>
        <v>42624.020000000004</v>
      </c>
      <c r="P128" s="81">
        <f>11716.73+6848.82+4046.18+11166.34+8845.95</f>
        <v>42624.020000000004</v>
      </c>
      <c r="Q128" s="232">
        <f t="shared" si="4"/>
        <v>0</v>
      </c>
    </row>
    <row r="129" spans="1:17" s="13" customFormat="1" x14ac:dyDescent="0.25">
      <c r="A129" s="229"/>
      <c r="B129" s="30" t="s">
        <v>77</v>
      </c>
      <c r="C129" s="181" t="s">
        <v>17</v>
      </c>
      <c r="D129" s="182"/>
      <c r="E129" s="183" t="s">
        <v>32</v>
      </c>
      <c r="F129" s="73" t="s">
        <v>433</v>
      </c>
      <c r="G129" s="230" t="s">
        <v>117</v>
      </c>
      <c r="H129" s="181">
        <v>5</v>
      </c>
      <c r="I129" s="231">
        <v>2</v>
      </c>
      <c r="J129" s="96">
        <v>2</v>
      </c>
      <c r="K129" s="77">
        <v>4530.1000000000004</v>
      </c>
      <c r="L129" s="77">
        <v>4530.1000000000004</v>
      </c>
      <c r="M129" s="78">
        <f t="shared" si="3"/>
        <v>0</v>
      </c>
      <c r="N129" s="100">
        <v>6</v>
      </c>
      <c r="O129" s="224">
        <v>18164.11</v>
      </c>
      <c r="P129" s="224">
        <v>18164.11</v>
      </c>
      <c r="Q129" s="79">
        <f t="shared" si="4"/>
        <v>0</v>
      </c>
    </row>
    <row r="130" spans="1:17" s="13" customFormat="1" x14ac:dyDescent="0.25">
      <c r="A130" s="229"/>
      <c r="B130" s="30" t="s">
        <v>321</v>
      </c>
      <c r="C130" s="181" t="s">
        <v>17</v>
      </c>
      <c r="D130" s="182"/>
      <c r="E130" s="183" t="s">
        <v>21</v>
      </c>
      <c r="F130" s="73" t="s">
        <v>489</v>
      </c>
      <c r="G130" s="230" t="s">
        <v>112</v>
      </c>
      <c r="H130" s="181">
        <v>6</v>
      </c>
      <c r="I130" s="231">
        <v>2</v>
      </c>
      <c r="J130" s="96">
        <f>1+1</f>
        <v>2</v>
      </c>
      <c r="K130" s="77">
        <f>2547.89+1766.16</f>
        <v>4314.05</v>
      </c>
      <c r="L130" s="77">
        <f>2547.89+1766.16</f>
        <v>4314.05</v>
      </c>
      <c r="M130" s="78">
        <f t="shared" si="3"/>
        <v>0</v>
      </c>
      <c r="N130" s="100"/>
      <c r="O130" s="224"/>
      <c r="P130" s="224"/>
      <c r="Q130" s="79">
        <f t="shared" si="4"/>
        <v>0</v>
      </c>
    </row>
    <row r="131" spans="1:17" s="13" customFormat="1" ht="30" x14ac:dyDescent="0.25">
      <c r="A131" s="229"/>
      <c r="B131" s="62" t="s">
        <v>79</v>
      </c>
      <c r="C131" s="181" t="s">
        <v>304</v>
      </c>
      <c r="D131" s="182" t="s">
        <v>385</v>
      </c>
      <c r="E131" s="183" t="s">
        <v>18</v>
      </c>
      <c r="F131" s="73" t="s">
        <v>389</v>
      </c>
      <c r="G131" s="74" t="s">
        <v>112</v>
      </c>
      <c r="H131" s="75">
        <v>23</v>
      </c>
      <c r="I131" s="76">
        <v>18</v>
      </c>
      <c r="J131" s="98">
        <f>2+5+2+3+2+2+5+2</f>
        <v>23</v>
      </c>
      <c r="K131" s="77">
        <f>2091.97+3190.2+5703.08+6368.88+4029.68+4560.06+5101.32</f>
        <v>31045.190000000002</v>
      </c>
      <c r="L131" s="77">
        <f>2091.97+3190.2+5703.08+6368.88+4029.68+4560.06+5101.32</f>
        <v>31045.190000000002</v>
      </c>
      <c r="M131" s="78">
        <f t="shared" si="3"/>
        <v>0</v>
      </c>
      <c r="N131" s="100">
        <f>2+2+1+2+1+1+3+1+2</f>
        <v>15</v>
      </c>
      <c r="O131" s="81">
        <f>1547.4+4166.12+7835.61+1675.01+4717.63+6039.62+18829.39+23135.63+18613.81</f>
        <v>86560.22</v>
      </c>
      <c r="P131" s="81">
        <f>1547.4+4166.12+7835.61+1675.01+4717.63+6039.62+18829.39+23135.63+18613.81</f>
        <v>86560.22</v>
      </c>
      <c r="Q131" s="232">
        <f t="shared" si="4"/>
        <v>0</v>
      </c>
    </row>
    <row r="132" spans="1:17" s="13" customFormat="1" ht="30" x14ac:dyDescent="0.25">
      <c r="A132" s="229"/>
      <c r="B132" s="62" t="s">
        <v>79</v>
      </c>
      <c r="C132" s="181" t="s">
        <v>304</v>
      </c>
      <c r="D132" s="182" t="s">
        <v>475</v>
      </c>
      <c r="E132" s="183" t="s">
        <v>18</v>
      </c>
      <c r="F132" s="73" t="s">
        <v>329</v>
      </c>
      <c r="G132" s="271" t="s">
        <v>116</v>
      </c>
      <c r="H132" s="181">
        <v>46</v>
      </c>
      <c r="I132" s="234">
        <v>32</v>
      </c>
      <c r="J132" s="98">
        <v>37</v>
      </c>
      <c r="K132" s="224">
        <v>70648</v>
      </c>
      <c r="L132" s="224">
        <v>70648</v>
      </c>
      <c r="M132" s="78">
        <f t="shared" si="3"/>
        <v>0</v>
      </c>
      <c r="N132" s="100">
        <v>16</v>
      </c>
      <c r="O132" s="224">
        <v>56311</v>
      </c>
      <c r="P132" s="224">
        <v>56311</v>
      </c>
      <c r="Q132" s="79">
        <f t="shared" si="4"/>
        <v>0</v>
      </c>
    </row>
    <row r="133" spans="1:17" s="13" customFormat="1" x14ac:dyDescent="0.25">
      <c r="A133" s="229"/>
      <c r="B133" s="62" t="s">
        <v>151</v>
      </c>
      <c r="C133" s="181" t="s">
        <v>17</v>
      </c>
      <c r="D133" s="182"/>
      <c r="E133" s="183" t="s">
        <v>32</v>
      </c>
      <c r="F133" s="73" t="s">
        <v>390</v>
      </c>
      <c r="G133" s="74" t="s">
        <v>112</v>
      </c>
      <c r="H133" s="75">
        <v>72</v>
      </c>
      <c r="I133" s="82">
        <v>54</v>
      </c>
      <c r="J133" s="96">
        <f>1+3+3+5+3+9+4+6+3+2+6+5+3+8+4+5+2</f>
        <v>72</v>
      </c>
      <c r="K133" s="81">
        <f>2317+4640.19+5864.19+10765+12519.53+4514.35+14486.46+3421.94+27163.56+5180.87+3460.57+13888.56</f>
        <v>108222.22</v>
      </c>
      <c r="L133" s="81">
        <f>2317+4640.19+5864.19+10765+12519.53+4514.35+14486.46+3421.94+27163.56+5180.87+3460.57+13888.56</f>
        <v>108222.22</v>
      </c>
      <c r="M133" s="78">
        <f t="shared" si="3"/>
        <v>0</v>
      </c>
      <c r="N133" s="100">
        <f>9+3+5+1+4+4+1+2</f>
        <v>29</v>
      </c>
      <c r="O133" s="81">
        <f>10726.94+18822.65+5703.53+12846.53+1320.36+4050.1+22728.38+3733.09</f>
        <v>79931.58</v>
      </c>
      <c r="P133" s="81">
        <f>10726.94+18822.65+5703.53+12846.53+1320.36+4050.1+22728.38+3733.09</f>
        <v>79931.58</v>
      </c>
      <c r="Q133" s="232">
        <f t="shared" si="4"/>
        <v>0</v>
      </c>
    </row>
    <row r="134" spans="1:17" s="13" customFormat="1" x14ac:dyDescent="0.25">
      <c r="A134" s="229"/>
      <c r="B134" s="62" t="s">
        <v>151</v>
      </c>
      <c r="C134" s="181" t="s">
        <v>17</v>
      </c>
      <c r="D134" s="182"/>
      <c r="E134" s="183" t="s">
        <v>32</v>
      </c>
      <c r="F134" s="73" t="s">
        <v>434</v>
      </c>
      <c r="G134" s="230" t="s">
        <v>117</v>
      </c>
      <c r="H134" s="181">
        <v>15</v>
      </c>
      <c r="I134" s="231">
        <v>5</v>
      </c>
      <c r="J134" s="96">
        <v>5</v>
      </c>
      <c r="K134" s="77">
        <v>5920.65</v>
      </c>
      <c r="L134" s="77">
        <v>5920.65</v>
      </c>
      <c r="M134" s="78">
        <f t="shared" si="3"/>
        <v>0</v>
      </c>
      <c r="N134" s="100">
        <v>13</v>
      </c>
      <c r="O134" s="224">
        <v>24537.7</v>
      </c>
      <c r="P134" s="224">
        <v>24537.7</v>
      </c>
      <c r="Q134" s="79">
        <f t="shared" si="4"/>
        <v>0</v>
      </c>
    </row>
    <row r="135" spans="1:17" s="13" customFormat="1" x14ac:dyDescent="0.25">
      <c r="A135" s="229"/>
      <c r="B135" s="62" t="s">
        <v>80</v>
      </c>
      <c r="C135" s="181" t="s">
        <v>17</v>
      </c>
      <c r="D135" s="182"/>
      <c r="E135" s="183" t="s">
        <v>81</v>
      </c>
      <c r="F135" s="73" t="s">
        <v>417</v>
      </c>
      <c r="G135" s="74" t="s">
        <v>112</v>
      </c>
      <c r="H135" s="75"/>
      <c r="I135" s="76"/>
      <c r="J135" s="96"/>
      <c r="K135" s="77">
        <f>749.19+8649.27</f>
        <v>9398.4600000000009</v>
      </c>
      <c r="L135" s="77">
        <f>749.19+8649.27</f>
        <v>9398.4600000000009</v>
      </c>
      <c r="M135" s="78">
        <f t="shared" si="3"/>
        <v>0</v>
      </c>
      <c r="N135" s="100">
        <f>2+2</f>
        <v>4</v>
      </c>
      <c r="O135" s="81">
        <f>3040.94+9398.46</f>
        <v>12439.4</v>
      </c>
      <c r="P135" s="81">
        <f>3040.94+9398.46</f>
        <v>12439.4</v>
      </c>
      <c r="Q135" s="232">
        <f t="shared" si="4"/>
        <v>0</v>
      </c>
    </row>
    <row r="136" spans="1:17" s="13" customFormat="1" x14ac:dyDescent="0.25">
      <c r="A136" s="229"/>
      <c r="B136" s="62" t="s">
        <v>80</v>
      </c>
      <c r="C136" s="181" t="s">
        <v>17</v>
      </c>
      <c r="D136" s="182"/>
      <c r="E136" s="183" t="s">
        <v>81</v>
      </c>
      <c r="F136" s="73" t="s">
        <v>285</v>
      </c>
      <c r="G136" s="230" t="s">
        <v>114</v>
      </c>
      <c r="H136" s="181"/>
      <c r="I136" s="231"/>
      <c r="J136" s="190"/>
      <c r="K136" s="77"/>
      <c r="L136" s="77"/>
      <c r="M136" s="78">
        <f t="shared" si="3"/>
        <v>0</v>
      </c>
      <c r="N136" s="100">
        <v>24</v>
      </c>
      <c r="O136" s="224">
        <v>62268.31</v>
      </c>
      <c r="P136" s="224">
        <v>62268.31</v>
      </c>
      <c r="Q136" s="232">
        <f t="shared" si="4"/>
        <v>0</v>
      </c>
    </row>
    <row r="137" spans="1:17" s="13" customFormat="1" x14ac:dyDescent="0.25">
      <c r="A137" s="229"/>
      <c r="B137" s="30" t="s">
        <v>82</v>
      </c>
      <c r="C137" s="181" t="s">
        <v>17</v>
      </c>
      <c r="D137" s="182"/>
      <c r="E137" s="183" t="s">
        <v>20</v>
      </c>
      <c r="F137" s="73" t="s">
        <v>394</v>
      </c>
      <c r="G137" s="74" t="s">
        <v>112</v>
      </c>
      <c r="H137" s="75">
        <v>18</v>
      </c>
      <c r="I137" s="76">
        <v>14</v>
      </c>
      <c r="J137" s="96">
        <f>4+3+2+2+1+1+1+1+1</f>
        <v>16</v>
      </c>
      <c r="K137" s="77">
        <f>20254+3953.39+602.1</f>
        <v>24809.489999999998</v>
      </c>
      <c r="L137" s="77">
        <f>20254+3953.39+602.1</f>
        <v>24809.489999999998</v>
      </c>
      <c r="M137" s="78">
        <f t="shared" si="3"/>
        <v>0</v>
      </c>
      <c r="N137" s="100">
        <f>3+5+1+1+1</f>
        <v>11</v>
      </c>
      <c r="O137" s="81">
        <f>5975.84+23579.15+1426.34+3500</f>
        <v>34481.33</v>
      </c>
      <c r="P137" s="81">
        <f>5975.84+23579.15+1426.34+3500</f>
        <v>34481.33</v>
      </c>
      <c r="Q137" s="232">
        <f t="shared" si="4"/>
        <v>0</v>
      </c>
    </row>
    <row r="138" spans="1:17" s="13" customFormat="1" x14ac:dyDescent="0.25">
      <c r="A138" s="229"/>
      <c r="B138" s="30" t="s">
        <v>82</v>
      </c>
      <c r="C138" s="181" t="s">
        <v>17</v>
      </c>
      <c r="D138" s="182"/>
      <c r="E138" s="183" t="s">
        <v>20</v>
      </c>
      <c r="F138" s="73" t="s">
        <v>463</v>
      </c>
      <c r="G138" s="230" t="s">
        <v>114</v>
      </c>
      <c r="H138" s="181">
        <v>29</v>
      </c>
      <c r="I138" s="231">
        <v>6</v>
      </c>
      <c r="J138" s="190">
        <v>6</v>
      </c>
      <c r="K138" s="77">
        <v>11385.5</v>
      </c>
      <c r="L138" s="77">
        <v>11385.5</v>
      </c>
      <c r="M138" s="78">
        <f t="shared" si="3"/>
        <v>0</v>
      </c>
      <c r="N138" s="100">
        <v>14</v>
      </c>
      <c r="O138" s="224">
        <v>48620.71</v>
      </c>
      <c r="P138" s="224">
        <v>48620.71</v>
      </c>
      <c r="Q138" s="232">
        <f t="shared" si="4"/>
        <v>0</v>
      </c>
    </row>
    <row r="139" spans="1:17" s="13" customFormat="1" x14ac:dyDescent="0.25">
      <c r="A139" s="229"/>
      <c r="B139" s="30" t="s">
        <v>309</v>
      </c>
      <c r="C139" s="181" t="s">
        <v>17</v>
      </c>
      <c r="D139" s="182"/>
      <c r="E139" s="183" t="s">
        <v>20</v>
      </c>
      <c r="F139" s="73" t="s">
        <v>391</v>
      </c>
      <c r="G139" s="230" t="s">
        <v>112</v>
      </c>
      <c r="H139" s="181">
        <v>19</v>
      </c>
      <c r="I139" s="231">
        <v>14</v>
      </c>
      <c r="J139" s="190">
        <f>1+5+2+1+1+1+2+1+1</f>
        <v>15</v>
      </c>
      <c r="K139" s="77">
        <f>3606.1+3402.77+2649.24+993.47+441.54+8488+4287.75+3090.78</f>
        <v>26959.65</v>
      </c>
      <c r="L139" s="77">
        <f>3606.1+3402.77+2649.24+993.47+441.54+8488+4287.75+3090.78</f>
        <v>26959.65</v>
      </c>
      <c r="M139" s="78">
        <f t="shared" si="3"/>
        <v>0</v>
      </c>
      <c r="N139" s="100">
        <f>1+5+1+3</f>
        <v>10</v>
      </c>
      <c r="O139" s="224">
        <f>3088.97+13147.65+1267.86+5955.71</f>
        <v>23460.19</v>
      </c>
      <c r="P139" s="224">
        <f>3088.97+13147.65+1267.86+5955.71</f>
        <v>23460.19</v>
      </c>
      <c r="Q139" s="232">
        <f t="shared" si="4"/>
        <v>0</v>
      </c>
    </row>
    <row r="140" spans="1:17" s="13" customFormat="1" x14ac:dyDescent="0.25">
      <c r="A140" s="229"/>
      <c r="B140" s="30" t="s">
        <v>152</v>
      </c>
      <c r="C140" s="181" t="s">
        <v>17</v>
      </c>
      <c r="D140" s="182"/>
      <c r="E140" s="183" t="s">
        <v>35</v>
      </c>
      <c r="F140" s="73" t="s">
        <v>392</v>
      </c>
      <c r="G140" s="74" t="s">
        <v>112</v>
      </c>
      <c r="H140" s="75">
        <v>7</v>
      </c>
      <c r="I140" s="76">
        <v>6</v>
      </c>
      <c r="J140" s="96">
        <f>1+1+2+1+1+1+2</f>
        <v>9</v>
      </c>
      <c r="K140" s="77">
        <f>403.41+845.24+2113.1+2649.24</f>
        <v>6010.99</v>
      </c>
      <c r="L140" s="77">
        <f>403.41+845.24+2113.1+2649.24</f>
        <v>6010.99</v>
      </c>
      <c r="M140" s="78">
        <f t="shared" si="3"/>
        <v>0</v>
      </c>
      <c r="N140" s="100">
        <f>2+2+2+1+1+1+2</f>
        <v>11</v>
      </c>
      <c r="O140" s="81">
        <f>1690.48+3050.26+3661.61+4648.82+1267.86+1690.48+9282.42+4052.53</f>
        <v>29344.46</v>
      </c>
      <c r="P140" s="81">
        <f>1690.48+3050.26+3661.61+4648.82+1267.86+1690.48+9282.42+4052.53</f>
        <v>29344.46</v>
      </c>
      <c r="Q140" s="232">
        <f t="shared" si="4"/>
        <v>0</v>
      </c>
    </row>
    <row r="141" spans="1:17" s="13" customFormat="1" x14ac:dyDescent="0.25">
      <c r="A141" s="229"/>
      <c r="B141" s="30" t="s">
        <v>83</v>
      </c>
      <c r="C141" s="181" t="s">
        <v>17</v>
      </c>
      <c r="D141" s="182"/>
      <c r="E141" s="183" t="s">
        <v>20</v>
      </c>
      <c r="F141" s="73" t="s">
        <v>393</v>
      </c>
      <c r="G141" s="74" t="s">
        <v>112</v>
      </c>
      <c r="H141" s="75">
        <v>14</v>
      </c>
      <c r="I141" s="76">
        <v>9</v>
      </c>
      <c r="J141" s="96">
        <f>1+1+2+1+1+1+1+1+1</f>
        <v>10</v>
      </c>
      <c r="K141" s="77">
        <f>768.4+2535.72+845.24+14407.5+883.08+883.08</f>
        <v>20323.020000000004</v>
      </c>
      <c r="L141" s="77">
        <f>768.4+2535.72+845.24+14407.5+883.08+883.08</f>
        <v>20323.020000000004</v>
      </c>
      <c r="M141" s="78">
        <f t="shared" si="3"/>
        <v>0</v>
      </c>
      <c r="N141" s="100">
        <f>1+2+1+1+1+2</f>
        <v>8</v>
      </c>
      <c r="O141" s="81">
        <f>5837.09+1922.92+4288.54+1686.25</f>
        <v>13734.8</v>
      </c>
      <c r="P141" s="81">
        <f>5837.09+1922.92+4288.54+1686.25</f>
        <v>13734.8</v>
      </c>
      <c r="Q141" s="232">
        <f t="shared" si="4"/>
        <v>0</v>
      </c>
    </row>
    <row r="142" spans="1:17" s="13" customFormat="1" x14ac:dyDescent="0.25">
      <c r="A142" s="229"/>
      <c r="B142" s="30" t="s">
        <v>83</v>
      </c>
      <c r="C142" s="181" t="s">
        <v>17</v>
      </c>
      <c r="D142" s="182"/>
      <c r="E142" s="183" t="s">
        <v>20</v>
      </c>
      <c r="F142" s="73" t="s">
        <v>464</v>
      </c>
      <c r="G142" s="230" t="s">
        <v>114</v>
      </c>
      <c r="H142" s="181">
        <v>35</v>
      </c>
      <c r="I142" s="231">
        <v>22</v>
      </c>
      <c r="J142" s="190">
        <v>22</v>
      </c>
      <c r="K142" s="77">
        <v>60040.41</v>
      </c>
      <c r="L142" s="77">
        <v>60040.41</v>
      </c>
      <c r="M142" s="78">
        <f t="shared" ref="M142:M192" si="5">K142-L142</f>
        <v>0</v>
      </c>
      <c r="N142" s="100">
        <v>31</v>
      </c>
      <c r="O142" s="224">
        <v>114176.52</v>
      </c>
      <c r="P142" s="224">
        <v>114176.52</v>
      </c>
      <c r="Q142" s="232">
        <f t="shared" si="4"/>
        <v>0</v>
      </c>
    </row>
    <row r="143" spans="1:17" s="13" customFormat="1" ht="45" x14ac:dyDescent="0.25">
      <c r="A143" s="229"/>
      <c r="B143" s="30" t="s">
        <v>85</v>
      </c>
      <c r="C143" s="181" t="s">
        <v>304</v>
      </c>
      <c r="D143" s="182" t="s">
        <v>415</v>
      </c>
      <c r="E143" s="183" t="s">
        <v>20</v>
      </c>
      <c r="F143" s="73" t="s">
        <v>395</v>
      </c>
      <c r="G143" s="74" t="s">
        <v>112</v>
      </c>
      <c r="H143" s="75">
        <v>20</v>
      </c>
      <c r="I143" s="76">
        <v>9</v>
      </c>
      <c r="J143" s="98">
        <f>2+1+1+1</f>
        <v>5</v>
      </c>
      <c r="K143" s="77">
        <f>4800.58+2591.84+7239.38+3534.03</f>
        <v>18165.829999999998</v>
      </c>
      <c r="L143" s="77">
        <f>4800.58+2591.84+7239.38+3534.03</f>
        <v>18165.829999999998</v>
      </c>
      <c r="M143" s="78">
        <f t="shared" si="5"/>
        <v>0</v>
      </c>
      <c r="N143" s="100">
        <f>2+1+2</f>
        <v>5</v>
      </c>
      <c r="O143" s="81">
        <f>3917.73+8936.21+5669.37+31185.72+18292.46</f>
        <v>68001.489999999991</v>
      </c>
      <c r="P143" s="81">
        <f>3917.73+8936.21+5669.37+31185.72+18292.46</f>
        <v>68001.489999999991</v>
      </c>
      <c r="Q143" s="79">
        <f t="shared" si="4"/>
        <v>0</v>
      </c>
    </row>
    <row r="144" spans="1:17" s="13" customFormat="1" x14ac:dyDescent="0.25">
      <c r="A144" s="229"/>
      <c r="B144" s="27" t="s">
        <v>86</v>
      </c>
      <c r="C144" s="181" t="s">
        <v>17</v>
      </c>
      <c r="D144" s="182"/>
      <c r="E144" s="194" t="s">
        <v>20</v>
      </c>
      <c r="F144" s="73" t="s">
        <v>396</v>
      </c>
      <c r="G144" s="74" t="s">
        <v>112</v>
      </c>
      <c r="H144" s="75">
        <v>24</v>
      </c>
      <c r="I144" s="76">
        <v>20</v>
      </c>
      <c r="J144" s="96">
        <f>1+3+1+7+2+2+5+5+1+3</f>
        <v>30</v>
      </c>
      <c r="K144" s="77">
        <f>950.9+5134.06+2091.97+528.03+8954.46+5719.74+9578.1+2631.85</f>
        <v>35589.109999999993</v>
      </c>
      <c r="L144" s="77">
        <f>950.9+5134.06+2091.97+528.03+8954.46+5719.74+9578.1+2631.85</f>
        <v>35589.109999999993</v>
      </c>
      <c r="M144" s="78">
        <f t="shared" si="5"/>
        <v>0</v>
      </c>
      <c r="N144" s="100">
        <f>15+4+2+1+2+2</f>
        <v>26</v>
      </c>
      <c r="O144" s="81">
        <f>30236.61+18366.75+8887.09+1077.68+8961.95</f>
        <v>67530.080000000002</v>
      </c>
      <c r="P144" s="81">
        <f>30236.61+18366.75+8887.09+1077.68+8961.95</f>
        <v>67530.080000000002</v>
      </c>
      <c r="Q144" s="232">
        <f t="shared" si="4"/>
        <v>0</v>
      </c>
    </row>
    <row r="145" spans="1:17" s="13" customFormat="1" x14ac:dyDescent="0.25">
      <c r="A145" s="229"/>
      <c r="B145" s="27" t="s">
        <v>86</v>
      </c>
      <c r="C145" s="181" t="s">
        <v>17</v>
      </c>
      <c r="D145" s="182"/>
      <c r="E145" s="194" t="s">
        <v>20</v>
      </c>
      <c r="F145" s="73" t="s">
        <v>465</v>
      </c>
      <c r="G145" s="230" t="s">
        <v>114</v>
      </c>
      <c r="H145" s="181">
        <v>9</v>
      </c>
      <c r="I145" s="231">
        <v>4</v>
      </c>
      <c r="J145" s="190">
        <v>4</v>
      </c>
      <c r="K145" s="77">
        <v>5338.62</v>
      </c>
      <c r="L145" s="77">
        <v>5338.62</v>
      </c>
      <c r="M145" s="78">
        <f t="shared" si="5"/>
        <v>0</v>
      </c>
      <c r="N145" s="100">
        <v>10</v>
      </c>
      <c r="O145" s="224">
        <v>22234.03</v>
      </c>
      <c r="P145" s="224">
        <v>22234.03</v>
      </c>
      <c r="Q145" s="232">
        <f t="shared" si="4"/>
        <v>0</v>
      </c>
    </row>
    <row r="146" spans="1:17" s="13" customFormat="1" x14ac:dyDescent="0.25">
      <c r="A146" s="229"/>
      <c r="B146" s="27" t="s">
        <v>87</v>
      </c>
      <c r="C146" s="181" t="s">
        <v>17</v>
      </c>
      <c r="D146" s="182"/>
      <c r="E146" s="194" t="s">
        <v>20</v>
      </c>
      <c r="F146" s="73" t="s">
        <v>520</v>
      </c>
      <c r="G146" s="294" t="s">
        <v>112</v>
      </c>
      <c r="H146" s="181">
        <v>2</v>
      </c>
      <c r="I146" s="231">
        <v>2</v>
      </c>
      <c r="J146" s="190">
        <f>2</f>
        <v>2</v>
      </c>
      <c r="K146" s="77"/>
      <c r="L146" s="77"/>
      <c r="M146" s="78"/>
      <c r="N146" s="100"/>
      <c r="O146" s="224"/>
      <c r="P146" s="224"/>
      <c r="Q146" s="232"/>
    </row>
    <row r="147" spans="1:17" s="13" customFormat="1" x14ac:dyDescent="0.25">
      <c r="A147" s="229"/>
      <c r="B147" s="62" t="s">
        <v>312</v>
      </c>
      <c r="C147" s="181" t="s">
        <v>17</v>
      </c>
      <c r="D147" s="182"/>
      <c r="E147" s="194" t="s">
        <v>20</v>
      </c>
      <c r="F147" s="73" t="s">
        <v>320</v>
      </c>
      <c r="G147" s="74" t="s">
        <v>112</v>
      </c>
      <c r="H147" s="75">
        <v>23</v>
      </c>
      <c r="I147" s="76">
        <v>17</v>
      </c>
      <c r="J147" s="96">
        <f>1+1+1+2+3+4+4</f>
        <v>16</v>
      </c>
      <c r="K147" s="77">
        <f>3319.49+845.24+4965.79+4415.4+3090.78</f>
        <v>16636.7</v>
      </c>
      <c r="L147" s="77">
        <f>3319.49+845.24+4965.79+4415.4+3090.78</f>
        <v>16636.7</v>
      </c>
      <c r="M147" s="78">
        <f t="shared" si="5"/>
        <v>0</v>
      </c>
      <c r="N147" s="100">
        <f>5+6+1+1</f>
        <v>13</v>
      </c>
      <c r="O147" s="81">
        <f>4226.2+6627.45+4360.59+6336.1</f>
        <v>21550.34</v>
      </c>
      <c r="P147" s="81">
        <f>4226.2+6627.45+4360.59+6336.1</f>
        <v>21550.34</v>
      </c>
      <c r="Q147" s="232">
        <f t="shared" si="4"/>
        <v>0</v>
      </c>
    </row>
    <row r="148" spans="1:17" s="13" customFormat="1" x14ac:dyDescent="0.25">
      <c r="A148" s="229"/>
      <c r="B148" s="62" t="s">
        <v>494</v>
      </c>
      <c r="C148" s="181" t="s">
        <v>17</v>
      </c>
      <c r="D148" s="182"/>
      <c r="E148" s="194" t="s">
        <v>20</v>
      </c>
      <c r="F148" s="73" t="s">
        <v>497</v>
      </c>
      <c r="G148" s="74" t="s">
        <v>112</v>
      </c>
      <c r="H148" s="75">
        <v>15</v>
      </c>
      <c r="I148" s="76">
        <v>11</v>
      </c>
      <c r="J148" s="96">
        <f>1+1+1+1+2+1+2+2</f>
        <v>11</v>
      </c>
      <c r="K148" s="77">
        <f>3379+5494.06+576.3+2417.43+3057.66+2384.32+1986.93</f>
        <v>19295.7</v>
      </c>
      <c r="L148" s="77">
        <f>3379+5494.06+576.3+2417.43+3057.66+2384.32+1986.93</f>
        <v>19295.7</v>
      </c>
      <c r="M148" s="78">
        <f t="shared" si="5"/>
        <v>0</v>
      </c>
      <c r="N148" s="100"/>
      <c r="O148" s="81"/>
      <c r="P148" s="81"/>
      <c r="Q148" s="232">
        <f t="shared" ref="Q148:Q193" si="6">O148-P148</f>
        <v>0</v>
      </c>
    </row>
    <row r="149" spans="1:17" s="13" customFormat="1" x14ac:dyDescent="0.25">
      <c r="A149" s="229"/>
      <c r="B149" s="62" t="s">
        <v>494</v>
      </c>
      <c r="C149" s="181" t="s">
        <v>17</v>
      </c>
      <c r="D149" s="182"/>
      <c r="E149" s="194" t="s">
        <v>20</v>
      </c>
      <c r="F149" s="73" t="s">
        <v>507</v>
      </c>
      <c r="G149" s="74" t="s">
        <v>114</v>
      </c>
      <c r="H149" s="75">
        <v>37</v>
      </c>
      <c r="I149" s="76">
        <v>10</v>
      </c>
      <c r="J149" s="96">
        <v>10</v>
      </c>
      <c r="K149" s="77">
        <v>24597.26</v>
      </c>
      <c r="L149" s="77">
        <v>24597.26</v>
      </c>
      <c r="M149" s="78">
        <f t="shared" si="5"/>
        <v>0</v>
      </c>
      <c r="N149" s="100"/>
      <c r="O149" s="81"/>
      <c r="P149" s="81"/>
      <c r="Q149" s="232">
        <f t="shared" si="6"/>
        <v>0</v>
      </c>
    </row>
    <row r="150" spans="1:17" s="13" customFormat="1" x14ac:dyDescent="0.25">
      <c r="A150" s="229"/>
      <c r="B150" s="30" t="s">
        <v>88</v>
      </c>
      <c r="C150" s="181" t="s">
        <v>17</v>
      </c>
      <c r="D150" s="182"/>
      <c r="E150" s="183" t="s">
        <v>89</v>
      </c>
      <c r="F150" s="73" t="s">
        <v>397</v>
      </c>
      <c r="G150" s="74" t="s">
        <v>112</v>
      </c>
      <c r="H150" s="75">
        <v>28</v>
      </c>
      <c r="I150" s="76">
        <v>19</v>
      </c>
      <c r="J150" s="96">
        <f>1+3+1+2+4+1+2+5</f>
        <v>19</v>
      </c>
      <c r="K150" s="77">
        <f>4226.2+2394.91+6485.1+556.71+4126.31+9704.16+1282.67+1282.67+2185.62</f>
        <v>32244.349999999995</v>
      </c>
      <c r="L150" s="77">
        <f>4226.2+2394.91+6485.1+556.71+4126.31+9704.16+1282.67+1282.67+2185.62</f>
        <v>32244.349999999995</v>
      </c>
      <c r="M150" s="78">
        <f t="shared" si="5"/>
        <v>0</v>
      </c>
      <c r="N150" s="100">
        <f>4+1+3+1+2+2+1+1+2</f>
        <v>17</v>
      </c>
      <c r="O150" s="81">
        <f>11967.83+2831.55+10544.37+9418.99+3799.13+1798.04+2548.4-12193.52+4083.77</f>
        <v>34798.559999999998</v>
      </c>
      <c r="P150" s="81">
        <f>11967.83+2831.55+10544.37+9418.99+3799.13+1798.04+2548.4-12193.52+4083.77</f>
        <v>34798.559999999998</v>
      </c>
      <c r="Q150" s="79">
        <f t="shared" si="6"/>
        <v>0</v>
      </c>
    </row>
    <row r="151" spans="1:17" s="13" customFormat="1" x14ac:dyDescent="0.25">
      <c r="A151" s="229"/>
      <c r="B151" s="30" t="s">
        <v>88</v>
      </c>
      <c r="C151" s="181" t="s">
        <v>17</v>
      </c>
      <c r="D151" s="182"/>
      <c r="E151" s="183" t="s">
        <v>89</v>
      </c>
      <c r="F151" s="73" t="s">
        <v>442</v>
      </c>
      <c r="G151" s="230" t="s">
        <v>118</v>
      </c>
      <c r="H151" s="181">
        <v>7</v>
      </c>
      <c r="I151" s="231">
        <v>4</v>
      </c>
      <c r="J151" s="96">
        <v>4</v>
      </c>
      <c r="K151" s="77">
        <v>7937.26</v>
      </c>
      <c r="L151" s="77">
        <v>7937.26</v>
      </c>
      <c r="M151" s="78">
        <f>K151-L151</f>
        <v>0</v>
      </c>
      <c r="N151" s="100">
        <v>5</v>
      </c>
      <c r="O151" s="224">
        <v>19245.009999999998</v>
      </c>
      <c r="P151" s="224">
        <v>19245.009999999998</v>
      </c>
      <c r="Q151" s="232">
        <f t="shared" si="6"/>
        <v>0</v>
      </c>
    </row>
    <row r="152" spans="1:17" s="13" customFormat="1" x14ac:dyDescent="0.25">
      <c r="A152" s="229"/>
      <c r="B152" s="30" t="s">
        <v>88</v>
      </c>
      <c r="C152" s="181" t="s">
        <v>17</v>
      </c>
      <c r="D152" s="182"/>
      <c r="E152" s="194" t="s">
        <v>505</v>
      </c>
      <c r="F152" s="73" t="s">
        <v>506</v>
      </c>
      <c r="G152" s="230" t="s">
        <v>114</v>
      </c>
      <c r="H152" s="181">
        <v>9</v>
      </c>
      <c r="I152" s="231">
        <v>3</v>
      </c>
      <c r="J152" s="96">
        <v>3</v>
      </c>
      <c r="K152" s="77">
        <v>11656.54</v>
      </c>
      <c r="L152" s="77">
        <v>11656.54</v>
      </c>
      <c r="M152" s="78">
        <f t="shared" si="5"/>
        <v>0</v>
      </c>
      <c r="N152" s="100"/>
      <c r="O152" s="224"/>
      <c r="P152" s="224"/>
      <c r="Q152" s="232">
        <f t="shared" si="6"/>
        <v>0</v>
      </c>
    </row>
    <row r="153" spans="1:17" s="13" customFormat="1" x14ac:dyDescent="0.25">
      <c r="A153" s="229"/>
      <c r="B153" s="30" t="s">
        <v>90</v>
      </c>
      <c r="C153" s="181" t="s">
        <v>17</v>
      </c>
      <c r="D153" s="182"/>
      <c r="E153" s="194" t="s">
        <v>20</v>
      </c>
      <c r="F153" s="73" t="s">
        <v>398</v>
      </c>
      <c r="G153" s="74" t="s">
        <v>112</v>
      </c>
      <c r="H153" s="75">
        <v>14</v>
      </c>
      <c r="I153" s="76">
        <v>8</v>
      </c>
      <c r="J153" s="96">
        <f>1+1+1+4+1</f>
        <v>8</v>
      </c>
      <c r="K153" s="77">
        <f>422.62+4662.44+7580.13+2408.4+8770.77</f>
        <v>23844.36</v>
      </c>
      <c r="L153" s="77">
        <f>422.62+4662.44+7580.13+2408.4+8770.77</f>
        <v>23844.36</v>
      </c>
      <c r="M153" s="78">
        <f t="shared" si="5"/>
        <v>0</v>
      </c>
      <c r="N153" s="100">
        <f>1+1+1+1+2+1</f>
        <v>7</v>
      </c>
      <c r="O153" s="81">
        <f>2122.67+787.61+15453.48+6194.26+37549.5</f>
        <v>62107.519999999997</v>
      </c>
      <c r="P153" s="81">
        <f>2122.67+787.61+15453.48+6194.26+37549.5</f>
        <v>62107.519999999997</v>
      </c>
      <c r="Q153" s="79">
        <f t="shared" si="6"/>
        <v>0</v>
      </c>
    </row>
    <row r="154" spans="1:17" s="13" customFormat="1" x14ac:dyDescent="0.25">
      <c r="A154" s="229"/>
      <c r="B154" s="30" t="s">
        <v>90</v>
      </c>
      <c r="C154" s="181" t="s">
        <v>17</v>
      </c>
      <c r="D154" s="182"/>
      <c r="E154" s="194" t="s">
        <v>20</v>
      </c>
      <c r="F154" s="73" t="s">
        <v>466</v>
      </c>
      <c r="G154" s="230" t="s">
        <v>114</v>
      </c>
      <c r="H154" s="181">
        <v>22</v>
      </c>
      <c r="I154" s="231">
        <v>10</v>
      </c>
      <c r="J154" s="190">
        <v>10</v>
      </c>
      <c r="K154" s="77">
        <v>24517.56</v>
      </c>
      <c r="L154" s="77">
        <v>24517.56</v>
      </c>
      <c r="M154" s="78">
        <f t="shared" si="5"/>
        <v>0</v>
      </c>
      <c r="N154" s="100">
        <v>28</v>
      </c>
      <c r="O154" s="224">
        <v>115855.1</v>
      </c>
      <c r="P154" s="224">
        <v>115855.1</v>
      </c>
      <c r="Q154" s="232">
        <f t="shared" si="6"/>
        <v>0</v>
      </c>
    </row>
    <row r="155" spans="1:17" s="13" customFormat="1" x14ac:dyDescent="0.25">
      <c r="A155" s="229"/>
      <c r="B155" s="30" t="s">
        <v>91</v>
      </c>
      <c r="C155" s="181" t="s">
        <v>17</v>
      </c>
      <c r="D155" s="182"/>
      <c r="E155" s="194" t="s">
        <v>20</v>
      </c>
      <c r="F155" s="73"/>
      <c r="G155" s="74" t="s">
        <v>112</v>
      </c>
      <c r="H155" s="75"/>
      <c r="I155" s="76"/>
      <c r="J155" s="96"/>
      <c r="K155" s="77"/>
      <c r="L155" s="77"/>
      <c r="M155" s="78">
        <f t="shared" si="5"/>
        <v>0</v>
      </c>
      <c r="N155" s="100"/>
      <c r="O155" s="81"/>
      <c r="P155" s="81"/>
      <c r="Q155" s="79">
        <f t="shared" si="6"/>
        <v>0</v>
      </c>
    </row>
    <row r="156" spans="1:17" s="13" customFormat="1" x14ac:dyDescent="0.25">
      <c r="A156" s="229"/>
      <c r="B156" s="62" t="s">
        <v>138</v>
      </c>
      <c r="C156" s="181" t="s">
        <v>17</v>
      </c>
      <c r="D156" s="182"/>
      <c r="E156" s="194" t="s">
        <v>20</v>
      </c>
      <c r="F156" s="73" t="s">
        <v>467</v>
      </c>
      <c r="G156" s="230" t="s">
        <v>114</v>
      </c>
      <c r="H156" s="181">
        <v>18</v>
      </c>
      <c r="I156" s="231">
        <v>3</v>
      </c>
      <c r="J156" s="190">
        <v>3</v>
      </c>
      <c r="K156" s="193">
        <v>5542.2</v>
      </c>
      <c r="L156" s="193">
        <v>5542.2</v>
      </c>
      <c r="M156" s="78">
        <f t="shared" si="5"/>
        <v>0</v>
      </c>
      <c r="N156" s="114">
        <v>7</v>
      </c>
      <c r="O156" s="224">
        <v>16429.099999999999</v>
      </c>
      <c r="P156" s="224">
        <v>16429.099999999999</v>
      </c>
      <c r="Q156" s="232">
        <f t="shared" si="6"/>
        <v>0</v>
      </c>
    </row>
    <row r="157" spans="1:17" s="13" customFormat="1" x14ac:dyDescent="0.25">
      <c r="A157" s="229"/>
      <c r="B157" s="62" t="s">
        <v>138</v>
      </c>
      <c r="C157" s="181" t="s">
        <v>17</v>
      </c>
      <c r="D157" s="182"/>
      <c r="E157" s="194" t="s">
        <v>20</v>
      </c>
      <c r="F157" s="73" t="s">
        <v>400</v>
      </c>
      <c r="G157" s="74" t="s">
        <v>112</v>
      </c>
      <c r="H157" s="75">
        <v>15</v>
      </c>
      <c r="I157" s="82">
        <v>11</v>
      </c>
      <c r="J157" s="96">
        <f>3+1+1+2+2+3</f>
        <v>12</v>
      </c>
      <c r="K157" s="77">
        <f>2224.52+9639.33+3232.07+1625.67+1324.62</f>
        <v>18046.21</v>
      </c>
      <c r="L157" s="77">
        <f>2224.52+9639.33+3232.07+1625.67+1324.62</f>
        <v>18046.21</v>
      </c>
      <c r="M157" s="78">
        <f t="shared" si="5"/>
        <v>0</v>
      </c>
      <c r="N157" s="100">
        <f>5+4+2</f>
        <v>11</v>
      </c>
      <c r="O157" s="81">
        <f>8995.87+8641.99+5740.02</f>
        <v>23377.88</v>
      </c>
      <c r="P157" s="81">
        <f>8995.87+8641.99+5740.02</f>
        <v>23377.88</v>
      </c>
      <c r="Q157" s="79">
        <f t="shared" si="6"/>
        <v>0</v>
      </c>
    </row>
    <row r="158" spans="1:17" s="13" customFormat="1" x14ac:dyDescent="0.25">
      <c r="A158" s="229"/>
      <c r="B158" s="62" t="s">
        <v>157</v>
      </c>
      <c r="C158" s="181" t="s">
        <v>17</v>
      </c>
      <c r="D158" s="182"/>
      <c r="E158" s="194" t="s">
        <v>20</v>
      </c>
      <c r="F158" s="73" t="s">
        <v>401</v>
      </c>
      <c r="G158" s="74" t="s">
        <v>112</v>
      </c>
      <c r="H158" s="75">
        <v>15</v>
      </c>
      <c r="I158" s="82"/>
      <c r="J158" s="96"/>
      <c r="K158" s="77"/>
      <c r="L158" s="77"/>
      <c r="M158" s="78">
        <f t="shared" si="5"/>
        <v>0</v>
      </c>
      <c r="N158" s="100"/>
      <c r="O158" s="81"/>
      <c r="P158" s="81"/>
      <c r="Q158" s="232">
        <f t="shared" si="6"/>
        <v>0</v>
      </c>
    </row>
    <row r="159" spans="1:17" s="13" customFormat="1" x14ac:dyDescent="0.25">
      <c r="A159" s="229"/>
      <c r="B159" s="62" t="s">
        <v>515</v>
      </c>
      <c r="C159" s="181" t="s">
        <v>17</v>
      </c>
      <c r="D159" s="182"/>
      <c r="E159" s="194" t="s">
        <v>20</v>
      </c>
      <c r="F159" s="73" t="s">
        <v>519</v>
      </c>
      <c r="G159" s="74" t="s">
        <v>112</v>
      </c>
      <c r="H159" s="75">
        <v>7</v>
      </c>
      <c r="I159" s="82">
        <v>2</v>
      </c>
      <c r="J159" s="96">
        <f>1+1</f>
        <v>2</v>
      </c>
      <c r="K159" s="77">
        <f>1091.81+1091.81+662.31</f>
        <v>2845.93</v>
      </c>
      <c r="L159" s="77">
        <f>1091.81+1091.81+662.31</f>
        <v>2845.93</v>
      </c>
      <c r="M159" s="78">
        <f t="shared" si="5"/>
        <v>0</v>
      </c>
      <c r="N159" s="100"/>
      <c r="O159" s="81"/>
      <c r="P159" s="81"/>
      <c r="Q159" s="232"/>
    </row>
    <row r="160" spans="1:17" s="15" customFormat="1" x14ac:dyDescent="0.25">
      <c r="A160" s="229"/>
      <c r="B160" s="62" t="s">
        <v>92</v>
      </c>
      <c r="C160" s="181" t="s">
        <v>17</v>
      </c>
      <c r="D160" s="182"/>
      <c r="E160" s="194" t="s">
        <v>20</v>
      </c>
      <c r="F160" s="73" t="s">
        <v>402</v>
      </c>
      <c r="G160" s="74" t="s">
        <v>112</v>
      </c>
      <c r="H160" s="75">
        <v>14</v>
      </c>
      <c r="I160" s="76">
        <v>12</v>
      </c>
      <c r="J160" s="96">
        <f>1+2+5+2+2</f>
        <v>12</v>
      </c>
      <c r="K160" s="77">
        <f>1951.74+1335.1+2996.76+883.08+842.94</f>
        <v>8009.6200000000008</v>
      </c>
      <c r="L160" s="77">
        <f>1951.74+1335.1+2996.76+883.08+842.94</f>
        <v>8009.6200000000008</v>
      </c>
      <c r="M160" s="78">
        <f t="shared" si="5"/>
        <v>0</v>
      </c>
      <c r="N160" s="100">
        <f>4+1+1</f>
        <v>6</v>
      </c>
      <c r="O160" s="81">
        <f>12624.74+2697.06+1225.93</f>
        <v>16547.73</v>
      </c>
      <c r="P160" s="81">
        <f>12624.74+2697.06+1225.93</f>
        <v>16547.73</v>
      </c>
      <c r="Q160" s="232">
        <f t="shared" si="6"/>
        <v>0</v>
      </c>
    </row>
    <row r="161" spans="1:17" s="15" customFormat="1" x14ac:dyDescent="0.25">
      <c r="A161" s="229"/>
      <c r="B161" s="62" t="s">
        <v>92</v>
      </c>
      <c r="C161" s="181" t="s">
        <v>17</v>
      </c>
      <c r="D161" s="182"/>
      <c r="E161" s="194" t="s">
        <v>20</v>
      </c>
      <c r="F161" s="73" t="s">
        <v>129</v>
      </c>
      <c r="G161" s="230" t="s">
        <v>114</v>
      </c>
      <c r="H161" s="181"/>
      <c r="I161" s="231"/>
      <c r="J161" s="190"/>
      <c r="K161" s="77"/>
      <c r="L161" s="77"/>
      <c r="M161" s="78">
        <f t="shared" si="5"/>
        <v>0</v>
      </c>
      <c r="N161" s="114"/>
      <c r="O161" s="224"/>
      <c r="P161" s="224"/>
      <c r="Q161" s="232">
        <f t="shared" si="6"/>
        <v>0</v>
      </c>
    </row>
    <row r="162" spans="1:17" s="13" customFormat="1" x14ac:dyDescent="0.25">
      <c r="A162" s="229"/>
      <c r="B162" s="30" t="s">
        <v>93</v>
      </c>
      <c r="C162" s="181" t="s">
        <v>17</v>
      </c>
      <c r="D162" s="182"/>
      <c r="E162" s="183" t="s">
        <v>94</v>
      </c>
      <c r="F162" s="73" t="s">
        <v>403</v>
      </c>
      <c r="G162" s="74" t="s">
        <v>112</v>
      </c>
      <c r="H162" s="75">
        <v>7</v>
      </c>
      <c r="I162" s="76">
        <v>2</v>
      </c>
      <c r="J162" s="96">
        <f>2</f>
        <v>2</v>
      </c>
      <c r="K162" s="77">
        <f>2336.84</f>
        <v>2336.84</v>
      </c>
      <c r="L162" s="77">
        <f>2336.84</f>
        <v>2336.84</v>
      </c>
      <c r="M162" s="78">
        <f t="shared" si="5"/>
        <v>0</v>
      </c>
      <c r="N162" s="100">
        <f>3+8</f>
        <v>11</v>
      </c>
      <c r="O162" s="81">
        <f>20117.75</f>
        <v>20117.75</v>
      </c>
      <c r="P162" s="81">
        <f>20117.75</f>
        <v>20117.75</v>
      </c>
      <c r="Q162" s="232">
        <f t="shared" si="6"/>
        <v>0</v>
      </c>
    </row>
    <row r="163" spans="1:17" s="13" customFormat="1" x14ac:dyDescent="0.25">
      <c r="A163" s="229"/>
      <c r="B163" s="30" t="s">
        <v>93</v>
      </c>
      <c r="C163" s="181" t="s">
        <v>17</v>
      </c>
      <c r="D163" s="182"/>
      <c r="E163" s="183" t="s">
        <v>94</v>
      </c>
      <c r="F163" s="73" t="s">
        <v>130</v>
      </c>
      <c r="G163" s="230" t="s">
        <v>114</v>
      </c>
      <c r="H163" s="181"/>
      <c r="I163" s="231"/>
      <c r="J163" s="190"/>
      <c r="K163" s="77"/>
      <c r="L163" s="77"/>
      <c r="M163" s="78">
        <f t="shared" si="5"/>
        <v>0</v>
      </c>
      <c r="N163" s="100"/>
      <c r="O163" s="224"/>
      <c r="P163" s="224"/>
      <c r="Q163" s="232">
        <f t="shared" si="6"/>
        <v>0</v>
      </c>
    </row>
    <row r="164" spans="1:17" s="13" customFormat="1" x14ac:dyDescent="0.25">
      <c r="A164" s="229"/>
      <c r="B164" s="30" t="s">
        <v>93</v>
      </c>
      <c r="C164" s="181" t="s">
        <v>17</v>
      </c>
      <c r="D164" s="182"/>
      <c r="E164" s="183" t="s">
        <v>94</v>
      </c>
      <c r="F164" s="73" t="s">
        <v>240</v>
      </c>
      <c r="G164" s="230" t="s">
        <v>118</v>
      </c>
      <c r="H164" s="181"/>
      <c r="I164" s="231"/>
      <c r="J164" s="96"/>
      <c r="K164" s="77"/>
      <c r="L164" s="77"/>
      <c r="M164" s="78">
        <f t="shared" si="5"/>
        <v>0</v>
      </c>
      <c r="N164" s="100"/>
      <c r="O164" s="224"/>
      <c r="P164" s="224"/>
      <c r="Q164" s="232">
        <f t="shared" si="6"/>
        <v>0</v>
      </c>
    </row>
    <row r="165" spans="1:17" s="13" customFormat="1" x14ac:dyDescent="0.25">
      <c r="A165" s="229"/>
      <c r="B165" s="30" t="s">
        <v>95</v>
      </c>
      <c r="C165" s="181" t="s">
        <v>17</v>
      </c>
      <c r="D165" s="182"/>
      <c r="E165" s="194" t="s">
        <v>20</v>
      </c>
      <c r="F165" s="73" t="s">
        <v>404</v>
      </c>
      <c r="G165" s="74" t="s">
        <v>112</v>
      </c>
      <c r="H165" s="75">
        <v>25</v>
      </c>
      <c r="I165" s="76">
        <v>12</v>
      </c>
      <c r="J165" s="96">
        <f>1+4+4+5+2+1+1</f>
        <v>18</v>
      </c>
      <c r="K165" s="77">
        <f>1061.35+5770.05+5238.9+6606.04+6345.59</f>
        <v>25021.93</v>
      </c>
      <c r="L165" s="77">
        <f>1061.35+5770.05+5238.9+6606.04+6345.59</f>
        <v>25021.93</v>
      </c>
      <c r="M165" s="78">
        <f t="shared" si="5"/>
        <v>0</v>
      </c>
      <c r="N165" s="100">
        <f>1+6+1+4+1+1+1</f>
        <v>15</v>
      </c>
      <c r="O165" s="81">
        <f>11603.82+7559.28+6777.29+24757.02+4991.61</f>
        <v>55689.020000000004</v>
      </c>
      <c r="P165" s="81">
        <f>11603.82+7559.28+6777.29+24757.02+4991.61</f>
        <v>55689.020000000004</v>
      </c>
      <c r="Q165" s="79">
        <f t="shared" si="6"/>
        <v>0</v>
      </c>
    </row>
    <row r="166" spans="1:17" s="13" customFormat="1" x14ac:dyDescent="0.25">
      <c r="A166" s="229"/>
      <c r="B166" s="30" t="s">
        <v>95</v>
      </c>
      <c r="C166" s="181" t="s">
        <v>17</v>
      </c>
      <c r="D166" s="182"/>
      <c r="E166" s="194" t="s">
        <v>20</v>
      </c>
      <c r="F166" s="73" t="s">
        <v>291</v>
      </c>
      <c r="G166" s="230" t="s">
        <v>114</v>
      </c>
      <c r="H166" s="181">
        <v>12</v>
      </c>
      <c r="I166" s="231">
        <v>5</v>
      </c>
      <c r="J166" s="190">
        <v>5</v>
      </c>
      <c r="K166" s="77">
        <v>6270.46</v>
      </c>
      <c r="L166" s="77">
        <v>6270.46</v>
      </c>
      <c r="M166" s="78">
        <f t="shared" si="5"/>
        <v>0</v>
      </c>
      <c r="N166" s="100">
        <v>14</v>
      </c>
      <c r="O166" s="224">
        <v>32601.05</v>
      </c>
      <c r="P166" s="224">
        <v>32601.05</v>
      </c>
      <c r="Q166" s="232">
        <f t="shared" si="6"/>
        <v>0</v>
      </c>
    </row>
    <row r="167" spans="1:17" s="13" customFormat="1" x14ac:dyDescent="0.25">
      <c r="A167" s="229"/>
      <c r="B167" s="30" t="s">
        <v>96</v>
      </c>
      <c r="C167" s="181" t="s">
        <v>17</v>
      </c>
      <c r="D167" s="182"/>
      <c r="E167" s="194" t="s">
        <v>97</v>
      </c>
      <c r="F167" s="73" t="s">
        <v>405</v>
      </c>
      <c r="G167" s="74" t="s">
        <v>112</v>
      </c>
      <c r="H167" s="75">
        <v>1</v>
      </c>
      <c r="I167" s="76">
        <v>1</v>
      </c>
      <c r="J167" s="96">
        <f>2</f>
        <v>2</v>
      </c>
      <c r="K167" s="77">
        <f>3187.92</f>
        <v>3187.92</v>
      </c>
      <c r="L167" s="77">
        <f>3187.92</f>
        <v>3187.92</v>
      </c>
      <c r="M167" s="78">
        <f t="shared" si="5"/>
        <v>0</v>
      </c>
      <c r="N167" s="103">
        <f>1+2+1+2</f>
        <v>6</v>
      </c>
      <c r="O167" s="77">
        <f>1742.31+9358.48+3187.92</f>
        <v>14288.71</v>
      </c>
      <c r="P167" s="77">
        <f>1742.31+9358.48+3187.92</f>
        <v>14288.71</v>
      </c>
      <c r="Q167" s="79">
        <f t="shared" si="6"/>
        <v>0</v>
      </c>
    </row>
    <row r="168" spans="1:17" s="13" customFormat="1" x14ac:dyDescent="0.25">
      <c r="A168" s="229"/>
      <c r="B168" s="30" t="s">
        <v>96</v>
      </c>
      <c r="C168" s="181" t="s">
        <v>17</v>
      </c>
      <c r="D168" s="182"/>
      <c r="E168" s="194" t="s">
        <v>97</v>
      </c>
      <c r="F168" s="73" t="s">
        <v>468</v>
      </c>
      <c r="G168" s="230" t="s">
        <v>114</v>
      </c>
      <c r="H168" s="181">
        <v>1</v>
      </c>
      <c r="I168" s="231">
        <v>1</v>
      </c>
      <c r="J168" s="190">
        <v>1</v>
      </c>
      <c r="K168" s="77">
        <v>1204.2</v>
      </c>
      <c r="L168" s="77">
        <v>1204.2</v>
      </c>
      <c r="M168" s="78">
        <f t="shared" si="5"/>
        <v>0</v>
      </c>
      <c r="N168" s="100">
        <v>6</v>
      </c>
      <c r="O168" s="224">
        <v>18393.400000000001</v>
      </c>
      <c r="P168" s="224">
        <v>18393.400000000001</v>
      </c>
      <c r="Q168" s="232">
        <f t="shared" si="6"/>
        <v>0</v>
      </c>
    </row>
    <row r="169" spans="1:17" s="13" customFormat="1" x14ac:dyDescent="0.25">
      <c r="A169" s="229"/>
      <c r="B169" s="30" t="s">
        <v>98</v>
      </c>
      <c r="C169" s="181" t="s">
        <v>17</v>
      </c>
      <c r="D169" s="182"/>
      <c r="E169" s="194" t="s">
        <v>35</v>
      </c>
      <c r="F169" s="73" t="s">
        <v>406</v>
      </c>
      <c r="G169" s="74" t="s">
        <v>112</v>
      </c>
      <c r="H169" s="75">
        <v>46</v>
      </c>
      <c r="I169" s="76">
        <v>32</v>
      </c>
      <c r="J169" s="96">
        <f>1+2+1+1+4+4+1+2+1+5+5+3</f>
        <v>30</v>
      </c>
      <c r="K169" s="77">
        <f>845.24+1764.25+8353.03+1298.98+7610.68+13826.64+2752.31+9720.26+116979.76-2616.91+4851.2+993.47+3498.2</f>
        <v>169877.11000000002</v>
      </c>
      <c r="L169" s="77">
        <f>845.24+1764.25+8353.03+1298.98+7610.68+13826.64+2752.31+9720.26+116979.76-2616.91+4851.2+993.47+3498.2</f>
        <v>169877.11000000002</v>
      </c>
      <c r="M169" s="78">
        <f t="shared" si="5"/>
        <v>0</v>
      </c>
      <c r="N169" s="100">
        <f>9+1+1+4+2+1+2+4+2+1+1+1+1</f>
        <v>30</v>
      </c>
      <c r="O169" s="81">
        <f>76864.27+883.08+47501.34+5480.06+4025.41</f>
        <v>134754.16</v>
      </c>
      <c r="P169" s="81">
        <f>76864.27+883.08+47501.34+5480.06+4025.41</f>
        <v>134754.16</v>
      </c>
      <c r="Q169" s="79">
        <f t="shared" si="6"/>
        <v>0</v>
      </c>
    </row>
    <row r="170" spans="1:17" s="13" customFormat="1" x14ac:dyDescent="0.25">
      <c r="A170" s="229"/>
      <c r="B170" s="30" t="s">
        <v>98</v>
      </c>
      <c r="C170" s="181" t="s">
        <v>17</v>
      </c>
      <c r="D170" s="182"/>
      <c r="E170" s="194" t="s">
        <v>35</v>
      </c>
      <c r="F170" s="73" t="s">
        <v>435</v>
      </c>
      <c r="G170" s="235" t="s">
        <v>117</v>
      </c>
      <c r="H170" s="181">
        <v>6</v>
      </c>
      <c r="I170" s="231">
        <v>2</v>
      </c>
      <c r="J170" s="96">
        <v>2</v>
      </c>
      <c r="K170" s="77">
        <v>2486.83</v>
      </c>
      <c r="L170" s="77">
        <v>2486.83</v>
      </c>
      <c r="M170" s="78">
        <f t="shared" si="5"/>
        <v>0</v>
      </c>
      <c r="N170" s="100">
        <v>5</v>
      </c>
      <c r="O170" s="77">
        <v>18950.45</v>
      </c>
      <c r="P170" s="77">
        <v>18950.45</v>
      </c>
      <c r="Q170" s="232">
        <f t="shared" si="6"/>
        <v>0</v>
      </c>
    </row>
    <row r="171" spans="1:17" s="13" customFormat="1" x14ac:dyDescent="0.25">
      <c r="A171" s="229"/>
      <c r="B171" s="30" t="s">
        <v>488</v>
      </c>
      <c r="C171" s="181" t="s">
        <v>17</v>
      </c>
      <c r="D171" s="182"/>
      <c r="E171" s="194" t="s">
        <v>97</v>
      </c>
      <c r="F171" s="73" t="s">
        <v>498</v>
      </c>
      <c r="G171" s="235" t="s">
        <v>112</v>
      </c>
      <c r="H171" s="181">
        <v>16</v>
      </c>
      <c r="I171" s="231">
        <v>12</v>
      </c>
      <c r="J171" s="96">
        <f>4+1+1+2+3+1</f>
        <v>12</v>
      </c>
      <c r="K171" s="77">
        <f>1535.8+576.3+802.8+4667.08+421.47</f>
        <v>8003.45</v>
      </c>
      <c r="L171" s="77">
        <f>1535.8+576.3+802.8+4667.08+421.47</f>
        <v>8003.45</v>
      </c>
      <c r="M171" s="78">
        <f t="shared" si="5"/>
        <v>0</v>
      </c>
      <c r="N171" s="100"/>
      <c r="O171" s="77"/>
      <c r="P171" s="77"/>
      <c r="Q171" s="232"/>
    </row>
    <row r="172" spans="1:17" s="15" customFormat="1" x14ac:dyDescent="0.25">
      <c r="A172" s="229"/>
      <c r="B172" s="30" t="s">
        <v>99</v>
      </c>
      <c r="C172" s="181" t="s">
        <v>17</v>
      </c>
      <c r="D172" s="182"/>
      <c r="E172" s="183" t="s">
        <v>32</v>
      </c>
      <c r="F172" s="73" t="s">
        <v>418</v>
      </c>
      <c r="G172" s="74" t="s">
        <v>112</v>
      </c>
      <c r="H172" s="75"/>
      <c r="I172" s="76"/>
      <c r="J172" s="96"/>
      <c r="K172" s="77"/>
      <c r="L172" s="77"/>
      <c r="M172" s="78">
        <f t="shared" si="5"/>
        <v>0</v>
      </c>
      <c r="N172" s="100"/>
      <c r="O172" s="81"/>
      <c r="P172" s="81"/>
      <c r="Q172" s="79">
        <f t="shared" si="6"/>
        <v>0</v>
      </c>
    </row>
    <row r="173" spans="1:17" s="15" customFormat="1" x14ac:dyDescent="0.25">
      <c r="A173" s="229"/>
      <c r="B173" s="30" t="s">
        <v>99</v>
      </c>
      <c r="C173" s="181" t="s">
        <v>17</v>
      </c>
      <c r="D173" s="182"/>
      <c r="E173" s="183" t="s">
        <v>32</v>
      </c>
      <c r="F173" s="73" t="s">
        <v>423</v>
      </c>
      <c r="G173" s="235" t="s">
        <v>117</v>
      </c>
      <c r="H173" s="181"/>
      <c r="I173" s="231"/>
      <c r="J173" s="190"/>
      <c r="K173" s="77"/>
      <c r="L173" s="77"/>
      <c r="M173" s="78">
        <f t="shared" si="5"/>
        <v>0</v>
      </c>
      <c r="N173" s="114"/>
      <c r="O173" s="77"/>
      <c r="P173" s="77"/>
      <c r="Q173" s="232">
        <f t="shared" si="6"/>
        <v>0</v>
      </c>
    </row>
    <row r="174" spans="1:17" s="15" customFormat="1" ht="30" x14ac:dyDescent="0.25">
      <c r="A174" s="229"/>
      <c r="B174" s="30" t="s">
        <v>144</v>
      </c>
      <c r="C174" s="181" t="s">
        <v>304</v>
      </c>
      <c r="D174" s="182" t="s">
        <v>313</v>
      </c>
      <c r="E174" s="194" t="s">
        <v>97</v>
      </c>
      <c r="F174" s="73" t="s">
        <v>407</v>
      </c>
      <c r="G174" s="66" t="s">
        <v>112</v>
      </c>
      <c r="H174" s="75">
        <v>23</v>
      </c>
      <c r="I174" s="76">
        <v>21</v>
      </c>
      <c r="J174" s="98">
        <f>2+2+1+3+1+1+5+2+1+4+2+4+1</f>
        <v>29</v>
      </c>
      <c r="K174" s="77">
        <f>950.9+1449.39+2272.32+2785.92+5112.01+6655.23+3700.19+4208.95+6370.42</f>
        <v>33505.33</v>
      </c>
      <c r="L174" s="77">
        <f>950.9+1449.39+2272.32+2785.92+5112.01+6655.23+3700.19+4208.95+6370.42</f>
        <v>33505.33</v>
      </c>
      <c r="M174" s="78">
        <f t="shared" si="5"/>
        <v>0</v>
      </c>
      <c r="N174" s="100">
        <f>3+2+1+1+1+1+1+1</f>
        <v>11</v>
      </c>
      <c r="O174" s="77">
        <f>5020.57+5566.06+2694.94+845.24+2460.18</f>
        <v>16586.990000000002</v>
      </c>
      <c r="P174" s="77">
        <f>5020.57+5566.06+2694.94+845.24+2460.18</f>
        <v>16586.990000000002</v>
      </c>
      <c r="Q174" s="79">
        <f t="shared" si="6"/>
        <v>0</v>
      </c>
    </row>
    <row r="175" spans="1:17" s="15" customFormat="1" x14ac:dyDescent="0.25">
      <c r="A175" s="229"/>
      <c r="B175" s="30" t="s">
        <v>488</v>
      </c>
      <c r="C175" s="181"/>
      <c r="D175" s="182"/>
      <c r="E175" s="194"/>
      <c r="F175" s="73" t="s">
        <v>509</v>
      </c>
      <c r="G175" s="66" t="s">
        <v>114</v>
      </c>
      <c r="H175" s="75">
        <v>29</v>
      </c>
      <c r="I175" s="76">
        <v>15</v>
      </c>
      <c r="J175" s="98">
        <v>15</v>
      </c>
      <c r="K175" s="77">
        <v>32602.84</v>
      </c>
      <c r="L175" s="77">
        <v>32602.84</v>
      </c>
      <c r="M175" s="78">
        <f t="shared" si="5"/>
        <v>0</v>
      </c>
      <c r="N175" s="100"/>
      <c r="O175" s="77"/>
      <c r="P175" s="77"/>
      <c r="Q175" s="232">
        <f t="shared" si="6"/>
        <v>0</v>
      </c>
    </row>
    <row r="176" spans="1:17" s="15" customFormat="1" x14ac:dyDescent="0.25">
      <c r="A176" s="229"/>
      <c r="B176" s="30" t="s">
        <v>514</v>
      </c>
      <c r="C176" s="181"/>
      <c r="D176" s="182"/>
      <c r="E176" s="194" t="s">
        <v>18</v>
      </c>
      <c r="F176" s="73"/>
      <c r="G176" s="66" t="s">
        <v>116</v>
      </c>
      <c r="H176" s="75">
        <v>8</v>
      </c>
      <c r="I176" s="76">
        <v>1</v>
      </c>
      <c r="J176" s="98">
        <v>1</v>
      </c>
      <c r="K176" s="77">
        <v>1766</v>
      </c>
      <c r="L176" s="77">
        <v>1766</v>
      </c>
      <c r="M176" s="78">
        <f t="shared" si="5"/>
        <v>0</v>
      </c>
      <c r="N176" s="100"/>
      <c r="O176" s="77"/>
      <c r="P176" s="77"/>
      <c r="Q176" s="232"/>
    </row>
    <row r="177" spans="1:17" s="15" customFormat="1" x14ac:dyDescent="0.25">
      <c r="A177" s="229"/>
      <c r="B177" s="30" t="s">
        <v>488</v>
      </c>
      <c r="C177" s="181"/>
      <c r="D177" s="182"/>
      <c r="E177" s="194"/>
      <c r="F177" s="73" t="s">
        <v>512</v>
      </c>
      <c r="G177" s="66" t="s">
        <v>116</v>
      </c>
      <c r="H177" s="75">
        <v>13</v>
      </c>
      <c r="I177" s="76">
        <v>7</v>
      </c>
      <c r="J177" s="98">
        <v>7</v>
      </c>
      <c r="K177" s="77">
        <v>12080</v>
      </c>
      <c r="L177" s="77">
        <v>12080</v>
      </c>
      <c r="M177" s="78">
        <f t="shared" si="5"/>
        <v>0</v>
      </c>
      <c r="N177" s="100"/>
      <c r="O177" s="77"/>
      <c r="P177" s="77"/>
      <c r="Q177" s="79"/>
    </row>
    <row r="178" spans="1:17" s="15" customFormat="1" ht="30" x14ac:dyDescent="0.25">
      <c r="A178" s="229"/>
      <c r="B178" s="238" t="s">
        <v>144</v>
      </c>
      <c r="C178" s="181" t="s">
        <v>446</v>
      </c>
      <c r="D178" s="182" t="s">
        <v>313</v>
      </c>
      <c r="E178" s="183" t="s">
        <v>20</v>
      </c>
      <c r="F178" s="73" t="s">
        <v>485</v>
      </c>
      <c r="G178" s="235" t="s">
        <v>114</v>
      </c>
      <c r="H178" s="181">
        <v>43</v>
      </c>
      <c r="I178" s="234">
        <v>21</v>
      </c>
      <c r="J178" s="202">
        <v>21</v>
      </c>
      <c r="K178" s="77">
        <v>48146.53</v>
      </c>
      <c r="L178" s="77">
        <v>48146.53</v>
      </c>
      <c r="M178" s="78">
        <f t="shared" si="5"/>
        <v>0</v>
      </c>
      <c r="N178" s="100">
        <v>22</v>
      </c>
      <c r="O178" s="224">
        <v>55283.8</v>
      </c>
      <c r="P178" s="224">
        <v>55283.8</v>
      </c>
      <c r="Q178" s="232">
        <f t="shared" ref="Q178" si="7">O178-P178</f>
        <v>0</v>
      </c>
    </row>
    <row r="179" spans="1:17" s="21" customFormat="1" ht="45" x14ac:dyDescent="0.25">
      <c r="A179" s="181"/>
      <c r="B179" s="30" t="s">
        <v>100</v>
      </c>
      <c r="C179" s="181" t="s">
        <v>304</v>
      </c>
      <c r="D179" s="182" t="s">
        <v>416</v>
      </c>
      <c r="E179" s="194" t="s">
        <v>20</v>
      </c>
      <c r="F179" s="73" t="s">
        <v>408</v>
      </c>
      <c r="G179" s="27" t="s">
        <v>112</v>
      </c>
      <c r="H179" s="75">
        <v>34</v>
      </c>
      <c r="I179" s="76">
        <v>20</v>
      </c>
      <c r="J179" s="98">
        <f>5+1+4+6+4+2+4</f>
        <v>26</v>
      </c>
      <c r="K179" s="86">
        <f>6524.55+600.31+19349.45+15377.18+2248.86+10883.06</f>
        <v>54983.41</v>
      </c>
      <c r="L179" s="86">
        <f>6524.55+600.31+19349.45+15377.18+2248.86+10883.06</f>
        <v>54983.41</v>
      </c>
      <c r="M179" s="78">
        <f t="shared" si="5"/>
        <v>0</v>
      </c>
      <c r="N179" s="100">
        <f>1+3+2+3+1+1</f>
        <v>11</v>
      </c>
      <c r="O179" s="87">
        <f>10770.58+2113.01+3508.24+19305.88+22849.19+23443.77</f>
        <v>81990.670000000013</v>
      </c>
      <c r="P179" s="87">
        <f>10770.58+2113.01+3508.24+19305.88+22849.19+23443.77</f>
        <v>81990.670000000013</v>
      </c>
      <c r="Q179" s="79">
        <f t="shared" si="6"/>
        <v>0</v>
      </c>
    </row>
    <row r="180" spans="1:17" s="21" customFormat="1" ht="60" x14ac:dyDescent="0.25">
      <c r="A180" s="181"/>
      <c r="B180" s="30" t="s">
        <v>100</v>
      </c>
      <c r="C180" s="203" t="s">
        <v>125</v>
      </c>
      <c r="D180" s="182" t="s">
        <v>126</v>
      </c>
      <c r="E180" s="194" t="s">
        <v>20</v>
      </c>
      <c r="F180" s="73" t="s">
        <v>486</v>
      </c>
      <c r="G180" s="236" t="s">
        <v>114</v>
      </c>
      <c r="H180" s="181">
        <v>13</v>
      </c>
      <c r="I180" s="234">
        <v>2</v>
      </c>
      <c r="J180" s="202">
        <v>2</v>
      </c>
      <c r="K180" s="86">
        <v>17316</v>
      </c>
      <c r="L180" s="86">
        <v>17316</v>
      </c>
      <c r="M180" s="78">
        <f t="shared" si="5"/>
        <v>0</v>
      </c>
      <c r="N180" s="100"/>
      <c r="O180" s="239">
        <v>71568.429999999993</v>
      </c>
      <c r="P180" s="239">
        <v>71568.429999999993</v>
      </c>
      <c r="Q180" s="232">
        <f t="shared" si="6"/>
        <v>0</v>
      </c>
    </row>
    <row r="181" spans="1:17" s="13" customFormat="1" x14ac:dyDescent="0.25">
      <c r="A181" s="229"/>
      <c r="B181" s="62" t="s">
        <v>101</v>
      </c>
      <c r="C181" s="181" t="s">
        <v>17</v>
      </c>
      <c r="D181" s="182"/>
      <c r="E181" s="194" t="s">
        <v>20</v>
      </c>
      <c r="F181" s="73" t="s">
        <v>409</v>
      </c>
      <c r="G181" s="74" t="s">
        <v>112</v>
      </c>
      <c r="H181" s="75">
        <v>18</v>
      </c>
      <c r="I181" s="76">
        <v>8</v>
      </c>
      <c r="J181" s="96">
        <f>1+5+1+1+2+2+1</f>
        <v>13</v>
      </c>
      <c r="K181" s="77">
        <v>9863.65</v>
      </c>
      <c r="L181" s="77">
        <v>9863.65</v>
      </c>
      <c r="M181" s="78">
        <f t="shared" si="5"/>
        <v>0</v>
      </c>
      <c r="N181" s="100">
        <f>5+2+1+1+1</f>
        <v>10</v>
      </c>
      <c r="O181" s="81">
        <f>6288.07+3061.62+3426.18+12951.18</f>
        <v>25727.05</v>
      </c>
      <c r="P181" s="81">
        <f>6288.07+3061.62+3426.18+12951.18</f>
        <v>25727.05</v>
      </c>
      <c r="Q181" s="79">
        <f t="shared" si="6"/>
        <v>0</v>
      </c>
    </row>
    <row r="182" spans="1:17" s="13" customFormat="1" x14ac:dyDescent="0.25">
      <c r="A182" s="229"/>
      <c r="B182" s="62" t="s">
        <v>146</v>
      </c>
      <c r="C182" s="181" t="s">
        <v>17</v>
      </c>
      <c r="D182" s="182"/>
      <c r="E182" s="194" t="s">
        <v>20</v>
      </c>
      <c r="F182" s="73" t="s">
        <v>410</v>
      </c>
      <c r="G182" s="74" t="s">
        <v>112</v>
      </c>
      <c r="H182" s="75">
        <v>18</v>
      </c>
      <c r="I182" s="76">
        <v>14</v>
      </c>
      <c r="J182" s="96">
        <f>4+1+1+2+1+2+1+1+1+1</f>
        <v>15</v>
      </c>
      <c r="K182" s="77">
        <f>4610.77+1568.98+1854.88+422.62+1334.13+2599.07+5262.18+1092.81+1092.81+481.68+1092.81</f>
        <v>21412.740000000005</v>
      </c>
      <c r="L182" s="77">
        <f>4610.77+1568.98+1854.88+422.62+1334.13+2599.07+5262.18+1092.81+1092.81+481.68+1092.81</f>
        <v>21412.740000000005</v>
      </c>
      <c r="M182" s="78">
        <f t="shared" si="5"/>
        <v>0</v>
      </c>
      <c r="N182" s="100">
        <f>5+1+1+2+1+1+1</f>
        <v>12</v>
      </c>
      <c r="O182" s="81">
        <f>13579.06+1287.07+2636.18+26196.83+1204.2</f>
        <v>44903.34</v>
      </c>
      <c r="P182" s="81">
        <f>13579.06+1287.07+2636.18+26196.83+1204.2</f>
        <v>44903.34</v>
      </c>
      <c r="Q182" s="232">
        <f t="shared" si="6"/>
        <v>0</v>
      </c>
    </row>
    <row r="183" spans="1:17" s="13" customFormat="1" x14ac:dyDescent="0.25">
      <c r="A183" s="229"/>
      <c r="B183" s="62" t="s">
        <v>146</v>
      </c>
      <c r="C183" s="181" t="s">
        <v>17</v>
      </c>
      <c r="D183" s="182"/>
      <c r="E183" s="183" t="s">
        <v>21</v>
      </c>
      <c r="F183" s="73" t="s">
        <v>443</v>
      </c>
      <c r="G183" s="230" t="s">
        <v>118</v>
      </c>
      <c r="H183" s="181">
        <v>17</v>
      </c>
      <c r="I183" s="234">
        <v>5</v>
      </c>
      <c r="J183" s="190">
        <v>5</v>
      </c>
      <c r="K183" s="193">
        <v>9341.16</v>
      </c>
      <c r="L183" s="193">
        <v>9341.16</v>
      </c>
      <c r="M183" s="78">
        <f t="shared" si="5"/>
        <v>0</v>
      </c>
      <c r="N183" s="114">
        <v>6</v>
      </c>
      <c r="O183" s="224">
        <v>3363.06</v>
      </c>
      <c r="P183" s="224">
        <v>3363.06</v>
      </c>
      <c r="Q183" s="79">
        <f t="shared" si="6"/>
        <v>0</v>
      </c>
    </row>
    <row r="184" spans="1:17" s="13" customFormat="1" x14ac:dyDescent="0.25">
      <c r="A184" s="229"/>
      <c r="B184" s="27" t="s">
        <v>102</v>
      </c>
      <c r="C184" s="181" t="s">
        <v>17</v>
      </c>
      <c r="D184" s="182"/>
      <c r="E184" s="194" t="s">
        <v>20</v>
      </c>
      <c r="F184" s="73" t="s">
        <v>411</v>
      </c>
      <c r="G184" s="74" t="s">
        <v>112</v>
      </c>
      <c r="H184" s="75">
        <v>14</v>
      </c>
      <c r="I184" s="76">
        <v>11</v>
      </c>
      <c r="J184" s="96">
        <f>1+1+2+1+2+1+3</f>
        <v>11</v>
      </c>
      <c r="K184" s="77">
        <f>845.24+845.24+1690.48+1394.65+2689.38+1324.62</f>
        <v>8789.61</v>
      </c>
      <c r="L184" s="77">
        <f>845.24+845.24+1690.48+1394.65+2689.38+1324.62</f>
        <v>8789.61</v>
      </c>
      <c r="M184" s="78">
        <f t="shared" si="5"/>
        <v>0</v>
      </c>
      <c r="N184" s="100">
        <f>3+1+1+1+1</f>
        <v>7</v>
      </c>
      <c r="O184" s="81">
        <f>7808.21+30833.77-12193.52+9963.17+5385.9+14660.89</f>
        <v>56458.420000000006</v>
      </c>
      <c r="P184" s="81">
        <f>7808.21+30833.77-12193.52+9963.17+5385.9+14660.89</f>
        <v>56458.420000000006</v>
      </c>
      <c r="Q184" s="232">
        <f t="shared" si="6"/>
        <v>0</v>
      </c>
    </row>
    <row r="185" spans="1:17" s="13" customFormat="1" x14ac:dyDescent="0.25">
      <c r="A185" s="229"/>
      <c r="B185" s="27" t="s">
        <v>102</v>
      </c>
      <c r="C185" s="181" t="s">
        <v>17</v>
      </c>
      <c r="D185" s="182"/>
      <c r="E185" s="194" t="s">
        <v>20</v>
      </c>
      <c r="F185" s="73" t="s">
        <v>469</v>
      </c>
      <c r="G185" s="230" t="s">
        <v>114</v>
      </c>
      <c r="H185" s="181">
        <v>11</v>
      </c>
      <c r="I185" s="231">
        <v>3</v>
      </c>
      <c r="J185" s="190">
        <v>3</v>
      </c>
      <c r="K185" s="77">
        <v>7690.26</v>
      </c>
      <c r="L185" s="77">
        <v>7690.26</v>
      </c>
      <c r="M185" s="78">
        <f t="shared" si="5"/>
        <v>0</v>
      </c>
      <c r="N185" s="100">
        <v>8</v>
      </c>
      <c r="O185" s="224">
        <v>31795.42</v>
      </c>
      <c r="P185" s="224">
        <v>31795.42</v>
      </c>
      <c r="Q185" s="232">
        <f t="shared" si="6"/>
        <v>0</v>
      </c>
    </row>
    <row r="186" spans="1:17" s="13" customFormat="1" x14ac:dyDescent="0.25">
      <c r="A186" s="229"/>
      <c r="B186" s="27" t="s">
        <v>103</v>
      </c>
      <c r="C186" s="181" t="s">
        <v>17</v>
      </c>
      <c r="D186" s="182"/>
      <c r="E186" s="183" t="s">
        <v>20</v>
      </c>
      <c r="F186" s="73" t="s">
        <v>412</v>
      </c>
      <c r="G186" s="74" t="s">
        <v>112</v>
      </c>
      <c r="H186" s="75">
        <v>18</v>
      </c>
      <c r="I186" s="76">
        <v>11</v>
      </c>
      <c r="J186" s="96">
        <f>4+1+2+3+1+1</f>
        <v>12</v>
      </c>
      <c r="K186" s="77">
        <f>16248.67+1092.81+2003.49+401.4+421.47</f>
        <v>20167.840000000004</v>
      </c>
      <c r="L186" s="77">
        <f>16248.67+1092.81+2003.49+401.4+421.47</f>
        <v>20167.840000000004</v>
      </c>
      <c r="M186" s="78">
        <f t="shared" si="5"/>
        <v>0</v>
      </c>
      <c r="N186" s="100">
        <f>7+2+1+1+2+1+1</f>
        <v>15</v>
      </c>
      <c r="O186" s="77">
        <f>20193.14+7541.5+685.38+1766.16</f>
        <v>30186.18</v>
      </c>
      <c r="P186" s="77">
        <f>20193.14+7541.5+685.38+1766.16</f>
        <v>30186.18</v>
      </c>
      <c r="Q186" s="232">
        <f t="shared" si="6"/>
        <v>0</v>
      </c>
    </row>
    <row r="187" spans="1:17" s="13" customFormat="1" x14ac:dyDescent="0.25">
      <c r="A187" s="229"/>
      <c r="B187" s="27" t="s">
        <v>103</v>
      </c>
      <c r="C187" s="181" t="s">
        <v>17</v>
      </c>
      <c r="D187" s="182"/>
      <c r="E187" s="183" t="s">
        <v>20</v>
      </c>
      <c r="F187" s="73" t="s">
        <v>470</v>
      </c>
      <c r="G187" s="230" t="s">
        <v>114</v>
      </c>
      <c r="H187" s="181">
        <v>19</v>
      </c>
      <c r="I187" s="231">
        <v>5</v>
      </c>
      <c r="J187" s="190">
        <v>5</v>
      </c>
      <c r="K187" s="77">
        <v>10158.299999999999</v>
      </c>
      <c r="L187" s="77">
        <v>10158.299999999999</v>
      </c>
      <c r="M187" s="78">
        <f t="shared" si="5"/>
        <v>0</v>
      </c>
      <c r="N187" s="100">
        <v>5</v>
      </c>
      <c r="O187" s="224">
        <v>14245.19</v>
      </c>
      <c r="P187" s="224">
        <v>14245.19</v>
      </c>
      <c r="Q187" s="232">
        <f t="shared" si="6"/>
        <v>0</v>
      </c>
    </row>
    <row r="188" spans="1:17" s="15" customFormat="1" x14ac:dyDescent="0.25">
      <c r="A188" s="229"/>
      <c r="B188" s="27" t="s">
        <v>104</v>
      </c>
      <c r="C188" s="181" t="s">
        <v>17</v>
      </c>
      <c r="D188" s="182"/>
      <c r="E188" s="183" t="s">
        <v>20</v>
      </c>
      <c r="F188" s="73" t="s">
        <v>413</v>
      </c>
      <c r="G188" s="74" t="s">
        <v>112</v>
      </c>
      <c r="H188" s="75">
        <v>19</v>
      </c>
      <c r="I188" s="76">
        <v>17</v>
      </c>
      <c r="J188" s="96">
        <f>3+1+2+4+1+1+1+5</f>
        <v>18</v>
      </c>
      <c r="K188" s="77">
        <f>5112.82+422.64+8302.14+1605.5+1092.81+1390.85+7796.86</f>
        <v>25723.62</v>
      </c>
      <c r="L188" s="77">
        <f>5112.82+422.64+8302.14+1605.5+1092.81+1390.85+7796.86</f>
        <v>25723.62</v>
      </c>
      <c r="M188" s="78">
        <f t="shared" si="5"/>
        <v>0</v>
      </c>
      <c r="N188" s="100">
        <f>4+1+1+2+1</f>
        <v>9</v>
      </c>
      <c r="O188" s="81">
        <f>7087.22+3426.18+3496.22</f>
        <v>14009.619999999999</v>
      </c>
      <c r="P188" s="81">
        <f>7087.22+3426.18+3496.22</f>
        <v>14009.619999999999</v>
      </c>
      <c r="Q188" s="232">
        <f t="shared" si="6"/>
        <v>0</v>
      </c>
    </row>
    <row r="189" spans="1:17" s="15" customFormat="1" x14ac:dyDescent="0.25">
      <c r="A189" s="229"/>
      <c r="B189" s="27" t="s">
        <v>104</v>
      </c>
      <c r="C189" s="181" t="s">
        <v>17</v>
      </c>
      <c r="D189" s="182"/>
      <c r="E189" s="183" t="s">
        <v>20</v>
      </c>
      <c r="F189" s="73" t="s">
        <v>471</v>
      </c>
      <c r="G189" s="230" t="s">
        <v>114</v>
      </c>
      <c r="H189" s="181">
        <v>44</v>
      </c>
      <c r="I189" s="231">
        <v>13</v>
      </c>
      <c r="J189" s="190">
        <v>13</v>
      </c>
      <c r="K189" s="77">
        <v>41748.910000000003</v>
      </c>
      <c r="L189" s="77">
        <v>41748.910000000003</v>
      </c>
      <c r="M189" s="78">
        <f t="shared" si="5"/>
        <v>0</v>
      </c>
      <c r="N189" s="114">
        <v>20</v>
      </c>
      <c r="O189" s="224">
        <v>50922.05</v>
      </c>
      <c r="P189" s="224">
        <v>50922.05</v>
      </c>
      <c r="Q189" s="232">
        <f t="shared" si="6"/>
        <v>0</v>
      </c>
    </row>
    <row r="190" spans="1:17" s="13" customFormat="1" x14ac:dyDescent="0.25">
      <c r="A190" s="229"/>
      <c r="B190" s="30" t="s">
        <v>26</v>
      </c>
      <c r="C190" s="181" t="s">
        <v>17</v>
      </c>
      <c r="D190" s="182"/>
      <c r="E190" s="183" t="s">
        <v>32</v>
      </c>
      <c r="F190" s="73" t="s">
        <v>246</v>
      </c>
      <c r="G190" s="74" t="s">
        <v>117</v>
      </c>
      <c r="H190" s="75"/>
      <c r="I190" s="76"/>
      <c r="J190" s="96"/>
      <c r="K190" s="77"/>
      <c r="L190" s="77"/>
      <c r="M190" s="78">
        <f t="shared" si="5"/>
        <v>0</v>
      </c>
      <c r="N190" s="100">
        <v>5</v>
      </c>
      <c r="O190" s="81">
        <v>7808.15</v>
      </c>
      <c r="P190" s="81">
        <v>7808.15</v>
      </c>
      <c r="Q190" s="232">
        <f t="shared" si="6"/>
        <v>0</v>
      </c>
    </row>
    <row r="191" spans="1:17" s="13" customFormat="1" x14ac:dyDescent="0.25">
      <c r="A191" s="229"/>
      <c r="B191" s="30" t="s">
        <v>105</v>
      </c>
      <c r="C191" s="181" t="s">
        <v>17</v>
      </c>
      <c r="D191" s="182"/>
      <c r="E191" s="194" t="s">
        <v>35</v>
      </c>
      <c r="F191" s="73" t="s">
        <v>518</v>
      </c>
      <c r="G191" s="74" t="s">
        <v>112</v>
      </c>
      <c r="H191" s="75">
        <v>6</v>
      </c>
      <c r="I191" s="76"/>
      <c r="J191" s="96"/>
      <c r="K191" s="77"/>
      <c r="L191" s="77"/>
      <c r="M191" s="78"/>
      <c r="N191" s="100"/>
      <c r="O191" s="81"/>
      <c r="P191" s="81"/>
      <c r="Q191" s="232"/>
    </row>
    <row r="192" spans="1:17" s="13" customFormat="1" x14ac:dyDescent="0.25">
      <c r="A192" s="229"/>
      <c r="B192" s="62" t="s">
        <v>106</v>
      </c>
      <c r="C192" s="181" t="s">
        <v>17</v>
      </c>
      <c r="D192" s="205"/>
      <c r="E192" s="194" t="s">
        <v>20</v>
      </c>
      <c r="F192" s="73" t="s">
        <v>414</v>
      </c>
      <c r="G192" s="74" t="s">
        <v>112</v>
      </c>
      <c r="H192" s="75">
        <v>18</v>
      </c>
      <c r="I192" s="76">
        <v>11</v>
      </c>
      <c r="J192" s="96">
        <f>1+4+2+2+1+4</f>
        <v>14</v>
      </c>
      <c r="K192" s="77">
        <f>4901.5+2119.39</f>
        <v>7020.8899999999994</v>
      </c>
      <c r="L192" s="77">
        <f>4901.5+2119.39</f>
        <v>7020.8899999999994</v>
      </c>
      <c r="M192" s="78">
        <f t="shared" si="5"/>
        <v>0</v>
      </c>
      <c r="N192" s="100">
        <f>3+1+1+1+1</f>
        <v>7</v>
      </c>
      <c r="O192" s="81">
        <f>49473.81+3066.27</f>
        <v>52540.079999999994</v>
      </c>
      <c r="P192" s="81">
        <f>49473.81+3066.27</f>
        <v>52540.079999999994</v>
      </c>
      <c r="Q192" s="232">
        <f t="shared" si="6"/>
        <v>0</v>
      </c>
    </row>
    <row r="193" spans="1:17" x14ac:dyDescent="0.25">
      <c r="A193" s="307"/>
      <c r="B193" s="66"/>
      <c r="C193" s="308"/>
      <c r="D193" s="235"/>
      <c r="E193" s="235"/>
      <c r="F193" s="73"/>
      <c r="G193" s="235" t="s">
        <v>131</v>
      </c>
      <c r="H193" s="240">
        <f>SUM(H10:H192)</f>
        <v>3218</v>
      </c>
      <c r="I193" s="306">
        <f>SUM(I10:I192)</f>
        <v>1931</v>
      </c>
      <c r="J193" s="208">
        <f>SUM(J10:J192)</f>
        <v>2335</v>
      </c>
      <c r="K193" s="209">
        <f>SUM(K10:K192)</f>
        <v>4235545.7150000008</v>
      </c>
      <c r="L193" s="209">
        <f>SUM(L10:L192)</f>
        <v>4232896.4750000006</v>
      </c>
      <c r="M193" s="210">
        <f>K193-L193</f>
        <v>2649.2400000002235</v>
      </c>
      <c r="N193" s="208">
        <f>SUM(N10:N192)</f>
        <v>1898</v>
      </c>
      <c r="O193" s="241">
        <f>SUM(O10:O192)</f>
        <v>6052548.6200000001</v>
      </c>
      <c r="P193" s="241">
        <f>SUM(P10:P192)</f>
        <v>6052548.6200000001</v>
      </c>
      <c r="Q193" s="79">
        <f t="shared" si="6"/>
        <v>0</v>
      </c>
    </row>
    <row r="194" spans="1:17" x14ac:dyDescent="0.25">
      <c r="K194" s="91" t="s">
        <v>305</v>
      </c>
    </row>
    <row r="195" spans="1:17" ht="45" x14ac:dyDescent="0.25">
      <c r="B195" s="89" t="s">
        <v>316</v>
      </c>
      <c r="F195" s="104" t="s">
        <v>317</v>
      </c>
      <c r="M195" s="142"/>
      <c r="N195" s="277"/>
      <c r="O195" s="278"/>
      <c r="P195" s="279"/>
      <c r="Q195" s="133"/>
    </row>
    <row r="196" spans="1:17" x14ac:dyDescent="0.25"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216"/>
      <c r="N196" s="6"/>
      <c r="O196" s="6"/>
      <c r="P196" s="6"/>
      <c r="Q196" s="6"/>
    </row>
    <row r="197" spans="1:17" x14ac:dyDescent="0.25">
      <c r="M197" s="216"/>
    </row>
    <row r="198" spans="1:17" x14ac:dyDescent="0.25">
      <c r="M198" s="216"/>
    </row>
    <row r="199" spans="1:17" x14ac:dyDescent="0.25">
      <c r="M199" s="216"/>
    </row>
    <row r="200" spans="1:17" x14ac:dyDescent="0.25">
      <c r="M200" s="216"/>
    </row>
  </sheetData>
  <mergeCells count="7">
    <mergeCell ref="O1:Q1"/>
    <mergeCell ref="A3:Q3"/>
    <mergeCell ref="A4:Q4"/>
    <mergeCell ref="A5:Q5"/>
    <mergeCell ref="B7:G7"/>
    <mergeCell ref="H7:M7"/>
    <mergeCell ref="N7:Q7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02"/>
  <sheetViews>
    <sheetView workbookViewId="0">
      <selection sqref="A1:XFD1048576"/>
    </sheetView>
  </sheetViews>
  <sheetFormatPr defaultRowHeight="15" x14ac:dyDescent="0.25"/>
  <cols>
    <col min="1" max="1" width="1.85546875" style="6" customWidth="1"/>
    <col min="2" max="2" width="38.28515625" style="88" customWidth="1"/>
    <col min="3" max="3" width="6.5703125" style="19" hidden="1" customWidth="1"/>
    <col min="4" max="4" width="17.42578125" style="19" hidden="1" customWidth="1"/>
    <col min="5" max="5" width="19" style="19" hidden="1" customWidth="1"/>
    <col min="6" max="6" width="19" style="89" hidden="1" customWidth="1"/>
    <col min="7" max="7" width="20.140625" style="89" customWidth="1"/>
    <col min="8" max="9" width="15.7109375" style="90" customWidth="1"/>
    <col min="10" max="10" width="15.7109375" style="99" customWidth="1"/>
    <col min="11" max="13" width="15.7109375" style="91" customWidth="1"/>
    <col min="14" max="14" width="15.7109375" style="99" hidden="1" customWidth="1"/>
    <col min="15" max="17" width="15.7109375" style="92" customWidth="1"/>
    <col min="18" max="16384" width="9.140625" style="6"/>
  </cols>
  <sheetData>
    <row r="1" spans="1:17" s="105" customFormat="1" x14ac:dyDescent="0.25">
      <c r="A1" s="60"/>
      <c r="B1" s="60"/>
      <c r="C1" s="225"/>
      <c r="D1" s="225"/>
      <c r="E1" s="225"/>
      <c r="F1" s="63"/>
      <c r="G1" s="63"/>
      <c r="H1" s="64"/>
      <c r="I1" s="64"/>
      <c r="J1" s="93"/>
      <c r="K1" s="65"/>
      <c r="L1" s="65"/>
      <c r="M1" s="65"/>
      <c r="N1" s="93"/>
      <c r="O1" s="362" t="s">
        <v>15</v>
      </c>
      <c r="P1" s="362"/>
      <c r="Q1" s="362"/>
    </row>
    <row r="2" spans="1:17" s="105" customFormat="1" x14ac:dyDescent="0.25">
      <c r="A2" s="312"/>
      <c r="B2" s="312"/>
      <c r="C2" s="313"/>
      <c r="D2" s="313"/>
      <c r="E2" s="313"/>
      <c r="F2" s="66"/>
      <c r="G2" s="66"/>
      <c r="H2" s="311"/>
      <c r="I2" s="311"/>
      <c r="J2" s="94"/>
      <c r="K2" s="67"/>
      <c r="L2" s="67"/>
      <c r="M2" s="67"/>
      <c r="N2" s="94"/>
      <c r="O2" s="68"/>
      <c r="P2" s="68"/>
      <c r="Q2" s="68"/>
    </row>
    <row r="3" spans="1:17" s="105" customFormat="1" x14ac:dyDescent="0.25">
      <c r="A3" s="380" t="s">
        <v>318</v>
      </c>
      <c r="B3" s="367"/>
      <c r="C3" s="380"/>
      <c r="D3" s="380"/>
      <c r="E3" s="380"/>
      <c r="F3" s="367"/>
      <c r="G3" s="367"/>
      <c r="H3" s="366"/>
      <c r="I3" s="366"/>
      <c r="J3" s="367"/>
      <c r="K3" s="367"/>
      <c r="L3" s="367"/>
      <c r="M3" s="367"/>
      <c r="N3" s="367"/>
      <c r="O3" s="367"/>
      <c r="P3" s="367"/>
      <c r="Q3" s="367"/>
    </row>
    <row r="4" spans="1:17" s="105" customFormat="1" x14ac:dyDescent="0.25">
      <c r="A4" s="381">
        <v>43794</v>
      </c>
      <c r="B4" s="373"/>
      <c r="C4" s="382"/>
      <c r="D4" s="382"/>
      <c r="E4" s="382"/>
      <c r="F4" s="373"/>
      <c r="G4" s="373"/>
      <c r="H4" s="372"/>
      <c r="I4" s="372"/>
      <c r="J4" s="373"/>
      <c r="K4" s="373"/>
      <c r="L4" s="373"/>
      <c r="M4" s="373"/>
      <c r="N4" s="373"/>
      <c r="O4" s="373"/>
      <c r="P4" s="373"/>
      <c r="Q4" s="373"/>
    </row>
    <row r="5" spans="1:17" s="105" customFormat="1" x14ac:dyDescent="0.25">
      <c r="A5" s="367" t="s">
        <v>14</v>
      </c>
      <c r="B5" s="367"/>
      <c r="C5" s="367"/>
      <c r="D5" s="367"/>
      <c r="E5" s="367"/>
      <c r="F5" s="367"/>
      <c r="G5" s="367"/>
      <c r="H5" s="366"/>
      <c r="I5" s="366"/>
      <c r="J5" s="367"/>
      <c r="K5" s="367"/>
      <c r="L5" s="367"/>
      <c r="M5" s="367"/>
      <c r="N5" s="367"/>
      <c r="O5" s="367"/>
      <c r="P5" s="367"/>
      <c r="Q5" s="367"/>
    </row>
    <row r="6" spans="1:17" s="105" customFormat="1" x14ac:dyDescent="0.25">
      <c r="A6" s="312"/>
      <c r="B6" s="312"/>
      <c r="C6" s="313"/>
      <c r="D6" s="313"/>
      <c r="E6" s="313"/>
      <c r="F6" s="66"/>
      <c r="G6" s="66"/>
      <c r="H6" s="311"/>
      <c r="I6" s="311"/>
      <c r="J6" s="94"/>
      <c r="K6" s="67"/>
      <c r="L6" s="67"/>
      <c r="M6" s="67"/>
      <c r="N6" s="94"/>
      <c r="O6" s="68"/>
      <c r="P6" s="68"/>
      <c r="Q6" s="68"/>
    </row>
    <row r="7" spans="1:17" x14ac:dyDescent="0.25">
      <c r="A7" s="227" t="s">
        <v>0</v>
      </c>
      <c r="B7" s="367" t="s">
        <v>10</v>
      </c>
      <c r="C7" s="380"/>
      <c r="D7" s="380"/>
      <c r="E7" s="380"/>
      <c r="F7" s="367"/>
      <c r="G7" s="367"/>
      <c r="H7" s="366" t="s">
        <v>472</v>
      </c>
      <c r="I7" s="366"/>
      <c r="J7" s="367"/>
      <c r="K7" s="367"/>
      <c r="L7" s="367"/>
      <c r="M7" s="367"/>
      <c r="N7" s="367" t="s">
        <v>132</v>
      </c>
      <c r="O7" s="367"/>
      <c r="P7" s="367"/>
      <c r="Q7" s="367"/>
    </row>
    <row r="8" spans="1:17" ht="195" x14ac:dyDescent="0.25">
      <c r="A8" s="227"/>
      <c r="B8" s="312" t="s">
        <v>4</v>
      </c>
      <c r="C8" s="313" t="s">
        <v>1</v>
      </c>
      <c r="D8" s="313" t="s">
        <v>3</v>
      </c>
      <c r="E8" s="313" t="s">
        <v>2</v>
      </c>
      <c r="F8" s="312" t="s">
        <v>6</v>
      </c>
      <c r="G8" s="66" t="s">
        <v>5</v>
      </c>
      <c r="H8" s="312" t="s">
        <v>7</v>
      </c>
      <c r="I8" s="312" t="s">
        <v>8</v>
      </c>
      <c r="J8" s="94" t="s">
        <v>9</v>
      </c>
      <c r="K8" s="67" t="s">
        <v>11</v>
      </c>
      <c r="L8" s="67" t="s">
        <v>12</v>
      </c>
      <c r="M8" s="67" t="s">
        <v>13</v>
      </c>
      <c r="N8" s="94" t="s">
        <v>9</v>
      </c>
      <c r="O8" s="68" t="s">
        <v>11</v>
      </c>
      <c r="P8" s="68" t="s">
        <v>12</v>
      </c>
      <c r="Q8" s="68" t="s">
        <v>13</v>
      </c>
    </row>
    <row r="9" spans="1:17" x14ac:dyDescent="0.25">
      <c r="A9" s="228">
        <v>1</v>
      </c>
      <c r="B9" s="61">
        <f>A9+1</f>
        <v>2</v>
      </c>
      <c r="C9" s="228">
        <f t="shared" ref="C9:Q9" si="0">B9+1</f>
        <v>3</v>
      </c>
      <c r="D9" s="228">
        <f t="shared" si="0"/>
        <v>4</v>
      </c>
      <c r="E9" s="228">
        <f t="shared" si="0"/>
        <v>5</v>
      </c>
      <c r="F9" s="69">
        <f t="shared" si="0"/>
        <v>6</v>
      </c>
      <c r="G9" s="69">
        <f t="shared" si="0"/>
        <v>7</v>
      </c>
      <c r="H9" s="70">
        <f t="shared" si="0"/>
        <v>8</v>
      </c>
      <c r="I9" s="70">
        <f t="shared" si="0"/>
        <v>9</v>
      </c>
      <c r="J9" s="95">
        <f t="shared" si="0"/>
        <v>10</v>
      </c>
      <c r="K9" s="71">
        <f t="shared" si="0"/>
        <v>11</v>
      </c>
      <c r="L9" s="71">
        <f t="shared" si="0"/>
        <v>12</v>
      </c>
      <c r="M9" s="71">
        <f t="shared" si="0"/>
        <v>13</v>
      </c>
      <c r="N9" s="95">
        <f t="shared" si="0"/>
        <v>14</v>
      </c>
      <c r="O9" s="72">
        <f t="shared" si="0"/>
        <v>15</v>
      </c>
      <c r="P9" s="72">
        <f t="shared" si="0"/>
        <v>16</v>
      </c>
      <c r="Q9" s="72">
        <f t="shared" si="0"/>
        <v>17</v>
      </c>
    </row>
    <row r="10" spans="1:17" s="13" customFormat="1" ht="30" customHeight="1" x14ac:dyDescent="0.25">
      <c r="A10" s="229"/>
      <c r="B10" s="62" t="s">
        <v>16</v>
      </c>
      <c r="C10" s="181" t="s">
        <v>304</v>
      </c>
      <c r="D10" s="182" t="s">
        <v>315</v>
      </c>
      <c r="E10" s="183" t="s">
        <v>18</v>
      </c>
      <c r="F10" s="73" t="s">
        <v>322</v>
      </c>
      <c r="G10" s="74" t="s">
        <v>112</v>
      </c>
      <c r="H10" s="75">
        <v>13</v>
      </c>
      <c r="I10" s="76">
        <v>11</v>
      </c>
      <c r="J10" s="98">
        <f>2+1+3+3+1+3</f>
        <v>13</v>
      </c>
      <c r="K10" s="77">
        <f>4792.51+1138.19+504.26+11366.06+4859.68+3954.5+12023.46+3259.34</f>
        <v>41898</v>
      </c>
      <c r="L10" s="77">
        <f>4792.51+1138.19+504.26+11366.06+4859.68+3954.5+12023.46+3259.34</f>
        <v>41898</v>
      </c>
      <c r="M10" s="78">
        <f>K10-L10</f>
        <v>0</v>
      </c>
      <c r="N10" s="100">
        <f>2+5+1+2+1</f>
        <v>11</v>
      </c>
      <c r="O10" s="77">
        <f>9108.77+6924.32+22366.06+8197.52</f>
        <v>46596.67</v>
      </c>
      <c r="P10" s="77">
        <f>9108.77+6924.32+22366.06+8197.52</f>
        <v>46596.67</v>
      </c>
      <c r="Q10" s="79">
        <f>O10-P10</f>
        <v>0</v>
      </c>
    </row>
    <row r="11" spans="1:17" s="13" customFormat="1" ht="30" customHeight="1" x14ac:dyDescent="0.25">
      <c r="A11" s="229"/>
      <c r="B11" s="62" t="s">
        <v>16</v>
      </c>
      <c r="C11" s="181" t="s">
        <v>304</v>
      </c>
      <c r="D11" s="182" t="s">
        <v>315</v>
      </c>
      <c r="E11" s="183" t="s">
        <v>18</v>
      </c>
      <c r="F11" s="73" t="s">
        <v>322</v>
      </c>
      <c r="G11" s="230" t="s">
        <v>116</v>
      </c>
      <c r="H11" s="181">
        <v>13</v>
      </c>
      <c r="I11" s="231">
        <v>8</v>
      </c>
      <c r="J11" s="96">
        <v>8</v>
      </c>
      <c r="K11" s="224">
        <v>11526</v>
      </c>
      <c r="L11" s="224">
        <v>11526</v>
      </c>
      <c r="M11" s="78">
        <f t="shared" ref="M11:M77" si="1">K11-L11</f>
        <v>0</v>
      </c>
      <c r="N11" s="100"/>
      <c r="O11" s="224">
        <v>2945</v>
      </c>
      <c r="P11" s="224">
        <v>2945</v>
      </c>
      <c r="Q11" s="232">
        <f t="shared" ref="Q11:Q81" si="2">O11-P11</f>
        <v>0</v>
      </c>
    </row>
    <row r="12" spans="1:17" s="13" customFormat="1" ht="15" customHeight="1" x14ac:dyDescent="0.25">
      <c r="A12" s="229"/>
      <c r="B12" s="62" t="s">
        <v>490</v>
      </c>
      <c r="C12" s="181" t="s">
        <v>304</v>
      </c>
      <c r="D12" s="182"/>
      <c r="E12" s="183"/>
      <c r="F12" s="189" t="s">
        <v>501</v>
      </c>
      <c r="G12" s="230" t="s">
        <v>112</v>
      </c>
      <c r="H12" s="181">
        <v>20</v>
      </c>
      <c r="I12" s="231">
        <v>16</v>
      </c>
      <c r="J12" s="96">
        <f>5+1+3+1+1+2+2+1+1</f>
        <v>17</v>
      </c>
      <c r="K12" s="224">
        <f>8352.39+384.2+1463.8+3720.67+546.41+5470.48+13100.4+2207.7+4647.18</f>
        <v>39893.229999999996</v>
      </c>
      <c r="L12" s="224">
        <f>8352.39+384.2+1463.8+3720.67+546.41+5470.48+13100.4+2207.7+4647.18</f>
        <v>39893.229999999996</v>
      </c>
      <c r="M12" s="78">
        <f t="shared" si="1"/>
        <v>0</v>
      </c>
      <c r="N12" s="100"/>
      <c r="O12" s="224"/>
      <c r="P12" s="224"/>
      <c r="Q12" s="79">
        <f t="shared" si="2"/>
        <v>0</v>
      </c>
    </row>
    <row r="13" spans="1:17" s="15" customFormat="1" ht="15" customHeight="1" x14ac:dyDescent="0.25">
      <c r="A13" s="229"/>
      <c r="B13" s="62" t="s">
        <v>19</v>
      </c>
      <c r="C13" s="181" t="s">
        <v>17</v>
      </c>
      <c r="D13" s="182"/>
      <c r="E13" s="183" t="s">
        <v>20</v>
      </c>
      <c r="F13" s="73" t="s">
        <v>323</v>
      </c>
      <c r="G13" s="74" t="s">
        <v>112</v>
      </c>
      <c r="H13" s="75">
        <v>16</v>
      </c>
      <c r="I13" s="76">
        <v>15</v>
      </c>
      <c r="J13" s="96">
        <f>1+2+5+2+1+5+1+3+1+2</f>
        <v>23</v>
      </c>
      <c r="K13" s="77">
        <f>422.62+4792.51+1796.14+1373.52+5511.59+1707.76+662.31</f>
        <v>16266.45</v>
      </c>
      <c r="L13" s="77">
        <f>422.62+4792.51+1796.14+1373.52+5511.59+1707.76+662.31</f>
        <v>16266.45</v>
      </c>
      <c r="M13" s="78">
        <f>K13-L13</f>
        <v>0</v>
      </c>
      <c r="N13" s="100">
        <f>8+3+1+2</f>
        <v>14</v>
      </c>
      <c r="O13" s="81">
        <f>6459.36+7124.45</f>
        <v>13583.81</v>
      </c>
      <c r="P13" s="81">
        <f>6459.36+7124.45</f>
        <v>13583.81</v>
      </c>
      <c r="Q13" s="79">
        <f t="shared" si="2"/>
        <v>0</v>
      </c>
    </row>
    <row r="14" spans="1:17" s="15" customFormat="1" ht="15" customHeight="1" x14ac:dyDescent="0.25">
      <c r="A14" s="229"/>
      <c r="B14" s="62" t="s">
        <v>19</v>
      </c>
      <c r="C14" s="181" t="s">
        <v>17</v>
      </c>
      <c r="D14" s="182"/>
      <c r="E14" s="183" t="s">
        <v>20</v>
      </c>
      <c r="F14" s="73" t="s">
        <v>451</v>
      </c>
      <c r="G14" s="230" t="s">
        <v>114</v>
      </c>
      <c r="H14" s="181">
        <v>13</v>
      </c>
      <c r="I14" s="231">
        <v>7</v>
      </c>
      <c r="J14" s="190">
        <v>7</v>
      </c>
      <c r="K14" s="77">
        <v>11142.12</v>
      </c>
      <c r="L14" s="77">
        <v>11142.12</v>
      </c>
      <c r="M14" s="78">
        <f t="shared" si="1"/>
        <v>0</v>
      </c>
      <c r="N14" s="100">
        <v>10</v>
      </c>
      <c r="O14" s="224">
        <v>18093.599999999999</v>
      </c>
      <c r="P14" s="224">
        <v>18093.599999999999</v>
      </c>
      <c r="Q14" s="232">
        <f t="shared" si="2"/>
        <v>0</v>
      </c>
    </row>
    <row r="15" spans="1:17" s="15" customFormat="1" ht="15" customHeight="1" x14ac:dyDescent="0.25">
      <c r="A15" s="229"/>
      <c r="B15" s="62" t="s">
        <v>153</v>
      </c>
      <c r="C15" s="181" t="s">
        <v>17</v>
      </c>
      <c r="D15" s="182"/>
      <c r="E15" s="183" t="s">
        <v>20</v>
      </c>
      <c r="F15" s="73" t="s">
        <v>324</v>
      </c>
      <c r="G15" s="74" t="s">
        <v>112</v>
      </c>
      <c r="H15" s="75">
        <v>20</v>
      </c>
      <c r="I15" s="82">
        <v>13</v>
      </c>
      <c r="J15" s="96">
        <f>1+1+2+1+1+2+1+1+1+1+2+1</f>
        <v>15</v>
      </c>
      <c r="K15" s="77">
        <f>950.9+2451.87+3074.57+845.24+1977.86+1284.48+883.08+401.4+1357.13+421.47+6324.86</f>
        <v>19972.859999999997</v>
      </c>
      <c r="L15" s="77">
        <f>950.9+2451.87+3074.57+845.24+1977.86+1284.48+883.08+401.4+1357.13+421.47+6324.86</f>
        <v>19972.859999999997</v>
      </c>
      <c r="M15" s="78">
        <f t="shared" si="1"/>
        <v>0</v>
      </c>
      <c r="N15" s="114">
        <f>1+2+1+2+1+1</f>
        <v>8</v>
      </c>
      <c r="O15" s="81">
        <f>422.62+945.61+2484.69+7964.81+1536.8+2498.17</f>
        <v>15852.699999999999</v>
      </c>
      <c r="P15" s="81">
        <f>422.62+945.61+2484.69+7964.81+1536.8+2498.17</f>
        <v>15852.699999999999</v>
      </c>
      <c r="Q15" s="79">
        <f t="shared" si="2"/>
        <v>0</v>
      </c>
    </row>
    <row r="16" spans="1:17" s="15" customFormat="1" ht="15" customHeight="1" x14ac:dyDescent="0.25">
      <c r="A16" s="229"/>
      <c r="B16" s="233" t="s">
        <v>153</v>
      </c>
      <c r="C16" s="181" t="s">
        <v>17</v>
      </c>
      <c r="D16" s="182"/>
      <c r="E16" s="183" t="s">
        <v>20</v>
      </c>
      <c r="F16" s="73" t="s">
        <v>452</v>
      </c>
      <c r="G16" s="230" t="s">
        <v>114</v>
      </c>
      <c r="H16" s="181">
        <v>20</v>
      </c>
      <c r="I16" s="231">
        <v>7</v>
      </c>
      <c r="J16" s="190">
        <v>7</v>
      </c>
      <c r="K16" s="77">
        <v>20595.29</v>
      </c>
      <c r="L16" s="77">
        <v>20595.29</v>
      </c>
      <c r="M16" s="78">
        <f t="shared" si="1"/>
        <v>0</v>
      </c>
      <c r="N16" s="100">
        <v>10</v>
      </c>
      <c r="O16" s="224">
        <v>28910.6</v>
      </c>
      <c r="P16" s="224">
        <v>23692.400000000001</v>
      </c>
      <c r="Q16" s="232">
        <f t="shared" si="2"/>
        <v>5218.1999999999971</v>
      </c>
    </row>
    <row r="17" spans="1:17" s="13" customFormat="1" ht="15" customHeight="1" x14ac:dyDescent="0.25">
      <c r="A17" s="229"/>
      <c r="B17" s="30" t="s">
        <v>22</v>
      </c>
      <c r="C17" s="181" t="s">
        <v>17</v>
      </c>
      <c r="D17" s="182"/>
      <c r="E17" s="183" t="s">
        <v>23</v>
      </c>
      <c r="F17" s="73" t="s">
        <v>325</v>
      </c>
      <c r="G17" s="74" t="s">
        <v>112</v>
      </c>
      <c r="H17" s="75">
        <v>55</v>
      </c>
      <c r="I17" s="76">
        <v>10</v>
      </c>
      <c r="J17" s="96">
        <f>1+2+1+9</f>
        <v>13</v>
      </c>
      <c r="K17" s="77">
        <f>2698.64+1402.33+11601.84+8586.48</f>
        <v>24289.29</v>
      </c>
      <c r="L17" s="77">
        <f>2698.64+1402.33+11601.84+8586.48</f>
        <v>24289.29</v>
      </c>
      <c r="M17" s="78">
        <f t="shared" si="1"/>
        <v>0</v>
      </c>
      <c r="N17" s="100">
        <f>14+3+7+1+1</f>
        <v>26</v>
      </c>
      <c r="O17" s="81">
        <f>22716.4+4171.06+18768.39+8172.47</f>
        <v>53828.320000000007</v>
      </c>
      <c r="P17" s="81">
        <f>22716.4+4171.06+18768.39+8172.47</f>
        <v>53828.320000000007</v>
      </c>
      <c r="Q17" s="79">
        <f t="shared" si="2"/>
        <v>0</v>
      </c>
    </row>
    <row r="18" spans="1:17" s="13" customFormat="1" ht="15" customHeight="1" x14ac:dyDescent="0.25">
      <c r="A18" s="229"/>
      <c r="B18" s="30" t="s">
        <v>154</v>
      </c>
      <c r="C18" s="181" t="s">
        <v>17</v>
      </c>
      <c r="D18" s="182"/>
      <c r="E18" s="183" t="s">
        <v>20</v>
      </c>
      <c r="F18" s="73" t="s">
        <v>453</v>
      </c>
      <c r="G18" s="230" t="s">
        <v>114</v>
      </c>
      <c r="H18" s="181">
        <v>35</v>
      </c>
      <c r="I18" s="234">
        <v>4</v>
      </c>
      <c r="J18" s="190">
        <v>4</v>
      </c>
      <c r="K18" s="193">
        <v>6550.8</v>
      </c>
      <c r="L18" s="193">
        <v>6550.8</v>
      </c>
      <c r="M18" s="78">
        <f t="shared" si="1"/>
        <v>0</v>
      </c>
      <c r="N18" s="114">
        <v>18</v>
      </c>
      <c r="O18" s="224">
        <v>50947.07</v>
      </c>
      <c r="P18" s="224">
        <v>45126.77</v>
      </c>
      <c r="Q18" s="232">
        <f t="shared" si="2"/>
        <v>5820.3000000000029</v>
      </c>
    </row>
    <row r="19" spans="1:17" s="13" customFormat="1" x14ac:dyDescent="0.25">
      <c r="A19" s="229"/>
      <c r="B19" s="30" t="s">
        <v>154</v>
      </c>
      <c r="C19" s="181" t="s">
        <v>17</v>
      </c>
      <c r="D19" s="182"/>
      <c r="E19" s="183" t="s">
        <v>20</v>
      </c>
      <c r="F19" s="73" t="s">
        <v>326</v>
      </c>
      <c r="G19" s="74" t="s">
        <v>112</v>
      </c>
      <c r="H19" s="75">
        <v>32</v>
      </c>
      <c r="I19" s="76">
        <v>26</v>
      </c>
      <c r="J19" s="96">
        <f>1+1+2+2+2+6+1+4+1+2+2+3+1+1+1+3+1+2+1</f>
        <v>37</v>
      </c>
      <c r="K19" s="77">
        <f>950.9+864.46+845.24+405.02+739.59+6850.57+12952.58+883.08+2185.62+1053.68+5958.27+6539.59+4664.82+441.54+1890.34</f>
        <v>47225.3</v>
      </c>
      <c r="L19" s="77">
        <f>950.9+864.46+845.24+405.02+739.59+6850.57+12952.58+883.08+2185.62+1053.68+5958.27+6539.59+4664.82+441.54+1890.34</f>
        <v>47225.3</v>
      </c>
      <c r="M19" s="78">
        <f t="shared" si="1"/>
        <v>0</v>
      </c>
      <c r="N19" s="100">
        <f>6+3+1+1+1+2+1+1</f>
        <v>16</v>
      </c>
      <c r="O19" s="81">
        <f>6681.33+7017+1523.5+9094.74+3532.32</f>
        <v>27848.89</v>
      </c>
      <c r="P19" s="81">
        <f>6681.33+7017+1523.5+9094.74+3532.32</f>
        <v>27848.89</v>
      </c>
      <c r="Q19" s="79">
        <f t="shared" si="2"/>
        <v>0</v>
      </c>
    </row>
    <row r="20" spans="1:17" s="13" customFormat="1" ht="15" customHeight="1" x14ac:dyDescent="0.25">
      <c r="A20" s="229"/>
      <c r="B20" s="62" t="s">
        <v>24</v>
      </c>
      <c r="C20" s="181" t="s">
        <v>17</v>
      </c>
      <c r="D20" s="182"/>
      <c r="E20" s="183" t="s">
        <v>20</v>
      </c>
      <c r="F20" s="73" t="s">
        <v>327</v>
      </c>
      <c r="G20" s="74" t="s">
        <v>112</v>
      </c>
      <c r="H20" s="75">
        <v>11</v>
      </c>
      <c r="I20" s="76">
        <v>5</v>
      </c>
      <c r="J20" s="96">
        <f>3+1+1+2</f>
        <v>7</v>
      </c>
      <c r="K20" s="77">
        <f>1191.02+5267.46</f>
        <v>6458.48</v>
      </c>
      <c r="L20" s="77">
        <f>1191.02+5267.46</f>
        <v>6458.48</v>
      </c>
      <c r="M20" s="78">
        <f t="shared" si="1"/>
        <v>0</v>
      </c>
      <c r="N20" s="100">
        <f>1+1+1</f>
        <v>3</v>
      </c>
      <c r="O20" s="81">
        <f>576.3+1810.93</f>
        <v>2387.23</v>
      </c>
      <c r="P20" s="81">
        <f>576.3+1810.93</f>
        <v>2387.23</v>
      </c>
      <c r="Q20" s="232">
        <f t="shared" si="2"/>
        <v>0</v>
      </c>
    </row>
    <row r="21" spans="1:17" s="13" customFormat="1" ht="15" customHeight="1" x14ac:dyDescent="0.25">
      <c r="A21" s="229"/>
      <c r="B21" s="62" t="s">
        <v>24</v>
      </c>
      <c r="C21" s="181" t="s">
        <v>17</v>
      </c>
      <c r="D21" s="182"/>
      <c r="E21" s="183" t="s">
        <v>20</v>
      </c>
      <c r="F21" s="73" t="s">
        <v>454</v>
      </c>
      <c r="G21" s="230" t="s">
        <v>114</v>
      </c>
      <c r="H21" s="181">
        <v>15</v>
      </c>
      <c r="I21" s="231">
        <v>6</v>
      </c>
      <c r="J21" s="190">
        <v>6</v>
      </c>
      <c r="K21" s="77">
        <v>21621.35</v>
      </c>
      <c r="L21" s="77">
        <v>14512.09</v>
      </c>
      <c r="M21" s="78">
        <f t="shared" si="1"/>
        <v>7109.2599999999984</v>
      </c>
      <c r="N21" s="100">
        <v>18</v>
      </c>
      <c r="O21" s="224">
        <v>38146.300000000003</v>
      </c>
      <c r="P21" s="224">
        <v>36741.4</v>
      </c>
      <c r="Q21" s="232">
        <f t="shared" si="2"/>
        <v>1404.9000000000015</v>
      </c>
    </row>
    <row r="22" spans="1:17" s="13" customFormat="1" ht="15" customHeight="1" x14ac:dyDescent="0.25">
      <c r="A22" s="229"/>
      <c r="B22" s="62" t="s">
        <v>25</v>
      </c>
      <c r="C22" s="181" t="s">
        <v>17</v>
      </c>
      <c r="D22" s="182"/>
      <c r="E22" s="183" t="s">
        <v>20</v>
      </c>
      <c r="F22" s="73" t="s">
        <v>328</v>
      </c>
      <c r="G22" s="74" t="s">
        <v>112</v>
      </c>
      <c r="H22" s="75">
        <v>16</v>
      </c>
      <c r="I22" s="76">
        <v>12</v>
      </c>
      <c r="J22" s="96">
        <f>1+1+1+1+1+1+1+2+1+2+1</f>
        <v>13</v>
      </c>
      <c r="K22" s="173">
        <f>403.41+1605.6+3697.9+1204.2+1092.81+3022.24+4486.05+4612.57+1457.08</f>
        <v>21581.86</v>
      </c>
      <c r="L22" s="173">
        <f>403.41+1605.6+3697.9+1204.2+1092.81+3022.24+4486.05+4612.57+1457.08</f>
        <v>21581.86</v>
      </c>
      <c r="M22" s="78">
        <f t="shared" si="1"/>
        <v>0</v>
      </c>
      <c r="N22" s="100">
        <f>6+1+2+2+1+2</f>
        <v>14</v>
      </c>
      <c r="O22" s="81">
        <f>14526.7+5595.3+2440.62+2839.24+10715.74</f>
        <v>36117.599999999999</v>
      </c>
      <c r="P22" s="81">
        <f>14526.7+5595.3+2440.62+2839.24+10715.74</f>
        <v>36117.599999999999</v>
      </c>
      <c r="Q22" s="232">
        <f t="shared" si="2"/>
        <v>0</v>
      </c>
    </row>
    <row r="23" spans="1:17" s="13" customFormat="1" ht="15" customHeight="1" x14ac:dyDescent="0.25">
      <c r="A23" s="229"/>
      <c r="B23" s="62" t="s">
        <v>25</v>
      </c>
      <c r="C23" s="181" t="s">
        <v>17</v>
      </c>
      <c r="D23" s="182"/>
      <c r="E23" s="183" t="s">
        <v>20</v>
      </c>
      <c r="F23" s="73" t="s">
        <v>455</v>
      </c>
      <c r="G23" s="230" t="s">
        <v>114</v>
      </c>
      <c r="H23" s="181">
        <v>6</v>
      </c>
      <c r="I23" s="231"/>
      <c r="J23" s="190">
        <f>1</f>
        <v>1</v>
      </c>
      <c r="K23" s="77"/>
      <c r="L23" s="77"/>
      <c r="M23" s="78">
        <f t="shared" si="1"/>
        <v>0</v>
      </c>
      <c r="N23" s="100">
        <v>3</v>
      </c>
      <c r="O23" s="224">
        <v>7219.8</v>
      </c>
      <c r="P23" s="224">
        <v>7219.8</v>
      </c>
      <c r="Q23" s="232">
        <f t="shared" si="2"/>
        <v>0</v>
      </c>
    </row>
    <row r="24" spans="1:17" s="13" customFormat="1" ht="15" customHeight="1" x14ac:dyDescent="0.25">
      <c r="A24" s="229"/>
      <c r="B24" s="62" t="s">
        <v>516</v>
      </c>
      <c r="C24" s="181" t="s">
        <v>17</v>
      </c>
      <c r="D24" s="182"/>
      <c r="E24" s="183" t="s">
        <v>20</v>
      </c>
      <c r="F24" s="73" t="s">
        <v>517</v>
      </c>
      <c r="G24" s="287" t="s">
        <v>112</v>
      </c>
      <c r="H24" s="181">
        <v>10</v>
      </c>
      <c r="I24" s="231">
        <v>2</v>
      </c>
      <c r="J24" s="190">
        <f>2</f>
        <v>2</v>
      </c>
      <c r="K24" s="77">
        <f>1604.6</f>
        <v>1604.6</v>
      </c>
      <c r="L24" s="77"/>
      <c r="M24" s="78"/>
      <c r="N24" s="100"/>
      <c r="O24" s="224"/>
      <c r="P24" s="224"/>
      <c r="Q24" s="232"/>
    </row>
    <row r="25" spans="1:17" s="13" customFormat="1" ht="15" customHeight="1" x14ac:dyDescent="0.25">
      <c r="A25" s="229"/>
      <c r="B25" s="62" t="s">
        <v>26</v>
      </c>
      <c r="C25" s="181" t="s">
        <v>17</v>
      </c>
      <c r="D25" s="182"/>
      <c r="E25" s="183" t="s">
        <v>27</v>
      </c>
      <c r="F25" s="73" t="s">
        <v>329</v>
      </c>
      <c r="G25" s="74" t="s">
        <v>112</v>
      </c>
      <c r="H25" s="75">
        <v>22</v>
      </c>
      <c r="I25" s="76">
        <v>17</v>
      </c>
      <c r="J25" s="96">
        <f>2+2+4+1+4+1+1+3+4</f>
        <v>22</v>
      </c>
      <c r="K25" s="77">
        <f>845.24+1056.55+5121.1+26225.35+422.62+16490.35+1457.08+1479.16+11270.02</f>
        <v>64367.47</v>
      </c>
      <c r="L25" s="77">
        <f>845.24+1056.55+5121.1+26225.35+422.62+16490.35+1457.08+1479.16+11270.02</f>
        <v>64367.47</v>
      </c>
      <c r="M25" s="78">
        <f t="shared" si="1"/>
        <v>0</v>
      </c>
      <c r="N25" s="100">
        <f>6+1+1+2+1+1</f>
        <v>12</v>
      </c>
      <c r="O25" s="81">
        <f>17838.53+2535.75+7238.9+9569.44</f>
        <v>37182.620000000003</v>
      </c>
      <c r="P25" s="81">
        <f>17838.53+2535.75+7238.9+9569.44</f>
        <v>37182.620000000003</v>
      </c>
      <c r="Q25" s="232">
        <f t="shared" si="2"/>
        <v>0</v>
      </c>
    </row>
    <row r="26" spans="1:17" s="15" customFormat="1" ht="15" customHeight="1" x14ac:dyDescent="0.25">
      <c r="A26" s="229"/>
      <c r="B26" s="62" t="s">
        <v>28</v>
      </c>
      <c r="C26" s="181" t="s">
        <v>17</v>
      </c>
      <c r="D26" s="182"/>
      <c r="E26" s="194" t="s">
        <v>29</v>
      </c>
      <c r="F26" s="73" t="s">
        <v>330</v>
      </c>
      <c r="G26" s="74" t="s">
        <v>112</v>
      </c>
      <c r="H26" s="75">
        <v>15</v>
      </c>
      <c r="I26" s="76">
        <v>10</v>
      </c>
      <c r="J26" s="96">
        <f>2+1+2+1+1+1+2+1+2+2</f>
        <v>15</v>
      </c>
      <c r="K26" s="77">
        <f>6135.14+2440.63+9722.07+968.96+2258.48+3607.78+10269+19480.76+2759.62</f>
        <v>57642.439999999995</v>
      </c>
      <c r="L26" s="77">
        <f>6135.14+2440.63+9722.07+968.96+2258.48+3607.78+10269+19480.76+2759.62</f>
        <v>57642.439999999995</v>
      </c>
      <c r="M26" s="78">
        <f t="shared" si="1"/>
        <v>0</v>
      </c>
      <c r="N26" s="100">
        <f>3+2+4+3+1+1+3+1</f>
        <v>18</v>
      </c>
      <c r="O26" s="81">
        <f>5310.83+4630.52+14679.01+36087.29+8956.5+10112.26+3030.29+9937.51</f>
        <v>92744.209999999977</v>
      </c>
      <c r="P26" s="81">
        <f>5310.83+4630.52+14679.01+36087.29+8956.5+10112.26+3030.29+9937.51</f>
        <v>92744.209999999977</v>
      </c>
      <c r="Q26" s="232">
        <f t="shared" si="2"/>
        <v>0</v>
      </c>
    </row>
    <row r="27" spans="1:17" s="15" customFormat="1" ht="15" customHeight="1" x14ac:dyDescent="0.25">
      <c r="A27" s="229"/>
      <c r="B27" s="62" t="s">
        <v>28</v>
      </c>
      <c r="C27" s="181" t="s">
        <v>17</v>
      </c>
      <c r="D27" s="182"/>
      <c r="E27" s="194" t="s">
        <v>29</v>
      </c>
      <c r="F27" s="73" t="s">
        <v>420</v>
      </c>
      <c r="G27" s="235" t="s">
        <v>117</v>
      </c>
      <c r="H27" s="181">
        <v>2</v>
      </c>
      <c r="I27" s="231"/>
      <c r="J27" s="96"/>
      <c r="K27" s="77"/>
      <c r="L27" s="77"/>
      <c r="M27" s="78">
        <f t="shared" si="1"/>
        <v>0</v>
      </c>
      <c r="N27" s="100">
        <v>3</v>
      </c>
      <c r="O27" s="224">
        <v>6579.54</v>
      </c>
      <c r="P27" s="224">
        <v>6579.54</v>
      </c>
      <c r="Q27" s="79">
        <f t="shared" si="2"/>
        <v>0</v>
      </c>
    </row>
    <row r="28" spans="1:17" s="15" customFormat="1" ht="15" customHeight="1" x14ac:dyDescent="0.25">
      <c r="A28" s="229"/>
      <c r="B28" s="233" t="s">
        <v>500</v>
      </c>
      <c r="C28" s="181" t="s">
        <v>17</v>
      </c>
      <c r="D28" s="182"/>
      <c r="E28" s="194"/>
      <c r="F28" s="73" t="s">
        <v>503</v>
      </c>
      <c r="G28" s="235" t="s">
        <v>112</v>
      </c>
      <c r="H28" s="181">
        <v>31</v>
      </c>
      <c r="I28" s="231">
        <v>24</v>
      </c>
      <c r="J28" s="96">
        <f>2+2+2+1+3+5+2+1+5+1+6+1+1</f>
        <v>32</v>
      </c>
      <c r="K28" s="77">
        <f>1202.51+3555.1+602.1+708.47+7232.25+1003.5+1938.63+15028.21+1324.62+9088.69+401.4</f>
        <v>42085.48</v>
      </c>
      <c r="L28" s="77">
        <f>1202.51+3555.1+602.1+708.47+7232.25+1003.5+1938.63+15028.21+1324.62+9088.69+401.4</f>
        <v>42085.48</v>
      </c>
      <c r="M28" s="78">
        <f t="shared" si="1"/>
        <v>0</v>
      </c>
      <c r="N28" s="100">
        <f>1</f>
        <v>1</v>
      </c>
      <c r="O28" s="224"/>
      <c r="P28" s="224"/>
      <c r="Q28" s="79">
        <f t="shared" si="2"/>
        <v>0</v>
      </c>
    </row>
    <row r="29" spans="1:17" s="13" customFormat="1" ht="15" customHeight="1" x14ac:dyDescent="0.25">
      <c r="A29" s="229"/>
      <c r="B29" s="27" t="s">
        <v>30</v>
      </c>
      <c r="C29" s="181" t="s">
        <v>17</v>
      </c>
      <c r="D29" s="182"/>
      <c r="E29" s="194" t="s">
        <v>21</v>
      </c>
      <c r="F29" s="73" t="s">
        <v>333</v>
      </c>
      <c r="G29" s="74" t="s">
        <v>112</v>
      </c>
      <c r="H29" s="75">
        <v>26</v>
      </c>
      <c r="I29" s="76">
        <v>17</v>
      </c>
      <c r="J29" s="96">
        <f>3+1+3+1+4+1+1+2+1+3+3</f>
        <v>23</v>
      </c>
      <c r="K29" s="77">
        <f>16637.24+1045.98+2789.73+1629.68+3146.97+1646.5+5064.97</f>
        <v>31961.070000000003</v>
      </c>
      <c r="L29" s="77">
        <f>16637.24+1045.98+2789.73+1629.68+3146.97+1646.5+5064.97</f>
        <v>31961.070000000003</v>
      </c>
      <c r="M29" s="78">
        <f t="shared" si="1"/>
        <v>0</v>
      </c>
      <c r="N29" s="100">
        <f>9+1+3+1+1+1+2+1+1+2+1+1+2+1</f>
        <v>27</v>
      </c>
      <c r="O29" s="81">
        <f>77047.8+15703.07+7288.94+1341.33+1730.62+7169.16</f>
        <v>110280.92</v>
      </c>
      <c r="P29" s="81">
        <f>77047.8+15703.07+7288.94+1341.33+1730.62+7169.16</f>
        <v>110280.92</v>
      </c>
      <c r="Q29" s="79">
        <f>O29-P29</f>
        <v>0</v>
      </c>
    </row>
    <row r="30" spans="1:17" s="13" customFormat="1" ht="15" customHeight="1" x14ac:dyDescent="0.25">
      <c r="A30" s="229"/>
      <c r="B30" s="27" t="s">
        <v>491</v>
      </c>
      <c r="C30" s="181" t="s">
        <v>17</v>
      </c>
      <c r="D30" s="182"/>
      <c r="E30" s="183" t="s">
        <v>20</v>
      </c>
      <c r="F30" s="73" t="s">
        <v>495</v>
      </c>
      <c r="G30" s="74" t="s">
        <v>112</v>
      </c>
      <c r="H30" s="75">
        <v>17</v>
      </c>
      <c r="I30" s="76">
        <v>13</v>
      </c>
      <c r="J30" s="96">
        <f>2+2+1+1+1+1+1+1+3</f>
        <v>13</v>
      </c>
      <c r="K30" s="77">
        <f>1727.9+2093.89+728.54+3535.53+2649.24+401.4+802.8+1505.25</f>
        <v>13444.55</v>
      </c>
      <c r="L30" s="77">
        <f>1727.9+2093.89+728.54+3535.53+2649.24+401.4+802.8+1505.25</f>
        <v>13444.55</v>
      </c>
      <c r="M30" s="78">
        <f t="shared" si="1"/>
        <v>0</v>
      </c>
      <c r="N30" s="100"/>
      <c r="O30" s="81"/>
      <c r="P30" s="81"/>
      <c r="Q30" s="79">
        <f t="shared" si="2"/>
        <v>0</v>
      </c>
    </row>
    <row r="31" spans="1:17" s="13" customFormat="1" ht="15" customHeight="1" x14ac:dyDescent="0.25">
      <c r="A31" s="229"/>
      <c r="B31" s="27" t="s">
        <v>491</v>
      </c>
      <c r="C31" s="181" t="s">
        <v>17</v>
      </c>
      <c r="D31" s="182"/>
      <c r="E31" s="183" t="s">
        <v>20</v>
      </c>
      <c r="F31" s="73" t="s">
        <v>504</v>
      </c>
      <c r="G31" s="74" t="s">
        <v>114</v>
      </c>
      <c r="H31" s="75">
        <v>12</v>
      </c>
      <c r="I31" s="76">
        <v>2</v>
      </c>
      <c r="J31" s="96">
        <v>2</v>
      </c>
      <c r="K31" s="77">
        <v>2672.76</v>
      </c>
      <c r="L31" s="77">
        <v>2672.76</v>
      </c>
      <c r="M31" s="78">
        <f t="shared" si="1"/>
        <v>0</v>
      </c>
      <c r="N31" s="100"/>
      <c r="O31" s="81"/>
      <c r="P31" s="81"/>
      <c r="Q31" s="232">
        <f t="shared" si="2"/>
        <v>0</v>
      </c>
    </row>
    <row r="32" spans="1:17" s="13" customFormat="1" ht="15" customHeight="1" x14ac:dyDescent="0.25">
      <c r="A32" s="229"/>
      <c r="B32" s="27" t="s">
        <v>491</v>
      </c>
      <c r="C32" s="181" t="s">
        <v>17</v>
      </c>
      <c r="D32" s="182"/>
      <c r="E32" s="183"/>
      <c r="F32" s="73" t="s">
        <v>510</v>
      </c>
      <c r="G32" s="235" t="s">
        <v>117</v>
      </c>
      <c r="H32" s="75">
        <v>1</v>
      </c>
      <c r="I32" s="76"/>
      <c r="J32" s="96"/>
      <c r="K32" s="77"/>
      <c r="L32" s="77"/>
      <c r="M32" s="78">
        <f t="shared" si="1"/>
        <v>0</v>
      </c>
      <c r="N32" s="100"/>
      <c r="O32" s="81"/>
      <c r="P32" s="81"/>
      <c r="Q32" s="232">
        <f t="shared" si="2"/>
        <v>0</v>
      </c>
    </row>
    <row r="33" spans="1:17" s="13" customFormat="1" ht="15" customHeight="1" x14ac:dyDescent="0.25">
      <c r="A33" s="229"/>
      <c r="B33" s="30" t="s">
        <v>31</v>
      </c>
      <c r="C33" s="181" t="s">
        <v>17</v>
      </c>
      <c r="D33" s="182"/>
      <c r="E33" s="183" t="s">
        <v>32</v>
      </c>
      <c r="F33" s="73" t="s">
        <v>331</v>
      </c>
      <c r="G33" s="74" t="s">
        <v>112</v>
      </c>
      <c r="H33" s="75">
        <v>23</v>
      </c>
      <c r="I33" s="76">
        <v>17</v>
      </c>
      <c r="J33" s="96">
        <f>1+2+3+1+4+3+3+3+1+3</f>
        <v>24</v>
      </c>
      <c r="K33" s="77">
        <f>633.93+1045.98+5377.62+950.9+6004.09+4598.82+8410.14+1846.04+4737.83+728.54</f>
        <v>34333.89</v>
      </c>
      <c r="L33" s="77">
        <f>633.93+1045.98+5377.62+950.9+6004.09+4598.82+8410.14+1846.04+4737.83+728.54</f>
        <v>34333.89</v>
      </c>
      <c r="M33" s="78">
        <f t="shared" si="1"/>
        <v>0</v>
      </c>
      <c r="N33" s="100">
        <f>1+3+3+1+1+2+1</f>
        <v>12</v>
      </c>
      <c r="O33" s="81">
        <f>2299.8+15239.58+6152.75+2720.49+1483.38+7043.49+11175.04</f>
        <v>46114.530000000006</v>
      </c>
      <c r="P33" s="81">
        <f>2299.8+15239.58+6152.75+2720.49+1483.38+7043.49+11175.04</f>
        <v>46114.530000000006</v>
      </c>
      <c r="Q33" s="232">
        <f t="shared" si="2"/>
        <v>0</v>
      </c>
    </row>
    <row r="34" spans="1:17" s="13" customFormat="1" ht="15" customHeight="1" x14ac:dyDescent="0.25">
      <c r="A34" s="229"/>
      <c r="B34" s="30" t="s">
        <v>31</v>
      </c>
      <c r="C34" s="181" t="s">
        <v>17</v>
      </c>
      <c r="D34" s="182"/>
      <c r="E34" s="183" t="s">
        <v>32</v>
      </c>
      <c r="F34" s="73" t="s">
        <v>422</v>
      </c>
      <c r="G34" s="235" t="s">
        <v>117</v>
      </c>
      <c r="H34" s="181">
        <v>16</v>
      </c>
      <c r="I34" s="231">
        <v>7</v>
      </c>
      <c r="J34" s="96">
        <v>7</v>
      </c>
      <c r="K34" s="77">
        <v>15915.55</v>
      </c>
      <c r="L34" s="77">
        <v>15915.55</v>
      </c>
      <c r="M34" s="78">
        <f t="shared" si="1"/>
        <v>0</v>
      </c>
      <c r="N34" s="100">
        <v>10</v>
      </c>
      <c r="O34" s="77">
        <v>21507.42</v>
      </c>
      <c r="P34" s="77">
        <v>21507.42</v>
      </c>
      <c r="Q34" s="232">
        <f t="shared" si="2"/>
        <v>0</v>
      </c>
    </row>
    <row r="35" spans="1:17" s="15" customFormat="1" ht="15" customHeight="1" x14ac:dyDescent="0.25">
      <c r="A35" s="229"/>
      <c r="B35" s="62" t="s">
        <v>33</v>
      </c>
      <c r="C35" s="181" t="s">
        <v>17</v>
      </c>
      <c r="D35" s="182"/>
      <c r="E35" s="183" t="s">
        <v>20</v>
      </c>
      <c r="F35" s="73" t="s">
        <v>332</v>
      </c>
      <c r="G35" s="74" t="s">
        <v>112</v>
      </c>
      <c r="H35" s="75">
        <v>14</v>
      </c>
      <c r="I35" s="76">
        <v>10</v>
      </c>
      <c r="J35" s="96">
        <f>1+1+1+1+1+2+1+1+1+1+1+1</f>
        <v>13</v>
      </c>
      <c r="K35" s="77">
        <f>845.245+5363.43+5912.72+845.24+12887.16+2852.15+6514.08+2058.13+5167.78+1324.62</f>
        <v>43770.555</v>
      </c>
      <c r="L35" s="77">
        <f>845.245+5363.43+5912.72+845.24+12887.16+2852.15+6514.08+2058.13+5167.78+1324.62</f>
        <v>43770.555</v>
      </c>
      <c r="M35" s="78">
        <f t="shared" si="1"/>
        <v>0</v>
      </c>
      <c r="N35" s="100">
        <f>2+1+1+1+1+2+1+1+1</f>
        <v>11</v>
      </c>
      <c r="O35" s="81">
        <f>845.24+1613.64+3380.96+3639.33+1152.6+1518.9</f>
        <v>12150.67</v>
      </c>
      <c r="P35" s="81">
        <f>845.24+1613.64+3380.96+3639.33+1152.6+1518.9</f>
        <v>12150.67</v>
      </c>
      <c r="Q35" s="79">
        <f t="shared" si="2"/>
        <v>0</v>
      </c>
    </row>
    <row r="36" spans="1:17" s="15" customFormat="1" ht="15" customHeight="1" x14ac:dyDescent="0.25">
      <c r="A36" s="229"/>
      <c r="B36" s="62" t="s">
        <v>33</v>
      </c>
      <c r="C36" s="181" t="s">
        <v>17</v>
      </c>
      <c r="D36" s="182"/>
      <c r="E36" s="183" t="s">
        <v>20</v>
      </c>
      <c r="F36" s="73" t="s">
        <v>481</v>
      </c>
      <c r="G36" s="230" t="s">
        <v>114</v>
      </c>
      <c r="H36" s="181">
        <v>10</v>
      </c>
      <c r="I36" s="231">
        <v>1</v>
      </c>
      <c r="J36" s="190">
        <v>1</v>
      </c>
      <c r="K36" s="77">
        <v>3472.11</v>
      </c>
      <c r="L36" s="77">
        <v>3472.11</v>
      </c>
      <c r="M36" s="78">
        <f t="shared" si="1"/>
        <v>0</v>
      </c>
      <c r="N36" s="100">
        <v>16</v>
      </c>
      <c r="O36" s="224">
        <v>45328.13</v>
      </c>
      <c r="P36" s="224">
        <v>45328.13</v>
      </c>
      <c r="Q36" s="232">
        <f t="shared" si="2"/>
        <v>0</v>
      </c>
    </row>
    <row r="37" spans="1:17" s="15" customFormat="1" ht="15" customHeight="1" x14ac:dyDescent="0.25">
      <c r="A37" s="229"/>
      <c r="B37" s="62" t="s">
        <v>147</v>
      </c>
      <c r="C37" s="181" t="s">
        <v>17</v>
      </c>
      <c r="D37" s="182"/>
      <c r="E37" s="183" t="s">
        <v>29</v>
      </c>
      <c r="F37" s="73" t="s">
        <v>334</v>
      </c>
      <c r="G37" s="74" t="s">
        <v>112</v>
      </c>
      <c r="H37" s="75">
        <v>10</v>
      </c>
      <c r="I37" s="234">
        <v>9</v>
      </c>
      <c r="J37" s="96">
        <f>1+1+2+1+3+4</f>
        <v>12</v>
      </c>
      <c r="K37" s="77">
        <f>1854.88+2824.48+3058.67+5384.79+14792.98</f>
        <v>27915.8</v>
      </c>
      <c r="L37" s="77">
        <f>1854.88+2824.48+3058.67+5384.79+14792.98</f>
        <v>27915.8</v>
      </c>
      <c r="M37" s="78">
        <f t="shared" si="1"/>
        <v>0</v>
      </c>
      <c r="N37" s="114">
        <f>1+1+1</f>
        <v>3</v>
      </c>
      <c r="O37" s="81">
        <f>1394.65+2473.17+1961.49</f>
        <v>5829.31</v>
      </c>
      <c r="P37" s="81">
        <f>1394.65+2473.17+1961.49</f>
        <v>5829.31</v>
      </c>
      <c r="Q37" s="79">
        <f t="shared" si="2"/>
        <v>0</v>
      </c>
    </row>
    <row r="38" spans="1:17" s="15" customFormat="1" ht="15" customHeight="1" x14ac:dyDescent="0.25">
      <c r="A38" s="229"/>
      <c r="B38" s="233" t="s">
        <v>147</v>
      </c>
      <c r="C38" s="181" t="s">
        <v>17</v>
      </c>
      <c r="D38" s="182"/>
      <c r="E38" s="183" t="s">
        <v>29</v>
      </c>
      <c r="F38" s="73" t="s">
        <v>423</v>
      </c>
      <c r="G38" s="230" t="s">
        <v>117</v>
      </c>
      <c r="H38" s="181">
        <v>14</v>
      </c>
      <c r="I38" s="231">
        <v>4</v>
      </c>
      <c r="J38" s="96">
        <v>4</v>
      </c>
      <c r="K38" s="77">
        <v>6847.1</v>
      </c>
      <c r="L38" s="77">
        <v>6847.1</v>
      </c>
      <c r="M38" s="78">
        <f t="shared" si="1"/>
        <v>0</v>
      </c>
      <c r="N38" s="100">
        <v>4</v>
      </c>
      <c r="O38" s="224">
        <v>4706.45</v>
      </c>
      <c r="P38" s="224">
        <v>4706.45</v>
      </c>
      <c r="Q38" s="232">
        <f t="shared" si="2"/>
        <v>0</v>
      </c>
    </row>
    <row r="39" spans="1:17" s="13" customFormat="1" ht="15" customHeight="1" x14ac:dyDescent="0.25">
      <c r="A39" s="229"/>
      <c r="B39" s="62" t="s">
        <v>34</v>
      </c>
      <c r="C39" s="181" t="s">
        <v>17</v>
      </c>
      <c r="D39" s="182"/>
      <c r="E39" s="194" t="s">
        <v>35</v>
      </c>
      <c r="F39" s="73" t="s">
        <v>335</v>
      </c>
      <c r="G39" s="74" t="s">
        <v>112</v>
      </c>
      <c r="H39" s="75">
        <v>37</v>
      </c>
      <c r="I39" s="76">
        <v>26</v>
      </c>
      <c r="J39" s="96">
        <f>4+2+2+7+4+1+1+2+5+1</f>
        <v>29</v>
      </c>
      <c r="K39" s="77">
        <f>8288.4+1267.86+845.24+13964.6+11418.26+21175.62+1092.81+2207.7+6312.67+3928.83</f>
        <v>70501.989999999991</v>
      </c>
      <c r="L39" s="77">
        <f>8288.4+1267.86+845.24+13964.6+11418.26+21175.62+1092.81+2207.7+6312.67+3928.83</f>
        <v>70501.989999999991</v>
      </c>
      <c r="M39" s="78">
        <f t="shared" si="1"/>
        <v>0</v>
      </c>
      <c r="N39" s="100">
        <f>4+4+6+1+3+1+3+1+2+1+1+2</f>
        <v>29</v>
      </c>
      <c r="O39" s="81">
        <f>23915.04+21171.88+6399.1+11460.81+1501.24+2795.71+8800.35</f>
        <v>76044.13</v>
      </c>
      <c r="P39" s="81">
        <f>23915.04+21171.88+6399.1+11460.81+1501.24+2795.71+8800.35</f>
        <v>76044.13</v>
      </c>
      <c r="Q39" s="79">
        <f t="shared" si="2"/>
        <v>0</v>
      </c>
    </row>
    <row r="40" spans="1:17" s="13" customFormat="1" ht="15" customHeight="1" x14ac:dyDescent="0.25">
      <c r="A40" s="229"/>
      <c r="B40" s="62" t="s">
        <v>34</v>
      </c>
      <c r="C40" s="181" t="s">
        <v>17</v>
      </c>
      <c r="D40" s="182"/>
      <c r="E40" s="194" t="s">
        <v>35</v>
      </c>
      <c r="F40" s="73" t="s">
        <v>424</v>
      </c>
      <c r="G40" s="235" t="s">
        <v>117</v>
      </c>
      <c r="H40" s="181">
        <v>2</v>
      </c>
      <c r="I40" s="231">
        <v>1</v>
      </c>
      <c r="J40" s="96">
        <v>3</v>
      </c>
      <c r="K40" s="77">
        <v>3842</v>
      </c>
      <c r="L40" s="77">
        <v>3842</v>
      </c>
      <c r="M40" s="78">
        <f t="shared" si="1"/>
        <v>0</v>
      </c>
      <c r="N40" s="100">
        <v>3</v>
      </c>
      <c r="O40" s="224">
        <v>9220.7999999999993</v>
      </c>
      <c r="P40" s="224">
        <v>9220.7999999999993</v>
      </c>
      <c r="Q40" s="232">
        <f t="shared" si="2"/>
        <v>0</v>
      </c>
    </row>
    <row r="41" spans="1:17" s="13" customFormat="1" ht="15" customHeight="1" x14ac:dyDescent="0.25">
      <c r="A41" s="229"/>
      <c r="B41" s="27" t="s">
        <v>36</v>
      </c>
      <c r="C41" s="181" t="s">
        <v>17</v>
      </c>
      <c r="D41" s="182"/>
      <c r="E41" s="194" t="s">
        <v>32</v>
      </c>
      <c r="F41" s="73" t="s">
        <v>336</v>
      </c>
      <c r="G41" s="74" t="s">
        <v>112</v>
      </c>
      <c r="H41" s="75">
        <v>35</v>
      </c>
      <c r="I41" s="76">
        <v>25</v>
      </c>
      <c r="J41" s="96">
        <f>1+3+4+2+2+7+6+2+5+2+2</f>
        <v>36</v>
      </c>
      <c r="K41" s="77">
        <f>2091.97+4201.22+3643.94+998.92+6188.59+7556.35+3399.86+9711+5191.85</f>
        <v>42983.7</v>
      </c>
      <c r="L41" s="77">
        <f>2091.97+4201.22+3643.94+998.92+6188.59+7556.35+3399.86+9711+5191.85</f>
        <v>42983.7</v>
      </c>
      <c r="M41" s="78">
        <f t="shared" si="1"/>
        <v>0</v>
      </c>
      <c r="N41" s="100">
        <f>4+2+5+1+1+4+1+1</f>
        <v>19</v>
      </c>
      <c r="O41" s="81">
        <f>26828.22+3116.2+14162+4691+13237.22+22342.31+1888.86</f>
        <v>86265.81</v>
      </c>
      <c r="P41" s="81">
        <f>26828.22+3116.2+14162+4691+13237.22+22342.31+1888.86</f>
        <v>86265.81</v>
      </c>
      <c r="Q41" s="79">
        <f t="shared" si="2"/>
        <v>0</v>
      </c>
    </row>
    <row r="42" spans="1:17" s="13" customFormat="1" ht="15" customHeight="1" x14ac:dyDescent="0.25">
      <c r="A42" s="229"/>
      <c r="B42" s="27" t="s">
        <v>38</v>
      </c>
      <c r="C42" s="181" t="s">
        <v>17</v>
      </c>
      <c r="D42" s="182"/>
      <c r="E42" s="183" t="s">
        <v>20</v>
      </c>
      <c r="F42" s="73" t="s">
        <v>338</v>
      </c>
      <c r="G42" s="74" t="s">
        <v>112</v>
      </c>
      <c r="H42" s="75">
        <v>56</v>
      </c>
      <c r="I42" s="76">
        <v>47</v>
      </c>
      <c r="J42" s="96">
        <f>5+9+3+4+4+2+3+3+11+3+4+4+1+5+7</f>
        <v>68</v>
      </c>
      <c r="K42" s="77">
        <f>4427.07+14262.52+23391.74+11108.38+9141.17+3923.07+23674.29+5445.61</f>
        <v>95373.849999999991</v>
      </c>
      <c r="L42" s="77">
        <f>4427.07+14262.52+23391.74+11108.38+9141.17+3923.07+23674.29+5445.61</f>
        <v>95373.849999999991</v>
      </c>
      <c r="M42" s="78">
        <f t="shared" si="1"/>
        <v>0</v>
      </c>
      <c r="N42" s="100">
        <f>1+14+2+2+2+3+1+1+2+1+1</f>
        <v>30</v>
      </c>
      <c r="O42" s="81">
        <f>34449.99+27363.78+23604.86+16739.26+15240.34+16003.48+4203.85</f>
        <v>137605.56</v>
      </c>
      <c r="P42" s="81">
        <f>34449.99+27363.78+23604.86+16739.26+15240.34+16003.48+4203.85</f>
        <v>137605.56</v>
      </c>
      <c r="Q42" s="79">
        <f t="shared" si="2"/>
        <v>0</v>
      </c>
    </row>
    <row r="43" spans="1:17" s="13" customFormat="1" ht="15" customHeight="1" x14ac:dyDescent="0.25">
      <c r="A43" s="229"/>
      <c r="B43" s="27" t="s">
        <v>38</v>
      </c>
      <c r="C43" s="181" t="s">
        <v>17</v>
      </c>
      <c r="D43" s="182"/>
      <c r="E43" s="183" t="s">
        <v>20</v>
      </c>
      <c r="F43" s="73" t="s">
        <v>268</v>
      </c>
      <c r="G43" s="230" t="s">
        <v>114</v>
      </c>
      <c r="H43" s="181"/>
      <c r="I43" s="231"/>
      <c r="J43" s="190"/>
      <c r="K43" s="77"/>
      <c r="L43" s="77"/>
      <c r="M43" s="78">
        <f t="shared" si="1"/>
        <v>0</v>
      </c>
      <c r="N43" s="100"/>
      <c r="O43" s="224"/>
      <c r="P43" s="224"/>
      <c r="Q43" s="232">
        <f t="shared" si="2"/>
        <v>0</v>
      </c>
    </row>
    <row r="44" spans="1:17" s="13" customFormat="1" ht="15" customHeight="1" x14ac:dyDescent="0.25">
      <c r="A44" s="229"/>
      <c r="B44" s="27" t="s">
        <v>38</v>
      </c>
      <c r="C44" s="181" t="s">
        <v>17</v>
      </c>
      <c r="D44" s="182"/>
      <c r="E44" s="183" t="s">
        <v>18</v>
      </c>
      <c r="F44" s="73" t="s">
        <v>324</v>
      </c>
      <c r="G44" s="230" t="s">
        <v>116</v>
      </c>
      <c r="H44" s="181">
        <v>6</v>
      </c>
      <c r="I44" s="231">
        <v>3</v>
      </c>
      <c r="J44" s="190">
        <v>3</v>
      </c>
      <c r="K44" s="77">
        <v>4098</v>
      </c>
      <c r="L44" s="77">
        <v>4098</v>
      </c>
      <c r="M44" s="78">
        <f t="shared" si="1"/>
        <v>0</v>
      </c>
      <c r="N44" s="100"/>
      <c r="O44" s="224"/>
      <c r="P44" s="224"/>
      <c r="Q44" s="232">
        <f t="shared" si="2"/>
        <v>0</v>
      </c>
    </row>
    <row r="45" spans="1:17" s="13" customFormat="1" ht="15" customHeight="1" x14ac:dyDescent="0.25">
      <c r="A45" s="229"/>
      <c r="B45" s="62" t="s">
        <v>39</v>
      </c>
      <c r="C45" s="181" t="s">
        <v>17</v>
      </c>
      <c r="D45" s="182"/>
      <c r="E45" s="183" t="s">
        <v>20</v>
      </c>
      <c r="F45" s="73" t="s">
        <v>269</v>
      </c>
      <c r="G45" s="230" t="s">
        <v>114</v>
      </c>
      <c r="H45" s="181"/>
      <c r="I45" s="231"/>
      <c r="J45" s="190"/>
      <c r="K45" s="77"/>
      <c r="L45" s="77"/>
      <c r="M45" s="78">
        <f t="shared" si="1"/>
        <v>0</v>
      </c>
      <c r="N45" s="100"/>
      <c r="O45" s="224"/>
      <c r="P45" s="224"/>
      <c r="Q45" s="232">
        <f t="shared" si="2"/>
        <v>0</v>
      </c>
    </row>
    <row r="46" spans="1:17" s="13" customFormat="1" ht="15" customHeight="1" x14ac:dyDescent="0.25">
      <c r="A46" s="229"/>
      <c r="B46" s="27" t="s">
        <v>40</v>
      </c>
      <c r="C46" s="181" t="s">
        <v>17</v>
      </c>
      <c r="D46" s="182"/>
      <c r="E46" s="194" t="s">
        <v>41</v>
      </c>
      <c r="F46" s="73" t="s">
        <v>339</v>
      </c>
      <c r="G46" s="74" t="s">
        <v>112</v>
      </c>
      <c r="H46" s="75">
        <v>32</v>
      </c>
      <c r="I46" s="76">
        <v>24</v>
      </c>
      <c r="J46" s="96">
        <f>1+1+3+9+4+4+3+2+1+1+2+3+3+5</f>
        <v>42</v>
      </c>
      <c r="K46" s="77">
        <f>1045.98+12271.86+15658.52+8166.35+6035.99+8024.36+2759.63+3460.61+3962.12+3444.02+17333.58</f>
        <v>82163.01999999999</v>
      </c>
      <c r="L46" s="77">
        <f>1045.98+12271.86+15658.52+8166.35+6035.99+8024.36+2759.63+3460.61+3962.12+3444.02+17333.58</f>
        <v>82163.01999999999</v>
      </c>
      <c r="M46" s="78">
        <f t="shared" si="1"/>
        <v>0</v>
      </c>
      <c r="N46" s="100">
        <f>3+13+6+5+4+2+1+1+1+1</f>
        <v>37</v>
      </c>
      <c r="O46" s="81">
        <f>17269.31+39990.78+16582.12+23492.44+7068.31+4243.84</f>
        <v>108646.79999999999</v>
      </c>
      <c r="P46" s="81">
        <f>17269.31+39990.78+16582.12+23492.44+7068.31+4243.84</f>
        <v>108646.79999999999</v>
      </c>
      <c r="Q46" s="79">
        <f t="shared" si="2"/>
        <v>0</v>
      </c>
    </row>
    <row r="47" spans="1:17" s="13" customFormat="1" ht="15" customHeight="1" x14ac:dyDescent="0.25">
      <c r="A47" s="229"/>
      <c r="B47" s="27" t="s">
        <v>40</v>
      </c>
      <c r="C47" s="181" t="s">
        <v>17</v>
      </c>
      <c r="D47" s="182"/>
      <c r="E47" s="194" t="s">
        <v>41</v>
      </c>
      <c r="F47" s="73" t="s">
        <v>482</v>
      </c>
      <c r="G47" s="230" t="s">
        <v>114</v>
      </c>
      <c r="H47" s="181"/>
      <c r="I47" s="231"/>
      <c r="J47" s="190"/>
      <c r="K47" s="77"/>
      <c r="L47" s="77"/>
      <c r="M47" s="78">
        <f t="shared" si="1"/>
        <v>0</v>
      </c>
      <c r="N47" s="100">
        <v>1</v>
      </c>
      <c r="O47" s="224">
        <v>3073.6</v>
      </c>
      <c r="P47" s="224">
        <f>3073.6</f>
        <v>3073.6</v>
      </c>
      <c r="Q47" s="232">
        <f t="shared" si="2"/>
        <v>0</v>
      </c>
    </row>
    <row r="48" spans="1:17" s="13" customFormat="1" ht="15" customHeight="1" x14ac:dyDescent="0.25">
      <c r="A48" s="229"/>
      <c r="B48" s="27" t="s">
        <v>148</v>
      </c>
      <c r="C48" s="181" t="s">
        <v>17</v>
      </c>
      <c r="D48" s="182"/>
      <c r="E48" s="183" t="s">
        <v>20</v>
      </c>
      <c r="F48" s="73" t="s">
        <v>340</v>
      </c>
      <c r="G48" s="74" t="s">
        <v>112</v>
      </c>
      <c r="H48" s="75">
        <v>23</v>
      </c>
      <c r="I48" s="82">
        <v>17</v>
      </c>
      <c r="J48" s="96">
        <f>1+2+1+4+4+2+3+1+1</f>
        <v>19</v>
      </c>
      <c r="K48" s="77">
        <f>537.88+2110.03+6723.98+8914.21+1204.2+602.1+903.15+1324.62</f>
        <v>22320.17</v>
      </c>
      <c r="L48" s="77">
        <f>537.88+2110.03+6723.98+8914.21+1204.2+602.1+903.15+1324.62</f>
        <v>22320.17</v>
      </c>
      <c r="M48" s="78">
        <f t="shared" si="1"/>
        <v>0</v>
      </c>
      <c r="N48" s="100">
        <f>6+5+3+1+1+1+1+1</f>
        <v>19</v>
      </c>
      <c r="O48" s="81">
        <f>9370.6+9456.38+8868.69+5367.27+11572.62+5889.04</f>
        <v>50524.600000000006</v>
      </c>
      <c r="P48" s="81">
        <f>9370.6+9456.38+8868.69+5367.27+11572.62+5889.04</f>
        <v>50524.600000000006</v>
      </c>
      <c r="Q48" s="79">
        <f t="shared" si="2"/>
        <v>0</v>
      </c>
    </row>
    <row r="49" spans="1:17" s="13" customFormat="1" ht="15" customHeight="1" x14ac:dyDescent="0.25">
      <c r="A49" s="229"/>
      <c r="B49" s="27" t="s">
        <v>148</v>
      </c>
      <c r="C49" s="181" t="s">
        <v>17</v>
      </c>
      <c r="D49" s="182"/>
      <c r="E49" s="194" t="s">
        <v>32</v>
      </c>
      <c r="F49" s="73" t="s">
        <v>425</v>
      </c>
      <c r="G49" s="230" t="s">
        <v>117</v>
      </c>
      <c r="H49" s="181">
        <v>14</v>
      </c>
      <c r="I49" s="231">
        <v>4</v>
      </c>
      <c r="J49" s="96">
        <v>4</v>
      </c>
      <c r="K49" s="77">
        <v>13707.82</v>
      </c>
      <c r="L49" s="77">
        <v>13707.82</v>
      </c>
      <c r="M49" s="78">
        <f t="shared" si="1"/>
        <v>0</v>
      </c>
      <c r="N49" s="100">
        <v>4</v>
      </c>
      <c r="O49" s="224">
        <v>12851.49</v>
      </c>
      <c r="P49" s="224">
        <v>12851.49</v>
      </c>
      <c r="Q49" s="232">
        <f t="shared" si="2"/>
        <v>0</v>
      </c>
    </row>
    <row r="50" spans="1:17" s="13" customFormat="1" ht="15" customHeight="1" x14ac:dyDescent="0.25">
      <c r="A50" s="229"/>
      <c r="B50" s="30" t="s">
        <v>42</v>
      </c>
      <c r="C50" s="181" t="s">
        <v>17</v>
      </c>
      <c r="D50" s="182"/>
      <c r="E50" s="183" t="s">
        <v>23</v>
      </c>
      <c r="F50" s="73" t="s">
        <v>341</v>
      </c>
      <c r="G50" s="74" t="s">
        <v>112</v>
      </c>
      <c r="H50" s="75">
        <v>36</v>
      </c>
      <c r="I50" s="76">
        <v>30</v>
      </c>
      <c r="J50" s="96">
        <f>5+3+5+3+8+3+8+5</f>
        <v>40</v>
      </c>
      <c r="K50" s="77">
        <f>7156.22+3849.11+8154.25+4149.36+15912.38+18649.91</f>
        <v>57871.229999999996</v>
      </c>
      <c r="L50" s="77">
        <f>7156.22+3849.11+8154.25+4149.36+15912.38+18649.91</f>
        <v>57871.229999999996</v>
      </c>
      <c r="M50" s="78">
        <f t="shared" si="1"/>
        <v>0</v>
      </c>
      <c r="N50" s="100">
        <f>4+6+9+2+4+2+2+3+3+2</f>
        <v>37</v>
      </c>
      <c r="O50" s="81">
        <f>5364.2+26170.88+2849.25+18965.6+9565.56+9423.5+18214.56</f>
        <v>90553.549999999988</v>
      </c>
      <c r="P50" s="81">
        <f>5364.2+26170.88+2849.25+18965.6+9565.56+9423.5+18214.56</f>
        <v>90553.549999999988</v>
      </c>
      <c r="Q50" s="79">
        <f t="shared" si="2"/>
        <v>0</v>
      </c>
    </row>
    <row r="51" spans="1:17" s="13" customFormat="1" ht="15" customHeight="1" x14ac:dyDescent="0.25">
      <c r="A51" s="229"/>
      <c r="B51" s="30" t="s">
        <v>42</v>
      </c>
      <c r="C51" s="181" t="s">
        <v>17</v>
      </c>
      <c r="D51" s="182"/>
      <c r="E51" s="183" t="s">
        <v>23</v>
      </c>
      <c r="F51" s="73" t="s">
        <v>437</v>
      </c>
      <c r="G51" s="230" t="s">
        <v>118</v>
      </c>
      <c r="H51" s="181">
        <v>2</v>
      </c>
      <c r="I51" s="231"/>
      <c r="J51" s="96"/>
      <c r="K51" s="77"/>
      <c r="L51" s="77"/>
      <c r="M51" s="78">
        <f t="shared" si="1"/>
        <v>0</v>
      </c>
      <c r="N51" s="100">
        <v>1</v>
      </c>
      <c r="O51" s="224">
        <v>7766.4</v>
      </c>
      <c r="P51" s="224">
        <v>7766.4</v>
      </c>
      <c r="Q51" s="232">
        <f t="shared" si="2"/>
        <v>0</v>
      </c>
    </row>
    <row r="52" spans="1:17" s="13" customFormat="1" ht="15" customHeight="1" x14ac:dyDescent="0.25">
      <c r="A52" s="229"/>
      <c r="B52" s="30" t="s">
        <v>173</v>
      </c>
      <c r="C52" s="181" t="s">
        <v>17</v>
      </c>
      <c r="D52" s="182"/>
      <c r="E52" s="230" t="s">
        <v>118</v>
      </c>
      <c r="F52" s="73" t="s">
        <v>342</v>
      </c>
      <c r="G52" s="74" t="s">
        <v>112</v>
      </c>
      <c r="H52" s="75">
        <v>4</v>
      </c>
      <c r="I52" s="76">
        <v>4</v>
      </c>
      <c r="J52" s="96">
        <f>1+2+1</f>
        <v>4</v>
      </c>
      <c r="K52" s="77">
        <f>6833.76+696.36</f>
        <v>7530.12</v>
      </c>
      <c r="L52" s="77">
        <f>6833.76+696.36</f>
        <v>7530.12</v>
      </c>
      <c r="M52" s="78">
        <f t="shared" si="1"/>
        <v>0</v>
      </c>
      <c r="N52" s="100">
        <f>4+2</f>
        <v>6</v>
      </c>
      <c r="O52" s="81">
        <f>5931.9+4183.92+3158.95</f>
        <v>13274.77</v>
      </c>
      <c r="P52" s="81">
        <f>5931.9+4183.92+3158.95</f>
        <v>13274.77</v>
      </c>
      <c r="Q52" s="79">
        <f t="shared" si="2"/>
        <v>0</v>
      </c>
    </row>
    <row r="53" spans="1:17" s="13" customFormat="1" ht="15" customHeight="1" x14ac:dyDescent="0.25">
      <c r="A53" s="229"/>
      <c r="B53" s="62" t="s">
        <v>143</v>
      </c>
      <c r="C53" s="181" t="s">
        <v>64</v>
      </c>
      <c r="D53" s="182" t="s">
        <v>444</v>
      </c>
      <c r="E53" s="183" t="s">
        <v>20</v>
      </c>
      <c r="F53" s="73" t="s">
        <v>445</v>
      </c>
      <c r="G53" s="230" t="s">
        <v>114</v>
      </c>
      <c r="H53" s="181">
        <v>30</v>
      </c>
      <c r="I53" s="234">
        <v>18</v>
      </c>
      <c r="J53" s="190">
        <v>18</v>
      </c>
      <c r="K53" s="193">
        <v>43336.800000000003</v>
      </c>
      <c r="L53" s="193">
        <v>40928.400000000001</v>
      </c>
      <c r="M53" s="78">
        <f t="shared" si="1"/>
        <v>2408.4000000000015</v>
      </c>
      <c r="N53" s="114">
        <v>18</v>
      </c>
      <c r="O53" s="224">
        <v>27390.400000000001</v>
      </c>
      <c r="P53" s="224">
        <v>27390.400000000001</v>
      </c>
      <c r="Q53" s="232">
        <f t="shared" si="2"/>
        <v>0</v>
      </c>
    </row>
    <row r="54" spans="1:17" s="13" customFormat="1" ht="15" customHeight="1" x14ac:dyDescent="0.25">
      <c r="A54" s="229"/>
      <c r="B54" s="30" t="s">
        <v>158</v>
      </c>
      <c r="C54" s="181" t="s">
        <v>17</v>
      </c>
      <c r="D54" s="182"/>
      <c r="E54" s="194" t="s">
        <v>32</v>
      </c>
      <c r="F54" s="73" t="s">
        <v>426</v>
      </c>
      <c r="G54" s="230" t="s">
        <v>117</v>
      </c>
      <c r="H54" s="181">
        <v>13</v>
      </c>
      <c r="I54" s="234">
        <v>6</v>
      </c>
      <c r="J54" s="190">
        <v>7</v>
      </c>
      <c r="K54" s="193">
        <v>12275.74</v>
      </c>
      <c r="L54" s="193">
        <v>12275.74</v>
      </c>
      <c r="M54" s="78">
        <f t="shared" si="1"/>
        <v>0</v>
      </c>
      <c r="N54" s="114">
        <v>5</v>
      </c>
      <c r="O54" s="224">
        <v>16813.7</v>
      </c>
      <c r="P54" s="224">
        <v>16813.7</v>
      </c>
      <c r="Q54" s="232">
        <f t="shared" si="2"/>
        <v>0</v>
      </c>
    </row>
    <row r="55" spans="1:17" s="15" customFormat="1" ht="15" customHeight="1" x14ac:dyDescent="0.25">
      <c r="A55" s="229"/>
      <c r="B55" s="62" t="s">
        <v>43</v>
      </c>
      <c r="C55" s="181" t="s">
        <v>17</v>
      </c>
      <c r="D55" s="182"/>
      <c r="E55" s="183" t="s">
        <v>18</v>
      </c>
      <c r="F55" s="73" t="s">
        <v>344</v>
      </c>
      <c r="G55" s="74" t="s">
        <v>112</v>
      </c>
      <c r="H55" s="75">
        <v>39</v>
      </c>
      <c r="I55" s="76">
        <v>29</v>
      </c>
      <c r="J55" s="96">
        <f>1+2+2+5+2+3+2+3+3+3+5+2</f>
        <v>33</v>
      </c>
      <c r="K55" s="77">
        <f>1776.93+926.88+3328.29+3172.19+9832.29+3539.2+3058.67+13375.29+3775.58</f>
        <v>42785.320000000007</v>
      </c>
      <c r="L55" s="77">
        <f>1776.93+926.88+3328.29+3172.19+9832.29+3539.2+3058.67+13375.29+3775.58</f>
        <v>42785.320000000007</v>
      </c>
      <c r="M55" s="78">
        <f t="shared" si="1"/>
        <v>0</v>
      </c>
      <c r="N55" s="100">
        <f>1+5+4+1+1+1+1+1+2</f>
        <v>17</v>
      </c>
      <c r="O55" s="81">
        <f>1223.8+3810.29+4959.02+10043.87+2769.48+2146.91+11926.24-1465.64</f>
        <v>35413.97</v>
      </c>
      <c r="P55" s="81">
        <f>1223.8+3810.29+4959.02+10043.87+2769.48+2146.91+11926.24-1465.64</f>
        <v>35413.97</v>
      </c>
      <c r="Q55" s="79">
        <f t="shared" si="2"/>
        <v>0</v>
      </c>
    </row>
    <row r="56" spans="1:17" s="15" customFormat="1" ht="30" customHeight="1" x14ac:dyDescent="0.25">
      <c r="A56" s="229"/>
      <c r="B56" s="62" t="s">
        <v>43</v>
      </c>
      <c r="C56" s="181" t="s">
        <v>304</v>
      </c>
      <c r="D56" s="182" t="s">
        <v>473</v>
      </c>
      <c r="E56" s="183" t="s">
        <v>18</v>
      </c>
      <c r="F56" s="73" t="s">
        <v>323</v>
      </c>
      <c r="G56" s="271" t="s">
        <v>116</v>
      </c>
      <c r="H56" s="181">
        <v>31</v>
      </c>
      <c r="I56" s="234">
        <v>24</v>
      </c>
      <c r="J56" s="98">
        <v>27</v>
      </c>
      <c r="K56" s="77">
        <v>36684</v>
      </c>
      <c r="L56" s="77">
        <v>36684</v>
      </c>
      <c r="M56" s="78">
        <f t="shared" si="1"/>
        <v>0</v>
      </c>
      <c r="N56" s="114">
        <v>21</v>
      </c>
      <c r="O56" s="224">
        <v>68563</v>
      </c>
      <c r="P56" s="224">
        <v>68563</v>
      </c>
      <c r="Q56" s="232">
        <f t="shared" si="2"/>
        <v>0</v>
      </c>
    </row>
    <row r="57" spans="1:17" s="13" customFormat="1" x14ac:dyDescent="0.25">
      <c r="A57" s="229"/>
      <c r="B57" s="30" t="s">
        <v>44</v>
      </c>
      <c r="C57" s="181" t="s">
        <v>17</v>
      </c>
      <c r="D57" s="182"/>
      <c r="E57" s="183" t="s">
        <v>20</v>
      </c>
      <c r="F57" s="73" t="s">
        <v>345</v>
      </c>
      <c r="G57" s="74" t="s">
        <v>112</v>
      </c>
      <c r="H57" s="75">
        <v>22</v>
      </c>
      <c r="I57" s="76">
        <v>13</v>
      </c>
      <c r="J57" s="96">
        <f>1+1+1+4+2+1+1+1+3</f>
        <v>15</v>
      </c>
      <c r="K57" s="77">
        <f>2422.38+1267.86+15410.58+1534.35+708.47+883.08+3910.61+496.73</f>
        <v>26634.06</v>
      </c>
      <c r="L57" s="77">
        <f>2422.38+1267.86+15410.58+1534.35+708.47+883.08+3910.61+496.73</f>
        <v>26634.06</v>
      </c>
      <c r="M57" s="78">
        <f t="shared" si="1"/>
        <v>0</v>
      </c>
      <c r="N57" s="100">
        <f>1+11</f>
        <v>12</v>
      </c>
      <c r="O57" s="81">
        <f>421.62+4603.39+10559.77+72902.04+3435.31</f>
        <v>91922.12999999999</v>
      </c>
      <c r="P57" s="81">
        <f>421.62+4603.39+10559.77+72902.04+3435.31</f>
        <v>91922.12999999999</v>
      </c>
      <c r="Q57" s="79">
        <f t="shared" si="2"/>
        <v>0</v>
      </c>
    </row>
    <row r="58" spans="1:17" s="13" customFormat="1" ht="15" customHeight="1" x14ac:dyDescent="0.25">
      <c r="A58" s="229"/>
      <c r="B58" s="30" t="s">
        <v>44</v>
      </c>
      <c r="C58" s="181" t="s">
        <v>17</v>
      </c>
      <c r="D58" s="182"/>
      <c r="E58" s="183" t="s">
        <v>20</v>
      </c>
      <c r="F58" s="73" t="s">
        <v>483</v>
      </c>
      <c r="G58" s="230" t="s">
        <v>114</v>
      </c>
      <c r="H58" s="181"/>
      <c r="I58" s="231"/>
      <c r="J58" s="190"/>
      <c r="K58" s="77"/>
      <c r="L58" s="77"/>
      <c r="M58" s="78">
        <f t="shared" si="1"/>
        <v>0</v>
      </c>
      <c r="N58" s="100">
        <v>3</v>
      </c>
      <c r="O58" s="224">
        <v>12543.8</v>
      </c>
      <c r="P58" s="224">
        <v>9934.7000000000007</v>
      </c>
      <c r="Q58" s="232">
        <f t="shared" si="2"/>
        <v>2609.0999999999985</v>
      </c>
    </row>
    <row r="59" spans="1:17" s="13" customFormat="1" ht="15" customHeight="1" x14ac:dyDescent="0.25">
      <c r="A59" s="229"/>
      <c r="B59" s="30" t="s">
        <v>492</v>
      </c>
      <c r="C59" s="181" t="s">
        <v>17</v>
      </c>
      <c r="D59" s="182"/>
      <c r="E59" s="183" t="s">
        <v>20</v>
      </c>
      <c r="F59" s="73" t="s">
        <v>499</v>
      </c>
      <c r="G59" s="230" t="s">
        <v>112</v>
      </c>
      <c r="H59" s="181">
        <v>10</v>
      </c>
      <c r="I59" s="231">
        <v>8</v>
      </c>
      <c r="J59" s="190">
        <f>1+8</f>
        <v>9</v>
      </c>
      <c r="K59" s="77">
        <f>1044.98+2096.62</f>
        <v>3141.6</v>
      </c>
      <c r="L59" s="77">
        <f>1044.98+2096.62</f>
        <v>3141.6</v>
      </c>
      <c r="M59" s="78">
        <f t="shared" si="1"/>
        <v>0</v>
      </c>
      <c r="N59" s="100"/>
      <c r="O59" s="224"/>
      <c r="P59" s="224"/>
      <c r="Q59" s="79">
        <f t="shared" si="2"/>
        <v>0</v>
      </c>
    </row>
    <row r="60" spans="1:17" s="13" customFormat="1" ht="15" customHeight="1" x14ac:dyDescent="0.25">
      <c r="A60" s="229"/>
      <c r="B60" s="27" t="s">
        <v>45</v>
      </c>
      <c r="C60" s="181" t="s">
        <v>17</v>
      </c>
      <c r="D60" s="182"/>
      <c r="E60" s="183" t="s">
        <v>20</v>
      </c>
      <c r="F60" s="73" t="s">
        <v>346</v>
      </c>
      <c r="G60" s="74" t="s">
        <v>112</v>
      </c>
      <c r="H60" s="75"/>
      <c r="I60" s="76"/>
      <c r="J60" s="96"/>
      <c r="K60" s="77"/>
      <c r="L60" s="77"/>
      <c r="M60" s="78">
        <f t="shared" si="1"/>
        <v>0</v>
      </c>
      <c r="N60" s="100">
        <f>1</f>
        <v>1</v>
      </c>
      <c r="O60" s="81">
        <f>17995.91+2729.8</f>
        <v>20725.71</v>
      </c>
      <c r="P60" s="81">
        <f>17995.91+2729.8</f>
        <v>20725.71</v>
      </c>
      <c r="Q60" s="79">
        <f t="shared" si="2"/>
        <v>0</v>
      </c>
    </row>
    <row r="61" spans="1:17" s="13" customFormat="1" ht="15" customHeight="1" x14ac:dyDescent="0.25">
      <c r="A61" s="229"/>
      <c r="B61" s="27" t="s">
        <v>45</v>
      </c>
      <c r="C61" s="181" t="s">
        <v>17</v>
      </c>
      <c r="D61" s="182"/>
      <c r="E61" s="183" t="s">
        <v>20</v>
      </c>
      <c r="F61" s="73" t="s">
        <v>484</v>
      </c>
      <c r="G61" s="230" t="s">
        <v>114</v>
      </c>
      <c r="H61" s="181"/>
      <c r="I61" s="231"/>
      <c r="J61" s="190"/>
      <c r="K61" s="77"/>
      <c r="L61" s="77"/>
      <c r="M61" s="78">
        <f t="shared" si="1"/>
        <v>0</v>
      </c>
      <c r="N61" s="100"/>
      <c r="O61" s="224"/>
      <c r="P61" s="224"/>
      <c r="Q61" s="232">
        <f t="shared" si="2"/>
        <v>0</v>
      </c>
    </row>
    <row r="62" spans="1:17" s="15" customFormat="1" x14ac:dyDescent="0.25">
      <c r="A62" s="229"/>
      <c r="B62" s="27" t="s">
        <v>46</v>
      </c>
      <c r="C62" s="181" t="s">
        <v>17</v>
      </c>
      <c r="D62" s="182"/>
      <c r="E62" s="183" t="s">
        <v>20</v>
      </c>
      <c r="F62" s="73" t="s">
        <v>347</v>
      </c>
      <c r="G62" s="74" t="s">
        <v>112</v>
      </c>
      <c r="H62" s="75">
        <v>21</v>
      </c>
      <c r="I62" s="76">
        <v>18</v>
      </c>
      <c r="J62" s="96">
        <f>1+2+3+2+4+1+4+2+1+5+1+1+4+1</f>
        <v>32</v>
      </c>
      <c r="K62" s="77">
        <f>1045.98+1068.08+8157.32+1778.85+9152.67+11156.63+11271.63+1490.2+9025.41+10714.36+1457.08+12068.04+1457.08</f>
        <v>79843.33</v>
      </c>
      <c r="L62" s="77">
        <f>1045.98+1068.08+8157.32+1778.85+9152.67+11156.63+11271.63+1490.2+9025.41+10714.36+1457.08+12068.04+1457.08</f>
        <v>79843.33</v>
      </c>
      <c r="M62" s="78">
        <f t="shared" si="1"/>
        <v>0</v>
      </c>
      <c r="N62" s="100">
        <f>4+4+1+1+1+2</f>
        <v>13</v>
      </c>
      <c r="O62" s="81">
        <f>10759.2+10685.34+7362.04+22509.72</f>
        <v>51316.3</v>
      </c>
      <c r="P62" s="81">
        <f>10759.2+10685.34+7362.04+22509.72</f>
        <v>51316.3</v>
      </c>
      <c r="Q62" s="79">
        <f t="shared" si="2"/>
        <v>0</v>
      </c>
    </row>
    <row r="63" spans="1:17" s="15" customFormat="1" ht="15" customHeight="1" x14ac:dyDescent="0.25">
      <c r="A63" s="229"/>
      <c r="B63" s="27" t="s">
        <v>46</v>
      </c>
      <c r="C63" s="181" t="s">
        <v>17</v>
      </c>
      <c r="D63" s="182"/>
      <c r="E63" s="183" t="s">
        <v>20</v>
      </c>
      <c r="F63" s="73" t="s">
        <v>273</v>
      </c>
      <c r="G63" s="230" t="s">
        <v>114</v>
      </c>
      <c r="H63" s="181">
        <v>6</v>
      </c>
      <c r="I63" s="231">
        <v>1</v>
      </c>
      <c r="J63" s="190">
        <v>1</v>
      </c>
      <c r="K63" s="77">
        <v>576.29999999999995</v>
      </c>
      <c r="L63" s="77">
        <v>576.29999999999995</v>
      </c>
      <c r="M63" s="78">
        <f t="shared" si="1"/>
        <v>0</v>
      </c>
      <c r="N63" s="100">
        <v>3</v>
      </c>
      <c r="O63" s="224">
        <v>9356.9</v>
      </c>
      <c r="P63" s="224">
        <v>9356.9</v>
      </c>
      <c r="Q63" s="232">
        <f t="shared" si="2"/>
        <v>0</v>
      </c>
    </row>
    <row r="64" spans="1:17" s="13" customFormat="1" ht="45" customHeight="1" x14ac:dyDescent="0.25">
      <c r="A64" s="229"/>
      <c r="B64" s="30" t="s">
        <v>47</v>
      </c>
      <c r="C64" s="181" t="s">
        <v>304</v>
      </c>
      <c r="D64" s="182" t="s">
        <v>474</v>
      </c>
      <c r="E64" s="183" t="s">
        <v>18</v>
      </c>
      <c r="F64" s="73" t="s">
        <v>348</v>
      </c>
      <c r="G64" s="74" t="s">
        <v>112</v>
      </c>
      <c r="H64" s="75">
        <v>65</v>
      </c>
      <c r="I64" s="76">
        <v>50</v>
      </c>
      <c r="J64" s="98">
        <f>1+1+3+21+7+2+5+2+7+15+14+7+2+5+5</f>
        <v>97</v>
      </c>
      <c r="K64" s="77">
        <f>30728.27+19236.99+22614.7+52735.68</f>
        <v>125315.64000000001</v>
      </c>
      <c r="L64" s="77">
        <f>30728.27+19236.99+22614.7+52735.68</f>
        <v>125315.64000000001</v>
      </c>
      <c r="M64" s="78">
        <f t="shared" si="1"/>
        <v>0</v>
      </c>
      <c r="N64" s="100">
        <f>7+3+4+10+6+1+2+1+3+2+5+1</f>
        <v>45</v>
      </c>
      <c r="O64" s="81">
        <f>8477.51+15159.83+14079.46+15414.2+17995.91+2065.56+1859.53+9543.86+1728.53+14526.84</f>
        <v>100851.23</v>
      </c>
      <c r="P64" s="81">
        <f>8477.51+15159.83+14079.46+15414.2+17995.91+2065.56+1859.53+9543.86+1728.53+14526.84</f>
        <v>100851.23</v>
      </c>
      <c r="Q64" s="79">
        <f t="shared" si="2"/>
        <v>0</v>
      </c>
    </row>
    <row r="65" spans="1:17" s="13" customFormat="1" ht="45" customHeight="1" x14ac:dyDescent="0.25">
      <c r="A65" s="229">
        <v>22</v>
      </c>
      <c r="B65" s="62" t="s">
        <v>120</v>
      </c>
      <c r="C65" s="181" t="s">
        <v>304</v>
      </c>
      <c r="D65" s="182" t="s">
        <v>474</v>
      </c>
      <c r="E65" s="183" t="s">
        <v>18</v>
      </c>
      <c r="F65" s="73" t="s">
        <v>334</v>
      </c>
      <c r="G65" s="230" t="s">
        <v>116</v>
      </c>
      <c r="H65" s="181">
        <v>34</v>
      </c>
      <c r="I65" s="234">
        <v>22</v>
      </c>
      <c r="J65" s="98">
        <v>24</v>
      </c>
      <c r="K65" s="77">
        <v>43355</v>
      </c>
      <c r="L65" s="77">
        <v>43355</v>
      </c>
      <c r="M65" s="78">
        <f t="shared" si="1"/>
        <v>0</v>
      </c>
      <c r="N65" s="100">
        <v>15</v>
      </c>
      <c r="O65" s="224">
        <v>60831</v>
      </c>
      <c r="P65" s="224">
        <v>60831</v>
      </c>
      <c r="Q65" s="232">
        <f t="shared" si="2"/>
        <v>0</v>
      </c>
    </row>
    <row r="66" spans="1:17" s="13" customFormat="1" ht="15" customHeight="1" x14ac:dyDescent="0.25">
      <c r="A66" s="229"/>
      <c r="B66" s="30" t="s">
        <v>134</v>
      </c>
      <c r="C66" s="181" t="s">
        <v>17</v>
      </c>
      <c r="D66" s="182"/>
      <c r="E66" s="183" t="s">
        <v>20</v>
      </c>
      <c r="F66" s="73" t="s">
        <v>349</v>
      </c>
      <c r="G66" s="74" t="s">
        <v>112</v>
      </c>
      <c r="H66" s="75">
        <v>24</v>
      </c>
      <c r="I66" s="76">
        <v>23</v>
      </c>
      <c r="J66" s="96">
        <f>1+4+1+1+2+1+1+7+1+1+2+1</f>
        <v>23</v>
      </c>
      <c r="K66" s="77">
        <f>7301.48+1473.89+1911.09+1690.48+845.24+6268.51+441.51+1983.45+3361.83+883.11+2668.51+2972.45+3953.39+2549.89+1534.35</f>
        <v>39839.18</v>
      </c>
      <c r="L66" s="77">
        <f>7301.48+1473.89+1911.09+1690.48+845.24+6268.51+441.51+1983.45+3361.83+883.11+2668.51+2972.45+3953.39+2549.89+1534.35</f>
        <v>39839.18</v>
      </c>
      <c r="M66" s="78">
        <f t="shared" si="1"/>
        <v>0</v>
      </c>
      <c r="N66" s="100">
        <f>4+1+1+1+1+1</f>
        <v>9</v>
      </c>
      <c r="O66" s="81">
        <f>5020.05+3215.31+12312.39+4648.82+32425.98+7889.42+3294.46</f>
        <v>68806.430000000008</v>
      </c>
      <c r="P66" s="81">
        <f>5020.05+3215.31+12312.39+4648.82+32425.98+7889.42+3294.46</f>
        <v>68806.430000000008</v>
      </c>
      <c r="Q66" s="79">
        <f t="shared" si="2"/>
        <v>0</v>
      </c>
    </row>
    <row r="67" spans="1:17" s="13" customFormat="1" ht="15" customHeight="1" x14ac:dyDescent="0.25">
      <c r="A67" s="229"/>
      <c r="B67" s="30" t="s">
        <v>134</v>
      </c>
      <c r="C67" s="181" t="s">
        <v>17</v>
      </c>
      <c r="D67" s="182"/>
      <c r="E67" s="183" t="s">
        <v>20</v>
      </c>
      <c r="F67" s="73" t="s">
        <v>456</v>
      </c>
      <c r="G67" s="230" t="s">
        <v>114</v>
      </c>
      <c r="H67" s="181">
        <v>27</v>
      </c>
      <c r="I67" s="231">
        <v>9</v>
      </c>
      <c r="J67" s="190">
        <v>9</v>
      </c>
      <c r="K67" s="77">
        <v>18987.419999999998</v>
      </c>
      <c r="L67" s="77">
        <v>18987.419999999998</v>
      </c>
      <c r="M67" s="78">
        <f t="shared" si="1"/>
        <v>0</v>
      </c>
      <c r="N67" s="100">
        <v>27</v>
      </c>
      <c r="O67" s="224">
        <v>61494.8</v>
      </c>
      <c r="P67" s="224">
        <v>61494.8</v>
      </c>
      <c r="Q67" s="232">
        <f t="shared" si="2"/>
        <v>0</v>
      </c>
    </row>
    <row r="68" spans="1:17" s="13" customFormat="1" ht="15" customHeight="1" x14ac:dyDescent="0.25">
      <c r="A68" s="229"/>
      <c r="B68" s="62" t="s">
        <v>48</v>
      </c>
      <c r="C68" s="181" t="s">
        <v>17</v>
      </c>
      <c r="D68" s="182"/>
      <c r="E68" s="183" t="s">
        <v>20</v>
      </c>
      <c r="F68" s="73" t="s">
        <v>350</v>
      </c>
      <c r="G68" s="74" t="s">
        <v>112</v>
      </c>
      <c r="H68" s="75">
        <v>21</v>
      </c>
      <c r="I68" s="76">
        <v>14</v>
      </c>
      <c r="J68" s="96">
        <f>1+1+2+1+3+2+6</f>
        <v>16</v>
      </c>
      <c r="K68" s="77">
        <f>4805.96+2585.78+3065.92+2588.55+14407.5+9289.05+3030.73+11469.98+21400.25</f>
        <v>72643.72</v>
      </c>
      <c r="L68" s="77">
        <f>4805.96+2585.78+3065.92+2588.55+14407.5+9289.05+3030.73+11469.98+21400.25</f>
        <v>72643.72</v>
      </c>
      <c r="M68" s="78">
        <f t="shared" si="1"/>
        <v>0</v>
      </c>
      <c r="N68" s="100">
        <f>2+1+2+1+3+2</f>
        <v>11</v>
      </c>
      <c r="O68" s="81">
        <f>23174.33+2535.72+11633.02+6993.42+20756.4+5079.09</f>
        <v>70171.98000000001</v>
      </c>
      <c r="P68" s="81">
        <f>23174.33+2535.72+11633.02+6993.42+20756.4+5079.09</f>
        <v>70171.98000000001</v>
      </c>
      <c r="Q68" s="79">
        <f t="shared" si="2"/>
        <v>0</v>
      </c>
    </row>
    <row r="69" spans="1:17" s="13" customFormat="1" ht="15" customHeight="1" x14ac:dyDescent="0.25">
      <c r="A69" s="229"/>
      <c r="B69" s="62" t="s">
        <v>49</v>
      </c>
      <c r="C69" s="181" t="s">
        <v>17</v>
      </c>
      <c r="D69" s="182"/>
      <c r="E69" s="183" t="s">
        <v>50</v>
      </c>
      <c r="F69" s="73" t="s">
        <v>351</v>
      </c>
      <c r="G69" s="74" t="s">
        <v>112</v>
      </c>
      <c r="H69" s="75">
        <v>30</v>
      </c>
      <c r="I69" s="76">
        <v>23</v>
      </c>
      <c r="J69" s="96">
        <f>1+4+8+6+5+1+2+2</f>
        <v>29</v>
      </c>
      <c r="K69" s="77">
        <f>525.65+1267.86+6544.72+13939.57+2896.54+9712.48+14471.86+991.75+8615.66+5704.78</f>
        <v>64670.869999999995</v>
      </c>
      <c r="L69" s="77">
        <f>525.65+1267.86+6544.72+13939.57+2896.54+9712.48+14471.86+991.75+8615.66+5704.78</f>
        <v>64670.869999999995</v>
      </c>
      <c r="M69" s="78">
        <f t="shared" si="1"/>
        <v>0</v>
      </c>
      <c r="N69" s="100">
        <f>5+1+3+1+1+1+1</f>
        <v>13</v>
      </c>
      <c r="O69" s="81">
        <f>7374+1806.93+7275.53+4666.9+2684.03+6682.03+10412.84</f>
        <v>40902.259999999995</v>
      </c>
      <c r="P69" s="81">
        <f>7374+1806.93+7275.53+4666.9+2684.03+6682.03+10412.84</f>
        <v>40902.259999999995</v>
      </c>
      <c r="Q69" s="232">
        <f t="shared" si="2"/>
        <v>0</v>
      </c>
    </row>
    <row r="70" spans="1:17" s="13" customFormat="1" ht="15" customHeight="1" x14ac:dyDescent="0.25">
      <c r="A70" s="229"/>
      <c r="B70" s="62" t="s">
        <v>49</v>
      </c>
      <c r="C70" s="181" t="s">
        <v>17</v>
      </c>
      <c r="D70" s="182"/>
      <c r="E70" s="183" t="s">
        <v>50</v>
      </c>
      <c r="F70" s="73" t="s">
        <v>427</v>
      </c>
      <c r="G70" s="230" t="s">
        <v>115</v>
      </c>
      <c r="H70" s="181">
        <v>20</v>
      </c>
      <c r="I70" s="231">
        <v>7</v>
      </c>
      <c r="J70" s="96">
        <v>7</v>
      </c>
      <c r="K70" s="77">
        <v>14739.83</v>
      </c>
      <c r="L70" s="77">
        <v>14739.83</v>
      </c>
      <c r="M70" s="78">
        <f t="shared" si="1"/>
        <v>0</v>
      </c>
      <c r="N70" s="100">
        <v>11</v>
      </c>
      <c r="O70" s="224">
        <v>25688.3</v>
      </c>
      <c r="P70" s="224">
        <v>25688.3</v>
      </c>
      <c r="Q70" s="79">
        <f t="shared" si="2"/>
        <v>0</v>
      </c>
    </row>
    <row r="71" spans="1:17" s="13" customFormat="1" ht="15" customHeight="1" x14ac:dyDescent="0.25">
      <c r="A71" s="229"/>
      <c r="B71" s="27" t="s">
        <v>51</v>
      </c>
      <c r="C71" s="181" t="s">
        <v>17</v>
      </c>
      <c r="D71" s="182"/>
      <c r="E71" s="183" t="s">
        <v>20</v>
      </c>
      <c r="F71" s="73" t="s">
        <v>186</v>
      </c>
      <c r="G71" s="74" t="s">
        <v>112</v>
      </c>
      <c r="H71" s="75"/>
      <c r="I71" s="76"/>
      <c r="J71" s="96"/>
      <c r="K71" s="77"/>
      <c r="L71" s="77"/>
      <c r="M71" s="78">
        <f t="shared" si="1"/>
        <v>0</v>
      </c>
      <c r="N71" s="100">
        <f>1</f>
        <v>1</v>
      </c>
      <c r="O71" s="81">
        <v>2451.87</v>
      </c>
      <c r="P71" s="81">
        <v>2451.87</v>
      </c>
      <c r="Q71" s="232">
        <f t="shared" si="2"/>
        <v>0</v>
      </c>
    </row>
    <row r="72" spans="1:17" s="13" customFormat="1" ht="15" customHeight="1" x14ac:dyDescent="0.25">
      <c r="A72" s="229"/>
      <c r="B72" s="27" t="s">
        <v>51</v>
      </c>
      <c r="C72" s="181" t="s">
        <v>17</v>
      </c>
      <c r="D72" s="182"/>
      <c r="E72" s="183" t="s">
        <v>20</v>
      </c>
      <c r="F72" s="73" t="s">
        <v>276</v>
      </c>
      <c r="G72" s="230" t="s">
        <v>114</v>
      </c>
      <c r="H72" s="181"/>
      <c r="I72" s="231"/>
      <c r="J72" s="190"/>
      <c r="K72" s="77"/>
      <c r="L72" s="77"/>
      <c r="M72" s="78">
        <f t="shared" si="1"/>
        <v>0</v>
      </c>
      <c r="N72" s="100">
        <v>3</v>
      </c>
      <c r="O72" s="224">
        <v>6763.6</v>
      </c>
      <c r="P72" s="224">
        <v>6763.6</v>
      </c>
      <c r="Q72" s="232">
        <f t="shared" si="2"/>
        <v>0</v>
      </c>
    </row>
    <row r="73" spans="1:17" s="13" customFormat="1" ht="15" customHeight="1" x14ac:dyDescent="0.25">
      <c r="A73" s="229"/>
      <c r="B73" s="62" t="s">
        <v>52</v>
      </c>
      <c r="C73" s="181" t="s">
        <v>17</v>
      </c>
      <c r="D73" s="182"/>
      <c r="E73" s="183" t="s">
        <v>20</v>
      </c>
      <c r="F73" s="73" t="s">
        <v>352</v>
      </c>
      <c r="G73" s="74" t="s">
        <v>112</v>
      </c>
      <c r="H73" s="75">
        <v>16</v>
      </c>
      <c r="I73" s="76">
        <v>13</v>
      </c>
      <c r="J73" s="96">
        <f>1+1+1+1+2+3+1+1+1+2+1+1</f>
        <v>16</v>
      </c>
      <c r="K73" s="77">
        <f>10714.2+2747.14+2138.07+6709.4+7033.21+883.08+708.47+8516.02+1766.16</f>
        <v>41215.75</v>
      </c>
      <c r="L73" s="77">
        <f>10714.2+2747.14+2138.07+6709.4+7033.21+883.08+708.47+8516.02+1766.16</f>
        <v>41215.75</v>
      </c>
      <c r="M73" s="78">
        <f t="shared" si="1"/>
        <v>0</v>
      </c>
      <c r="N73" s="100">
        <f>4+3+1+1+2+3+1+1+2+1</f>
        <v>19</v>
      </c>
      <c r="O73" s="81">
        <f>5977.15+48296.91+7596.86+1061.83+8902.9+6856.31+2935.36+8136.06+17654.09</f>
        <v>107417.47</v>
      </c>
      <c r="P73" s="81">
        <f>5977.15+48296.91+7596.86+1061.83+8902.9+6856.31+2935.36+8136.06+17654.09</f>
        <v>107417.47</v>
      </c>
      <c r="Q73" s="232">
        <f t="shared" si="2"/>
        <v>0</v>
      </c>
    </row>
    <row r="74" spans="1:17" s="13" customFormat="1" ht="15" customHeight="1" x14ac:dyDescent="0.25">
      <c r="A74" s="229"/>
      <c r="B74" s="62" t="s">
        <v>52</v>
      </c>
      <c r="C74" s="181" t="s">
        <v>17</v>
      </c>
      <c r="D74" s="182"/>
      <c r="E74" s="183" t="s">
        <v>20</v>
      </c>
      <c r="F74" s="73" t="s">
        <v>457</v>
      </c>
      <c r="G74" s="230" t="s">
        <v>114</v>
      </c>
      <c r="H74" s="181">
        <v>16</v>
      </c>
      <c r="I74" s="231">
        <v>6</v>
      </c>
      <c r="J74" s="190">
        <v>6</v>
      </c>
      <c r="K74" s="77">
        <v>19270.099999999999</v>
      </c>
      <c r="L74" s="77">
        <v>19270.099999999999</v>
      </c>
      <c r="M74" s="78">
        <f t="shared" si="1"/>
        <v>0</v>
      </c>
      <c r="N74" s="100">
        <v>23</v>
      </c>
      <c r="O74" s="264">
        <v>66614.92</v>
      </c>
      <c r="P74" s="264">
        <v>66614.92</v>
      </c>
      <c r="Q74" s="232">
        <f t="shared" si="2"/>
        <v>0</v>
      </c>
    </row>
    <row r="75" spans="1:17" s="13" customFormat="1" ht="15" customHeight="1" x14ac:dyDescent="0.25">
      <c r="A75" s="229"/>
      <c r="B75" s="27" t="s">
        <v>53</v>
      </c>
      <c r="C75" s="181" t="s">
        <v>17</v>
      </c>
      <c r="D75" s="182"/>
      <c r="E75" s="183" t="s">
        <v>20</v>
      </c>
      <c r="F75" s="73" t="s">
        <v>353</v>
      </c>
      <c r="G75" s="74" t="s">
        <v>112</v>
      </c>
      <c r="H75" s="75">
        <v>18</v>
      </c>
      <c r="I75" s="76">
        <v>12</v>
      </c>
      <c r="J75" s="96">
        <f>2+2+2+1+2+1+1+3+2</f>
        <v>16</v>
      </c>
      <c r="K75" s="77">
        <f>3655.66+6862.24+2535.72+3550.85+401.4+441.54+3534.2+10803.69</f>
        <v>31785.300000000003</v>
      </c>
      <c r="L75" s="77">
        <f>3655.66+6862.24+2535.72+3550.85+401.4+441.54+3534.2+10803.69</f>
        <v>31785.300000000003</v>
      </c>
      <c r="M75" s="78">
        <f t="shared" si="1"/>
        <v>0</v>
      </c>
      <c r="N75" s="100">
        <f>1+2+2+1+1+1</f>
        <v>8</v>
      </c>
      <c r="O75" s="81">
        <f>1743.3+3921.71+422.62+5626.45+37901.04</f>
        <v>49615.12</v>
      </c>
      <c r="P75" s="81">
        <f>1743.3+3921.71+422.62+5626.45+37901.04</f>
        <v>49615.12</v>
      </c>
      <c r="Q75" s="232">
        <f t="shared" si="2"/>
        <v>0</v>
      </c>
    </row>
    <row r="76" spans="1:17" s="13" customFormat="1" ht="15" customHeight="1" x14ac:dyDescent="0.25">
      <c r="A76" s="229"/>
      <c r="B76" s="27" t="s">
        <v>149</v>
      </c>
      <c r="C76" s="181" t="s">
        <v>17</v>
      </c>
      <c r="D76" s="182"/>
      <c r="E76" s="183" t="s">
        <v>383</v>
      </c>
      <c r="F76" s="73" t="s">
        <v>354</v>
      </c>
      <c r="G76" s="74" t="s">
        <v>112</v>
      </c>
      <c r="H76" s="75">
        <v>43</v>
      </c>
      <c r="I76" s="76">
        <v>19</v>
      </c>
      <c r="J76" s="96">
        <f>7+3+3+7+4</f>
        <v>24</v>
      </c>
      <c r="K76" s="77">
        <f>7743.07+4386.1+10376.2+18444.03</f>
        <v>40949.4</v>
      </c>
      <c r="L76" s="77">
        <f>7743.07+4386.1+10376.2+18444.03</f>
        <v>40949.4</v>
      </c>
      <c r="M76" s="78">
        <f t="shared" si="1"/>
        <v>0</v>
      </c>
      <c r="N76" s="100">
        <f>2+2+2+1</f>
        <v>7</v>
      </c>
      <c r="O76" s="81">
        <f>3676.8+3431.65+6320.35+4068.03</f>
        <v>17496.830000000002</v>
      </c>
      <c r="P76" s="81">
        <f>3676.8+3431.65+6320.35+4068.03</f>
        <v>17496.830000000002</v>
      </c>
      <c r="Q76" s="79">
        <f t="shared" si="2"/>
        <v>0</v>
      </c>
    </row>
    <row r="77" spans="1:17" s="13" customFormat="1" ht="15" customHeight="1" x14ac:dyDescent="0.25">
      <c r="A77" s="229"/>
      <c r="B77" s="27" t="s">
        <v>149</v>
      </c>
      <c r="C77" s="181" t="s">
        <v>17</v>
      </c>
      <c r="D77" s="182"/>
      <c r="E77" s="183" t="s">
        <v>383</v>
      </c>
      <c r="F77" s="73" t="s">
        <v>438</v>
      </c>
      <c r="G77" s="230" t="s">
        <v>118</v>
      </c>
      <c r="H77" s="181">
        <v>21</v>
      </c>
      <c r="I77" s="234">
        <v>3</v>
      </c>
      <c r="J77" s="190">
        <v>3</v>
      </c>
      <c r="K77" s="193">
        <v>3988.2</v>
      </c>
      <c r="L77" s="193">
        <v>3988.2</v>
      </c>
      <c r="M77" s="78">
        <f t="shared" si="1"/>
        <v>0</v>
      </c>
      <c r="N77" s="114">
        <v>10</v>
      </c>
      <c r="O77" s="224">
        <v>9835.52</v>
      </c>
      <c r="P77" s="224">
        <v>9835.52</v>
      </c>
      <c r="Q77" s="232">
        <f t="shared" si="2"/>
        <v>0</v>
      </c>
    </row>
    <row r="78" spans="1:17" s="13" customFormat="1" ht="15" customHeight="1" x14ac:dyDescent="0.25">
      <c r="A78" s="229"/>
      <c r="B78" s="62" t="s">
        <v>107</v>
      </c>
      <c r="C78" s="181" t="s">
        <v>17</v>
      </c>
      <c r="D78" s="182"/>
      <c r="E78" s="194" t="s">
        <v>20</v>
      </c>
      <c r="F78" s="73" t="s">
        <v>355</v>
      </c>
      <c r="G78" s="74" t="s">
        <v>112</v>
      </c>
      <c r="H78" s="75">
        <v>22</v>
      </c>
      <c r="I78" s="76">
        <v>12</v>
      </c>
      <c r="J78" s="96">
        <f>1+3+3+2+1+2+1+1</f>
        <v>14</v>
      </c>
      <c r="K78" s="77">
        <f>666.63+7071.2+5333.38+13316.37+23091.24+4686.95+2216.53+401.4+401.4+9002.54+7650.44</f>
        <v>73838.080000000016</v>
      </c>
      <c r="L78" s="77">
        <f>666.63+7071.2+5333.38+13316.37+23091.24+4686.95+2216.53+401.4+401.4+9002.54+7650.44</f>
        <v>73838.080000000016</v>
      </c>
      <c r="M78" s="78">
        <f t="shared" ref="M78:M141" si="3">K78-L78</f>
        <v>0</v>
      </c>
      <c r="N78" s="100">
        <f>2+6+1+1+2+1</f>
        <v>13</v>
      </c>
      <c r="O78" s="81">
        <f>7612.92+18804.48+9163.33+3260.98+6297.63+2609.1+642.24</f>
        <v>48390.68</v>
      </c>
      <c r="P78" s="81">
        <f>7612.92+18804.48+9163.33+3260.98+6297.63+2609.1+642.24</f>
        <v>48390.68</v>
      </c>
      <c r="Q78" s="79">
        <f t="shared" si="2"/>
        <v>0</v>
      </c>
    </row>
    <row r="79" spans="1:17" s="13" customFormat="1" ht="15" customHeight="1" x14ac:dyDescent="0.25">
      <c r="A79" s="229"/>
      <c r="B79" s="30" t="s">
        <v>54</v>
      </c>
      <c r="C79" s="181" t="s">
        <v>17</v>
      </c>
      <c r="D79" s="182"/>
      <c r="E79" s="194" t="s">
        <v>20</v>
      </c>
      <c r="F79" s="73" t="s">
        <v>356</v>
      </c>
      <c r="G79" s="74" t="s">
        <v>112</v>
      </c>
      <c r="H79" s="75"/>
      <c r="I79" s="76"/>
      <c r="J79" s="96"/>
      <c r="K79" s="77">
        <f>9075.37</f>
        <v>9075.3700000000008</v>
      </c>
      <c r="L79" s="77">
        <f>9075.37</f>
        <v>9075.3700000000008</v>
      </c>
      <c r="M79" s="78">
        <f t="shared" si="3"/>
        <v>0</v>
      </c>
      <c r="N79" s="100">
        <f>4+1+1+2+1</f>
        <v>9</v>
      </c>
      <c r="O79" s="81">
        <f>17895.28+17443.73+5473.41+2994.97</f>
        <v>43807.39</v>
      </c>
      <c r="P79" s="81">
        <f>17895.28+17443.73+5473.41+2994.97</f>
        <v>43807.39</v>
      </c>
      <c r="Q79" s="79">
        <f t="shared" si="2"/>
        <v>0</v>
      </c>
    </row>
    <row r="80" spans="1:17" s="13" customFormat="1" ht="30" customHeight="1" x14ac:dyDescent="0.25">
      <c r="A80" s="229"/>
      <c r="B80" s="27" t="s">
        <v>55</v>
      </c>
      <c r="C80" s="181" t="s">
        <v>304</v>
      </c>
      <c r="D80" s="182" t="s">
        <v>387</v>
      </c>
      <c r="E80" s="183" t="s">
        <v>20</v>
      </c>
      <c r="F80" s="73" t="s">
        <v>357</v>
      </c>
      <c r="G80" s="74" t="s">
        <v>112</v>
      </c>
      <c r="H80" s="75">
        <v>32</v>
      </c>
      <c r="I80" s="76">
        <v>24</v>
      </c>
      <c r="J80" s="98">
        <f>3+1+1+2+1+1+1+3+3+1+3+1+3+3</f>
        <v>27</v>
      </c>
      <c r="K80" s="77">
        <f>1267.86+6667.8+5756.15+1180.38+4780.37+4352.43+2850.42+2493.42+1404.9+10097.91+883.08+8774.66+2561.63</f>
        <v>53071.01</v>
      </c>
      <c r="L80" s="77">
        <f>1267.86+6667.8+5756.15+1180.38+4780.37+4352.43+2850.42+2493.42+1404.9+10097.91+883.08+8774.66+2561.63</f>
        <v>53071.01</v>
      </c>
      <c r="M80" s="78">
        <f t="shared" si="3"/>
        <v>0</v>
      </c>
      <c r="N80" s="100">
        <f>2+1+2+2+2+1+2+1+1+1</f>
        <v>15</v>
      </c>
      <c r="O80" s="81">
        <f>34854.19+2113.1+6430.67+5463.42+39145.22+2535.72+5132.44+12985.86+3492.63</f>
        <v>112153.25000000001</v>
      </c>
      <c r="P80" s="81">
        <f>34854.19+2113.1+6430.67+5463.42+39145.22+2535.72+5132.44+12985.86+3492.63</f>
        <v>112153.25000000001</v>
      </c>
      <c r="Q80" s="232">
        <f t="shared" si="2"/>
        <v>0</v>
      </c>
    </row>
    <row r="81" spans="1:17" s="13" customFormat="1" ht="30" customHeight="1" x14ac:dyDescent="0.25">
      <c r="A81" s="229"/>
      <c r="B81" s="62" t="s">
        <v>56</v>
      </c>
      <c r="C81" s="181" t="s">
        <v>17</v>
      </c>
      <c r="D81" s="182" t="s">
        <v>386</v>
      </c>
      <c r="E81" s="183" t="s">
        <v>18</v>
      </c>
      <c r="F81" s="73" t="s">
        <v>358</v>
      </c>
      <c r="G81" s="74" t="s">
        <v>112</v>
      </c>
      <c r="H81" s="75">
        <v>14</v>
      </c>
      <c r="I81" s="76">
        <v>12</v>
      </c>
      <c r="J81" s="96">
        <f>1+1+2+2+5+1</f>
        <v>12</v>
      </c>
      <c r="K81" s="77">
        <f>678.11+678.11+4865.7+5265.72+4915.15+2243.02</f>
        <v>18645.810000000001</v>
      </c>
      <c r="L81" s="77">
        <f>678.11+678.11+4865.7+5265.72+4915.15+2243.02</f>
        <v>18645.810000000001</v>
      </c>
      <c r="M81" s="78">
        <f t="shared" si="3"/>
        <v>0</v>
      </c>
      <c r="N81" s="100">
        <f>1</f>
        <v>1</v>
      </c>
      <c r="O81" s="81">
        <f>4395.5</f>
        <v>4395.5</v>
      </c>
      <c r="P81" s="81">
        <f>4395.5</f>
        <v>4395.5</v>
      </c>
      <c r="Q81" s="79">
        <f t="shared" si="2"/>
        <v>0</v>
      </c>
    </row>
    <row r="82" spans="1:17" s="13" customFormat="1" ht="30" customHeight="1" x14ac:dyDescent="0.25">
      <c r="A82" s="229"/>
      <c r="B82" s="62" t="s">
        <v>56</v>
      </c>
      <c r="C82" s="181" t="s">
        <v>304</v>
      </c>
      <c r="D82" s="182" t="s">
        <v>386</v>
      </c>
      <c r="E82" s="183" t="s">
        <v>18</v>
      </c>
      <c r="F82" s="73" t="s">
        <v>476</v>
      </c>
      <c r="G82" s="230" t="s">
        <v>113</v>
      </c>
      <c r="H82" s="181">
        <v>14</v>
      </c>
      <c r="I82" s="234">
        <v>10</v>
      </c>
      <c r="J82" s="98">
        <v>11</v>
      </c>
      <c r="K82" s="77">
        <v>20460</v>
      </c>
      <c r="L82" s="77">
        <v>20460</v>
      </c>
      <c r="M82" s="78">
        <f t="shared" si="3"/>
        <v>0</v>
      </c>
      <c r="N82" s="100"/>
      <c r="O82" s="224">
        <v>7612</v>
      </c>
      <c r="P82" s="224">
        <v>7612</v>
      </c>
      <c r="Q82" s="232">
        <f t="shared" ref="Q82:Q147" si="4">O82-P82</f>
        <v>0</v>
      </c>
    </row>
    <row r="83" spans="1:17" s="13" customFormat="1" ht="15" customHeight="1" x14ac:dyDescent="0.25">
      <c r="A83" s="229"/>
      <c r="B83" s="62" t="s">
        <v>156</v>
      </c>
      <c r="C83" s="181" t="s">
        <v>304</v>
      </c>
      <c r="D83" s="182"/>
      <c r="E83" s="183" t="s">
        <v>20</v>
      </c>
      <c r="F83" s="73" t="s">
        <v>359</v>
      </c>
      <c r="G83" s="74" t="s">
        <v>112</v>
      </c>
      <c r="H83" s="75">
        <v>5</v>
      </c>
      <c r="I83" s="76">
        <v>2</v>
      </c>
      <c r="J83" s="96">
        <f>2</f>
        <v>2</v>
      </c>
      <c r="K83" s="77">
        <f>1690.48+993.47</f>
        <v>2683.95</v>
      </c>
      <c r="L83" s="77">
        <f>1690.48+993.47</f>
        <v>2683.95</v>
      </c>
      <c r="M83" s="78">
        <f t="shared" si="3"/>
        <v>0</v>
      </c>
      <c r="N83" s="100">
        <f>3+1+1</f>
        <v>5</v>
      </c>
      <c r="O83" s="81">
        <f>5488.54+2398.37+422.62+1605.6</f>
        <v>9915.130000000001</v>
      </c>
      <c r="P83" s="81">
        <f>5488.54+2398.37+422.62+1605.6</f>
        <v>9915.130000000001</v>
      </c>
      <c r="Q83" s="79">
        <f t="shared" si="4"/>
        <v>0</v>
      </c>
    </row>
    <row r="84" spans="1:17" s="15" customFormat="1" ht="15" customHeight="1" x14ac:dyDescent="0.25">
      <c r="A84" s="229"/>
      <c r="B84" s="62" t="s">
        <v>57</v>
      </c>
      <c r="C84" s="181" t="s">
        <v>17</v>
      </c>
      <c r="D84" s="182"/>
      <c r="E84" s="183" t="s">
        <v>20</v>
      </c>
      <c r="F84" s="73" t="s">
        <v>360</v>
      </c>
      <c r="G84" s="74" t="s">
        <v>112</v>
      </c>
      <c r="H84" s="75">
        <v>9</v>
      </c>
      <c r="I84" s="76">
        <v>8</v>
      </c>
      <c r="J84" s="96">
        <f>2+1+1+2+2</f>
        <v>8</v>
      </c>
      <c r="K84" s="77">
        <f>806.82+1728.9+422.62+2958.34+863.01</f>
        <v>6779.6900000000005</v>
      </c>
      <c r="L84" s="77">
        <f>806.82+1728.9+422.62+2958.34+863.01</f>
        <v>6779.6900000000005</v>
      </c>
      <c r="M84" s="78">
        <f t="shared" si="3"/>
        <v>0</v>
      </c>
      <c r="N84" s="100">
        <f>2+1</f>
        <v>3</v>
      </c>
      <c r="O84" s="81">
        <f>2745.3</f>
        <v>2745.3</v>
      </c>
      <c r="P84" s="81">
        <f>2745.3</f>
        <v>2745.3</v>
      </c>
      <c r="Q84" s="232">
        <f t="shared" si="4"/>
        <v>0</v>
      </c>
    </row>
    <row r="85" spans="1:17" s="15" customFormat="1" ht="15" customHeight="1" x14ac:dyDescent="0.25">
      <c r="A85" s="229"/>
      <c r="B85" s="62" t="s">
        <v>57</v>
      </c>
      <c r="C85" s="181" t="s">
        <v>17</v>
      </c>
      <c r="D85" s="182"/>
      <c r="E85" s="183" t="s">
        <v>20</v>
      </c>
      <c r="F85" s="73" t="s">
        <v>458</v>
      </c>
      <c r="G85" s="230" t="s">
        <v>114</v>
      </c>
      <c r="H85" s="181">
        <v>40</v>
      </c>
      <c r="I85" s="231">
        <v>18</v>
      </c>
      <c r="J85" s="190">
        <v>18</v>
      </c>
      <c r="K85" s="77">
        <v>50821.97</v>
      </c>
      <c r="L85" s="77">
        <v>50821.97</v>
      </c>
      <c r="M85" s="78">
        <f t="shared" si="3"/>
        <v>0</v>
      </c>
      <c r="N85" s="100">
        <v>20</v>
      </c>
      <c r="O85" s="224">
        <v>42687.199999999997</v>
      </c>
      <c r="P85" s="224">
        <v>42687.199999999997</v>
      </c>
      <c r="Q85" s="232">
        <f t="shared" si="4"/>
        <v>0</v>
      </c>
    </row>
    <row r="86" spans="1:17" s="13" customFormat="1" ht="15" customHeight="1" x14ac:dyDescent="0.25">
      <c r="A86" s="229"/>
      <c r="B86" s="62" t="s">
        <v>58</v>
      </c>
      <c r="C86" s="181" t="s">
        <v>17</v>
      </c>
      <c r="D86" s="182"/>
      <c r="E86" s="183" t="s">
        <v>20</v>
      </c>
      <c r="F86" s="73" t="s">
        <v>361</v>
      </c>
      <c r="G86" s="74" t="s">
        <v>112</v>
      </c>
      <c r="H86" s="75">
        <v>11</v>
      </c>
      <c r="I86" s="76">
        <v>9</v>
      </c>
      <c r="J86" s="96">
        <f>1+2+1+1+1+1+2</f>
        <v>9</v>
      </c>
      <c r="K86" s="77">
        <f>1892.47+3118.94+422.62+1324.62+12755.56</f>
        <v>19514.21</v>
      </c>
      <c r="L86" s="77">
        <f>1892.47+3118.94+422.62+1324.62+12755.56</f>
        <v>19514.21</v>
      </c>
      <c r="M86" s="78">
        <f t="shared" si="3"/>
        <v>0</v>
      </c>
      <c r="N86" s="100">
        <f>1+1+3+1</f>
        <v>6</v>
      </c>
      <c r="O86" s="81">
        <f>9196.24+2480.78+2954.11+15214.32</f>
        <v>29845.45</v>
      </c>
      <c r="P86" s="81">
        <f>9196.24+2480.78+2954.11+15214.32</f>
        <v>29845.45</v>
      </c>
      <c r="Q86" s="232">
        <f t="shared" si="4"/>
        <v>0</v>
      </c>
    </row>
    <row r="87" spans="1:17" s="13" customFormat="1" ht="15" customHeight="1" x14ac:dyDescent="0.25">
      <c r="A87" s="229"/>
      <c r="B87" s="62" t="s">
        <v>58</v>
      </c>
      <c r="C87" s="181" t="s">
        <v>17</v>
      </c>
      <c r="D87" s="182"/>
      <c r="E87" s="183" t="s">
        <v>20</v>
      </c>
      <c r="F87" s="73" t="s">
        <v>478</v>
      </c>
      <c r="G87" s="230" t="s">
        <v>114</v>
      </c>
      <c r="H87" s="181">
        <v>15</v>
      </c>
      <c r="I87" s="231">
        <v>3</v>
      </c>
      <c r="J87" s="190">
        <v>3</v>
      </c>
      <c r="K87" s="77">
        <v>3765.16</v>
      </c>
      <c r="L87" s="77">
        <v>3765.16</v>
      </c>
      <c r="M87" s="78">
        <f t="shared" si="3"/>
        <v>0</v>
      </c>
      <c r="N87" s="100">
        <v>21</v>
      </c>
      <c r="O87" s="224">
        <v>54215.77</v>
      </c>
      <c r="P87" s="224">
        <v>54215.77</v>
      </c>
      <c r="Q87" s="232">
        <f t="shared" si="4"/>
        <v>0</v>
      </c>
    </row>
    <row r="88" spans="1:17" s="13" customFormat="1" ht="15" customHeight="1" x14ac:dyDescent="0.25">
      <c r="A88" s="229"/>
      <c r="B88" s="62" t="s">
        <v>59</v>
      </c>
      <c r="C88" s="181" t="s">
        <v>17</v>
      </c>
      <c r="D88" s="182"/>
      <c r="E88" s="183" t="s">
        <v>20</v>
      </c>
      <c r="F88" s="73" t="s">
        <v>362</v>
      </c>
      <c r="G88" s="74" t="s">
        <v>112</v>
      </c>
      <c r="H88" s="75">
        <v>16</v>
      </c>
      <c r="I88" s="76">
        <v>10</v>
      </c>
      <c r="J88" s="96">
        <f>1+1+1+3+1+1+2</f>
        <v>10</v>
      </c>
      <c r="K88" s="77">
        <f>403.41+1431.16+845.24+998.92+3059.87+5898.13</f>
        <v>12636.73</v>
      </c>
      <c r="L88" s="77">
        <f>403.41+1431.16+845.24+998.92+3059.87+5898.13</f>
        <v>12636.73</v>
      </c>
      <c r="M88" s="78">
        <f t="shared" si="3"/>
        <v>0</v>
      </c>
      <c r="N88" s="100">
        <f>1+2+2+1+1+1+1+1</f>
        <v>10</v>
      </c>
      <c r="O88" s="81">
        <f>6646.05+1267.86+979.71</f>
        <v>8893.619999999999</v>
      </c>
      <c r="P88" s="81">
        <f>2353.23+5561.68+978.71</f>
        <v>8893.619999999999</v>
      </c>
      <c r="Q88" s="232">
        <f t="shared" si="4"/>
        <v>0</v>
      </c>
    </row>
    <row r="89" spans="1:17" s="13" customFormat="1" ht="15" customHeight="1" x14ac:dyDescent="0.25">
      <c r="A89" s="229"/>
      <c r="B89" s="62" t="s">
        <v>59</v>
      </c>
      <c r="C89" s="181" t="s">
        <v>17</v>
      </c>
      <c r="D89" s="182"/>
      <c r="E89" s="183" t="s">
        <v>20</v>
      </c>
      <c r="F89" s="73" t="s">
        <v>128</v>
      </c>
      <c r="G89" s="230" t="s">
        <v>114</v>
      </c>
      <c r="H89" s="181"/>
      <c r="I89" s="231"/>
      <c r="J89" s="190"/>
      <c r="K89" s="77"/>
      <c r="L89" s="77"/>
      <c r="M89" s="78">
        <f t="shared" si="3"/>
        <v>0</v>
      </c>
      <c r="N89" s="100"/>
      <c r="O89" s="224"/>
      <c r="P89" s="224"/>
      <c r="Q89" s="232">
        <f t="shared" si="4"/>
        <v>0</v>
      </c>
    </row>
    <row r="90" spans="1:17" s="13" customFormat="1" ht="15" customHeight="1" x14ac:dyDescent="0.25">
      <c r="A90" s="229"/>
      <c r="B90" s="27" t="s">
        <v>60</v>
      </c>
      <c r="C90" s="181" t="s">
        <v>17</v>
      </c>
      <c r="D90" s="182"/>
      <c r="E90" s="183" t="s">
        <v>20</v>
      </c>
      <c r="F90" s="73" t="s">
        <v>364</v>
      </c>
      <c r="G90" s="74" t="s">
        <v>112</v>
      </c>
      <c r="H90" s="75">
        <v>21</v>
      </c>
      <c r="I90" s="76">
        <v>11</v>
      </c>
      <c r="J90" s="96">
        <f>1+1+1+4+4+2</f>
        <v>13</v>
      </c>
      <c r="K90" s="77">
        <f>634.93+893.27+2930.22+8503.46+16092.98</f>
        <v>29054.86</v>
      </c>
      <c r="L90" s="77">
        <f>634.93+893.27+2930.22+8503.46+16092.98</f>
        <v>29054.86</v>
      </c>
      <c r="M90" s="78">
        <f t="shared" si="3"/>
        <v>0</v>
      </c>
      <c r="N90" s="100">
        <f>4+1+3+1+1+2+2</f>
        <v>14</v>
      </c>
      <c r="O90" s="81">
        <f>15124.53+2065.75+8492.52+5828.3+7183.28</f>
        <v>38694.379999999997</v>
      </c>
      <c r="P90" s="81">
        <f>15124.53+2065.75+8492.52+5828.3+7183.28</f>
        <v>38694.379999999997</v>
      </c>
      <c r="Q90" s="232">
        <f t="shared" si="4"/>
        <v>0</v>
      </c>
    </row>
    <row r="91" spans="1:17" s="13" customFormat="1" ht="15" customHeight="1" x14ac:dyDescent="0.25">
      <c r="A91" s="229"/>
      <c r="B91" s="27" t="s">
        <v>60</v>
      </c>
      <c r="C91" s="181" t="s">
        <v>17</v>
      </c>
      <c r="D91" s="182"/>
      <c r="E91" s="183" t="s">
        <v>20</v>
      </c>
      <c r="F91" s="73" t="s">
        <v>479</v>
      </c>
      <c r="G91" s="230" t="s">
        <v>114</v>
      </c>
      <c r="H91" s="181">
        <v>17</v>
      </c>
      <c r="I91" s="231">
        <v>4</v>
      </c>
      <c r="J91" s="190">
        <v>4</v>
      </c>
      <c r="K91" s="77">
        <v>8197.2000000000007</v>
      </c>
      <c r="L91" s="77">
        <v>8197.2000000000007</v>
      </c>
      <c r="M91" s="78">
        <f t="shared" si="3"/>
        <v>0</v>
      </c>
      <c r="N91" s="100">
        <v>14</v>
      </c>
      <c r="O91" s="224">
        <v>44683.68</v>
      </c>
      <c r="P91" s="224">
        <v>44683.68</v>
      </c>
      <c r="Q91" s="232">
        <f t="shared" si="4"/>
        <v>0</v>
      </c>
    </row>
    <row r="92" spans="1:17" s="13" customFormat="1" ht="15" customHeight="1" x14ac:dyDescent="0.25">
      <c r="A92" s="229"/>
      <c r="B92" s="27" t="s">
        <v>493</v>
      </c>
      <c r="C92" s="181" t="s">
        <v>17</v>
      </c>
      <c r="D92" s="182"/>
      <c r="E92" s="183" t="s">
        <v>20</v>
      </c>
      <c r="F92" s="73" t="s">
        <v>496</v>
      </c>
      <c r="G92" s="230" t="s">
        <v>112</v>
      </c>
      <c r="H92" s="181">
        <v>16</v>
      </c>
      <c r="I92" s="231">
        <v>13</v>
      </c>
      <c r="J92" s="190">
        <f>3+2+1+3+1+2+1+3+3+1</f>
        <v>20</v>
      </c>
      <c r="K92" s="77">
        <f>3387.04+3467.41+1267.86+2218.74+8089.94+1924.71+5638.36+4883.04+2510.56</f>
        <v>33387.659999999996</v>
      </c>
      <c r="L92" s="77">
        <f>3387.04+3467.41+1267.86+2218.74+8089.94+1924.71+5638.36+4883.04+2510.56</f>
        <v>33387.659999999996</v>
      </c>
      <c r="M92" s="78">
        <f t="shared" si="3"/>
        <v>0</v>
      </c>
      <c r="N92" s="100"/>
      <c r="O92" s="224"/>
      <c r="P92" s="224"/>
      <c r="Q92" s="232">
        <f t="shared" si="4"/>
        <v>0</v>
      </c>
    </row>
    <row r="93" spans="1:17" s="15" customFormat="1" ht="15" customHeight="1" x14ac:dyDescent="0.25">
      <c r="A93" s="229"/>
      <c r="B93" s="27" t="s">
        <v>61</v>
      </c>
      <c r="C93" s="181" t="s">
        <v>17</v>
      </c>
      <c r="D93" s="182"/>
      <c r="E93" s="183" t="s">
        <v>20</v>
      </c>
      <c r="F93" s="73" t="s">
        <v>363</v>
      </c>
      <c r="G93" s="74" t="s">
        <v>112</v>
      </c>
      <c r="H93" s="75"/>
      <c r="I93" s="76"/>
      <c r="J93" s="96"/>
      <c r="K93" s="77"/>
      <c r="L93" s="77"/>
      <c r="M93" s="78">
        <f t="shared" si="3"/>
        <v>0</v>
      </c>
      <c r="N93" s="100"/>
      <c r="O93" s="81"/>
      <c r="P93" s="81"/>
      <c r="Q93" s="232">
        <f t="shared" si="4"/>
        <v>0</v>
      </c>
    </row>
    <row r="94" spans="1:17" s="15" customFormat="1" ht="15" customHeight="1" x14ac:dyDescent="0.25">
      <c r="A94" s="229"/>
      <c r="B94" s="236" t="s">
        <v>306</v>
      </c>
      <c r="C94" s="181" t="s">
        <v>17</v>
      </c>
      <c r="D94" s="182"/>
      <c r="E94" s="183" t="s">
        <v>35</v>
      </c>
      <c r="F94" s="73" t="s">
        <v>365</v>
      </c>
      <c r="G94" s="230" t="s">
        <v>112</v>
      </c>
      <c r="H94" s="181">
        <v>44</v>
      </c>
      <c r="I94" s="231">
        <v>32</v>
      </c>
      <c r="J94" s="190">
        <f>1+2+1+3+3+2+3+1+2+1+3+4+3+6</f>
        <v>35</v>
      </c>
      <c r="K94" s="77">
        <f>1045.98+2658.7+35696.14+4892.46+1024.04+2384.53+10793.24+5320.79+2075.24+1324.62+1192.16+2649.24+3973.86</f>
        <v>75031</v>
      </c>
      <c r="L94" s="77">
        <f>1045.98+2658.7+35696.14+4892.46+1024.04+2384.53+10793.24+5320.79+2075.24+1324.62+1192.16+2649.24+3973.86</f>
        <v>75031</v>
      </c>
      <c r="M94" s="78">
        <f t="shared" si="3"/>
        <v>0</v>
      </c>
      <c r="N94" s="114">
        <f>7+2+2+2+1+1+1</f>
        <v>16</v>
      </c>
      <c r="O94" s="224">
        <f>2313.84+6162.57+2330.32+1690.48+3706.14+3107.65+4960.7</f>
        <v>24271.7</v>
      </c>
      <c r="P94" s="224">
        <f>2313.84+6162.57+2330.32+1690.48+3706.14+3107.65+4960.7</f>
        <v>24271.7</v>
      </c>
      <c r="Q94" s="232">
        <f t="shared" si="4"/>
        <v>0</v>
      </c>
    </row>
    <row r="95" spans="1:17" s="13" customFormat="1" ht="15" customHeight="1" x14ac:dyDescent="0.25">
      <c r="A95" s="229"/>
      <c r="B95" s="62" t="s">
        <v>306</v>
      </c>
      <c r="C95" s="181" t="s">
        <v>17</v>
      </c>
      <c r="D95" s="182"/>
      <c r="E95" s="183" t="s">
        <v>27</v>
      </c>
      <c r="F95" s="73" t="s">
        <v>421</v>
      </c>
      <c r="G95" s="230" t="s">
        <v>117</v>
      </c>
      <c r="H95" s="181">
        <v>5</v>
      </c>
      <c r="I95" s="231"/>
      <c r="J95" s="96"/>
      <c r="K95" s="77"/>
      <c r="L95" s="77"/>
      <c r="M95" s="78">
        <f t="shared" si="3"/>
        <v>0</v>
      </c>
      <c r="N95" s="100"/>
      <c r="O95" s="77"/>
      <c r="P95" s="77"/>
      <c r="Q95" s="79">
        <f>O95-P95</f>
        <v>0</v>
      </c>
    </row>
    <row r="96" spans="1:17" s="13" customFormat="1" ht="15" customHeight="1" x14ac:dyDescent="0.25">
      <c r="A96" s="229"/>
      <c r="B96" s="27" t="s">
        <v>62</v>
      </c>
      <c r="C96" s="181" t="s">
        <v>17</v>
      </c>
      <c r="D96" s="182"/>
      <c r="E96" s="183" t="s">
        <v>35</v>
      </c>
      <c r="F96" s="73" t="s">
        <v>366</v>
      </c>
      <c r="G96" s="74" t="s">
        <v>112</v>
      </c>
      <c r="H96" s="75">
        <v>39</v>
      </c>
      <c r="I96" s="76">
        <v>27</v>
      </c>
      <c r="J96" s="96">
        <f>1+3+1+1+2+4+4+3+3+4+2</f>
        <v>28</v>
      </c>
      <c r="K96" s="77">
        <f>3613.4+1872.01+1394.65+3518.32+15902.72+5370.89+2686.97+19155.26+5281.5+2557.29</f>
        <v>61353.01</v>
      </c>
      <c r="L96" s="77">
        <f>3613.4+1872.01+1394.65+3518.32+15902.72+5370.89+2686.97+19155.26+5281.5+2557.29</f>
        <v>61353.01</v>
      </c>
      <c r="M96" s="78">
        <f t="shared" si="3"/>
        <v>0</v>
      </c>
      <c r="N96" s="100">
        <f>6+2+1+2+1+3+1+1</f>
        <v>17</v>
      </c>
      <c r="O96" s="81">
        <f>19511.33+1270.93+3979.74+2500.85+8530.18+845.24+12787.47+17476.07</f>
        <v>66901.81</v>
      </c>
      <c r="P96" s="81">
        <f>19511.33+1270.93+3979.74+2500.85+8530.18+845.24+12787.47+17476.07</f>
        <v>66901.81</v>
      </c>
      <c r="Q96" s="79">
        <f t="shared" si="4"/>
        <v>0</v>
      </c>
    </row>
    <row r="97" spans="1:17" s="13" customFormat="1" ht="15" customHeight="1" x14ac:dyDescent="0.25">
      <c r="A97" s="229"/>
      <c r="B97" s="27" t="s">
        <v>62</v>
      </c>
      <c r="C97" s="181" t="s">
        <v>17</v>
      </c>
      <c r="D97" s="182"/>
      <c r="E97" s="183" t="s">
        <v>35</v>
      </c>
      <c r="F97" s="73" t="s">
        <v>428</v>
      </c>
      <c r="G97" s="230" t="s">
        <v>117</v>
      </c>
      <c r="H97" s="181">
        <v>6</v>
      </c>
      <c r="I97" s="231"/>
      <c r="J97" s="96"/>
      <c r="K97" s="77"/>
      <c r="L97" s="77"/>
      <c r="M97" s="78">
        <f t="shared" si="3"/>
        <v>0</v>
      </c>
      <c r="N97" s="100">
        <v>10</v>
      </c>
      <c r="O97" s="224">
        <v>35030.800000000003</v>
      </c>
      <c r="P97" s="224">
        <v>35030.800000000003</v>
      </c>
      <c r="Q97" s="232">
        <f t="shared" si="4"/>
        <v>0</v>
      </c>
    </row>
    <row r="98" spans="1:17" s="13" customFormat="1" ht="15" customHeight="1" x14ac:dyDescent="0.25">
      <c r="A98" s="229"/>
      <c r="B98" s="27" t="s">
        <v>155</v>
      </c>
      <c r="C98" s="181" t="s">
        <v>17</v>
      </c>
      <c r="D98" s="182"/>
      <c r="E98" s="183" t="s">
        <v>20</v>
      </c>
      <c r="F98" s="73" t="s">
        <v>367</v>
      </c>
      <c r="G98" s="74" t="s">
        <v>112</v>
      </c>
      <c r="H98" s="75">
        <v>14</v>
      </c>
      <c r="I98" s="82">
        <v>10</v>
      </c>
      <c r="J98" s="96">
        <f>1+2+3+1+2+2+1+1</f>
        <v>13</v>
      </c>
      <c r="K98" s="77">
        <f>3117.56+2266.78+5307.72+3606.94+1494.21+6905.68+2817.8+364.27</f>
        <v>25880.960000000003</v>
      </c>
      <c r="L98" s="77">
        <f>3117.56+2266.78+5307.72+3606.94+1494.21+6905.68+2817.8+364.27</f>
        <v>25880.960000000003</v>
      </c>
      <c r="M98" s="78">
        <f t="shared" si="3"/>
        <v>0</v>
      </c>
      <c r="N98" s="100">
        <f>1+1+1+1+1</f>
        <v>5</v>
      </c>
      <c r="O98" s="81">
        <f>1798.06+2123.67+2959.73</f>
        <v>6881.46</v>
      </c>
      <c r="P98" s="81">
        <f>1798.06+2123.67+2959.73</f>
        <v>6881.46</v>
      </c>
      <c r="Q98" s="232">
        <f t="shared" si="4"/>
        <v>0</v>
      </c>
    </row>
    <row r="99" spans="1:17" s="13" customFormat="1" ht="15.75" customHeight="1" x14ac:dyDescent="0.25">
      <c r="A99" s="229"/>
      <c r="B99" s="27" t="s">
        <v>155</v>
      </c>
      <c r="C99" s="181" t="s">
        <v>17</v>
      </c>
      <c r="D99" s="182"/>
      <c r="E99" s="183" t="s">
        <v>20</v>
      </c>
      <c r="F99" s="73" t="s">
        <v>459</v>
      </c>
      <c r="G99" s="230" t="s">
        <v>114</v>
      </c>
      <c r="H99" s="1">
        <v>16</v>
      </c>
      <c r="I99" s="231">
        <v>4</v>
      </c>
      <c r="J99" s="190">
        <v>4</v>
      </c>
      <c r="K99" s="77">
        <v>8816.51</v>
      </c>
      <c r="L99" s="77">
        <v>8816.51</v>
      </c>
      <c r="M99" s="78">
        <f t="shared" si="3"/>
        <v>0</v>
      </c>
      <c r="N99" s="100">
        <v>16</v>
      </c>
      <c r="O99" s="224">
        <v>36413.46</v>
      </c>
      <c r="P99" s="224">
        <v>36413.46</v>
      </c>
      <c r="Q99" s="232">
        <f t="shared" si="4"/>
        <v>0</v>
      </c>
    </row>
    <row r="100" spans="1:17" s="13" customFormat="1" ht="15" customHeight="1" x14ac:dyDescent="0.25">
      <c r="A100" s="229"/>
      <c r="B100" s="30" t="s">
        <v>66</v>
      </c>
      <c r="C100" s="181" t="s">
        <v>17</v>
      </c>
      <c r="D100" s="182"/>
      <c r="E100" s="183" t="s">
        <v>21</v>
      </c>
      <c r="F100" s="73" t="s">
        <v>368</v>
      </c>
      <c r="G100" s="74" t="s">
        <v>112</v>
      </c>
      <c r="H100" s="75">
        <v>38</v>
      </c>
      <c r="I100" s="76">
        <v>34</v>
      </c>
      <c r="J100" s="96">
        <f>1+3+2+3+2+1+2+1+3+7+4+3+2+3+4+5+7</f>
        <v>53</v>
      </c>
      <c r="K100" s="77">
        <f>1045.98+4309.04+3820.12+1872.01+4253.49+3044.79+1191.19+4942.84+9299.2+9796.16+4139.27+2886.87+11269.91+12820.57</f>
        <v>74691.44</v>
      </c>
      <c r="L100" s="77">
        <f>1045.98+4309.04+3820.12+1872.01+4253.49+3044.79+1191.19+4942.84+9299.2+9796.16+4139.27+2886.87+11269.91+12820.57</f>
        <v>74691.44</v>
      </c>
      <c r="M100" s="78">
        <f t="shared" si="3"/>
        <v>0</v>
      </c>
      <c r="N100" s="100">
        <f>6+3+8+7+1+1+1+2+1+1+1+1+1+1+1</f>
        <v>36</v>
      </c>
      <c r="O100" s="81">
        <f>11911.17+23136+18060.17+1977.84+2091.97+19535.65+19124.11+3199.71+4430.07+5418.9+2717.24</f>
        <v>111602.83</v>
      </c>
      <c r="P100" s="81">
        <f>11911.17+23136+18060.17+1977.84+2091.97+19535.65+19124.11+3199.71+4430.07+5418.9+2717.24</f>
        <v>111602.83</v>
      </c>
      <c r="Q100" s="232">
        <f t="shared" si="4"/>
        <v>0</v>
      </c>
    </row>
    <row r="101" spans="1:17" s="13" customFormat="1" ht="15" customHeight="1" x14ac:dyDescent="0.25">
      <c r="A101" s="229"/>
      <c r="B101" s="30" t="s">
        <v>66</v>
      </c>
      <c r="C101" s="181" t="s">
        <v>17</v>
      </c>
      <c r="D101" s="182"/>
      <c r="E101" s="183" t="s">
        <v>21</v>
      </c>
      <c r="F101" s="73" t="s">
        <v>439</v>
      </c>
      <c r="G101" s="230" t="s">
        <v>118</v>
      </c>
      <c r="H101" s="181">
        <v>9</v>
      </c>
      <c r="I101" s="231">
        <v>4</v>
      </c>
      <c r="J101" s="96">
        <v>4</v>
      </c>
      <c r="K101" s="77">
        <v>7173.6</v>
      </c>
      <c r="L101" s="77">
        <v>7173.6</v>
      </c>
      <c r="M101" s="78">
        <f t="shared" si="3"/>
        <v>0</v>
      </c>
      <c r="N101" s="100">
        <v>24</v>
      </c>
      <c r="O101" s="224">
        <v>81462.58</v>
      </c>
      <c r="P101" s="224">
        <v>81462.58</v>
      </c>
      <c r="Q101" s="79">
        <f t="shared" si="4"/>
        <v>0</v>
      </c>
    </row>
    <row r="102" spans="1:17" s="13" customFormat="1" ht="15" customHeight="1" x14ac:dyDescent="0.25">
      <c r="A102" s="229"/>
      <c r="B102" s="62" t="s">
        <v>137</v>
      </c>
      <c r="C102" s="181" t="s">
        <v>17</v>
      </c>
      <c r="D102" s="182"/>
      <c r="E102" s="194" t="s">
        <v>35</v>
      </c>
      <c r="F102" s="73" t="s">
        <v>369</v>
      </c>
      <c r="G102" s="74" t="s">
        <v>112</v>
      </c>
      <c r="H102" s="75">
        <v>41</v>
      </c>
      <c r="I102" s="76">
        <v>30</v>
      </c>
      <c r="J102" s="96">
        <f>3+3+1+4+1+3+2+3+6+2+3+1</f>
        <v>32</v>
      </c>
      <c r="K102" s="77">
        <f>504.26+845.24+3380.96+422.62+2535.72+6256.62+883.08+2649.24+4395.33+2649.24</f>
        <v>24522.309999999998</v>
      </c>
      <c r="L102" s="77">
        <f>504.26+845.24+3380.96+422.62+2535.72+6256.62+883.08+2649.24+4395.33+2649.24</f>
        <v>24522.309999999998</v>
      </c>
      <c r="M102" s="78">
        <f t="shared" si="3"/>
        <v>0</v>
      </c>
      <c r="N102" s="100">
        <f>5+1+1+2+1</f>
        <v>10</v>
      </c>
      <c r="O102" s="81">
        <f>2617.36+422.62+3852.18+3380.96+422.62</f>
        <v>10695.74</v>
      </c>
      <c r="P102" s="81">
        <f>2617.36+422.62+3852.18+3380.96+422.62</f>
        <v>10695.74</v>
      </c>
      <c r="Q102" s="232">
        <f t="shared" si="4"/>
        <v>0</v>
      </c>
    </row>
    <row r="103" spans="1:17" s="13" customFormat="1" ht="15" customHeight="1" x14ac:dyDescent="0.25">
      <c r="A103" s="229"/>
      <c r="B103" s="62" t="s">
        <v>137</v>
      </c>
      <c r="C103" s="181" t="s">
        <v>17</v>
      </c>
      <c r="D103" s="182"/>
      <c r="E103" s="194" t="s">
        <v>35</v>
      </c>
      <c r="F103" s="73" t="s">
        <v>429</v>
      </c>
      <c r="G103" s="230" t="s">
        <v>117</v>
      </c>
      <c r="H103" s="181">
        <v>13</v>
      </c>
      <c r="I103" s="231">
        <v>5</v>
      </c>
      <c r="J103" s="190">
        <v>6</v>
      </c>
      <c r="K103" s="193">
        <v>11675.02</v>
      </c>
      <c r="L103" s="193">
        <v>11675.02</v>
      </c>
      <c r="M103" s="78">
        <f t="shared" si="3"/>
        <v>0</v>
      </c>
      <c r="N103" s="114">
        <v>2</v>
      </c>
      <c r="O103" s="224">
        <v>10565.5</v>
      </c>
      <c r="P103" s="224">
        <v>10565.5</v>
      </c>
      <c r="Q103" s="79">
        <f t="shared" si="4"/>
        <v>0</v>
      </c>
    </row>
    <row r="104" spans="1:17" s="13" customFormat="1" ht="15" customHeight="1" x14ac:dyDescent="0.25">
      <c r="A104" s="229"/>
      <c r="B104" s="30" t="s">
        <v>67</v>
      </c>
      <c r="C104" s="181" t="s">
        <v>17</v>
      </c>
      <c r="D104" s="182"/>
      <c r="E104" s="194" t="s">
        <v>21</v>
      </c>
      <c r="F104" s="73" t="s">
        <v>370</v>
      </c>
      <c r="G104" s="74" t="s">
        <v>112</v>
      </c>
      <c r="H104" s="75">
        <v>40</v>
      </c>
      <c r="I104" s="76">
        <v>33</v>
      </c>
      <c r="J104" s="96">
        <f>2+1+1+2+1+1+2+2+1+2+5+5+2+5+3+2+1+2</f>
        <v>40</v>
      </c>
      <c r="K104" s="77">
        <f>3319.85+1198.9+864.45+7235.32+1947.89+5377.75+8701.73+3581.7+8737.54+7647.65</f>
        <v>48612.780000000006</v>
      </c>
      <c r="L104" s="77">
        <f>3319.85+1198.9+864.45+7235.32+1947.89+5377.75+8701.73+3581.7+8737.54+7647.65</f>
        <v>48612.780000000006</v>
      </c>
      <c r="M104" s="78">
        <f t="shared" si="3"/>
        <v>0</v>
      </c>
      <c r="N104" s="100">
        <f>4+9+4+4+1+3+1+3+1+1+1+1+1+1+3</f>
        <v>38</v>
      </c>
      <c r="O104" s="81">
        <f>29696.65+38129.03+13567.9+20687.05+2022.79+8145.77+17250.05+1233.28+5568.04+11106.62</f>
        <v>147407.18</v>
      </c>
      <c r="P104" s="81">
        <f>29696.65+38129.03+13567.9+20687.05+2022.79+8145.77+17250.05+1233.28+5568.04+11106.62</f>
        <v>147407.18</v>
      </c>
      <c r="Q104" s="232">
        <f t="shared" si="4"/>
        <v>0</v>
      </c>
    </row>
    <row r="105" spans="1:17" s="13" customFormat="1" ht="15" customHeight="1" x14ac:dyDescent="0.25">
      <c r="A105" s="229"/>
      <c r="B105" s="30" t="s">
        <v>67</v>
      </c>
      <c r="C105" s="181" t="s">
        <v>17</v>
      </c>
      <c r="D105" s="182"/>
      <c r="E105" s="194" t="s">
        <v>21</v>
      </c>
      <c r="F105" s="73" t="s">
        <v>440</v>
      </c>
      <c r="G105" s="230" t="s">
        <v>118</v>
      </c>
      <c r="H105" s="181">
        <v>16</v>
      </c>
      <c r="I105" s="231">
        <v>3</v>
      </c>
      <c r="J105" s="96">
        <v>3</v>
      </c>
      <c r="K105" s="77">
        <v>12778.52</v>
      </c>
      <c r="L105" s="77">
        <v>12778.52</v>
      </c>
      <c r="M105" s="78">
        <f t="shared" si="3"/>
        <v>0</v>
      </c>
      <c r="N105" s="100">
        <v>22</v>
      </c>
      <c r="O105" s="224">
        <v>74857.98</v>
      </c>
      <c r="P105" s="224">
        <v>74857.98</v>
      </c>
      <c r="Q105" s="79">
        <f t="shared" si="4"/>
        <v>0</v>
      </c>
    </row>
    <row r="106" spans="1:17" s="13" customFormat="1" ht="15" customHeight="1" x14ac:dyDescent="0.25">
      <c r="A106" s="229"/>
      <c r="B106" s="30" t="s">
        <v>68</v>
      </c>
      <c r="C106" s="181" t="s">
        <v>17</v>
      </c>
      <c r="D106" s="182"/>
      <c r="E106" s="194" t="s">
        <v>32</v>
      </c>
      <c r="F106" s="73" t="s">
        <v>371</v>
      </c>
      <c r="G106" s="74" t="s">
        <v>112</v>
      </c>
      <c r="H106" s="75">
        <v>22</v>
      </c>
      <c r="I106" s="76">
        <v>21</v>
      </c>
      <c r="J106" s="96">
        <f>2+1+2+5+5+3+1+2+2+1+3</f>
        <v>27</v>
      </c>
      <c r="K106" s="77">
        <f>1128.59+422.62+1152.6+4557.81+10981.59+5362.88+4996.85+4352.15+3073.96+3697.9+1003.5+581.63</f>
        <v>41312.080000000002</v>
      </c>
      <c r="L106" s="77">
        <f>1128.59+422.62+1152.6+4557.81+10981.59+5362.88+4996.85+4352.15+3073.96+3697.9+1003.5+581.63</f>
        <v>41312.080000000002</v>
      </c>
      <c r="M106" s="78">
        <f t="shared" si="3"/>
        <v>0</v>
      </c>
      <c r="N106" s="100">
        <f>6+5+1+4+2+2+1+1+1</f>
        <v>23</v>
      </c>
      <c r="O106" s="81">
        <f>7813.73+8523.5+1452.28+12582.19+18077.76+4987.46+2373.79+1831.3</f>
        <v>57642.009999999995</v>
      </c>
      <c r="P106" s="81">
        <f>7813.73+8523.5+1452.28+12582.19+18077.76+4987.46+2373.79+1831.3</f>
        <v>57642.009999999995</v>
      </c>
      <c r="Q106" s="232">
        <f t="shared" si="4"/>
        <v>0</v>
      </c>
    </row>
    <row r="107" spans="1:17" s="13" customFormat="1" ht="15" customHeight="1" x14ac:dyDescent="0.25">
      <c r="A107" s="229"/>
      <c r="B107" s="30" t="s">
        <v>68</v>
      </c>
      <c r="C107" s="181" t="s">
        <v>17</v>
      </c>
      <c r="D107" s="182"/>
      <c r="E107" s="194" t="s">
        <v>32</v>
      </c>
      <c r="F107" s="73" t="s">
        <v>430</v>
      </c>
      <c r="G107" s="235" t="s">
        <v>117</v>
      </c>
      <c r="H107" s="181">
        <v>5</v>
      </c>
      <c r="I107" s="231">
        <v>2</v>
      </c>
      <c r="J107" s="96">
        <v>2</v>
      </c>
      <c r="K107" s="77">
        <v>3010.5</v>
      </c>
      <c r="L107" s="77">
        <v>3010.5</v>
      </c>
      <c r="M107" s="78">
        <f t="shared" si="3"/>
        <v>0</v>
      </c>
      <c r="N107" s="100"/>
      <c r="O107" s="77"/>
      <c r="P107" s="77"/>
      <c r="Q107" s="79">
        <f t="shared" si="4"/>
        <v>0</v>
      </c>
    </row>
    <row r="108" spans="1:17" s="15" customFormat="1" ht="15" customHeight="1" x14ac:dyDescent="0.25">
      <c r="A108" s="229"/>
      <c r="B108" s="27" t="s">
        <v>69</v>
      </c>
      <c r="C108" s="181" t="s">
        <v>17</v>
      </c>
      <c r="D108" s="182"/>
      <c r="E108" s="183" t="s">
        <v>20</v>
      </c>
      <c r="F108" s="73" t="s">
        <v>372</v>
      </c>
      <c r="G108" s="74" t="s">
        <v>112</v>
      </c>
      <c r="H108" s="75">
        <v>11</v>
      </c>
      <c r="I108" s="76">
        <v>5</v>
      </c>
      <c r="J108" s="96">
        <f>1+1+1+1+3+1</f>
        <v>8</v>
      </c>
      <c r="K108" s="77">
        <f>422.62+17390.69+3114.71+475.45+2326.92+1707.76</f>
        <v>25438.149999999998</v>
      </c>
      <c r="L108" s="77">
        <f>422.62+17390.69+3114.71+475.45+2326.92+1707.76</f>
        <v>25438.149999999998</v>
      </c>
      <c r="M108" s="78">
        <f t="shared" si="3"/>
        <v>0</v>
      </c>
      <c r="N108" s="100">
        <f>3+2+1+1+1+1</f>
        <v>9</v>
      </c>
      <c r="O108" s="77">
        <f>7210.31+3647.96+1306.28+1267.86+2697.06</f>
        <v>16129.470000000001</v>
      </c>
      <c r="P108" s="77">
        <f>7210.31+3647.96+1306.28+1267.86+2697.06</f>
        <v>16129.470000000001</v>
      </c>
      <c r="Q108" s="232">
        <f t="shared" si="4"/>
        <v>0</v>
      </c>
    </row>
    <row r="109" spans="1:17" s="15" customFormat="1" ht="15" customHeight="1" x14ac:dyDescent="0.25">
      <c r="A109" s="229"/>
      <c r="B109" s="236" t="s">
        <v>502</v>
      </c>
      <c r="C109" s="181" t="s">
        <v>17</v>
      </c>
      <c r="D109" s="182"/>
      <c r="E109" s="183" t="s">
        <v>20</v>
      </c>
      <c r="F109" s="73" t="s">
        <v>508</v>
      </c>
      <c r="G109" s="74" t="s">
        <v>112</v>
      </c>
      <c r="H109" s="75">
        <v>18</v>
      </c>
      <c r="I109" s="76">
        <v>12</v>
      </c>
      <c r="J109" s="96">
        <f>4+1+4+1+2+2</f>
        <v>14</v>
      </c>
      <c r="K109" s="77">
        <f>6145.3+993.47+5403.3+2759.63+2599.77</f>
        <v>17901.47</v>
      </c>
      <c r="L109" s="77">
        <f>6145.3+993.47+5403.3+2759.63+2599.77</f>
        <v>17901.47</v>
      </c>
      <c r="M109" s="78">
        <f t="shared" si="3"/>
        <v>0</v>
      </c>
      <c r="N109" s="100"/>
      <c r="O109" s="77"/>
      <c r="P109" s="77"/>
      <c r="Q109" s="232">
        <f t="shared" si="4"/>
        <v>0</v>
      </c>
    </row>
    <row r="110" spans="1:17" s="15" customFormat="1" ht="15" customHeight="1" x14ac:dyDescent="0.25">
      <c r="A110" s="229"/>
      <c r="B110" s="236" t="s">
        <v>502</v>
      </c>
      <c r="C110" s="181" t="s">
        <v>17</v>
      </c>
      <c r="D110" s="182"/>
      <c r="E110" s="183" t="s">
        <v>32</v>
      </c>
      <c r="F110" s="73" t="s">
        <v>511</v>
      </c>
      <c r="G110" s="235" t="s">
        <v>117</v>
      </c>
      <c r="H110" s="75">
        <v>7</v>
      </c>
      <c r="I110" s="76"/>
      <c r="J110" s="96"/>
      <c r="K110" s="77"/>
      <c r="L110" s="77"/>
      <c r="M110" s="78">
        <f t="shared" si="3"/>
        <v>0</v>
      </c>
      <c r="N110" s="100"/>
      <c r="O110" s="77"/>
      <c r="P110" s="77"/>
      <c r="Q110" s="232">
        <f t="shared" si="4"/>
        <v>0</v>
      </c>
    </row>
    <row r="111" spans="1:17" s="13" customFormat="1" ht="15" customHeight="1" x14ac:dyDescent="0.25">
      <c r="A111" s="229"/>
      <c r="B111" s="62" t="s">
        <v>70</v>
      </c>
      <c r="C111" s="181" t="s">
        <v>17</v>
      </c>
      <c r="D111" s="182"/>
      <c r="E111" s="183" t="s">
        <v>20</v>
      </c>
      <c r="F111" s="73" t="s">
        <v>373</v>
      </c>
      <c r="G111" s="74" t="s">
        <v>112</v>
      </c>
      <c r="H111" s="75">
        <v>19</v>
      </c>
      <c r="I111" s="76">
        <v>15</v>
      </c>
      <c r="J111" s="96">
        <f>2+2+2+3+1+2+1+1+3</f>
        <v>17</v>
      </c>
      <c r="K111" s="77">
        <f>19498+3011.17+8156.45+4593.85+883.08</f>
        <v>36142.550000000003</v>
      </c>
      <c r="L111" s="77">
        <f>19498+3011.17+8156.45+4593.85+883.08</f>
        <v>36142.550000000003</v>
      </c>
      <c r="M111" s="78">
        <f t="shared" si="3"/>
        <v>0</v>
      </c>
      <c r="N111" s="100">
        <f>2+3+4+2+1+1</f>
        <v>13</v>
      </c>
      <c r="O111" s="81">
        <f>7606.2+16795.84+3492.18</f>
        <v>27894.22</v>
      </c>
      <c r="P111" s="81">
        <f>7606.2+16795.84+3492.18</f>
        <v>27894.22</v>
      </c>
      <c r="Q111" s="79">
        <f t="shared" si="4"/>
        <v>0</v>
      </c>
    </row>
    <row r="112" spans="1:17" s="13" customFormat="1" ht="15" customHeight="1" x14ac:dyDescent="0.25">
      <c r="A112" s="229"/>
      <c r="B112" s="62" t="s">
        <v>70</v>
      </c>
      <c r="C112" s="181" t="s">
        <v>17</v>
      </c>
      <c r="D112" s="182"/>
      <c r="E112" s="183" t="s">
        <v>20</v>
      </c>
      <c r="F112" s="73" t="s">
        <v>460</v>
      </c>
      <c r="G112" s="230" t="s">
        <v>114</v>
      </c>
      <c r="H112" s="181">
        <v>42</v>
      </c>
      <c r="I112" s="231">
        <v>20</v>
      </c>
      <c r="J112" s="190">
        <v>20</v>
      </c>
      <c r="K112" s="77">
        <v>62930.74</v>
      </c>
      <c r="L112" s="77">
        <v>62930.74</v>
      </c>
      <c r="M112" s="78">
        <f t="shared" si="3"/>
        <v>0</v>
      </c>
      <c r="N112" s="100">
        <v>33</v>
      </c>
      <c r="O112" s="224">
        <v>79611.08</v>
      </c>
      <c r="P112" s="224">
        <v>79611.08</v>
      </c>
      <c r="Q112" s="232">
        <f t="shared" si="4"/>
        <v>0</v>
      </c>
    </row>
    <row r="113" spans="1:17" s="15" customFormat="1" x14ac:dyDescent="0.25">
      <c r="A113" s="229"/>
      <c r="B113" s="62" t="s">
        <v>71</v>
      </c>
      <c r="C113" s="181" t="s">
        <v>17</v>
      </c>
      <c r="D113" s="182"/>
      <c r="E113" s="183" t="s">
        <v>32</v>
      </c>
      <c r="F113" s="73" t="s">
        <v>374</v>
      </c>
      <c r="G113" s="74" t="s">
        <v>112</v>
      </c>
      <c r="H113" s="75">
        <v>27</v>
      </c>
      <c r="I113" s="76">
        <v>21</v>
      </c>
      <c r="J113" s="96">
        <f>3+1+2+1+1+3+3+1+3+4+1+2</f>
        <v>25</v>
      </c>
      <c r="K113" s="77">
        <f>1536.8+461.04+1748.88+633.93+3169.65+2435.83+13203.17+728.54+3984.13+1479.16</f>
        <v>29381.130000000005</v>
      </c>
      <c r="L113" s="77">
        <f>1536.8+461.04+1748.88+633.93+3169.65+2435.83+13203.17+728.54+3984.13+1479.16</f>
        <v>29381.130000000005</v>
      </c>
      <c r="M113" s="78">
        <f t="shared" si="3"/>
        <v>0</v>
      </c>
      <c r="N113" s="100">
        <f>3+2+1+1+2+1+1</f>
        <v>11</v>
      </c>
      <c r="O113" s="81">
        <f>9567.93+3616.67+403.41+14275.52+10922.18+12907.41+5701.38</f>
        <v>57394.499999999993</v>
      </c>
      <c r="P113" s="81">
        <f>9567.93+3616.67+403.41+14275.52+10922.18+12907.41+5701.38</f>
        <v>57394.499999999993</v>
      </c>
      <c r="Q113" s="79">
        <f t="shared" si="4"/>
        <v>0</v>
      </c>
    </row>
    <row r="114" spans="1:17" s="15" customFormat="1" ht="15" customHeight="1" x14ac:dyDescent="0.25">
      <c r="A114" s="229"/>
      <c r="B114" s="62" t="s">
        <v>71</v>
      </c>
      <c r="C114" s="181" t="s">
        <v>17</v>
      </c>
      <c r="D114" s="182"/>
      <c r="E114" s="183" t="s">
        <v>32</v>
      </c>
      <c r="F114" s="73" t="s">
        <v>431</v>
      </c>
      <c r="G114" s="230" t="s">
        <v>115</v>
      </c>
      <c r="H114" s="181">
        <v>9</v>
      </c>
      <c r="I114" s="231">
        <v>7</v>
      </c>
      <c r="J114" s="96">
        <v>7</v>
      </c>
      <c r="K114" s="237">
        <v>13651.95</v>
      </c>
      <c r="L114" s="237">
        <v>9236.5499999999993</v>
      </c>
      <c r="M114" s="78">
        <f t="shared" si="3"/>
        <v>4415.4000000000015</v>
      </c>
      <c r="N114" s="114">
        <f>5</f>
        <v>5</v>
      </c>
      <c r="O114" s="77">
        <v>6595.5</v>
      </c>
      <c r="P114" s="77">
        <v>6595.5</v>
      </c>
      <c r="Q114" s="232">
        <f t="shared" si="4"/>
        <v>0</v>
      </c>
    </row>
    <row r="115" spans="1:17" s="13" customFormat="1" ht="15" customHeight="1" x14ac:dyDescent="0.25">
      <c r="A115" s="229"/>
      <c r="B115" s="62" t="s">
        <v>319</v>
      </c>
      <c r="C115" s="181" t="s">
        <v>17</v>
      </c>
      <c r="D115" s="182"/>
      <c r="E115" s="183" t="s">
        <v>20</v>
      </c>
      <c r="F115" s="73" t="s">
        <v>375</v>
      </c>
      <c r="G115" s="74" t="s">
        <v>112</v>
      </c>
      <c r="H115" s="75">
        <v>46</v>
      </c>
      <c r="I115" s="76">
        <v>36</v>
      </c>
      <c r="J115" s="96">
        <f>2+1+4+3+6+2+7+1+2+1+1+7+1+6</f>
        <v>44</v>
      </c>
      <c r="K115" s="77">
        <f>710.77+1523.35+6753.23+7215.52+1437.48+28056.52+6091.99+2561.63+3510.24+1726.58+441.54+15673.73+993.47</f>
        <v>76696.049999999988</v>
      </c>
      <c r="L115" s="77">
        <f>710.77+1523.35+6753.23+7215.52+1437.48+28056.52+6091.99+2561.63+3510.24+1726.58+441.54+15673.73+993.47</f>
        <v>76696.049999999988</v>
      </c>
      <c r="M115" s="78">
        <f t="shared" si="3"/>
        <v>0</v>
      </c>
      <c r="N115" s="100">
        <f>3+1+2+1+2+1</f>
        <v>10</v>
      </c>
      <c r="O115" s="77">
        <f>13419.94+726.71+2846.77+3770.56+4653.31+2237.23</f>
        <v>27654.520000000004</v>
      </c>
      <c r="P115" s="77">
        <f>13419.94+726.71+2846.77+3770.56+4653.31+2237.23</f>
        <v>27654.520000000004</v>
      </c>
      <c r="Q115" s="79">
        <f>O115-P115</f>
        <v>0</v>
      </c>
    </row>
    <row r="116" spans="1:17" s="15" customFormat="1" ht="15" customHeight="1" x14ac:dyDescent="0.25">
      <c r="A116" s="229"/>
      <c r="B116" s="62" t="s">
        <v>150</v>
      </c>
      <c r="C116" s="181" t="s">
        <v>17</v>
      </c>
      <c r="D116" s="182"/>
      <c r="E116" s="183" t="s">
        <v>35</v>
      </c>
      <c r="F116" s="73" t="s">
        <v>376</v>
      </c>
      <c r="G116" s="74" t="s">
        <v>112</v>
      </c>
      <c r="H116" s="75">
        <v>38</v>
      </c>
      <c r="I116" s="76">
        <v>23</v>
      </c>
      <c r="J116" s="96">
        <f>1+1+2+2+1+3+1+4+4+1+3+1</f>
        <v>24</v>
      </c>
      <c r="K116" s="77">
        <f>1343.65+384.2+1690.4+4889.84+2417.43+2791.74+5298.48+5960.79+1192.16+3814.3</f>
        <v>29782.989999999998</v>
      </c>
      <c r="L116" s="77">
        <f>1343.65+384.2+1690.4+4889.84+2417.43+2791.74+5298.48+5960.79+1192.16+3814.3</f>
        <v>29782.989999999998</v>
      </c>
      <c r="M116" s="78">
        <f t="shared" si="3"/>
        <v>0</v>
      </c>
      <c r="N116" s="114">
        <f>8+1+1+2+3+1+1+1+1</f>
        <v>19</v>
      </c>
      <c r="O116" s="77">
        <f>5997.32+3719.39+3054.34+13138.17+6578.46+6198.68+2649.24</f>
        <v>41335.599999999999</v>
      </c>
      <c r="P116" s="77">
        <f>5997.32+3719.39+3054.34+13138.17+6578.46+6198.68+2649.24</f>
        <v>41335.599999999999</v>
      </c>
      <c r="Q116" s="79">
        <f t="shared" si="4"/>
        <v>0</v>
      </c>
    </row>
    <row r="117" spans="1:17" s="15" customFormat="1" ht="15" customHeight="1" x14ac:dyDescent="0.25">
      <c r="A117" s="229"/>
      <c r="B117" s="233" t="s">
        <v>150</v>
      </c>
      <c r="C117" s="181" t="s">
        <v>17</v>
      </c>
      <c r="D117" s="182"/>
      <c r="E117" s="183" t="s">
        <v>32</v>
      </c>
      <c r="F117" s="73" t="s">
        <v>487</v>
      </c>
      <c r="G117" s="230" t="s">
        <v>117</v>
      </c>
      <c r="H117" s="181">
        <v>6</v>
      </c>
      <c r="I117" s="231">
        <v>4</v>
      </c>
      <c r="J117" s="96">
        <v>6</v>
      </c>
      <c r="K117" s="77">
        <v>21694.2</v>
      </c>
      <c r="L117" s="77">
        <v>16858.8</v>
      </c>
      <c r="M117" s="78">
        <f t="shared" si="3"/>
        <v>4835.4000000000015</v>
      </c>
      <c r="N117" s="100">
        <v>3</v>
      </c>
      <c r="O117" s="77">
        <v>9645.1</v>
      </c>
      <c r="P117" s="77">
        <v>9645.1</v>
      </c>
      <c r="Q117" s="232">
        <f t="shared" si="4"/>
        <v>0</v>
      </c>
    </row>
    <row r="118" spans="1:17" s="13" customFormat="1" ht="15" customHeight="1" x14ac:dyDescent="0.25">
      <c r="A118" s="229"/>
      <c r="B118" s="30" t="s">
        <v>72</v>
      </c>
      <c r="C118" s="181" t="s">
        <v>17</v>
      </c>
      <c r="D118" s="182"/>
      <c r="E118" s="183" t="s">
        <v>21</v>
      </c>
      <c r="F118" s="73" t="s">
        <v>377</v>
      </c>
      <c r="G118" s="74" t="s">
        <v>112</v>
      </c>
      <c r="H118" s="75">
        <v>28</v>
      </c>
      <c r="I118" s="76">
        <v>19</v>
      </c>
      <c r="J118" s="96">
        <f>1+1+1+1+6+2+1+2+3+1+1+4</f>
        <v>24</v>
      </c>
      <c r="K118" s="77">
        <f>633.93+1415.78+1610.18+1394.65+18140.86+2440.63+4140.81+3166.55+2165.55+10853.72</f>
        <v>45962.660000000011</v>
      </c>
      <c r="L118" s="77">
        <f>633.93+1415.78+1610.18+1394.65+18140.86+2440.63+4140.81+3166.55+2165.55+10853.72</f>
        <v>45962.660000000011</v>
      </c>
      <c r="M118" s="78">
        <f t="shared" si="3"/>
        <v>0</v>
      </c>
      <c r="N118" s="100">
        <f>1+3+1+1+1+3+1+3+1+1+2+1+1+1</f>
        <v>21</v>
      </c>
      <c r="O118" s="81">
        <f>1950.74+10237.13+6595.95+3861.21+1348.53+10328.94+50451.86-19567+15859.78+3744.76+5149.77</f>
        <v>89961.67</v>
      </c>
      <c r="P118" s="81">
        <f>1950.74+10237.13+6595.95+3861.21+1348.53+10328.94+50451.86-19567+15859.78+3744.76+5149.77</f>
        <v>89961.67</v>
      </c>
      <c r="Q118" s="79">
        <f t="shared" si="4"/>
        <v>0</v>
      </c>
    </row>
    <row r="119" spans="1:17" s="13" customFormat="1" ht="15" customHeight="1" x14ac:dyDescent="0.25">
      <c r="A119" s="229"/>
      <c r="B119" s="30" t="s">
        <v>72</v>
      </c>
      <c r="C119" s="181" t="s">
        <v>17</v>
      </c>
      <c r="D119" s="182"/>
      <c r="E119" s="183" t="s">
        <v>21</v>
      </c>
      <c r="F119" s="73" t="s">
        <v>441</v>
      </c>
      <c r="G119" s="230" t="s">
        <v>118</v>
      </c>
      <c r="H119" s="181">
        <v>11</v>
      </c>
      <c r="I119" s="231">
        <v>2</v>
      </c>
      <c r="J119" s="96">
        <v>2</v>
      </c>
      <c r="K119" s="77">
        <v>1728.9</v>
      </c>
      <c r="L119" s="77">
        <v>1728.9</v>
      </c>
      <c r="M119" s="78">
        <f t="shared" si="3"/>
        <v>0</v>
      </c>
      <c r="N119" s="100">
        <v>21</v>
      </c>
      <c r="O119" s="224">
        <v>63010.7</v>
      </c>
      <c r="P119" s="224">
        <v>63010.7</v>
      </c>
      <c r="Q119" s="232">
        <f t="shared" si="4"/>
        <v>0</v>
      </c>
    </row>
    <row r="120" spans="1:17" s="15" customFormat="1" ht="15" customHeight="1" x14ac:dyDescent="0.25">
      <c r="A120" s="229"/>
      <c r="B120" s="30" t="s">
        <v>73</v>
      </c>
      <c r="C120" s="181" t="s">
        <v>17</v>
      </c>
      <c r="D120" s="182"/>
      <c r="E120" s="183" t="s">
        <v>74</v>
      </c>
      <c r="F120" s="73" t="s">
        <v>378</v>
      </c>
      <c r="G120" s="74" t="s">
        <v>112</v>
      </c>
      <c r="H120" s="75">
        <v>38</v>
      </c>
      <c r="I120" s="76">
        <v>34</v>
      </c>
      <c r="J120" s="96">
        <f>9+8+2+2+10+1+6+5+9</f>
        <v>52</v>
      </c>
      <c r="K120" s="77">
        <f>6305.33+12574.83+14899.84+13657.06+15923.24+7697.06+2858.97+10093.97</f>
        <v>84010.3</v>
      </c>
      <c r="L120" s="77">
        <f>6305.33+12574.83+14899.84+13657.06+15923.24+7697.06+2858.97+10093.97</f>
        <v>84010.3</v>
      </c>
      <c r="M120" s="78">
        <f t="shared" si="3"/>
        <v>0</v>
      </c>
      <c r="N120" s="100">
        <f>5+3+3+1+1+2+2</f>
        <v>17</v>
      </c>
      <c r="O120" s="81">
        <f>5416.39+9506.99+12269.39+7610.68+1915.68+16508.04+12449.36</f>
        <v>65676.53</v>
      </c>
      <c r="P120" s="81">
        <f>5416.39+9506.99+12269.39+7610.68+1915.68+16508.04+12449.36</f>
        <v>65676.53</v>
      </c>
      <c r="Q120" s="79">
        <f t="shared" si="4"/>
        <v>0</v>
      </c>
    </row>
    <row r="121" spans="1:17" s="15" customFormat="1" ht="15" customHeight="1" x14ac:dyDescent="0.25">
      <c r="A121" s="229"/>
      <c r="B121" s="30" t="s">
        <v>73</v>
      </c>
      <c r="C121" s="181" t="s">
        <v>17</v>
      </c>
      <c r="D121" s="182"/>
      <c r="E121" s="183" t="s">
        <v>74</v>
      </c>
      <c r="F121" s="73" t="s">
        <v>282</v>
      </c>
      <c r="G121" s="230" t="s">
        <v>114</v>
      </c>
      <c r="H121" s="181"/>
      <c r="I121" s="231"/>
      <c r="J121" s="190"/>
      <c r="K121" s="77"/>
      <c r="L121" s="77"/>
      <c r="M121" s="78">
        <f t="shared" si="3"/>
        <v>0</v>
      </c>
      <c r="N121" s="100">
        <v>1</v>
      </c>
      <c r="O121" s="224">
        <v>1728.9</v>
      </c>
      <c r="P121" s="224">
        <v>1728.9</v>
      </c>
      <c r="Q121" s="232">
        <f t="shared" si="4"/>
        <v>0</v>
      </c>
    </row>
    <row r="122" spans="1:17" s="13" customFormat="1" ht="15" customHeight="1" x14ac:dyDescent="0.25">
      <c r="A122" s="229"/>
      <c r="B122" s="30" t="s">
        <v>135</v>
      </c>
      <c r="C122" s="181" t="s">
        <v>17</v>
      </c>
      <c r="D122" s="182"/>
      <c r="E122" s="194" t="s">
        <v>35</v>
      </c>
      <c r="F122" s="73" t="s">
        <v>379</v>
      </c>
      <c r="G122" s="74" t="s">
        <v>112</v>
      </c>
      <c r="H122" s="75">
        <v>40</v>
      </c>
      <c r="I122" s="76">
        <v>37</v>
      </c>
      <c r="J122" s="96">
        <f>1+6+5+3+3+5+1+5+4+4+1</f>
        <v>38</v>
      </c>
      <c r="K122" s="77">
        <f>697.32+4374.12+5747.44+4426.94+15712.05+4176.57+2649.24+4106.34</f>
        <v>41890.020000000004</v>
      </c>
      <c r="L122" s="77">
        <f>697.32+4374.12+5747.44+4426.94+15712.05+4176.57+2649.24+4106.34</f>
        <v>41890.020000000004</v>
      </c>
      <c r="M122" s="78">
        <f t="shared" si="3"/>
        <v>0</v>
      </c>
      <c r="N122" s="100">
        <f>2+5+1+2+2+2</f>
        <v>14</v>
      </c>
      <c r="O122" s="81">
        <f>6432.89+2283.68+4932.13+377</f>
        <v>14025.7</v>
      </c>
      <c r="P122" s="81">
        <f>6432.89+2283.68+4932.13+377</f>
        <v>14025.7</v>
      </c>
      <c r="Q122" s="232">
        <f t="shared" si="4"/>
        <v>0</v>
      </c>
    </row>
    <row r="123" spans="1:17" s="13" customFormat="1" ht="15" customHeight="1" x14ac:dyDescent="0.25">
      <c r="A123" s="229"/>
      <c r="B123" s="30" t="s">
        <v>135</v>
      </c>
      <c r="C123" s="181" t="s">
        <v>17</v>
      </c>
      <c r="D123" s="182"/>
      <c r="E123" s="194" t="s">
        <v>35</v>
      </c>
      <c r="F123" s="73" t="s">
        <v>432</v>
      </c>
      <c r="G123" s="230" t="s">
        <v>115</v>
      </c>
      <c r="H123" s="181">
        <v>2</v>
      </c>
      <c r="I123" s="231"/>
      <c r="J123" s="96"/>
      <c r="K123" s="77"/>
      <c r="L123" s="77"/>
      <c r="M123" s="78">
        <f t="shared" si="3"/>
        <v>0</v>
      </c>
      <c r="N123" s="100">
        <v>1</v>
      </c>
      <c r="O123" s="224">
        <v>2689.4</v>
      </c>
      <c r="P123" s="224">
        <v>2689.4</v>
      </c>
      <c r="Q123" s="79">
        <f t="shared" si="4"/>
        <v>0</v>
      </c>
    </row>
    <row r="124" spans="1:17" s="13" customFormat="1" x14ac:dyDescent="0.25">
      <c r="A124" s="229"/>
      <c r="B124" s="30" t="s">
        <v>145</v>
      </c>
      <c r="C124" s="181" t="s">
        <v>17</v>
      </c>
      <c r="D124" s="182"/>
      <c r="E124" s="194" t="s">
        <v>20</v>
      </c>
      <c r="F124" s="73" t="s">
        <v>380</v>
      </c>
      <c r="G124" s="74" t="s">
        <v>112</v>
      </c>
      <c r="H124" s="75">
        <v>17</v>
      </c>
      <c r="I124" s="82">
        <v>15</v>
      </c>
      <c r="J124" s="96">
        <f>2+1+1+2+2+5+3+2+3+1+1+2</f>
        <v>25</v>
      </c>
      <c r="K124" s="77">
        <f>5169.72+1100+538.84+4293.82+3949.22+3361.76+5643.1+4037.33+4704.3+6285.32+5025.28</f>
        <v>44108.69</v>
      </c>
      <c r="L124" s="77">
        <f>5169.72+1100+538.84+4293.82+3949.22+3361.76+5643.1+4037.33+4704.3+6285.32+5025.28</f>
        <v>44108.69</v>
      </c>
      <c r="M124" s="78">
        <f t="shared" si="3"/>
        <v>0</v>
      </c>
      <c r="N124" s="100">
        <f>1+1+2+1+2+1</f>
        <v>8</v>
      </c>
      <c r="O124" s="81">
        <f>5120.23+3915.15+1114.12+14002.49+7111.04</f>
        <v>31263.03</v>
      </c>
      <c r="P124" s="81">
        <f>5120.23+3915.15+1114.12+14002.49+7111.04</f>
        <v>31263.03</v>
      </c>
      <c r="Q124" s="232">
        <f t="shared" si="4"/>
        <v>0</v>
      </c>
    </row>
    <row r="125" spans="1:17" s="13" customFormat="1" ht="15" customHeight="1" x14ac:dyDescent="0.25">
      <c r="A125" s="229"/>
      <c r="B125" s="30" t="s">
        <v>145</v>
      </c>
      <c r="C125" s="181" t="s">
        <v>17</v>
      </c>
      <c r="D125" s="182"/>
      <c r="E125" s="194" t="s">
        <v>20</v>
      </c>
      <c r="F125" s="73" t="s">
        <v>461</v>
      </c>
      <c r="G125" s="230" t="s">
        <v>114</v>
      </c>
      <c r="H125" s="181">
        <v>7</v>
      </c>
      <c r="I125" s="231">
        <v>4</v>
      </c>
      <c r="J125" s="190">
        <v>4</v>
      </c>
      <c r="K125" s="77">
        <v>6135.7</v>
      </c>
      <c r="L125" s="77">
        <v>6135.7</v>
      </c>
      <c r="M125" s="78">
        <f t="shared" si="3"/>
        <v>0</v>
      </c>
      <c r="N125" s="100">
        <v>11</v>
      </c>
      <c r="O125" s="224">
        <v>24338.15</v>
      </c>
      <c r="P125" s="224">
        <v>24338.15</v>
      </c>
      <c r="Q125" s="232">
        <f t="shared" si="4"/>
        <v>0</v>
      </c>
    </row>
    <row r="126" spans="1:17" s="13" customFormat="1" ht="15" customHeight="1" x14ac:dyDescent="0.25">
      <c r="A126" s="229"/>
      <c r="B126" s="62" t="s">
        <v>76</v>
      </c>
      <c r="C126" s="181" t="s">
        <v>17</v>
      </c>
      <c r="D126" s="182"/>
      <c r="E126" s="183" t="s">
        <v>20</v>
      </c>
      <c r="F126" s="73" t="s">
        <v>381</v>
      </c>
      <c r="G126" s="74" t="s">
        <v>112</v>
      </c>
      <c r="H126" s="75">
        <v>31</v>
      </c>
      <c r="I126" s="76">
        <v>22</v>
      </c>
      <c r="J126" s="96">
        <f>1+6+3+1+3+1+2+2+2+1+1+6</f>
        <v>29</v>
      </c>
      <c r="K126" s="77">
        <f>6556.06+2806.39+2697.06+1267.86+11775.51+1557.35+2113.1+4117.36+1673.84+1724.01+1457.08+3514.26+14440.84</f>
        <v>55700.72</v>
      </c>
      <c r="L126" s="77">
        <f>6556.06+2806.39+2697.06+1267.86+11775.51+1557.35+2113.1+4117.36+1673.84+1724.01+1457.08+3514.26+14440.84</f>
        <v>55700.72</v>
      </c>
      <c r="M126" s="78">
        <f t="shared" si="3"/>
        <v>0</v>
      </c>
      <c r="N126" s="100">
        <f>5+6+2+1+1+1+1+2+2+1</f>
        <v>22</v>
      </c>
      <c r="O126" s="81">
        <f>11527.9+19846.52+1011.91+9641+2451.87+10072.83+11307.66+2243.83+6181.56+5655.45+1404.9</f>
        <v>81345.429999999993</v>
      </c>
      <c r="P126" s="81">
        <f>11527.9+19846.52+1011.91+9641+2451.87+10072.83+11307.66+2243.83+6181.56+5655.45+1404.9</f>
        <v>81345.429999999993</v>
      </c>
      <c r="Q126" s="232">
        <f t="shared" si="4"/>
        <v>0</v>
      </c>
    </row>
    <row r="127" spans="1:17" s="13" customFormat="1" ht="15" customHeight="1" x14ac:dyDescent="0.25">
      <c r="A127" s="229"/>
      <c r="B127" s="62" t="s">
        <v>76</v>
      </c>
      <c r="C127" s="181" t="s">
        <v>17</v>
      </c>
      <c r="D127" s="182"/>
      <c r="E127" s="183" t="s">
        <v>20</v>
      </c>
      <c r="F127" s="73" t="s">
        <v>462</v>
      </c>
      <c r="G127" s="230" t="s">
        <v>114</v>
      </c>
      <c r="H127" s="181">
        <v>15</v>
      </c>
      <c r="I127" s="231">
        <v>5</v>
      </c>
      <c r="J127" s="190">
        <v>5</v>
      </c>
      <c r="K127" s="77">
        <v>11144.6</v>
      </c>
      <c r="L127" s="77">
        <v>11144.6</v>
      </c>
      <c r="M127" s="78">
        <f t="shared" si="3"/>
        <v>0</v>
      </c>
      <c r="N127" s="100">
        <v>9</v>
      </c>
      <c r="O127" s="224">
        <v>30007.39</v>
      </c>
      <c r="P127" s="224">
        <v>30007.39</v>
      </c>
      <c r="Q127" s="232">
        <f t="shared" si="4"/>
        <v>0</v>
      </c>
    </row>
    <row r="128" spans="1:17" s="13" customFormat="1" ht="15" customHeight="1" x14ac:dyDescent="0.25">
      <c r="A128" s="229"/>
      <c r="B128" s="30" t="s">
        <v>77</v>
      </c>
      <c r="C128" s="181" t="s">
        <v>17</v>
      </c>
      <c r="D128" s="182"/>
      <c r="E128" s="183" t="s">
        <v>32</v>
      </c>
      <c r="F128" s="73" t="s">
        <v>388</v>
      </c>
      <c r="G128" s="74" t="s">
        <v>112</v>
      </c>
      <c r="H128" s="75">
        <v>24</v>
      </c>
      <c r="I128" s="76">
        <v>17</v>
      </c>
      <c r="J128" s="96">
        <f>2+2+2+6+1+1+1+7+3+1</f>
        <v>26</v>
      </c>
      <c r="K128" s="77">
        <f>2440.63+1507.02+2101.48+13625.7+1324.62+2083.47+13864.31</f>
        <v>36947.230000000003</v>
      </c>
      <c r="L128" s="77">
        <f>2440.63+1507.02+2101.48+13625.7+1324.62+2083.47+13864.31</f>
        <v>36947.230000000003</v>
      </c>
      <c r="M128" s="78">
        <f t="shared" si="3"/>
        <v>0</v>
      </c>
      <c r="N128" s="100">
        <f>5+2+3+3+1+1</f>
        <v>15</v>
      </c>
      <c r="O128" s="81">
        <f>11716.73+6848.82+4046.18+11166.34+8845.95</f>
        <v>42624.020000000004</v>
      </c>
      <c r="P128" s="81">
        <f>11716.73+6848.82+4046.18+11166.34+8845.95</f>
        <v>42624.020000000004</v>
      </c>
      <c r="Q128" s="232">
        <f t="shared" si="4"/>
        <v>0</v>
      </c>
    </row>
    <row r="129" spans="1:17" s="13" customFormat="1" ht="15" customHeight="1" x14ac:dyDescent="0.25">
      <c r="A129" s="229"/>
      <c r="B129" s="30" t="s">
        <v>77</v>
      </c>
      <c r="C129" s="181" t="s">
        <v>17</v>
      </c>
      <c r="D129" s="182"/>
      <c r="E129" s="183" t="s">
        <v>32</v>
      </c>
      <c r="F129" s="73" t="s">
        <v>433</v>
      </c>
      <c r="G129" s="230" t="s">
        <v>117</v>
      </c>
      <c r="H129" s="181">
        <v>5</v>
      </c>
      <c r="I129" s="231">
        <v>2</v>
      </c>
      <c r="J129" s="96">
        <v>2</v>
      </c>
      <c r="K129" s="77">
        <v>4530.1000000000004</v>
      </c>
      <c r="L129" s="77">
        <v>4530.1000000000004</v>
      </c>
      <c r="M129" s="78">
        <f t="shared" si="3"/>
        <v>0</v>
      </c>
      <c r="N129" s="100">
        <v>7</v>
      </c>
      <c r="O129" s="224">
        <v>18164.11</v>
      </c>
      <c r="P129" s="224">
        <v>18164.11</v>
      </c>
      <c r="Q129" s="79">
        <f t="shared" si="4"/>
        <v>0</v>
      </c>
    </row>
    <row r="130" spans="1:17" s="13" customFormat="1" ht="15" customHeight="1" x14ac:dyDescent="0.25">
      <c r="A130" s="229"/>
      <c r="B130" s="30" t="s">
        <v>321</v>
      </c>
      <c r="C130" s="181" t="s">
        <v>17</v>
      </c>
      <c r="D130" s="182"/>
      <c r="E130" s="183" t="s">
        <v>21</v>
      </c>
      <c r="F130" s="73" t="s">
        <v>489</v>
      </c>
      <c r="G130" s="230" t="s">
        <v>112</v>
      </c>
      <c r="H130" s="181">
        <v>6</v>
      </c>
      <c r="I130" s="231">
        <v>2</v>
      </c>
      <c r="J130" s="96">
        <f>1+1</f>
        <v>2</v>
      </c>
      <c r="K130" s="77">
        <f>2547.89+1766.16</f>
        <v>4314.05</v>
      </c>
      <c r="L130" s="77">
        <f>2547.89+1766.16</f>
        <v>4314.05</v>
      </c>
      <c r="M130" s="78">
        <f t="shared" si="3"/>
        <v>0</v>
      </c>
      <c r="N130" s="100"/>
      <c r="O130" s="224"/>
      <c r="P130" s="224"/>
      <c r="Q130" s="79">
        <f t="shared" si="4"/>
        <v>0</v>
      </c>
    </row>
    <row r="131" spans="1:17" s="13" customFormat="1" ht="30" customHeight="1" x14ac:dyDescent="0.25">
      <c r="A131" s="229"/>
      <c r="B131" s="62" t="s">
        <v>79</v>
      </c>
      <c r="C131" s="181" t="s">
        <v>304</v>
      </c>
      <c r="D131" s="182" t="s">
        <v>385</v>
      </c>
      <c r="E131" s="183" t="s">
        <v>18</v>
      </c>
      <c r="F131" s="73" t="s">
        <v>389</v>
      </c>
      <c r="G131" s="74" t="s">
        <v>112</v>
      </c>
      <c r="H131" s="75">
        <v>24</v>
      </c>
      <c r="I131" s="76">
        <v>18</v>
      </c>
      <c r="J131" s="98">
        <f>2+5+2+3+2+2+5+2</f>
        <v>23</v>
      </c>
      <c r="K131" s="77">
        <f>2091.97+3190.2+5703.08+6368.88+4029.68+4560.06+5101.32</f>
        <v>31045.190000000002</v>
      </c>
      <c r="L131" s="77">
        <f>2091.97+3190.2+5703.08+6368.88+4029.68+4560.06+5101.32</f>
        <v>31045.190000000002</v>
      </c>
      <c r="M131" s="78">
        <f t="shared" si="3"/>
        <v>0</v>
      </c>
      <c r="N131" s="100">
        <f>2+2+1+2+1+1+3+1+2</f>
        <v>15</v>
      </c>
      <c r="O131" s="81">
        <f>1547.4+4166.12+7835.61+1675.01+4717.63+6039.62+18829.39+23135.63+18613.81</f>
        <v>86560.22</v>
      </c>
      <c r="P131" s="81">
        <f>1547.4+4166.12+7835.61+1675.01+4717.63+6039.62+18829.39+23135.63+18613.81</f>
        <v>86560.22</v>
      </c>
      <c r="Q131" s="232">
        <f t="shared" si="4"/>
        <v>0</v>
      </c>
    </row>
    <row r="132" spans="1:17" s="13" customFormat="1" ht="30" customHeight="1" x14ac:dyDescent="0.25">
      <c r="A132" s="229"/>
      <c r="B132" s="62" t="s">
        <v>79</v>
      </c>
      <c r="C132" s="181" t="s">
        <v>304</v>
      </c>
      <c r="D132" s="182" t="s">
        <v>475</v>
      </c>
      <c r="E132" s="183" t="s">
        <v>18</v>
      </c>
      <c r="F132" s="73" t="s">
        <v>329</v>
      </c>
      <c r="G132" s="271" t="s">
        <v>116</v>
      </c>
      <c r="H132" s="181">
        <v>47</v>
      </c>
      <c r="I132" s="234">
        <v>32</v>
      </c>
      <c r="J132" s="98">
        <v>37</v>
      </c>
      <c r="K132" s="224">
        <v>70648</v>
      </c>
      <c r="L132" s="224">
        <v>70648</v>
      </c>
      <c r="M132" s="78">
        <f t="shared" si="3"/>
        <v>0</v>
      </c>
      <c r="N132" s="100">
        <v>16</v>
      </c>
      <c r="O132" s="224">
        <v>56311</v>
      </c>
      <c r="P132" s="224">
        <v>56311</v>
      </c>
      <c r="Q132" s="79">
        <f t="shared" si="4"/>
        <v>0</v>
      </c>
    </row>
    <row r="133" spans="1:17" s="13" customFormat="1" ht="15" customHeight="1" x14ac:dyDescent="0.25">
      <c r="A133" s="229"/>
      <c r="B133" s="62" t="s">
        <v>151</v>
      </c>
      <c r="C133" s="181" t="s">
        <v>17</v>
      </c>
      <c r="D133" s="182"/>
      <c r="E133" s="183" t="s">
        <v>32</v>
      </c>
      <c r="F133" s="73" t="s">
        <v>390</v>
      </c>
      <c r="G133" s="74" t="s">
        <v>112</v>
      </c>
      <c r="H133" s="75">
        <v>73</v>
      </c>
      <c r="I133" s="82">
        <v>63</v>
      </c>
      <c r="J133" s="96">
        <f>1+3+3+5+3+9+4+6+3+2+6+5+3+8+4+5+2+7+6</f>
        <v>85</v>
      </c>
      <c r="K133" s="81">
        <f>2317+4640.19+5864.19+10765+12519.53+4514.35+14486.46+3421.94+27163.56+5180.87+3460.57+13888.56</f>
        <v>108222.22</v>
      </c>
      <c r="L133" s="81">
        <f>2317+4640.19+5864.19+10765+12519.53+4514.35+14486.46+3421.94+27163.56+5180.87+3460.57+13888.56</f>
        <v>108222.22</v>
      </c>
      <c r="M133" s="78">
        <f t="shared" si="3"/>
        <v>0</v>
      </c>
      <c r="N133" s="100">
        <f>9+3+5+1+4+4+1+2+1</f>
        <v>30</v>
      </c>
      <c r="O133" s="81">
        <f>10726.94+18822.65+5703.53+12846.53+1320.36+4050.1+22728.38+3733.09</f>
        <v>79931.58</v>
      </c>
      <c r="P133" s="81">
        <f>10726.94+18822.65+5703.53+12846.53+1320.36+4050.1+22728.38+3733.09</f>
        <v>79931.58</v>
      </c>
      <c r="Q133" s="232">
        <f t="shared" si="4"/>
        <v>0</v>
      </c>
    </row>
    <row r="134" spans="1:17" s="13" customFormat="1" ht="15" customHeight="1" x14ac:dyDescent="0.25">
      <c r="A134" s="229"/>
      <c r="B134" s="62" t="s">
        <v>151</v>
      </c>
      <c r="C134" s="181" t="s">
        <v>17</v>
      </c>
      <c r="D134" s="182"/>
      <c r="E134" s="183" t="s">
        <v>32</v>
      </c>
      <c r="F134" s="73" t="s">
        <v>434</v>
      </c>
      <c r="G134" s="230" t="s">
        <v>117</v>
      </c>
      <c r="H134" s="181">
        <v>15</v>
      </c>
      <c r="I134" s="231">
        <v>5</v>
      </c>
      <c r="J134" s="96">
        <v>5</v>
      </c>
      <c r="K134" s="77">
        <v>5920.65</v>
      </c>
      <c r="L134" s="77">
        <v>5920.65</v>
      </c>
      <c r="M134" s="78">
        <f t="shared" si="3"/>
        <v>0</v>
      </c>
      <c r="N134" s="100">
        <v>13</v>
      </c>
      <c r="O134" s="224">
        <v>24537.7</v>
      </c>
      <c r="P134" s="224">
        <v>24537.7</v>
      </c>
      <c r="Q134" s="79">
        <f t="shared" si="4"/>
        <v>0</v>
      </c>
    </row>
    <row r="135" spans="1:17" s="13" customFormat="1" ht="15" customHeight="1" x14ac:dyDescent="0.25">
      <c r="A135" s="229"/>
      <c r="B135" s="62" t="s">
        <v>80</v>
      </c>
      <c r="C135" s="181" t="s">
        <v>17</v>
      </c>
      <c r="D135" s="182"/>
      <c r="E135" s="183" t="s">
        <v>81</v>
      </c>
      <c r="F135" s="73" t="s">
        <v>417</v>
      </c>
      <c r="G135" s="74" t="s">
        <v>112</v>
      </c>
      <c r="H135" s="75"/>
      <c r="I135" s="76"/>
      <c r="J135" s="96"/>
      <c r="K135" s="77">
        <f>749.19+8649.27</f>
        <v>9398.4600000000009</v>
      </c>
      <c r="L135" s="77">
        <f>749.19+8649.27</f>
        <v>9398.4600000000009</v>
      </c>
      <c r="M135" s="78">
        <f t="shared" si="3"/>
        <v>0</v>
      </c>
      <c r="N135" s="100">
        <f>2+2</f>
        <v>4</v>
      </c>
      <c r="O135" s="81">
        <f>3040.94+9398.46</f>
        <v>12439.4</v>
      </c>
      <c r="P135" s="81">
        <f>3040.94+9398.46</f>
        <v>12439.4</v>
      </c>
      <c r="Q135" s="232">
        <f t="shared" si="4"/>
        <v>0</v>
      </c>
    </row>
    <row r="136" spans="1:17" s="13" customFormat="1" ht="15" customHeight="1" x14ac:dyDescent="0.25">
      <c r="A136" s="229"/>
      <c r="B136" s="62" t="s">
        <v>80</v>
      </c>
      <c r="C136" s="181" t="s">
        <v>17</v>
      </c>
      <c r="D136" s="182"/>
      <c r="E136" s="183" t="s">
        <v>81</v>
      </c>
      <c r="F136" s="73" t="s">
        <v>285</v>
      </c>
      <c r="G136" s="230" t="s">
        <v>114</v>
      </c>
      <c r="H136" s="181"/>
      <c r="I136" s="231"/>
      <c r="J136" s="190"/>
      <c r="K136" s="77"/>
      <c r="L136" s="77"/>
      <c r="M136" s="78">
        <f t="shared" si="3"/>
        <v>0</v>
      </c>
      <c r="N136" s="100">
        <v>24</v>
      </c>
      <c r="O136" s="224">
        <v>62268.31</v>
      </c>
      <c r="P136" s="224">
        <v>62268.31</v>
      </c>
      <c r="Q136" s="232">
        <f t="shared" si="4"/>
        <v>0</v>
      </c>
    </row>
    <row r="137" spans="1:17" s="13" customFormat="1" ht="15" customHeight="1" x14ac:dyDescent="0.25">
      <c r="A137" s="229"/>
      <c r="B137" s="30" t="s">
        <v>82</v>
      </c>
      <c r="C137" s="181" t="s">
        <v>17</v>
      </c>
      <c r="D137" s="182"/>
      <c r="E137" s="183" t="s">
        <v>20</v>
      </c>
      <c r="F137" s="73" t="s">
        <v>394</v>
      </c>
      <c r="G137" s="74" t="s">
        <v>112</v>
      </c>
      <c r="H137" s="75">
        <v>19</v>
      </c>
      <c r="I137" s="76">
        <v>16</v>
      </c>
      <c r="J137" s="96">
        <f>4+3+2+2+1+1+1+1+1+2</f>
        <v>18</v>
      </c>
      <c r="K137" s="77">
        <f>20254+3953.39+602.1+1457.08</f>
        <v>26266.57</v>
      </c>
      <c r="L137" s="77">
        <f>20254+3953.39+602.1+1457.08</f>
        <v>26266.57</v>
      </c>
      <c r="M137" s="78">
        <f t="shared" si="3"/>
        <v>0</v>
      </c>
      <c r="N137" s="100">
        <f>3+5+1+1+1</f>
        <v>11</v>
      </c>
      <c r="O137" s="81">
        <f>5975.84+23579.15+1426.34+3500</f>
        <v>34481.33</v>
      </c>
      <c r="P137" s="81">
        <f>5975.84+23579.15+1426.34+3500</f>
        <v>34481.33</v>
      </c>
      <c r="Q137" s="232">
        <f t="shared" si="4"/>
        <v>0</v>
      </c>
    </row>
    <row r="138" spans="1:17" s="13" customFormat="1" ht="15" customHeight="1" x14ac:dyDescent="0.25">
      <c r="A138" s="229"/>
      <c r="B138" s="30" t="s">
        <v>82</v>
      </c>
      <c r="C138" s="181" t="s">
        <v>17</v>
      </c>
      <c r="D138" s="182"/>
      <c r="E138" s="183" t="s">
        <v>20</v>
      </c>
      <c r="F138" s="73" t="s">
        <v>463</v>
      </c>
      <c r="G138" s="230" t="s">
        <v>114</v>
      </c>
      <c r="H138" s="181">
        <v>30</v>
      </c>
      <c r="I138" s="231">
        <v>6</v>
      </c>
      <c r="J138" s="190">
        <v>6</v>
      </c>
      <c r="K138" s="77">
        <v>16086.18</v>
      </c>
      <c r="L138" s="77">
        <v>16086.18</v>
      </c>
      <c r="M138" s="78">
        <f t="shared" si="3"/>
        <v>0</v>
      </c>
      <c r="N138" s="100">
        <v>14</v>
      </c>
      <c r="O138" s="224">
        <v>48620.71</v>
      </c>
      <c r="P138" s="224">
        <v>48620.71</v>
      </c>
      <c r="Q138" s="232">
        <f t="shared" si="4"/>
        <v>0</v>
      </c>
    </row>
    <row r="139" spans="1:17" s="13" customFormat="1" ht="15" customHeight="1" x14ac:dyDescent="0.25">
      <c r="A139" s="229"/>
      <c r="B139" s="30" t="s">
        <v>309</v>
      </c>
      <c r="C139" s="181" t="s">
        <v>17</v>
      </c>
      <c r="D139" s="182"/>
      <c r="E139" s="183" t="s">
        <v>20</v>
      </c>
      <c r="F139" s="73" t="s">
        <v>391</v>
      </c>
      <c r="G139" s="230" t="s">
        <v>112</v>
      </c>
      <c r="H139" s="181">
        <v>20</v>
      </c>
      <c r="I139" s="231">
        <v>14</v>
      </c>
      <c r="J139" s="190">
        <f>1+5+2+1+1+1+2+1+1</f>
        <v>15</v>
      </c>
      <c r="K139" s="77">
        <f>3606.1+3402.77+2649.24+993.47+441.54+8488+4287.75+3090.78</f>
        <v>26959.65</v>
      </c>
      <c r="L139" s="77">
        <f>3606.1+3402.77+2649.24+993.47+441.54+8488+4287.75+3090.78</f>
        <v>26959.65</v>
      </c>
      <c r="M139" s="78">
        <f t="shared" si="3"/>
        <v>0</v>
      </c>
      <c r="N139" s="100">
        <f>1+5+1+3</f>
        <v>10</v>
      </c>
      <c r="O139" s="224">
        <f>3088.97+13147.65+1267.86+5955.71</f>
        <v>23460.19</v>
      </c>
      <c r="P139" s="224">
        <f>3088.97+13147.65+1267.86+5955.71</f>
        <v>23460.19</v>
      </c>
      <c r="Q139" s="232">
        <f t="shared" si="4"/>
        <v>0</v>
      </c>
    </row>
    <row r="140" spans="1:17" s="13" customFormat="1" ht="15" customHeight="1" x14ac:dyDescent="0.25">
      <c r="A140" s="229"/>
      <c r="B140" s="30" t="s">
        <v>152</v>
      </c>
      <c r="C140" s="181" t="s">
        <v>17</v>
      </c>
      <c r="D140" s="182"/>
      <c r="E140" s="183" t="s">
        <v>35</v>
      </c>
      <c r="F140" s="73" t="s">
        <v>392</v>
      </c>
      <c r="G140" s="74" t="s">
        <v>112</v>
      </c>
      <c r="H140" s="75">
        <v>7</v>
      </c>
      <c r="I140" s="76">
        <v>6</v>
      </c>
      <c r="J140" s="96">
        <f>1+1+2+1+1+1+2</f>
        <v>9</v>
      </c>
      <c r="K140" s="77">
        <f>403.41+845.24+2113.1+2649.24</f>
        <v>6010.99</v>
      </c>
      <c r="L140" s="77">
        <f>403.41+845.24+2113.1+2649.24</f>
        <v>6010.99</v>
      </c>
      <c r="M140" s="78">
        <f t="shared" si="3"/>
        <v>0</v>
      </c>
      <c r="N140" s="100">
        <f>2+2+2+1+1+1+2</f>
        <v>11</v>
      </c>
      <c r="O140" s="81">
        <f>1690.48+3050.26+3661.61+4648.82+1267.86+1690.48+9282.42+4052.53</f>
        <v>29344.46</v>
      </c>
      <c r="P140" s="81">
        <f>1690.48+3050.26+3661.61+4648.82+1267.86+1690.48+9282.42+4052.53</f>
        <v>29344.46</v>
      </c>
      <c r="Q140" s="232">
        <f t="shared" si="4"/>
        <v>0</v>
      </c>
    </row>
    <row r="141" spans="1:17" s="13" customFormat="1" ht="15" customHeight="1" x14ac:dyDescent="0.25">
      <c r="A141" s="229"/>
      <c r="B141" s="30" t="s">
        <v>83</v>
      </c>
      <c r="C141" s="181" t="s">
        <v>17</v>
      </c>
      <c r="D141" s="182"/>
      <c r="E141" s="183" t="s">
        <v>20</v>
      </c>
      <c r="F141" s="73" t="s">
        <v>393</v>
      </c>
      <c r="G141" s="74" t="s">
        <v>112</v>
      </c>
      <c r="H141" s="75">
        <v>14</v>
      </c>
      <c r="I141" s="76">
        <v>9</v>
      </c>
      <c r="J141" s="96">
        <f>1+1+2+1+1+1+1+1+1</f>
        <v>10</v>
      </c>
      <c r="K141" s="77">
        <f>768.4+2535.72+845.24+14407.5+883.08+883.08</f>
        <v>20323.020000000004</v>
      </c>
      <c r="L141" s="77">
        <f>768.4+2535.72+845.24+14407.5+883.08+883.08</f>
        <v>20323.020000000004</v>
      </c>
      <c r="M141" s="78">
        <f t="shared" si="3"/>
        <v>0</v>
      </c>
      <c r="N141" s="100">
        <f>1+2+1+1+1+2</f>
        <v>8</v>
      </c>
      <c r="O141" s="81">
        <f>5837.09+1922.92+4288.54+1686.25</f>
        <v>13734.8</v>
      </c>
      <c r="P141" s="81">
        <f>5837.09+1922.92+4288.54+1686.25</f>
        <v>13734.8</v>
      </c>
      <c r="Q141" s="232">
        <f t="shared" si="4"/>
        <v>0</v>
      </c>
    </row>
    <row r="142" spans="1:17" s="13" customFormat="1" ht="15" customHeight="1" x14ac:dyDescent="0.25">
      <c r="A142" s="229"/>
      <c r="B142" s="30" t="s">
        <v>83</v>
      </c>
      <c r="C142" s="181" t="s">
        <v>17</v>
      </c>
      <c r="D142" s="182"/>
      <c r="E142" s="183" t="s">
        <v>20</v>
      </c>
      <c r="F142" s="73" t="s">
        <v>464</v>
      </c>
      <c r="G142" s="230" t="s">
        <v>114</v>
      </c>
      <c r="H142" s="181">
        <v>37</v>
      </c>
      <c r="I142" s="231">
        <v>22</v>
      </c>
      <c r="J142" s="190">
        <v>22</v>
      </c>
      <c r="K142" s="77">
        <v>60040.41</v>
      </c>
      <c r="L142" s="77">
        <v>60040.41</v>
      </c>
      <c r="M142" s="78">
        <f t="shared" ref="M142:M194" si="5">K142-L142</f>
        <v>0</v>
      </c>
      <c r="N142" s="100">
        <v>31</v>
      </c>
      <c r="O142" s="224">
        <v>114176.52</v>
      </c>
      <c r="P142" s="224">
        <v>114176.52</v>
      </c>
      <c r="Q142" s="232">
        <f t="shared" si="4"/>
        <v>0</v>
      </c>
    </row>
    <row r="143" spans="1:17" s="13" customFormat="1" ht="45" customHeight="1" x14ac:dyDescent="0.25">
      <c r="A143" s="229"/>
      <c r="B143" s="30" t="s">
        <v>85</v>
      </c>
      <c r="C143" s="181" t="s">
        <v>304</v>
      </c>
      <c r="D143" s="182" t="s">
        <v>415</v>
      </c>
      <c r="E143" s="183" t="s">
        <v>20</v>
      </c>
      <c r="F143" s="73" t="s">
        <v>395</v>
      </c>
      <c r="G143" s="74" t="s">
        <v>112</v>
      </c>
      <c r="H143" s="75">
        <v>21</v>
      </c>
      <c r="I143" s="76">
        <v>9</v>
      </c>
      <c r="J143" s="98">
        <f>2+1+1+1</f>
        <v>5</v>
      </c>
      <c r="K143" s="77">
        <f>4800.58+2591.84+7239.38+3534.03</f>
        <v>18165.829999999998</v>
      </c>
      <c r="L143" s="77">
        <f>4800.58+2591.84+7239.38+3534.03</f>
        <v>18165.829999999998</v>
      </c>
      <c r="M143" s="78">
        <f t="shared" si="5"/>
        <v>0</v>
      </c>
      <c r="N143" s="100">
        <f>2+1+2</f>
        <v>5</v>
      </c>
      <c r="O143" s="81">
        <f>3917.73+8936.21+5669.37+31185.72+18292.46</f>
        <v>68001.489999999991</v>
      </c>
      <c r="P143" s="81">
        <f>3917.73+8936.21+5669.37+31185.72+18292.46</f>
        <v>68001.489999999991</v>
      </c>
      <c r="Q143" s="79">
        <f t="shared" si="4"/>
        <v>0</v>
      </c>
    </row>
    <row r="144" spans="1:17" s="13" customFormat="1" ht="15" customHeight="1" x14ac:dyDescent="0.25">
      <c r="A144" s="229"/>
      <c r="B144" s="27" t="s">
        <v>86</v>
      </c>
      <c r="C144" s="181" t="s">
        <v>17</v>
      </c>
      <c r="D144" s="182"/>
      <c r="E144" s="194" t="s">
        <v>20</v>
      </c>
      <c r="F144" s="73" t="s">
        <v>396</v>
      </c>
      <c r="G144" s="74" t="s">
        <v>112</v>
      </c>
      <c r="H144" s="75">
        <v>25</v>
      </c>
      <c r="I144" s="76">
        <v>20</v>
      </c>
      <c r="J144" s="96">
        <f>1+3+1+7+2+2+5+5+1+3</f>
        <v>30</v>
      </c>
      <c r="K144" s="77">
        <f>950.9+5134.06+2091.97+528.03+8954.46+5719.74+9578.1+2631.85+7667.14</f>
        <v>43256.249999999993</v>
      </c>
      <c r="L144" s="77">
        <f>950.9+5134.06+2091.97+528.03+8954.46+5719.74+9578.1+2631.85+7667.14</f>
        <v>43256.249999999993</v>
      </c>
      <c r="M144" s="78">
        <f t="shared" si="5"/>
        <v>0</v>
      </c>
      <c r="N144" s="100">
        <f>15+4+2+1+2+2</f>
        <v>26</v>
      </c>
      <c r="O144" s="81">
        <f>30236.61+18366.75+8887.09+1077.68+8961.95</f>
        <v>67530.080000000002</v>
      </c>
      <c r="P144" s="81">
        <f>30236.61+18366.75+8887.09+1077.68+8961.95</f>
        <v>67530.080000000002</v>
      </c>
      <c r="Q144" s="232">
        <f t="shared" si="4"/>
        <v>0</v>
      </c>
    </row>
    <row r="145" spans="1:17" s="13" customFormat="1" ht="15" customHeight="1" x14ac:dyDescent="0.25">
      <c r="A145" s="229"/>
      <c r="B145" s="27" t="s">
        <v>86</v>
      </c>
      <c r="C145" s="181" t="s">
        <v>17</v>
      </c>
      <c r="D145" s="182"/>
      <c r="E145" s="194" t="s">
        <v>20</v>
      </c>
      <c r="F145" s="73" t="s">
        <v>465</v>
      </c>
      <c r="G145" s="230" t="s">
        <v>114</v>
      </c>
      <c r="H145" s="181">
        <v>9</v>
      </c>
      <c r="I145" s="231">
        <v>4</v>
      </c>
      <c r="J145" s="190">
        <v>4</v>
      </c>
      <c r="K145" s="77">
        <v>8549.82</v>
      </c>
      <c r="L145" s="77">
        <v>8549.82</v>
      </c>
      <c r="M145" s="78">
        <f t="shared" si="5"/>
        <v>0</v>
      </c>
      <c r="N145" s="100">
        <v>10</v>
      </c>
      <c r="O145" s="224">
        <v>22234.03</v>
      </c>
      <c r="P145" s="224">
        <v>22234.03</v>
      </c>
      <c r="Q145" s="232">
        <f t="shared" si="4"/>
        <v>0</v>
      </c>
    </row>
    <row r="146" spans="1:17" s="13" customFormat="1" ht="15" customHeight="1" x14ac:dyDescent="0.25">
      <c r="A146" s="229"/>
      <c r="B146" s="27" t="s">
        <v>87</v>
      </c>
      <c r="C146" s="181" t="s">
        <v>17</v>
      </c>
      <c r="D146" s="182"/>
      <c r="E146" s="194" t="s">
        <v>20</v>
      </c>
      <c r="F146" s="73" t="s">
        <v>520</v>
      </c>
      <c r="G146" s="294" t="s">
        <v>112</v>
      </c>
      <c r="H146" s="181">
        <v>3</v>
      </c>
      <c r="I146" s="231">
        <v>2</v>
      </c>
      <c r="J146" s="190">
        <f>2</f>
        <v>2</v>
      </c>
      <c r="K146" s="77">
        <f>2595.26</f>
        <v>2595.2600000000002</v>
      </c>
      <c r="L146" s="77"/>
      <c r="M146" s="78"/>
      <c r="N146" s="100"/>
      <c r="O146" s="224"/>
      <c r="P146" s="224"/>
      <c r="Q146" s="232"/>
    </row>
    <row r="147" spans="1:17" s="13" customFormat="1" ht="15" customHeight="1" x14ac:dyDescent="0.25">
      <c r="A147" s="229"/>
      <c r="B147" s="62" t="s">
        <v>312</v>
      </c>
      <c r="C147" s="181" t="s">
        <v>17</v>
      </c>
      <c r="D147" s="182"/>
      <c r="E147" s="194" t="s">
        <v>20</v>
      </c>
      <c r="F147" s="73" t="s">
        <v>320</v>
      </c>
      <c r="G147" s="74" t="s">
        <v>112</v>
      </c>
      <c r="H147" s="75">
        <v>24</v>
      </c>
      <c r="I147" s="76">
        <v>17</v>
      </c>
      <c r="J147" s="96">
        <f>1+1+1+2+3+4+4</f>
        <v>16</v>
      </c>
      <c r="K147" s="77">
        <f>3319.49+845.24+4965.79+4415.4+3090.78</f>
        <v>16636.7</v>
      </c>
      <c r="L147" s="77">
        <f>3319.49+845.24+4965.79+4415.4+3090.78</f>
        <v>16636.7</v>
      </c>
      <c r="M147" s="78">
        <f t="shared" si="5"/>
        <v>0</v>
      </c>
      <c r="N147" s="100">
        <f>5+6+1+1</f>
        <v>13</v>
      </c>
      <c r="O147" s="81">
        <f>4226.2+6627.45+4360.59+6336.1</f>
        <v>21550.34</v>
      </c>
      <c r="P147" s="81">
        <f>4226.2+6627.45+4360.59+6336.1</f>
        <v>21550.34</v>
      </c>
      <c r="Q147" s="232">
        <f t="shared" si="4"/>
        <v>0</v>
      </c>
    </row>
    <row r="148" spans="1:17" s="13" customFormat="1" ht="15" customHeight="1" x14ac:dyDescent="0.25">
      <c r="A148" s="229"/>
      <c r="B148" s="62" t="s">
        <v>494</v>
      </c>
      <c r="C148" s="181" t="s">
        <v>17</v>
      </c>
      <c r="D148" s="182"/>
      <c r="E148" s="194" t="s">
        <v>20</v>
      </c>
      <c r="F148" s="73" t="s">
        <v>497</v>
      </c>
      <c r="G148" s="74" t="s">
        <v>112</v>
      </c>
      <c r="H148" s="75">
        <v>16</v>
      </c>
      <c r="I148" s="76">
        <v>11</v>
      </c>
      <c r="J148" s="96">
        <f>1+1+1+1+2+1+2+2</f>
        <v>11</v>
      </c>
      <c r="K148" s="77">
        <f>3379+5494.06+576.3+2417.43+3057.66+2384.32+1986.93</f>
        <v>19295.7</v>
      </c>
      <c r="L148" s="77">
        <f>3379+5494.06+576.3+2417.43+3057.66+2384.32+1986.93</f>
        <v>19295.7</v>
      </c>
      <c r="M148" s="78">
        <f t="shared" si="5"/>
        <v>0</v>
      </c>
      <c r="N148" s="100"/>
      <c r="O148" s="81"/>
      <c r="P148" s="81"/>
      <c r="Q148" s="232">
        <f t="shared" ref="Q148:Q195" si="6">O148-P148</f>
        <v>0</v>
      </c>
    </row>
    <row r="149" spans="1:17" s="13" customFormat="1" ht="15" customHeight="1" x14ac:dyDescent="0.25">
      <c r="A149" s="229"/>
      <c r="B149" s="62" t="s">
        <v>494</v>
      </c>
      <c r="C149" s="181" t="s">
        <v>17</v>
      </c>
      <c r="D149" s="182"/>
      <c r="E149" s="194" t="s">
        <v>20</v>
      </c>
      <c r="F149" s="73" t="s">
        <v>507</v>
      </c>
      <c r="G149" s="74" t="s">
        <v>114</v>
      </c>
      <c r="H149" s="75">
        <v>37</v>
      </c>
      <c r="I149" s="76">
        <v>10</v>
      </c>
      <c r="J149" s="96">
        <v>10</v>
      </c>
      <c r="K149" s="77">
        <v>24597.26</v>
      </c>
      <c r="L149" s="77">
        <v>24597.26</v>
      </c>
      <c r="M149" s="78">
        <f t="shared" si="5"/>
        <v>0</v>
      </c>
      <c r="N149" s="100"/>
      <c r="O149" s="81"/>
      <c r="P149" s="81"/>
      <c r="Q149" s="232">
        <f t="shared" si="6"/>
        <v>0</v>
      </c>
    </row>
    <row r="150" spans="1:17" s="13" customFormat="1" ht="15" customHeight="1" x14ac:dyDescent="0.25">
      <c r="A150" s="229"/>
      <c r="B150" s="62" t="s">
        <v>521</v>
      </c>
      <c r="C150" s="181"/>
      <c r="D150" s="182"/>
      <c r="E150" s="194"/>
      <c r="F150" s="73"/>
      <c r="G150" s="74" t="s">
        <v>112</v>
      </c>
      <c r="H150" s="75">
        <v>1</v>
      </c>
      <c r="I150" s="76"/>
      <c r="J150" s="96"/>
      <c r="K150" s="77"/>
      <c r="L150" s="77"/>
      <c r="M150" s="78"/>
      <c r="N150" s="100"/>
      <c r="O150" s="81"/>
      <c r="P150" s="81"/>
      <c r="Q150" s="232"/>
    </row>
    <row r="151" spans="1:17" s="13" customFormat="1" ht="15" customHeight="1" x14ac:dyDescent="0.25">
      <c r="A151" s="229"/>
      <c r="B151" s="62" t="s">
        <v>521</v>
      </c>
      <c r="C151" s="181"/>
      <c r="D151" s="182"/>
      <c r="E151" s="194"/>
      <c r="F151" s="73"/>
      <c r="G151" s="74" t="s">
        <v>116</v>
      </c>
      <c r="H151" s="75">
        <v>2</v>
      </c>
      <c r="I151" s="76"/>
      <c r="J151" s="96"/>
      <c r="K151" s="77"/>
      <c r="L151" s="77"/>
      <c r="M151" s="78"/>
      <c r="N151" s="100"/>
      <c r="O151" s="81"/>
      <c r="P151" s="81"/>
      <c r="Q151" s="232"/>
    </row>
    <row r="152" spans="1:17" s="13" customFormat="1" ht="15" customHeight="1" x14ac:dyDescent="0.25">
      <c r="A152" s="229"/>
      <c r="B152" s="30" t="s">
        <v>88</v>
      </c>
      <c r="C152" s="181" t="s">
        <v>17</v>
      </c>
      <c r="D152" s="182"/>
      <c r="E152" s="183" t="s">
        <v>89</v>
      </c>
      <c r="F152" s="73" t="s">
        <v>397</v>
      </c>
      <c r="G152" s="74" t="s">
        <v>112</v>
      </c>
      <c r="H152" s="75">
        <v>33</v>
      </c>
      <c r="I152" s="76">
        <v>21</v>
      </c>
      <c r="J152" s="96">
        <f>1+3+1+2+4+1+2+5+2</f>
        <v>21</v>
      </c>
      <c r="K152" s="77">
        <f>4226.2+2394.91+6485.1+556.71+4126.31+9704.16+1282.67+1282.67+2185.62</f>
        <v>32244.349999999995</v>
      </c>
      <c r="L152" s="77">
        <f>4226.2+2394.91+6485.1+556.71+4126.31+9704.16+1282.67+1282.67+2185.62</f>
        <v>32244.349999999995</v>
      </c>
      <c r="M152" s="78">
        <f t="shared" si="5"/>
        <v>0</v>
      </c>
      <c r="N152" s="100">
        <f>4+1+3+1+2+2+1+1+2</f>
        <v>17</v>
      </c>
      <c r="O152" s="81">
        <f>11967.83+2831.55+10544.37+9418.99+3799.13+1798.04+2548.4-12193.52+4083.77</f>
        <v>34798.559999999998</v>
      </c>
      <c r="P152" s="81">
        <f>11967.83+2831.55+10544.37+9418.99+3799.13+1798.04+2548.4-12193.52+4083.77</f>
        <v>34798.559999999998</v>
      </c>
      <c r="Q152" s="79">
        <f t="shared" si="6"/>
        <v>0</v>
      </c>
    </row>
    <row r="153" spans="1:17" s="13" customFormat="1" ht="15" customHeight="1" x14ac:dyDescent="0.25">
      <c r="A153" s="229"/>
      <c r="B153" s="30" t="s">
        <v>88</v>
      </c>
      <c r="C153" s="181" t="s">
        <v>17</v>
      </c>
      <c r="D153" s="182"/>
      <c r="E153" s="183" t="s">
        <v>89</v>
      </c>
      <c r="F153" s="73" t="s">
        <v>442</v>
      </c>
      <c r="G153" s="230" t="s">
        <v>118</v>
      </c>
      <c r="H153" s="181">
        <v>7</v>
      </c>
      <c r="I153" s="231">
        <v>4</v>
      </c>
      <c r="J153" s="96">
        <v>4</v>
      </c>
      <c r="K153" s="77">
        <v>7937.26</v>
      </c>
      <c r="L153" s="77">
        <v>7937.26</v>
      </c>
      <c r="M153" s="78">
        <f>K153-L153</f>
        <v>0</v>
      </c>
      <c r="N153" s="100">
        <v>5</v>
      </c>
      <c r="O153" s="224">
        <v>19245.009999999998</v>
      </c>
      <c r="P153" s="224">
        <v>19245.009999999998</v>
      </c>
      <c r="Q153" s="232">
        <f t="shared" si="6"/>
        <v>0</v>
      </c>
    </row>
    <row r="154" spans="1:17" s="13" customFormat="1" ht="15" customHeight="1" x14ac:dyDescent="0.25">
      <c r="A154" s="229"/>
      <c r="B154" s="30" t="s">
        <v>88</v>
      </c>
      <c r="C154" s="181" t="s">
        <v>17</v>
      </c>
      <c r="D154" s="182"/>
      <c r="E154" s="194" t="s">
        <v>505</v>
      </c>
      <c r="F154" s="73" t="s">
        <v>506</v>
      </c>
      <c r="G154" s="230" t="s">
        <v>114</v>
      </c>
      <c r="H154" s="181">
        <v>10</v>
      </c>
      <c r="I154" s="231">
        <v>3</v>
      </c>
      <c r="J154" s="96">
        <v>3</v>
      </c>
      <c r="K154" s="77">
        <v>11656.54</v>
      </c>
      <c r="L154" s="77">
        <v>11656.54</v>
      </c>
      <c r="M154" s="78">
        <f t="shared" si="5"/>
        <v>0</v>
      </c>
      <c r="N154" s="100"/>
      <c r="O154" s="224"/>
      <c r="P154" s="224"/>
      <c r="Q154" s="232">
        <f t="shared" si="6"/>
        <v>0</v>
      </c>
    </row>
    <row r="155" spans="1:17" s="13" customFormat="1" ht="15" customHeight="1" x14ac:dyDescent="0.25">
      <c r="A155" s="229"/>
      <c r="B155" s="30" t="s">
        <v>90</v>
      </c>
      <c r="C155" s="181" t="s">
        <v>17</v>
      </c>
      <c r="D155" s="182"/>
      <c r="E155" s="194" t="s">
        <v>20</v>
      </c>
      <c r="F155" s="73" t="s">
        <v>398</v>
      </c>
      <c r="G155" s="74" t="s">
        <v>112</v>
      </c>
      <c r="H155" s="75">
        <v>15</v>
      </c>
      <c r="I155" s="76">
        <v>8</v>
      </c>
      <c r="J155" s="96">
        <f>1+1+1+4+1</f>
        <v>8</v>
      </c>
      <c r="K155" s="77">
        <f>422.62+4662.44+7580.13+2408.4+8770.77</f>
        <v>23844.36</v>
      </c>
      <c r="L155" s="77">
        <f>422.62+4662.44+7580.13+2408.4+8770.77</f>
        <v>23844.36</v>
      </c>
      <c r="M155" s="78">
        <f t="shared" si="5"/>
        <v>0</v>
      </c>
      <c r="N155" s="100">
        <f>1+1+1+1+2+1</f>
        <v>7</v>
      </c>
      <c r="O155" s="81">
        <f>2122.67+787.61+15453.48+6194.26+37549.5</f>
        <v>62107.519999999997</v>
      </c>
      <c r="P155" s="81">
        <f>2122.67+787.61+15453.48+6194.26+37549.5</f>
        <v>62107.519999999997</v>
      </c>
      <c r="Q155" s="79">
        <f t="shared" si="6"/>
        <v>0</v>
      </c>
    </row>
    <row r="156" spans="1:17" s="13" customFormat="1" ht="15" customHeight="1" x14ac:dyDescent="0.25">
      <c r="A156" s="229"/>
      <c r="B156" s="30" t="s">
        <v>90</v>
      </c>
      <c r="C156" s="181" t="s">
        <v>17</v>
      </c>
      <c r="D156" s="182"/>
      <c r="E156" s="194" t="s">
        <v>20</v>
      </c>
      <c r="F156" s="73" t="s">
        <v>466</v>
      </c>
      <c r="G156" s="230" t="s">
        <v>114</v>
      </c>
      <c r="H156" s="181">
        <v>24</v>
      </c>
      <c r="I156" s="231">
        <v>10</v>
      </c>
      <c r="J156" s="190">
        <v>10</v>
      </c>
      <c r="K156" s="77">
        <v>24517.56</v>
      </c>
      <c r="L156" s="77">
        <v>24517.56</v>
      </c>
      <c r="M156" s="78">
        <f t="shared" si="5"/>
        <v>0</v>
      </c>
      <c r="N156" s="100">
        <v>28</v>
      </c>
      <c r="O156" s="224">
        <v>115855.1</v>
      </c>
      <c r="P156" s="224">
        <v>115855.1</v>
      </c>
      <c r="Q156" s="232">
        <f t="shared" si="6"/>
        <v>0</v>
      </c>
    </row>
    <row r="157" spans="1:17" s="13" customFormat="1" ht="15" customHeight="1" x14ac:dyDescent="0.25">
      <c r="A157" s="229"/>
      <c r="B157" s="30" t="s">
        <v>91</v>
      </c>
      <c r="C157" s="181" t="s">
        <v>17</v>
      </c>
      <c r="D157" s="182"/>
      <c r="E157" s="194" t="s">
        <v>20</v>
      </c>
      <c r="F157" s="73"/>
      <c r="G157" s="74" t="s">
        <v>112</v>
      </c>
      <c r="H157" s="75"/>
      <c r="I157" s="76"/>
      <c r="J157" s="96"/>
      <c r="K157" s="77"/>
      <c r="L157" s="77"/>
      <c r="M157" s="78">
        <f t="shared" si="5"/>
        <v>0</v>
      </c>
      <c r="N157" s="100"/>
      <c r="O157" s="81"/>
      <c r="P157" s="81"/>
      <c r="Q157" s="79">
        <f t="shared" si="6"/>
        <v>0</v>
      </c>
    </row>
    <row r="158" spans="1:17" s="13" customFormat="1" ht="15" customHeight="1" x14ac:dyDescent="0.25">
      <c r="A158" s="229"/>
      <c r="B158" s="62" t="s">
        <v>138</v>
      </c>
      <c r="C158" s="181" t="s">
        <v>17</v>
      </c>
      <c r="D158" s="182"/>
      <c r="E158" s="194" t="s">
        <v>20</v>
      </c>
      <c r="F158" s="73" t="s">
        <v>467</v>
      </c>
      <c r="G158" s="230" t="s">
        <v>114</v>
      </c>
      <c r="H158" s="181">
        <v>18</v>
      </c>
      <c r="I158" s="231">
        <v>3</v>
      </c>
      <c r="J158" s="190">
        <v>3</v>
      </c>
      <c r="K158" s="193">
        <v>5542.2</v>
      </c>
      <c r="L158" s="193">
        <v>5542.2</v>
      </c>
      <c r="M158" s="78">
        <f t="shared" si="5"/>
        <v>0</v>
      </c>
      <c r="N158" s="114">
        <v>7</v>
      </c>
      <c r="O158" s="224">
        <v>16429.099999999999</v>
      </c>
      <c r="P158" s="224">
        <v>16429.099999999999</v>
      </c>
      <c r="Q158" s="232">
        <f t="shared" si="6"/>
        <v>0</v>
      </c>
    </row>
    <row r="159" spans="1:17" s="13" customFormat="1" x14ac:dyDescent="0.25">
      <c r="A159" s="229"/>
      <c r="B159" s="62" t="s">
        <v>138</v>
      </c>
      <c r="C159" s="181" t="s">
        <v>17</v>
      </c>
      <c r="D159" s="182"/>
      <c r="E159" s="194" t="s">
        <v>20</v>
      </c>
      <c r="F159" s="73" t="s">
        <v>400</v>
      </c>
      <c r="G159" s="74" t="s">
        <v>112</v>
      </c>
      <c r="H159" s="75">
        <v>15</v>
      </c>
      <c r="I159" s="82">
        <v>11</v>
      </c>
      <c r="J159" s="96">
        <f>3+1+1+2+2+3</f>
        <v>12</v>
      </c>
      <c r="K159" s="77">
        <f>2224.52+9639.33+3232.07+1625.67+1324.62+2604.08</f>
        <v>20650.29</v>
      </c>
      <c r="L159" s="77">
        <f>2224.52+9639.33+3232.07+1625.67+1324.62+2604.08</f>
        <v>20650.29</v>
      </c>
      <c r="M159" s="78">
        <f t="shared" si="5"/>
        <v>0</v>
      </c>
      <c r="N159" s="100">
        <f>5+4+2</f>
        <v>11</v>
      </c>
      <c r="O159" s="81">
        <f>8995.87+8641.99+5740.02</f>
        <v>23377.88</v>
      </c>
      <c r="P159" s="81">
        <f>8995.87+8641.99+5740.02</f>
        <v>23377.88</v>
      </c>
      <c r="Q159" s="79">
        <f t="shared" si="6"/>
        <v>0</v>
      </c>
    </row>
    <row r="160" spans="1:17" s="13" customFormat="1" ht="15" customHeight="1" x14ac:dyDescent="0.25">
      <c r="A160" s="229"/>
      <c r="B160" s="62" t="s">
        <v>157</v>
      </c>
      <c r="C160" s="181" t="s">
        <v>17</v>
      </c>
      <c r="D160" s="182"/>
      <c r="E160" s="194" t="s">
        <v>20</v>
      </c>
      <c r="F160" s="73" t="s">
        <v>401</v>
      </c>
      <c r="G160" s="74" t="s">
        <v>112</v>
      </c>
      <c r="H160" s="75">
        <v>15</v>
      </c>
      <c r="I160" s="82"/>
      <c r="J160" s="96"/>
      <c r="K160" s="77"/>
      <c r="L160" s="77"/>
      <c r="M160" s="78">
        <f t="shared" si="5"/>
        <v>0</v>
      </c>
      <c r="N160" s="100"/>
      <c r="O160" s="81"/>
      <c r="P160" s="81"/>
      <c r="Q160" s="232">
        <f t="shared" si="6"/>
        <v>0</v>
      </c>
    </row>
    <row r="161" spans="1:17" s="13" customFormat="1" ht="15" customHeight="1" x14ac:dyDescent="0.25">
      <c r="A161" s="229"/>
      <c r="B161" s="62" t="s">
        <v>515</v>
      </c>
      <c r="C161" s="181" t="s">
        <v>17</v>
      </c>
      <c r="D161" s="182"/>
      <c r="E161" s="194" t="s">
        <v>20</v>
      </c>
      <c r="F161" s="73" t="s">
        <v>519</v>
      </c>
      <c r="G161" s="74" t="s">
        <v>112</v>
      </c>
      <c r="H161" s="75">
        <v>12</v>
      </c>
      <c r="I161" s="82">
        <v>3</v>
      </c>
      <c r="J161" s="96">
        <f>1+1+2</f>
        <v>4</v>
      </c>
      <c r="K161" s="77">
        <f>1091.81+1091.81+662.31</f>
        <v>2845.93</v>
      </c>
      <c r="L161" s="77">
        <f>1091.81+1091.81+662.31</f>
        <v>2845.93</v>
      </c>
      <c r="M161" s="78">
        <f t="shared" si="5"/>
        <v>0</v>
      </c>
      <c r="N161" s="100"/>
      <c r="O161" s="81"/>
      <c r="P161" s="81"/>
      <c r="Q161" s="232"/>
    </row>
    <row r="162" spans="1:17" s="15" customFormat="1" ht="15" customHeight="1" x14ac:dyDescent="0.25">
      <c r="A162" s="229"/>
      <c r="B162" s="62" t="s">
        <v>92</v>
      </c>
      <c r="C162" s="181" t="s">
        <v>17</v>
      </c>
      <c r="D162" s="182"/>
      <c r="E162" s="194" t="s">
        <v>20</v>
      </c>
      <c r="F162" s="73" t="s">
        <v>402</v>
      </c>
      <c r="G162" s="74" t="s">
        <v>112</v>
      </c>
      <c r="H162" s="75">
        <v>14</v>
      </c>
      <c r="I162" s="76">
        <v>12</v>
      </c>
      <c r="J162" s="96">
        <f>1+2+5+2+2</f>
        <v>12</v>
      </c>
      <c r="K162" s="77">
        <f>1951.74+1335.1+2996.76+883.08+842.94</f>
        <v>8009.6200000000008</v>
      </c>
      <c r="L162" s="77">
        <f>1951.74+1335.1+2996.76+883.08+842.94</f>
        <v>8009.6200000000008</v>
      </c>
      <c r="M162" s="78">
        <f t="shared" si="5"/>
        <v>0</v>
      </c>
      <c r="N162" s="100">
        <f>4+1+1</f>
        <v>6</v>
      </c>
      <c r="O162" s="81">
        <f>12624.74+2697.06+1225.93</f>
        <v>16547.73</v>
      </c>
      <c r="P162" s="81">
        <f>12624.74+2697.06+1225.93</f>
        <v>16547.73</v>
      </c>
      <c r="Q162" s="232">
        <f t="shared" si="6"/>
        <v>0</v>
      </c>
    </row>
    <row r="163" spans="1:17" s="15" customFormat="1" ht="15" customHeight="1" x14ac:dyDescent="0.25">
      <c r="A163" s="229"/>
      <c r="B163" s="62" t="s">
        <v>92</v>
      </c>
      <c r="C163" s="181" t="s">
        <v>17</v>
      </c>
      <c r="D163" s="182"/>
      <c r="E163" s="194" t="s">
        <v>20</v>
      </c>
      <c r="F163" s="73" t="s">
        <v>129</v>
      </c>
      <c r="G163" s="230" t="s">
        <v>114</v>
      </c>
      <c r="H163" s="181"/>
      <c r="I163" s="231"/>
      <c r="J163" s="190"/>
      <c r="K163" s="77"/>
      <c r="L163" s="77"/>
      <c r="M163" s="78">
        <f t="shared" si="5"/>
        <v>0</v>
      </c>
      <c r="N163" s="114"/>
      <c r="O163" s="224"/>
      <c r="P163" s="224"/>
      <c r="Q163" s="232">
        <f t="shared" si="6"/>
        <v>0</v>
      </c>
    </row>
    <row r="164" spans="1:17" s="13" customFormat="1" ht="15" customHeight="1" x14ac:dyDescent="0.25">
      <c r="A164" s="229"/>
      <c r="B164" s="30" t="s">
        <v>93</v>
      </c>
      <c r="C164" s="181" t="s">
        <v>17</v>
      </c>
      <c r="D164" s="182"/>
      <c r="E164" s="183" t="s">
        <v>94</v>
      </c>
      <c r="F164" s="73" t="s">
        <v>403</v>
      </c>
      <c r="G164" s="74" t="s">
        <v>112</v>
      </c>
      <c r="H164" s="75">
        <v>7</v>
      </c>
      <c r="I164" s="76">
        <v>2</v>
      </c>
      <c r="J164" s="96">
        <f>2</f>
        <v>2</v>
      </c>
      <c r="K164" s="77">
        <f>2336.84</f>
        <v>2336.84</v>
      </c>
      <c r="L164" s="77">
        <f>2336.84</f>
        <v>2336.84</v>
      </c>
      <c r="M164" s="78">
        <f t="shared" si="5"/>
        <v>0</v>
      </c>
      <c r="N164" s="100">
        <f>3+8</f>
        <v>11</v>
      </c>
      <c r="O164" s="81">
        <f>20117.75</f>
        <v>20117.75</v>
      </c>
      <c r="P164" s="81">
        <f>20117.75</f>
        <v>20117.75</v>
      </c>
      <c r="Q164" s="232">
        <f t="shared" si="6"/>
        <v>0</v>
      </c>
    </row>
    <row r="165" spans="1:17" s="13" customFormat="1" ht="15" customHeight="1" x14ac:dyDescent="0.25">
      <c r="A165" s="229"/>
      <c r="B165" s="30" t="s">
        <v>93</v>
      </c>
      <c r="C165" s="181" t="s">
        <v>17</v>
      </c>
      <c r="D165" s="182"/>
      <c r="E165" s="183" t="s">
        <v>94</v>
      </c>
      <c r="F165" s="73" t="s">
        <v>130</v>
      </c>
      <c r="G165" s="230" t="s">
        <v>114</v>
      </c>
      <c r="H165" s="181"/>
      <c r="I165" s="231"/>
      <c r="J165" s="190"/>
      <c r="K165" s="77"/>
      <c r="L165" s="77"/>
      <c r="M165" s="78">
        <f t="shared" si="5"/>
        <v>0</v>
      </c>
      <c r="N165" s="100"/>
      <c r="O165" s="224"/>
      <c r="P165" s="224"/>
      <c r="Q165" s="232">
        <f t="shared" si="6"/>
        <v>0</v>
      </c>
    </row>
    <row r="166" spans="1:17" s="13" customFormat="1" ht="15" customHeight="1" x14ac:dyDescent="0.25">
      <c r="A166" s="229"/>
      <c r="B166" s="30" t="s">
        <v>93</v>
      </c>
      <c r="C166" s="181" t="s">
        <v>17</v>
      </c>
      <c r="D166" s="182"/>
      <c r="E166" s="183" t="s">
        <v>94</v>
      </c>
      <c r="F166" s="73" t="s">
        <v>240</v>
      </c>
      <c r="G166" s="230" t="s">
        <v>118</v>
      </c>
      <c r="H166" s="181"/>
      <c r="I166" s="231"/>
      <c r="J166" s="96"/>
      <c r="K166" s="77"/>
      <c r="L166" s="77"/>
      <c r="M166" s="78">
        <f t="shared" si="5"/>
        <v>0</v>
      </c>
      <c r="N166" s="100"/>
      <c r="O166" s="224"/>
      <c r="P166" s="224"/>
      <c r="Q166" s="232">
        <f t="shared" si="6"/>
        <v>0</v>
      </c>
    </row>
    <row r="167" spans="1:17" s="13" customFormat="1" ht="15" customHeight="1" x14ac:dyDescent="0.25">
      <c r="A167" s="229"/>
      <c r="B167" s="30" t="s">
        <v>95</v>
      </c>
      <c r="C167" s="181" t="s">
        <v>17</v>
      </c>
      <c r="D167" s="182"/>
      <c r="E167" s="194" t="s">
        <v>20</v>
      </c>
      <c r="F167" s="73" t="s">
        <v>404</v>
      </c>
      <c r="G167" s="74" t="s">
        <v>112</v>
      </c>
      <c r="H167" s="75">
        <v>25</v>
      </c>
      <c r="I167" s="76">
        <v>12</v>
      </c>
      <c r="J167" s="96">
        <f>1+4+4+5+2+1+1</f>
        <v>18</v>
      </c>
      <c r="K167" s="77">
        <f>1061.35+5770.05+5238.9+6606.04+6345.59+3388.62</f>
        <v>28410.55</v>
      </c>
      <c r="L167" s="77">
        <f>1061.35+5770.05+5238.9+6606.04+6345.59+3388.62</f>
        <v>28410.55</v>
      </c>
      <c r="M167" s="78">
        <f t="shared" si="5"/>
        <v>0</v>
      </c>
      <c r="N167" s="100">
        <f>1+6+1+4+1+1+1</f>
        <v>15</v>
      </c>
      <c r="O167" s="81">
        <f>11603.82+7559.28+6777.29+24757.02+4991.61</f>
        <v>55689.020000000004</v>
      </c>
      <c r="P167" s="81">
        <f>11603.82+7559.28+6777.29+24757.02+4991.61</f>
        <v>55689.020000000004</v>
      </c>
      <c r="Q167" s="79">
        <f t="shared" si="6"/>
        <v>0</v>
      </c>
    </row>
    <row r="168" spans="1:17" s="13" customFormat="1" ht="15" customHeight="1" x14ac:dyDescent="0.25">
      <c r="A168" s="229"/>
      <c r="B168" s="30" t="s">
        <v>95</v>
      </c>
      <c r="C168" s="181" t="s">
        <v>17</v>
      </c>
      <c r="D168" s="182"/>
      <c r="E168" s="194" t="s">
        <v>20</v>
      </c>
      <c r="F168" s="73" t="s">
        <v>291</v>
      </c>
      <c r="G168" s="230" t="s">
        <v>114</v>
      </c>
      <c r="H168" s="181">
        <v>13</v>
      </c>
      <c r="I168" s="231">
        <v>5</v>
      </c>
      <c r="J168" s="190">
        <v>5</v>
      </c>
      <c r="K168" s="77">
        <v>6270.46</v>
      </c>
      <c r="L168" s="77">
        <v>6270.46</v>
      </c>
      <c r="M168" s="78">
        <f t="shared" si="5"/>
        <v>0</v>
      </c>
      <c r="N168" s="100">
        <v>14</v>
      </c>
      <c r="O168" s="224">
        <v>32601.05</v>
      </c>
      <c r="P168" s="224">
        <v>32601.05</v>
      </c>
      <c r="Q168" s="232">
        <f t="shared" si="6"/>
        <v>0</v>
      </c>
    </row>
    <row r="169" spans="1:17" s="13" customFormat="1" ht="15" customHeight="1" x14ac:dyDescent="0.25">
      <c r="A169" s="229"/>
      <c r="B169" s="30" t="s">
        <v>96</v>
      </c>
      <c r="C169" s="181" t="s">
        <v>17</v>
      </c>
      <c r="D169" s="182"/>
      <c r="E169" s="194" t="s">
        <v>97</v>
      </c>
      <c r="F169" s="73" t="s">
        <v>405</v>
      </c>
      <c r="G169" s="74" t="s">
        <v>112</v>
      </c>
      <c r="H169" s="75">
        <v>1</v>
      </c>
      <c r="I169" s="76">
        <v>1</v>
      </c>
      <c r="J169" s="96">
        <f>2</f>
        <v>2</v>
      </c>
      <c r="K169" s="77">
        <f>3187.92</f>
        <v>3187.92</v>
      </c>
      <c r="L169" s="77">
        <f>3187.92</f>
        <v>3187.92</v>
      </c>
      <c r="M169" s="78">
        <f t="shared" si="5"/>
        <v>0</v>
      </c>
      <c r="N169" s="103">
        <f>1+2+1+2</f>
        <v>6</v>
      </c>
      <c r="O169" s="77">
        <f>1742.31+9358.48+3187.92</f>
        <v>14288.71</v>
      </c>
      <c r="P169" s="77">
        <f>1742.31+9358.48+3187.92</f>
        <v>14288.71</v>
      </c>
      <c r="Q169" s="79">
        <f t="shared" si="6"/>
        <v>0</v>
      </c>
    </row>
    <row r="170" spans="1:17" s="13" customFormat="1" ht="15" customHeight="1" x14ac:dyDescent="0.25">
      <c r="A170" s="229"/>
      <c r="B170" s="30" t="s">
        <v>96</v>
      </c>
      <c r="C170" s="181" t="s">
        <v>17</v>
      </c>
      <c r="D170" s="182"/>
      <c r="E170" s="194" t="s">
        <v>97</v>
      </c>
      <c r="F170" s="73" t="s">
        <v>468</v>
      </c>
      <c r="G170" s="230" t="s">
        <v>114</v>
      </c>
      <c r="H170" s="181">
        <v>1</v>
      </c>
      <c r="I170" s="231">
        <v>1</v>
      </c>
      <c r="J170" s="190">
        <v>1</v>
      </c>
      <c r="K170" s="77">
        <v>1204.2</v>
      </c>
      <c r="L170" s="77">
        <v>1204.2</v>
      </c>
      <c r="M170" s="78">
        <f t="shared" si="5"/>
        <v>0</v>
      </c>
      <c r="N170" s="100">
        <v>6</v>
      </c>
      <c r="O170" s="224">
        <v>18393.400000000001</v>
      </c>
      <c r="P170" s="224">
        <v>18393.400000000001</v>
      </c>
      <c r="Q170" s="232">
        <f t="shared" si="6"/>
        <v>0</v>
      </c>
    </row>
    <row r="171" spans="1:17" s="13" customFormat="1" ht="15" customHeight="1" x14ac:dyDescent="0.25">
      <c r="A171" s="229"/>
      <c r="B171" s="30" t="s">
        <v>98</v>
      </c>
      <c r="C171" s="181" t="s">
        <v>17</v>
      </c>
      <c r="D171" s="182"/>
      <c r="E171" s="194" t="s">
        <v>35</v>
      </c>
      <c r="F171" s="73" t="s">
        <v>406</v>
      </c>
      <c r="G171" s="74" t="s">
        <v>112</v>
      </c>
      <c r="H171" s="75">
        <v>46</v>
      </c>
      <c r="I171" s="76">
        <v>34</v>
      </c>
      <c r="J171" s="96">
        <f>1+2+1+1+4+4+1+2+1+5+5+3+3</f>
        <v>33</v>
      </c>
      <c r="K171" s="77">
        <f>845.24+1764.25+8353.03+1298.98+7610.68+13826.64+2752.31+9720.26+116979.76-2616.91+4851.2+993.47+3498.2</f>
        <v>169877.11000000002</v>
      </c>
      <c r="L171" s="77">
        <f>845.24+1764.25+8353.03+1298.98+7610.68+13826.64+2752.31+9720.26+116979.76-2616.91+4851.2+993.47+3498.2</f>
        <v>169877.11000000002</v>
      </c>
      <c r="M171" s="78">
        <f t="shared" si="5"/>
        <v>0</v>
      </c>
      <c r="N171" s="100">
        <f>9+1+1+4+2+1+2+4+2+1+1+1+1</f>
        <v>30</v>
      </c>
      <c r="O171" s="81">
        <f>76864.27+883.08+47501.34+5480.06+4025.41</f>
        <v>134754.16</v>
      </c>
      <c r="P171" s="81">
        <f>76864.27+883.08+47501.34+5480.06+4025.41</f>
        <v>134754.16</v>
      </c>
      <c r="Q171" s="79">
        <f t="shared" si="6"/>
        <v>0</v>
      </c>
    </row>
    <row r="172" spans="1:17" s="13" customFormat="1" ht="15" customHeight="1" x14ac:dyDescent="0.25">
      <c r="A172" s="229"/>
      <c r="B172" s="30" t="s">
        <v>98</v>
      </c>
      <c r="C172" s="181" t="s">
        <v>17</v>
      </c>
      <c r="D172" s="182"/>
      <c r="E172" s="194" t="s">
        <v>35</v>
      </c>
      <c r="F172" s="73" t="s">
        <v>435</v>
      </c>
      <c r="G172" s="235" t="s">
        <v>117</v>
      </c>
      <c r="H172" s="181">
        <v>8</v>
      </c>
      <c r="I172" s="231">
        <v>2</v>
      </c>
      <c r="J172" s="96">
        <v>2</v>
      </c>
      <c r="K172" s="77">
        <v>2486.83</v>
      </c>
      <c r="L172" s="77">
        <v>2486.83</v>
      </c>
      <c r="M172" s="78">
        <f t="shared" si="5"/>
        <v>0</v>
      </c>
      <c r="N172" s="100">
        <v>5</v>
      </c>
      <c r="O172" s="77">
        <v>18950.45</v>
      </c>
      <c r="P172" s="77">
        <v>18950.45</v>
      </c>
      <c r="Q172" s="232">
        <f t="shared" si="6"/>
        <v>0</v>
      </c>
    </row>
    <row r="173" spans="1:17" s="13" customFormat="1" ht="15" customHeight="1" x14ac:dyDescent="0.25">
      <c r="A173" s="229"/>
      <c r="B173" s="30" t="s">
        <v>488</v>
      </c>
      <c r="C173" s="181" t="s">
        <v>17</v>
      </c>
      <c r="D173" s="182"/>
      <c r="E173" s="194" t="s">
        <v>97</v>
      </c>
      <c r="F173" s="73" t="s">
        <v>498</v>
      </c>
      <c r="G173" s="235" t="s">
        <v>112</v>
      </c>
      <c r="H173" s="181">
        <v>17</v>
      </c>
      <c r="I173" s="231">
        <v>13</v>
      </c>
      <c r="J173" s="96">
        <f>4+1+1+2+3+1+1</f>
        <v>13</v>
      </c>
      <c r="K173" s="77">
        <f>1535.8+576.3+802.8+4667.08+421.47</f>
        <v>8003.45</v>
      </c>
      <c r="L173" s="77">
        <f>1535.8+576.3+802.8+4667.08+421.47</f>
        <v>8003.45</v>
      </c>
      <c r="M173" s="78">
        <f t="shared" si="5"/>
        <v>0</v>
      </c>
      <c r="N173" s="100"/>
      <c r="O173" s="77"/>
      <c r="P173" s="77"/>
      <c r="Q173" s="232"/>
    </row>
    <row r="174" spans="1:17" s="15" customFormat="1" ht="15" customHeight="1" x14ac:dyDescent="0.25">
      <c r="A174" s="229"/>
      <c r="B174" s="30" t="s">
        <v>99</v>
      </c>
      <c r="C174" s="181" t="s">
        <v>17</v>
      </c>
      <c r="D174" s="182"/>
      <c r="E174" s="183" t="s">
        <v>32</v>
      </c>
      <c r="F174" s="73" t="s">
        <v>418</v>
      </c>
      <c r="G174" s="74" t="s">
        <v>112</v>
      </c>
      <c r="H174" s="75"/>
      <c r="I174" s="76"/>
      <c r="J174" s="96"/>
      <c r="K174" s="77"/>
      <c r="L174" s="77"/>
      <c r="M174" s="78">
        <f t="shared" si="5"/>
        <v>0</v>
      </c>
      <c r="N174" s="100"/>
      <c r="O174" s="81"/>
      <c r="P174" s="81"/>
      <c r="Q174" s="79">
        <f t="shared" si="6"/>
        <v>0</v>
      </c>
    </row>
    <row r="175" spans="1:17" s="15" customFormat="1" ht="15" customHeight="1" x14ac:dyDescent="0.25">
      <c r="A175" s="229"/>
      <c r="B175" s="30" t="s">
        <v>99</v>
      </c>
      <c r="C175" s="181" t="s">
        <v>17</v>
      </c>
      <c r="D175" s="182"/>
      <c r="E175" s="183" t="s">
        <v>32</v>
      </c>
      <c r="F175" s="73" t="s">
        <v>423</v>
      </c>
      <c r="G175" s="235" t="s">
        <v>117</v>
      </c>
      <c r="H175" s="181"/>
      <c r="I175" s="231"/>
      <c r="J175" s="190"/>
      <c r="K175" s="77"/>
      <c r="L175" s="77"/>
      <c r="M175" s="78">
        <f t="shared" si="5"/>
        <v>0</v>
      </c>
      <c r="N175" s="114"/>
      <c r="O175" s="77"/>
      <c r="P175" s="77"/>
      <c r="Q175" s="232">
        <f t="shared" si="6"/>
        <v>0</v>
      </c>
    </row>
    <row r="176" spans="1:17" s="15" customFormat="1" ht="30" customHeight="1" x14ac:dyDescent="0.25">
      <c r="A176" s="229"/>
      <c r="B176" s="30" t="s">
        <v>144</v>
      </c>
      <c r="C176" s="181" t="s">
        <v>304</v>
      </c>
      <c r="D176" s="182" t="s">
        <v>313</v>
      </c>
      <c r="E176" s="194" t="s">
        <v>97</v>
      </c>
      <c r="F176" s="73" t="s">
        <v>407</v>
      </c>
      <c r="G176" s="66" t="s">
        <v>112</v>
      </c>
      <c r="H176" s="75">
        <v>24</v>
      </c>
      <c r="I176" s="76">
        <v>21</v>
      </c>
      <c r="J176" s="98">
        <f>2+2+1+3+1+1+5+2+1+4+2+4+1+1</f>
        <v>30</v>
      </c>
      <c r="K176" s="77">
        <f>950.9+1449.39+2272.32+2785.92+5112.01+6655.23+3700.19+4208.95+6370.42</f>
        <v>33505.33</v>
      </c>
      <c r="L176" s="77">
        <f>950.9+1449.39+2272.32+2785.92+5112.01+6655.23+3700.19+4208.95+6370.42</f>
        <v>33505.33</v>
      </c>
      <c r="M176" s="78">
        <f t="shared" si="5"/>
        <v>0</v>
      </c>
      <c r="N176" s="100">
        <f>3+2+1+1+1+1+1+1</f>
        <v>11</v>
      </c>
      <c r="O176" s="77">
        <f>5020.57+5566.06+2694.94+845.24+2460.18</f>
        <v>16586.990000000002</v>
      </c>
      <c r="P176" s="77">
        <f>5020.57+5566.06+2694.94+845.24+2460.18</f>
        <v>16586.990000000002</v>
      </c>
      <c r="Q176" s="79">
        <f t="shared" si="6"/>
        <v>0</v>
      </c>
    </row>
    <row r="177" spans="1:17" s="15" customFormat="1" ht="15" customHeight="1" x14ac:dyDescent="0.25">
      <c r="A177" s="229"/>
      <c r="B177" s="30" t="s">
        <v>488</v>
      </c>
      <c r="C177" s="181"/>
      <c r="D177" s="182"/>
      <c r="E177" s="194"/>
      <c r="F177" s="73" t="s">
        <v>509</v>
      </c>
      <c r="G177" s="66" t="s">
        <v>114</v>
      </c>
      <c r="H177" s="75">
        <v>29</v>
      </c>
      <c r="I177" s="76">
        <v>15</v>
      </c>
      <c r="J177" s="98">
        <v>15</v>
      </c>
      <c r="K177" s="77">
        <v>36014.74</v>
      </c>
      <c r="L177" s="77">
        <v>36014.74</v>
      </c>
      <c r="M177" s="78">
        <f t="shared" si="5"/>
        <v>0</v>
      </c>
      <c r="N177" s="100"/>
      <c r="O177" s="77"/>
      <c r="P177" s="77"/>
      <c r="Q177" s="232">
        <f t="shared" si="6"/>
        <v>0</v>
      </c>
    </row>
    <row r="178" spans="1:17" s="15" customFormat="1" ht="15" customHeight="1" x14ac:dyDescent="0.25">
      <c r="A178" s="229"/>
      <c r="B178" s="30" t="s">
        <v>514</v>
      </c>
      <c r="C178" s="181"/>
      <c r="D178" s="182"/>
      <c r="E178" s="194" t="s">
        <v>18</v>
      </c>
      <c r="F178" s="73"/>
      <c r="G178" s="66" t="s">
        <v>116</v>
      </c>
      <c r="H178" s="75">
        <v>8</v>
      </c>
      <c r="I178" s="76">
        <v>1</v>
      </c>
      <c r="J178" s="98">
        <v>1</v>
      </c>
      <c r="K178" s="77">
        <v>1766</v>
      </c>
      <c r="L178" s="77">
        <v>1766</v>
      </c>
      <c r="M178" s="78">
        <f t="shared" si="5"/>
        <v>0</v>
      </c>
      <c r="N178" s="100"/>
      <c r="O178" s="77"/>
      <c r="P178" s="77"/>
      <c r="Q178" s="232"/>
    </row>
    <row r="179" spans="1:17" s="15" customFormat="1" ht="15" customHeight="1" x14ac:dyDescent="0.25">
      <c r="A179" s="229"/>
      <c r="B179" s="30" t="s">
        <v>488</v>
      </c>
      <c r="C179" s="181"/>
      <c r="D179" s="182"/>
      <c r="E179" s="194"/>
      <c r="F179" s="73" t="s">
        <v>512</v>
      </c>
      <c r="G179" s="66" t="s">
        <v>116</v>
      </c>
      <c r="H179" s="75">
        <v>13</v>
      </c>
      <c r="I179" s="76">
        <v>7</v>
      </c>
      <c r="J179" s="98">
        <v>7</v>
      </c>
      <c r="K179" s="77">
        <v>12080</v>
      </c>
      <c r="L179" s="77">
        <v>12080</v>
      </c>
      <c r="M179" s="78">
        <f t="shared" si="5"/>
        <v>0</v>
      </c>
      <c r="N179" s="100"/>
      <c r="O179" s="77"/>
      <c r="P179" s="77"/>
      <c r="Q179" s="79"/>
    </row>
    <row r="180" spans="1:17" s="15" customFormat="1" ht="30" customHeight="1" x14ac:dyDescent="0.25">
      <c r="A180" s="229"/>
      <c r="B180" s="238" t="s">
        <v>144</v>
      </c>
      <c r="C180" s="181" t="s">
        <v>446</v>
      </c>
      <c r="D180" s="182" t="s">
        <v>313</v>
      </c>
      <c r="E180" s="183" t="s">
        <v>20</v>
      </c>
      <c r="F180" s="73" t="s">
        <v>485</v>
      </c>
      <c r="G180" s="235" t="s">
        <v>114</v>
      </c>
      <c r="H180" s="181">
        <v>43</v>
      </c>
      <c r="I180" s="234">
        <v>21</v>
      </c>
      <c r="J180" s="202">
        <v>21</v>
      </c>
      <c r="K180" s="77">
        <v>57178.03</v>
      </c>
      <c r="L180" s="77">
        <v>53164.03</v>
      </c>
      <c r="M180" s="78">
        <f t="shared" si="5"/>
        <v>4014</v>
      </c>
      <c r="N180" s="100">
        <v>22</v>
      </c>
      <c r="O180" s="224">
        <v>55283.8</v>
      </c>
      <c r="P180" s="224">
        <v>55283.8</v>
      </c>
      <c r="Q180" s="232">
        <f t="shared" ref="Q180" si="7">O180-P180</f>
        <v>0</v>
      </c>
    </row>
    <row r="181" spans="1:17" s="21" customFormat="1" ht="45" customHeight="1" x14ac:dyDescent="0.25">
      <c r="A181" s="181"/>
      <c r="B181" s="30" t="s">
        <v>100</v>
      </c>
      <c r="C181" s="181" t="s">
        <v>304</v>
      </c>
      <c r="D181" s="182" t="s">
        <v>416</v>
      </c>
      <c r="E181" s="194" t="s">
        <v>20</v>
      </c>
      <c r="F181" s="73" t="s">
        <v>408</v>
      </c>
      <c r="G181" s="27" t="s">
        <v>112</v>
      </c>
      <c r="H181" s="75">
        <v>37</v>
      </c>
      <c r="I181" s="76">
        <v>23</v>
      </c>
      <c r="J181" s="98">
        <f>5+1+4+6+4+2+4+3</f>
        <v>29</v>
      </c>
      <c r="K181" s="86">
        <f>6524.55+600.31+19349.45+15377.18+2248.86+10883.06</f>
        <v>54983.41</v>
      </c>
      <c r="L181" s="86">
        <f>6524.55+600.31+19349.45+15377.18+2248.86+10883.06</f>
        <v>54983.41</v>
      </c>
      <c r="M181" s="78">
        <f t="shared" si="5"/>
        <v>0</v>
      </c>
      <c r="N181" s="100">
        <f>1+3+2+3+1+1</f>
        <v>11</v>
      </c>
      <c r="O181" s="87">
        <f>10770.58+2113.01+3508.24+19305.88+22849.19+23443.77</f>
        <v>81990.670000000013</v>
      </c>
      <c r="P181" s="87">
        <f>10770.58+2113.01+3508.24+19305.88+22849.19+23443.77</f>
        <v>81990.670000000013</v>
      </c>
      <c r="Q181" s="79">
        <f t="shared" si="6"/>
        <v>0</v>
      </c>
    </row>
    <row r="182" spans="1:17" s="21" customFormat="1" ht="60" customHeight="1" x14ac:dyDescent="0.25">
      <c r="A182" s="181"/>
      <c r="B182" s="30" t="s">
        <v>100</v>
      </c>
      <c r="C182" s="203" t="s">
        <v>125</v>
      </c>
      <c r="D182" s="182" t="s">
        <v>126</v>
      </c>
      <c r="E182" s="194" t="s">
        <v>20</v>
      </c>
      <c r="F182" s="73" t="s">
        <v>486</v>
      </c>
      <c r="G182" s="236" t="s">
        <v>114</v>
      </c>
      <c r="H182" s="181">
        <v>13</v>
      </c>
      <c r="I182" s="234">
        <v>2</v>
      </c>
      <c r="J182" s="202">
        <v>2</v>
      </c>
      <c r="K182" s="86">
        <v>17316</v>
      </c>
      <c r="L182" s="86">
        <v>17316</v>
      </c>
      <c r="M182" s="78">
        <f t="shared" si="5"/>
        <v>0</v>
      </c>
      <c r="N182" s="100"/>
      <c r="O182" s="239">
        <v>71568.429999999993</v>
      </c>
      <c r="P182" s="239">
        <v>71568.429999999993</v>
      </c>
      <c r="Q182" s="232">
        <f t="shared" si="6"/>
        <v>0</v>
      </c>
    </row>
    <row r="183" spans="1:17" s="13" customFormat="1" ht="15" customHeight="1" x14ac:dyDescent="0.25">
      <c r="A183" s="229"/>
      <c r="B183" s="62" t="s">
        <v>101</v>
      </c>
      <c r="C183" s="181" t="s">
        <v>17</v>
      </c>
      <c r="D183" s="182"/>
      <c r="E183" s="194" t="s">
        <v>20</v>
      </c>
      <c r="F183" s="73" t="s">
        <v>409</v>
      </c>
      <c r="G183" s="74" t="s">
        <v>112</v>
      </c>
      <c r="H183" s="75">
        <v>18</v>
      </c>
      <c r="I183" s="76">
        <v>8</v>
      </c>
      <c r="J183" s="96">
        <f>1+5+1+1+2+2+1</f>
        <v>13</v>
      </c>
      <c r="K183" s="77">
        <v>9863.65</v>
      </c>
      <c r="L183" s="77">
        <v>9863.65</v>
      </c>
      <c r="M183" s="78">
        <f t="shared" si="5"/>
        <v>0</v>
      </c>
      <c r="N183" s="100">
        <f>5+2+1+1+1</f>
        <v>10</v>
      </c>
      <c r="O183" s="81">
        <v>25277.53</v>
      </c>
      <c r="P183" s="81">
        <v>25277.53</v>
      </c>
      <c r="Q183" s="79">
        <f t="shared" si="6"/>
        <v>0</v>
      </c>
    </row>
    <row r="184" spans="1:17" s="13" customFormat="1" ht="15" customHeight="1" x14ac:dyDescent="0.25">
      <c r="A184" s="229"/>
      <c r="B184" s="62" t="s">
        <v>146</v>
      </c>
      <c r="C184" s="181" t="s">
        <v>17</v>
      </c>
      <c r="D184" s="182"/>
      <c r="E184" s="194" t="s">
        <v>20</v>
      </c>
      <c r="F184" s="73" t="s">
        <v>410</v>
      </c>
      <c r="G184" s="74" t="s">
        <v>112</v>
      </c>
      <c r="H184" s="75">
        <v>19</v>
      </c>
      <c r="I184" s="76">
        <v>14</v>
      </c>
      <c r="J184" s="96">
        <f>4+1+1+2+1+2+1+1+1+1</f>
        <v>15</v>
      </c>
      <c r="K184" s="77">
        <f>4610.77+1568.98+1854.88+422.62+1334.13+2599.07+5262.18+1092.81+1092.81+481.68+1092.81</f>
        <v>21412.740000000005</v>
      </c>
      <c r="L184" s="77">
        <f>4610.77+1568.98+1854.88+422.62+1334.13+2599.07+5262.18+1092.81+1092.81+481.68+1092.81</f>
        <v>21412.740000000005</v>
      </c>
      <c r="M184" s="78">
        <f t="shared" si="5"/>
        <v>0</v>
      </c>
      <c r="N184" s="100">
        <f>5+1+1+2+1+1+1</f>
        <v>12</v>
      </c>
      <c r="O184" s="81">
        <f>13579.06+1287.07+2636.18+26196.83+1204.2</f>
        <v>44903.34</v>
      </c>
      <c r="P184" s="81">
        <f>13579.06+1287.07+2636.18+26196.83+1204.2</f>
        <v>44903.34</v>
      </c>
      <c r="Q184" s="232">
        <f t="shared" si="6"/>
        <v>0</v>
      </c>
    </row>
    <row r="185" spans="1:17" s="13" customFormat="1" ht="15" customHeight="1" x14ac:dyDescent="0.25">
      <c r="A185" s="229"/>
      <c r="B185" s="62" t="s">
        <v>146</v>
      </c>
      <c r="C185" s="181" t="s">
        <v>17</v>
      </c>
      <c r="D185" s="182"/>
      <c r="E185" s="183" t="s">
        <v>21</v>
      </c>
      <c r="F185" s="73" t="s">
        <v>443</v>
      </c>
      <c r="G185" s="230" t="s">
        <v>118</v>
      </c>
      <c r="H185" s="181">
        <v>18</v>
      </c>
      <c r="I185" s="234">
        <v>7</v>
      </c>
      <c r="J185" s="190">
        <v>7</v>
      </c>
      <c r="K185" s="193">
        <v>9341.16</v>
      </c>
      <c r="L185" s="193">
        <v>9341.16</v>
      </c>
      <c r="M185" s="78">
        <f t="shared" si="5"/>
        <v>0</v>
      </c>
      <c r="N185" s="114">
        <v>6</v>
      </c>
      <c r="O185" s="224">
        <v>6120.6</v>
      </c>
      <c r="P185" s="224">
        <v>3363.06</v>
      </c>
      <c r="Q185" s="79">
        <f t="shared" si="6"/>
        <v>2757.5400000000004</v>
      </c>
    </row>
    <row r="186" spans="1:17" s="13" customFormat="1" ht="15" customHeight="1" x14ac:dyDescent="0.25">
      <c r="A186" s="229"/>
      <c r="B186" s="27" t="s">
        <v>102</v>
      </c>
      <c r="C186" s="181" t="s">
        <v>17</v>
      </c>
      <c r="D186" s="182"/>
      <c r="E186" s="194" t="s">
        <v>20</v>
      </c>
      <c r="F186" s="73" t="s">
        <v>411</v>
      </c>
      <c r="G186" s="74" t="s">
        <v>112</v>
      </c>
      <c r="H186" s="75">
        <v>14</v>
      </c>
      <c r="I186" s="76">
        <v>11</v>
      </c>
      <c r="J186" s="96">
        <f>1+1+2+1+2+1+3</f>
        <v>11</v>
      </c>
      <c r="K186" s="77">
        <f>845.24+845.24+1690.48+1394.65+2689.38+1324.62</f>
        <v>8789.61</v>
      </c>
      <c r="L186" s="77">
        <f>845.24+845.24+1690.48+1394.65+2689.38+1324.62</f>
        <v>8789.61</v>
      </c>
      <c r="M186" s="78">
        <f t="shared" si="5"/>
        <v>0</v>
      </c>
      <c r="N186" s="100">
        <f>3+1+1+1+1</f>
        <v>7</v>
      </c>
      <c r="O186" s="81">
        <f>7808.21+30833.77-12193.52+9963.17+5385.9+14660.89</f>
        <v>56458.420000000006</v>
      </c>
      <c r="P186" s="81">
        <f>7808.21+30833.77-12193.52+9963.17+5385.9+14660.89</f>
        <v>56458.420000000006</v>
      </c>
      <c r="Q186" s="232">
        <f t="shared" si="6"/>
        <v>0</v>
      </c>
    </row>
    <row r="187" spans="1:17" s="13" customFormat="1" ht="15" customHeight="1" x14ac:dyDescent="0.25">
      <c r="A187" s="229"/>
      <c r="B187" s="27" t="s">
        <v>102</v>
      </c>
      <c r="C187" s="181" t="s">
        <v>17</v>
      </c>
      <c r="D187" s="182"/>
      <c r="E187" s="194" t="s">
        <v>20</v>
      </c>
      <c r="F187" s="73" t="s">
        <v>469</v>
      </c>
      <c r="G187" s="230" t="s">
        <v>114</v>
      </c>
      <c r="H187" s="181">
        <v>12</v>
      </c>
      <c r="I187" s="231">
        <v>3</v>
      </c>
      <c r="J187" s="190">
        <v>3</v>
      </c>
      <c r="K187" s="77">
        <v>7690.26</v>
      </c>
      <c r="L187" s="77">
        <v>7690.26</v>
      </c>
      <c r="M187" s="78">
        <f t="shared" si="5"/>
        <v>0</v>
      </c>
      <c r="N187" s="100">
        <v>8</v>
      </c>
      <c r="O187" s="224">
        <v>31795.42</v>
      </c>
      <c r="P187" s="224">
        <v>31795.42</v>
      </c>
      <c r="Q187" s="232">
        <f t="shared" si="6"/>
        <v>0</v>
      </c>
    </row>
    <row r="188" spans="1:17" s="13" customFormat="1" ht="15" customHeight="1" x14ac:dyDescent="0.25">
      <c r="A188" s="229"/>
      <c r="B188" s="27" t="s">
        <v>103</v>
      </c>
      <c r="C188" s="181" t="s">
        <v>17</v>
      </c>
      <c r="D188" s="182"/>
      <c r="E188" s="183" t="s">
        <v>20</v>
      </c>
      <c r="F188" s="73" t="s">
        <v>412</v>
      </c>
      <c r="G188" s="74" t="s">
        <v>112</v>
      </c>
      <c r="H188" s="75">
        <v>18</v>
      </c>
      <c r="I188" s="76">
        <v>11</v>
      </c>
      <c r="J188" s="96">
        <f>4+1+2+3+1+1</f>
        <v>12</v>
      </c>
      <c r="K188" s="77">
        <f>16248.67+1092.81+2003.49+401.4+421.47</f>
        <v>20167.840000000004</v>
      </c>
      <c r="L188" s="77">
        <f>16248.67+1092.81+2003.49+401.4+421.47</f>
        <v>20167.840000000004</v>
      </c>
      <c r="M188" s="78">
        <f t="shared" si="5"/>
        <v>0</v>
      </c>
      <c r="N188" s="100">
        <f>7+2+1+1+2+1+1</f>
        <v>15</v>
      </c>
      <c r="O188" s="77">
        <f>20193.14+7541.5+685.38+1766.16</f>
        <v>30186.18</v>
      </c>
      <c r="P188" s="77">
        <f>20193.14+7541.5+685.38+1766.16</f>
        <v>30186.18</v>
      </c>
      <c r="Q188" s="232">
        <f t="shared" si="6"/>
        <v>0</v>
      </c>
    </row>
    <row r="189" spans="1:17" s="13" customFormat="1" ht="15" customHeight="1" x14ac:dyDescent="0.25">
      <c r="A189" s="229"/>
      <c r="B189" s="27" t="s">
        <v>103</v>
      </c>
      <c r="C189" s="181" t="s">
        <v>17</v>
      </c>
      <c r="D189" s="182"/>
      <c r="E189" s="183" t="s">
        <v>20</v>
      </c>
      <c r="F189" s="73" t="s">
        <v>470</v>
      </c>
      <c r="G189" s="230" t="s">
        <v>114</v>
      </c>
      <c r="H189" s="181">
        <v>19</v>
      </c>
      <c r="I189" s="231">
        <v>5</v>
      </c>
      <c r="J189" s="190">
        <v>5</v>
      </c>
      <c r="K189" s="77">
        <v>10158.299999999999</v>
      </c>
      <c r="L189" s="77">
        <v>10158.299999999999</v>
      </c>
      <c r="M189" s="78">
        <f t="shared" si="5"/>
        <v>0</v>
      </c>
      <c r="N189" s="100">
        <v>5</v>
      </c>
      <c r="O189" s="224">
        <v>14245.19</v>
      </c>
      <c r="P189" s="224">
        <v>14245.19</v>
      </c>
      <c r="Q189" s="232">
        <f t="shared" si="6"/>
        <v>0</v>
      </c>
    </row>
    <row r="190" spans="1:17" s="15" customFormat="1" ht="15" customHeight="1" x14ac:dyDescent="0.25">
      <c r="A190" s="229"/>
      <c r="B190" s="27" t="s">
        <v>104</v>
      </c>
      <c r="C190" s="181" t="s">
        <v>17</v>
      </c>
      <c r="D190" s="182"/>
      <c r="E190" s="183" t="s">
        <v>20</v>
      </c>
      <c r="F190" s="73" t="s">
        <v>413</v>
      </c>
      <c r="G190" s="74" t="s">
        <v>112</v>
      </c>
      <c r="H190" s="75">
        <v>19</v>
      </c>
      <c r="I190" s="76">
        <v>17</v>
      </c>
      <c r="J190" s="96">
        <f>3+1+2+4+1+1+1+5</f>
        <v>18</v>
      </c>
      <c r="K190" s="77">
        <f>5112.82+422.64+8302.14+1605.5+1092.81+1390.85+7796.86</f>
        <v>25723.62</v>
      </c>
      <c r="L190" s="77">
        <f>5112.82+422.64+8302.14+1605.5+1092.81+1390.85+7796.86</f>
        <v>25723.62</v>
      </c>
      <c r="M190" s="78">
        <f t="shared" si="5"/>
        <v>0</v>
      </c>
      <c r="N190" s="100">
        <f>4+1+1+2+1+1</f>
        <v>10</v>
      </c>
      <c r="O190" s="81">
        <f>7087.22+3426.18+3496.22</f>
        <v>14009.619999999999</v>
      </c>
      <c r="P190" s="81">
        <f>7087.22+3426.18+3496.22</f>
        <v>14009.619999999999</v>
      </c>
      <c r="Q190" s="232">
        <f t="shared" si="6"/>
        <v>0</v>
      </c>
    </row>
    <row r="191" spans="1:17" s="15" customFormat="1" ht="15" customHeight="1" x14ac:dyDescent="0.25">
      <c r="A191" s="229"/>
      <c r="B191" s="27" t="s">
        <v>104</v>
      </c>
      <c r="C191" s="181" t="s">
        <v>17</v>
      </c>
      <c r="D191" s="182"/>
      <c r="E191" s="183" t="s">
        <v>20</v>
      </c>
      <c r="F191" s="73" t="s">
        <v>471</v>
      </c>
      <c r="G191" s="230" t="s">
        <v>114</v>
      </c>
      <c r="H191" s="181">
        <v>45</v>
      </c>
      <c r="I191" s="231">
        <v>13</v>
      </c>
      <c r="J191" s="190">
        <v>13</v>
      </c>
      <c r="K191" s="77">
        <v>41748.910000000003</v>
      </c>
      <c r="L191" s="77">
        <v>41748.910000000003</v>
      </c>
      <c r="M191" s="78">
        <f t="shared" si="5"/>
        <v>0</v>
      </c>
      <c r="N191" s="114">
        <v>20</v>
      </c>
      <c r="O191" s="224">
        <v>50922.05</v>
      </c>
      <c r="P191" s="224">
        <v>50922.05</v>
      </c>
      <c r="Q191" s="232">
        <f t="shared" si="6"/>
        <v>0</v>
      </c>
    </row>
    <row r="192" spans="1:17" s="13" customFormat="1" ht="15" customHeight="1" x14ac:dyDescent="0.25">
      <c r="A192" s="229"/>
      <c r="B192" s="30" t="s">
        <v>26</v>
      </c>
      <c r="C192" s="181" t="s">
        <v>17</v>
      </c>
      <c r="D192" s="182"/>
      <c r="E192" s="183" t="s">
        <v>32</v>
      </c>
      <c r="F192" s="73" t="s">
        <v>246</v>
      </c>
      <c r="G192" s="74" t="s">
        <v>117</v>
      </c>
      <c r="H192" s="75"/>
      <c r="I192" s="76"/>
      <c r="J192" s="96"/>
      <c r="K192" s="77"/>
      <c r="L192" s="77"/>
      <c r="M192" s="78">
        <f t="shared" si="5"/>
        <v>0</v>
      </c>
      <c r="N192" s="100">
        <v>5</v>
      </c>
      <c r="O192" s="81">
        <v>7808.15</v>
      </c>
      <c r="P192" s="81">
        <v>7808.15</v>
      </c>
      <c r="Q192" s="232">
        <f t="shared" si="6"/>
        <v>0</v>
      </c>
    </row>
    <row r="193" spans="1:17" s="13" customFormat="1" ht="15" customHeight="1" x14ac:dyDescent="0.25">
      <c r="A193" s="229"/>
      <c r="B193" s="30" t="s">
        <v>105</v>
      </c>
      <c r="C193" s="181" t="s">
        <v>17</v>
      </c>
      <c r="D193" s="182"/>
      <c r="E193" s="194" t="s">
        <v>35</v>
      </c>
      <c r="F193" s="73" t="s">
        <v>518</v>
      </c>
      <c r="G193" s="74" t="s">
        <v>112</v>
      </c>
      <c r="H193" s="75">
        <v>6</v>
      </c>
      <c r="I193" s="76"/>
      <c r="J193" s="96"/>
      <c r="K193" s="77"/>
      <c r="L193" s="77"/>
      <c r="M193" s="78"/>
      <c r="N193" s="100"/>
      <c r="O193" s="81"/>
      <c r="P193" s="81"/>
      <c r="Q193" s="232"/>
    </row>
    <row r="194" spans="1:17" s="13" customFormat="1" ht="15" customHeight="1" x14ac:dyDescent="0.25">
      <c r="A194" s="229"/>
      <c r="B194" s="62" t="s">
        <v>106</v>
      </c>
      <c r="C194" s="181" t="s">
        <v>17</v>
      </c>
      <c r="D194" s="205"/>
      <c r="E194" s="194" t="s">
        <v>20</v>
      </c>
      <c r="F194" s="73" t="s">
        <v>414</v>
      </c>
      <c r="G194" s="74" t="s">
        <v>112</v>
      </c>
      <c r="H194" s="75">
        <v>18</v>
      </c>
      <c r="I194" s="76">
        <v>11</v>
      </c>
      <c r="J194" s="96">
        <f>1+4+2+2+1+4</f>
        <v>14</v>
      </c>
      <c r="K194" s="77">
        <f>4901.5+2119.39+5027.75</f>
        <v>12048.64</v>
      </c>
      <c r="L194" s="77">
        <f>4901.5+2119.39+5027.75</f>
        <v>12048.64</v>
      </c>
      <c r="M194" s="78">
        <f t="shared" si="5"/>
        <v>0</v>
      </c>
      <c r="N194" s="100">
        <f>3+1+1+1+1</f>
        <v>7</v>
      </c>
      <c r="O194" s="81">
        <f>49473.81+3066.27+1501.24</f>
        <v>54041.319999999992</v>
      </c>
      <c r="P194" s="81">
        <f>49473.81+3066.27+1501.24</f>
        <v>54041.319999999992</v>
      </c>
      <c r="Q194" s="232">
        <f t="shared" si="6"/>
        <v>0</v>
      </c>
    </row>
    <row r="195" spans="1:17" ht="15" customHeight="1" x14ac:dyDescent="0.25">
      <c r="A195" s="312"/>
      <c r="B195" s="66"/>
      <c r="C195" s="313"/>
      <c r="D195" s="235"/>
      <c r="E195" s="235"/>
      <c r="F195" s="73"/>
      <c r="G195" s="235" t="s">
        <v>131</v>
      </c>
      <c r="H195" s="240">
        <f>SUM(H10:H194)</f>
        <v>3327</v>
      </c>
      <c r="I195" s="311">
        <f>SUM(I10:I194)</f>
        <v>2014</v>
      </c>
      <c r="J195" s="208">
        <f>SUM(J10:J194)</f>
        <v>2450</v>
      </c>
      <c r="K195" s="209">
        <f>SUM(K10:K194)</f>
        <v>4437197.3650000021</v>
      </c>
      <c r="L195" s="209">
        <f>SUM(L10:L194)</f>
        <v>4410215.0450000009</v>
      </c>
      <c r="M195" s="210">
        <f>K195-L195</f>
        <v>26982.320000001229</v>
      </c>
      <c r="N195" s="208">
        <f>SUM(N10:N194)</f>
        <v>1907</v>
      </c>
      <c r="O195" s="241">
        <f>SUM(O10:O194)</f>
        <v>6096118.870000001</v>
      </c>
      <c r="P195" s="241">
        <f>SUM(P10:P194)</f>
        <v>6078308.8300000001</v>
      </c>
      <c r="Q195" s="79">
        <f t="shared" si="6"/>
        <v>17810.040000000969</v>
      </c>
    </row>
    <row r="196" spans="1:17" ht="15" customHeight="1" x14ac:dyDescent="0.25">
      <c r="K196" s="91" t="s">
        <v>305</v>
      </c>
    </row>
    <row r="197" spans="1:17" ht="45" customHeight="1" x14ac:dyDescent="0.25">
      <c r="B197" s="89" t="s">
        <v>316</v>
      </c>
      <c r="F197" s="104" t="s">
        <v>317</v>
      </c>
      <c r="M197" s="142"/>
      <c r="N197" s="277"/>
      <c r="O197" s="278"/>
      <c r="P197" s="279"/>
      <c r="Q197" s="133"/>
    </row>
    <row r="198" spans="1:17" x14ac:dyDescent="0.25"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216"/>
      <c r="N198" s="6"/>
      <c r="O198" s="6"/>
      <c r="P198" s="6"/>
      <c r="Q198" s="6"/>
    </row>
    <row r="199" spans="1:17" x14ac:dyDescent="0.25">
      <c r="M199" s="216"/>
    </row>
    <row r="200" spans="1:17" x14ac:dyDescent="0.25">
      <c r="M200" s="216"/>
    </row>
    <row r="201" spans="1:17" x14ac:dyDescent="0.25">
      <c r="M201" s="216"/>
    </row>
    <row r="202" spans="1:17" x14ac:dyDescent="0.25">
      <c r="M202" s="216"/>
    </row>
  </sheetData>
  <mergeCells count="7">
    <mergeCell ref="O1:Q1"/>
    <mergeCell ref="A3:Q3"/>
    <mergeCell ref="A4:Q4"/>
    <mergeCell ref="A5:Q5"/>
    <mergeCell ref="B7:G7"/>
    <mergeCell ref="H7:M7"/>
    <mergeCell ref="N7:Q7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Q202"/>
  <sheetViews>
    <sheetView topLeftCell="A13" workbookViewId="0">
      <selection activeCell="J37" sqref="J37"/>
    </sheetView>
  </sheetViews>
  <sheetFormatPr defaultRowHeight="15" x14ac:dyDescent="0.25"/>
  <cols>
    <col min="1" max="1" width="1.85546875" style="6" customWidth="1"/>
    <col min="2" max="2" width="38.28515625" style="88" customWidth="1"/>
    <col min="3" max="3" width="6.5703125" style="19" customWidth="1"/>
    <col min="4" max="4" width="17.42578125" style="19" customWidth="1"/>
    <col min="5" max="5" width="19" style="19" customWidth="1"/>
    <col min="6" max="6" width="19" style="89" customWidth="1"/>
    <col min="7" max="7" width="20.140625" style="89" customWidth="1"/>
    <col min="8" max="9" width="15.7109375" style="90" customWidth="1"/>
    <col min="10" max="10" width="15.7109375" style="99" customWidth="1"/>
    <col min="11" max="13" width="15.7109375" style="91" customWidth="1"/>
    <col min="14" max="14" width="15.7109375" style="99" customWidth="1"/>
    <col min="15" max="17" width="15.7109375" style="92" customWidth="1"/>
    <col min="18" max="18" width="11" style="6" bestFit="1" customWidth="1"/>
    <col min="19" max="16384" width="9.140625" style="6"/>
  </cols>
  <sheetData>
    <row r="1" spans="1:17" s="105" customFormat="1" x14ac:dyDescent="0.25">
      <c r="A1" s="60"/>
      <c r="B1" s="60"/>
      <c r="C1" s="225"/>
      <c r="D1" s="225"/>
      <c r="E1" s="225"/>
      <c r="F1" s="63"/>
      <c r="G1" s="63"/>
      <c r="H1" s="64"/>
      <c r="I1" s="64"/>
      <c r="J1" s="93"/>
      <c r="K1" s="65"/>
      <c r="L1" s="65"/>
      <c r="M1" s="65"/>
      <c r="N1" s="93"/>
      <c r="O1" s="362" t="s">
        <v>15</v>
      </c>
      <c r="P1" s="362"/>
      <c r="Q1" s="362"/>
    </row>
    <row r="2" spans="1:17" s="105" customFormat="1" x14ac:dyDescent="0.25">
      <c r="A2" s="315"/>
      <c r="B2" s="315"/>
      <c r="C2" s="316"/>
      <c r="D2" s="316"/>
      <c r="E2" s="316"/>
      <c r="F2" s="66"/>
      <c r="G2" s="66"/>
      <c r="H2" s="314"/>
      <c r="I2" s="314"/>
      <c r="J2" s="94"/>
      <c r="K2" s="67"/>
      <c r="L2" s="67"/>
      <c r="M2" s="67"/>
      <c r="N2" s="94"/>
      <c r="O2" s="68"/>
      <c r="P2" s="68"/>
      <c r="Q2" s="68"/>
    </row>
    <row r="3" spans="1:17" s="105" customFormat="1" x14ac:dyDescent="0.25">
      <c r="A3" s="380" t="s">
        <v>318</v>
      </c>
      <c r="B3" s="367"/>
      <c r="C3" s="380"/>
      <c r="D3" s="380"/>
      <c r="E3" s="380"/>
      <c r="F3" s="367"/>
      <c r="G3" s="367"/>
      <c r="H3" s="366"/>
      <c r="I3" s="366"/>
      <c r="J3" s="367"/>
      <c r="K3" s="367"/>
      <c r="L3" s="367"/>
      <c r="M3" s="367"/>
      <c r="N3" s="367"/>
      <c r="O3" s="367"/>
      <c r="P3" s="367"/>
      <c r="Q3" s="367"/>
    </row>
    <row r="4" spans="1:17" s="105" customFormat="1" x14ac:dyDescent="0.25">
      <c r="A4" s="381">
        <v>43801</v>
      </c>
      <c r="B4" s="373"/>
      <c r="C4" s="382"/>
      <c r="D4" s="382"/>
      <c r="E4" s="382"/>
      <c r="F4" s="373"/>
      <c r="G4" s="373"/>
      <c r="H4" s="372"/>
      <c r="I4" s="372"/>
      <c r="J4" s="373"/>
      <c r="K4" s="373"/>
      <c r="L4" s="373"/>
      <c r="M4" s="373"/>
      <c r="N4" s="373"/>
      <c r="O4" s="373"/>
      <c r="P4" s="373"/>
      <c r="Q4" s="373"/>
    </row>
    <row r="5" spans="1:17" s="105" customFormat="1" x14ac:dyDescent="0.25">
      <c r="A5" s="367" t="s">
        <v>14</v>
      </c>
      <c r="B5" s="367"/>
      <c r="C5" s="367"/>
      <c r="D5" s="367"/>
      <c r="E5" s="367"/>
      <c r="F5" s="367"/>
      <c r="G5" s="367"/>
      <c r="H5" s="366"/>
      <c r="I5" s="366"/>
      <c r="J5" s="367"/>
      <c r="K5" s="367"/>
      <c r="L5" s="367"/>
      <c r="M5" s="367"/>
      <c r="N5" s="367"/>
      <c r="O5" s="367"/>
      <c r="P5" s="367"/>
      <c r="Q5" s="367"/>
    </row>
    <row r="6" spans="1:17" s="105" customFormat="1" x14ac:dyDescent="0.25">
      <c r="A6" s="315"/>
      <c r="B6" s="315"/>
      <c r="C6" s="316"/>
      <c r="D6" s="316"/>
      <c r="E6" s="316"/>
      <c r="F6" s="66"/>
      <c r="G6" s="66"/>
      <c r="H6" s="314"/>
      <c r="I6" s="314"/>
      <c r="J6" s="94"/>
      <c r="K6" s="67"/>
      <c r="L6" s="67"/>
      <c r="M6" s="67"/>
      <c r="N6" s="94"/>
      <c r="O6" s="68"/>
      <c r="P6" s="68"/>
      <c r="Q6" s="68"/>
    </row>
    <row r="7" spans="1:17" x14ac:dyDescent="0.25">
      <c r="A7" s="227" t="s">
        <v>0</v>
      </c>
      <c r="B7" s="367" t="s">
        <v>10</v>
      </c>
      <c r="C7" s="380"/>
      <c r="D7" s="380"/>
      <c r="E7" s="380"/>
      <c r="F7" s="367"/>
      <c r="G7" s="367"/>
      <c r="H7" s="366" t="s">
        <v>472</v>
      </c>
      <c r="I7" s="366"/>
      <c r="J7" s="367"/>
      <c r="K7" s="367"/>
      <c r="L7" s="367"/>
      <c r="M7" s="367"/>
      <c r="N7" s="367" t="s">
        <v>132</v>
      </c>
      <c r="O7" s="367"/>
      <c r="P7" s="367"/>
      <c r="Q7" s="367"/>
    </row>
    <row r="8" spans="1:17" ht="195" x14ac:dyDescent="0.25">
      <c r="A8" s="227"/>
      <c r="B8" s="315" t="s">
        <v>4</v>
      </c>
      <c r="C8" s="316" t="s">
        <v>1</v>
      </c>
      <c r="D8" s="316" t="s">
        <v>3</v>
      </c>
      <c r="E8" s="316" t="s">
        <v>2</v>
      </c>
      <c r="F8" s="315" t="s">
        <v>6</v>
      </c>
      <c r="G8" s="66" t="s">
        <v>5</v>
      </c>
      <c r="H8" s="315" t="s">
        <v>7</v>
      </c>
      <c r="I8" s="315" t="s">
        <v>8</v>
      </c>
      <c r="J8" s="94" t="s">
        <v>9</v>
      </c>
      <c r="K8" s="67" t="s">
        <v>11</v>
      </c>
      <c r="L8" s="67" t="s">
        <v>12</v>
      </c>
      <c r="M8" s="67" t="s">
        <v>13</v>
      </c>
      <c r="N8" s="94" t="s">
        <v>9</v>
      </c>
      <c r="O8" s="68" t="s">
        <v>11</v>
      </c>
      <c r="P8" s="68" t="s">
        <v>12</v>
      </c>
      <c r="Q8" s="68" t="s">
        <v>13</v>
      </c>
    </row>
    <row r="9" spans="1:17" x14ac:dyDescent="0.25">
      <c r="A9" s="228">
        <v>1</v>
      </c>
      <c r="B9" s="61">
        <f>A9+1</f>
        <v>2</v>
      </c>
      <c r="C9" s="228">
        <f t="shared" ref="C9:Q9" si="0">B9+1</f>
        <v>3</v>
      </c>
      <c r="D9" s="228">
        <f t="shared" si="0"/>
        <v>4</v>
      </c>
      <c r="E9" s="228">
        <f t="shared" si="0"/>
        <v>5</v>
      </c>
      <c r="F9" s="69">
        <f t="shared" si="0"/>
        <v>6</v>
      </c>
      <c r="G9" s="69">
        <f t="shared" si="0"/>
        <v>7</v>
      </c>
      <c r="H9" s="70">
        <f t="shared" si="0"/>
        <v>8</v>
      </c>
      <c r="I9" s="70">
        <f t="shared" si="0"/>
        <v>9</v>
      </c>
      <c r="J9" s="95">
        <f t="shared" si="0"/>
        <v>10</v>
      </c>
      <c r="K9" s="71">
        <f t="shared" si="0"/>
        <v>11</v>
      </c>
      <c r="L9" s="71">
        <f t="shared" si="0"/>
        <v>12</v>
      </c>
      <c r="M9" s="71">
        <f t="shared" si="0"/>
        <v>13</v>
      </c>
      <c r="N9" s="95">
        <f t="shared" si="0"/>
        <v>14</v>
      </c>
      <c r="O9" s="72">
        <f t="shared" si="0"/>
        <v>15</v>
      </c>
      <c r="P9" s="72">
        <f t="shared" si="0"/>
        <v>16</v>
      </c>
      <c r="Q9" s="72">
        <f t="shared" si="0"/>
        <v>17</v>
      </c>
    </row>
    <row r="10" spans="1:17" s="13" customFormat="1" ht="30" customHeight="1" x14ac:dyDescent="0.25">
      <c r="A10" s="229"/>
      <c r="B10" s="62" t="s">
        <v>16</v>
      </c>
      <c r="C10" s="181" t="s">
        <v>304</v>
      </c>
      <c r="D10" s="182" t="s">
        <v>315</v>
      </c>
      <c r="E10" s="183" t="s">
        <v>18</v>
      </c>
      <c r="F10" s="73" t="s">
        <v>322</v>
      </c>
      <c r="G10" s="74" t="s">
        <v>112</v>
      </c>
      <c r="H10" s="75">
        <v>13</v>
      </c>
      <c r="I10" s="76">
        <v>11</v>
      </c>
      <c r="J10" s="98">
        <f>2+1+3+3+1+3</f>
        <v>13</v>
      </c>
      <c r="K10" s="77">
        <f>4792.51+1138.19+504.26+11366.06+4859.68+3954.5+12023.46+3259.34</f>
        <v>41898</v>
      </c>
      <c r="L10" s="77">
        <f>4792.51+1138.19+504.26+11366.06+4859.68+3954.5+12023.46+3259.34</f>
        <v>41898</v>
      </c>
      <c r="M10" s="78">
        <f>K10-L10</f>
        <v>0</v>
      </c>
      <c r="N10" s="100">
        <f>2+5+1+2+1+1</f>
        <v>12</v>
      </c>
      <c r="O10" s="77">
        <f>9108.77+6924.32+22366.06+8197.52</f>
        <v>46596.67</v>
      </c>
      <c r="P10" s="77">
        <f>9108.77+6924.32+22366.06+8197.52</f>
        <v>46596.67</v>
      </c>
      <c r="Q10" s="79">
        <f>O10-P10</f>
        <v>0</v>
      </c>
    </row>
    <row r="11" spans="1:17" s="13" customFormat="1" ht="30" hidden="1" customHeight="1" x14ac:dyDescent="0.25">
      <c r="A11" s="229"/>
      <c r="B11" s="62" t="s">
        <v>16</v>
      </c>
      <c r="C11" s="181" t="s">
        <v>304</v>
      </c>
      <c r="D11" s="182" t="s">
        <v>315</v>
      </c>
      <c r="E11" s="183" t="s">
        <v>18</v>
      </c>
      <c r="F11" s="73" t="s">
        <v>322</v>
      </c>
      <c r="G11" s="230" t="s">
        <v>116</v>
      </c>
      <c r="H11" s="181">
        <v>13</v>
      </c>
      <c r="I11" s="231">
        <v>9</v>
      </c>
      <c r="J11" s="96">
        <v>9</v>
      </c>
      <c r="K11" s="224">
        <v>15861</v>
      </c>
      <c r="L11" s="224">
        <v>15861</v>
      </c>
      <c r="M11" s="78">
        <f t="shared" ref="M11:M77" si="1">K11-L11</f>
        <v>0</v>
      </c>
      <c r="N11" s="100"/>
      <c r="O11" s="224">
        <v>2945</v>
      </c>
      <c r="P11" s="224">
        <v>2945</v>
      </c>
      <c r="Q11" s="232">
        <f t="shared" ref="Q11:Q81" si="2">O11-P11</f>
        <v>0</v>
      </c>
    </row>
    <row r="12" spans="1:17" s="13" customFormat="1" ht="15" customHeight="1" x14ac:dyDescent="0.25">
      <c r="A12" s="229"/>
      <c r="B12" s="62" t="s">
        <v>490</v>
      </c>
      <c r="C12" s="181" t="s">
        <v>304</v>
      </c>
      <c r="D12" s="182"/>
      <c r="E12" s="183"/>
      <c r="F12" s="189" t="s">
        <v>501</v>
      </c>
      <c r="G12" s="230" t="s">
        <v>112</v>
      </c>
      <c r="H12" s="181">
        <v>20</v>
      </c>
      <c r="I12" s="231">
        <v>16</v>
      </c>
      <c r="J12" s="96">
        <f>5+1+3+1+1+2+2+1+1+2</f>
        <v>19</v>
      </c>
      <c r="K12" s="224">
        <f>8352.39+384.2+1463.8+3720.67+546.41+5470.48+13100.4+2207.7+4647.18</f>
        <v>39893.229999999996</v>
      </c>
      <c r="L12" s="224">
        <f>8352.39+384.2+1463.8+3720.67+546.41+5470.48+13100.4+2207.7+4647.18</f>
        <v>39893.229999999996</v>
      </c>
      <c r="M12" s="78">
        <f t="shared" si="1"/>
        <v>0</v>
      </c>
      <c r="N12" s="100"/>
      <c r="O12" s="224"/>
      <c r="P12" s="224"/>
      <c r="Q12" s="79">
        <f t="shared" si="2"/>
        <v>0</v>
      </c>
    </row>
    <row r="13" spans="1:17" s="15" customFormat="1" ht="15" customHeight="1" x14ac:dyDescent="0.25">
      <c r="A13" s="229"/>
      <c r="B13" s="62" t="s">
        <v>19</v>
      </c>
      <c r="C13" s="181" t="s">
        <v>17</v>
      </c>
      <c r="D13" s="182"/>
      <c r="E13" s="183" t="s">
        <v>20</v>
      </c>
      <c r="F13" s="73" t="s">
        <v>323</v>
      </c>
      <c r="G13" s="74" t="s">
        <v>112</v>
      </c>
      <c r="H13" s="75">
        <v>16</v>
      </c>
      <c r="I13" s="76">
        <v>15</v>
      </c>
      <c r="J13" s="96">
        <f>1+2+5+2+1+5+1+3+1+2+1</f>
        <v>24</v>
      </c>
      <c r="K13" s="77">
        <f>422.62+4792.51+1796.14+1373.52+5511.59+1707.76+662.31</f>
        <v>16266.45</v>
      </c>
      <c r="L13" s="77">
        <f>422.62+4792.51+1796.14+1373.52+5511.59+1707.76+662.31</f>
        <v>16266.45</v>
      </c>
      <c r="M13" s="78">
        <f>K13-L13</f>
        <v>0</v>
      </c>
      <c r="N13" s="100">
        <f>8+3+1+2</f>
        <v>14</v>
      </c>
      <c r="O13" s="81">
        <f>6459.36+7124.45</f>
        <v>13583.81</v>
      </c>
      <c r="P13" s="81">
        <f>6459.36+7124.45</f>
        <v>13583.81</v>
      </c>
      <c r="Q13" s="79">
        <f t="shared" si="2"/>
        <v>0</v>
      </c>
    </row>
    <row r="14" spans="1:17" s="15" customFormat="1" ht="15" hidden="1" customHeight="1" x14ac:dyDescent="0.25">
      <c r="A14" s="229"/>
      <c r="B14" s="62" t="s">
        <v>19</v>
      </c>
      <c r="C14" s="181" t="s">
        <v>17</v>
      </c>
      <c r="D14" s="182"/>
      <c r="E14" s="183" t="s">
        <v>20</v>
      </c>
      <c r="F14" s="73" t="s">
        <v>451</v>
      </c>
      <c r="G14" s="230" t="s">
        <v>114</v>
      </c>
      <c r="H14" s="181">
        <v>13</v>
      </c>
      <c r="I14" s="231">
        <v>7</v>
      </c>
      <c r="J14" s="190">
        <v>7</v>
      </c>
      <c r="K14" s="77">
        <v>11142.12</v>
      </c>
      <c r="L14" s="77">
        <v>11142.12</v>
      </c>
      <c r="M14" s="78">
        <f t="shared" si="1"/>
        <v>0</v>
      </c>
      <c r="N14" s="100">
        <v>10</v>
      </c>
      <c r="O14" s="224">
        <v>18093.599999999999</v>
      </c>
      <c r="P14" s="224">
        <v>18093.599999999999</v>
      </c>
      <c r="Q14" s="232">
        <f t="shared" si="2"/>
        <v>0</v>
      </c>
    </row>
    <row r="15" spans="1:17" s="15" customFormat="1" ht="15" customHeight="1" x14ac:dyDescent="0.25">
      <c r="A15" s="229"/>
      <c r="B15" s="62" t="s">
        <v>153</v>
      </c>
      <c r="C15" s="181" t="s">
        <v>17</v>
      </c>
      <c r="D15" s="182"/>
      <c r="E15" s="183" t="s">
        <v>20</v>
      </c>
      <c r="F15" s="73" t="s">
        <v>324</v>
      </c>
      <c r="G15" s="74" t="s">
        <v>112</v>
      </c>
      <c r="H15" s="75">
        <v>20</v>
      </c>
      <c r="I15" s="82">
        <v>13</v>
      </c>
      <c r="J15" s="96">
        <f>1+1+2+1+1+2+1+1+1+1+2+1+1</f>
        <v>16</v>
      </c>
      <c r="K15" s="77">
        <f>950.9+2451.87+3074.57+845.24+1977.86+1284.48+883.08+401.4+1357.13+421.47+6324.86</f>
        <v>19972.859999999997</v>
      </c>
      <c r="L15" s="77">
        <f>950.9+2451.87+3074.57+845.24+1977.86+1284.48+883.08+401.4+1357.13+421.47+6324.86</f>
        <v>19972.859999999997</v>
      </c>
      <c r="M15" s="78">
        <f t="shared" si="1"/>
        <v>0</v>
      </c>
      <c r="N15" s="114">
        <f>1+2+1+2+1+1</f>
        <v>8</v>
      </c>
      <c r="O15" s="81">
        <f>422.62+945.61+2484.69+7964.81+1536.8+2498.17</f>
        <v>15852.699999999999</v>
      </c>
      <c r="P15" s="81">
        <f>422.62+945.61+2484.69+7964.81+1536.8+2498.17</f>
        <v>15852.699999999999</v>
      </c>
      <c r="Q15" s="79">
        <f t="shared" si="2"/>
        <v>0</v>
      </c>
    </row>
    <row r="16" spans="1:17" s="15" customFormat="1" ht="15" hidden="1" customHeight="1" x14ac:dyDescent="0.25">
      <c r="A16" s="229"/>
      <c r="B16" s="233" t="s">
        <v>153</v>
      </c>
      <c r="C16" s="181" t="s">
        <v>17</v>
      </c>
      <c r="D16" s="182"/>
      <c r="E16" s="183" t="s">
        <v>20</v>
      </c>
      <c r="F16" s="73" t="s">
        <v>452</v>
      </c>
      <c r="G16" s="230" t="s">
        <v>114</v>
      </c>
      <c r="H16" s="181">
        <v>20</v>
      </c>
      <c r="I16" s="231">
        <v>7</v>
      </c>
      <c r="J16" s="190">
        <v>7</v>
      </c>
      <c r="K16" s="77">
        <v>20595.29</v>
      </c>
      <c r="L16" s="77">
        <v>20595.29</v>
      </c>
      <c r="M16" s="78">
        <f t="shared" si="1"/>
        <v>0</v>
      </c>
      <c r="N16" s="100">
        <v>10</v>
      </c>
      <c r="O16" s="224">
        <v>28910.6</v>
      </c>
      <c r="P16" s="224">
        <v>23692.400000000001</v>
      </c>
      <c r="Q16" s="232">
        <f t="shared" si="2"/>
        <v>5218.1999999999971</v>
      </c>
    </row>
    <row r="17" spans="1:17" s="13" customFormat="1" ht="15" customHeight="1" x14ac:dyDescent="0.25">
      <c r="A17" s="229"/>
      <c r="B17" s="30" t="s">
        <v>22</v>
      </c>
      <c r="C17" s="181" t="s">
        <v>17</v>
      </c>
      <c r="D17" s="182"/>
      <c r="E17" s="183" t="s">
        <v>23</v>
      </c>
      <c r="F17" s="73" t="s">
        <v>325</v>
      </c>
      <c r="G17" s="74" t="s">
        <v>112</v>
      </c>
      <c r="H17" s="75">
        <v>55</v>
      </c>
      <c r="I17" s="76">
        <v>10</v>
      </c>
      <c r="J17" s="96">
        <f>1+2+1+9</f>
        <v>13</v>
      </c>
      <c r="K17" s="77">
        <f>2698.64+1402.33+11601.84+8586.48</f>
        <v>24289.29</v>
      </c>
      <c r="L17" s="77">
        <f>2698.64+1402.33+11601.84+8586.48</f>
        <v>24289.29</v>
      </c>
      <c r="M17" s="78">
        <f t="shared" si="1"/>
        <v>0</v>
      </c>
      <c r="N17" s="100">
        <f>14+3+7+1+1</f>
        <v>26</v>
      </c>
      <c r="O17" s="81">
        <f>22716.4+4171.06+18768.39+8172.47</f>
        <v>53828.320000000007</v>
      </c>
      <c r="P17" s="81">
        <f>22716.4+4171.06+18768.39+8172.47</f>
        <v>53828.320000000007</v>
      </c>
      <c r="Q17" s="79">
        <f t="shared" si="2"/>
        <v>0</v>
      </c>
    </row>
    <row r="18" spans="1:17" s="13" customFormat="1" ht="15" hidden="1" customHeight="1" x14ac:dyDescent="0.25">
      <c r="A18" s="229"/>
      <c r="B18" s="30" t="s">
        <v>154</v>
      </c>
      <c r="C18" s="181" t="s">
        <v>17</v>
      </c>
      <c r="D18" s="182"/>
      <c r="E18" s="183" t="s">
        <v>20</v>
      </c>
      <c r="F18" s="73" t="s">
        <v>453</v>
      </c>
      <c r="G18" s="230" t="s">
        <v>114</v>
      </c>
      <c r="H18" s="181">
        <v>35</v>
      </c>
      <c r="I18" s="234">
        <v>55</v>
      </c>
      <c r="J18" s="190">
        <v>4</v>
      </c>
      <c r="K18" s="193">
        <v>6550.8</v>
      </c>
      <c r="L18" s="193">
        <v>6550.8</v>
      </c>
      <c r="M18" s="78">
        <f t="shared" si="1"/>
        <v>0</v>
      </c>
      <c r="N18" s="114">
        <v>19</v>
      </c>
      <c r="O18" s="224">
        <v>50947.07</v>
      </c>
      <c r="P18" s="224">
        <v>45126.77</v>
      </c>
      <c r="Q18" s="232">
        <f t="shared" si="2"/>
        <v>5820.3000000000029</v>
      </c>
    </row>
    <row r="19" spans="1:17" s="13" customFormat="1" x14ac:dyDescent="0.25">
      <c r="A19" s="229"/>
      <c r="B19" s="30" t="s">
        <v>154</v>
      </c>
      <c r="C19" s="181" t="s">
        <v>17</v>
      </c>
      <c r="D19" s="182"/>
      <c r="E19" s="183" t="s">
        <v>20</v>
      </c>
      <c r="F19" s="73" t="s">
        <v>326</v>
      </c>
      <c r="G19" s="74" t="s">
        <v>112</v>
      </c>
      <c r="H19" s="75">
        <v>32</v>
      </c>
      <c r="I19" s="76">
        <v>26</v>
      </c>
      <c r="J19" s="96">
        <f>1+1+2+2+2+6+1+4+1+2+2+3+1+1+1+3+1+2+1+1+2</f>
        <v>40</v>
      </c>
      <c r="K19" s="77">
        <f>950.9+864.46+845.24+405.02+739.59+6850.57+12952.58+883.08+2185.62+1053.68+5958.27+6539.59+4664.82+441.54+1890.34</f>
        <v>47225.3</v>
      </c>
      <c r="L19" s="77">
        <f>950.9+864.46+845.24+405.02+739.59+6850.57+12952.58+883.08+2185.62+1053.68+5958.27+6539.59+4664.82+441.54+1890.34</f>
        <v>47225.3</v>
      </c>
      <c r="M19" s="78">
        <f t="shared" si="1"/>
        <v>0</v>
      </c>
      <c r="N19" s="100">
        <f>6+3+1+1+1+2+1+1</f>
        <v>16</v>
      </c>
      <c r="O19" s="81">
        <f>6681.33+7017+1523.5+9094.74+3532.32</f>
        <v>27848.89</v>
      </c>
      <c r="P19" s="81">
        <f>6681.33+7017+1523.5+9094.74+3532.32</f>
        <v>27848.89</v>
      </c>
      <c r="Q19" s="79">
        <f t="shared" si="2"/>
        <v>0</v>
      </c>
    </row>
    <row r="20" spans="1:17" s="13" customFormat="1" ht="15" customHeight="1" x14ac:dyDescent="0.25">
      <c r="A20" s="229"/>
      <c r="B20" s="62" t="s">
        <v>24</v>
      </c>
      <c r="C20" s="181" t="s">
        <v>17</v>
      </c>
      <c r="D20" s="182"/>
      <c r="E20" s="183" t="s">
        <v>20</v>
      </c>
      <c r="F20" s="73" t="s">
        <v>327</v>
      </c>
      <c r="G20" s="74" t="s">
        <v>112</v>
      </c>
      <c r="H20" s="75">
        <v>11</v>
      </c>
      <c r="I20" s="76">
        <v>5</v>
      </c>
      <c r="J20" s="96">
        <f>3+1+1+2</f>
        <v>7</v>
      </c>
      <c r="K20" s="77">
        <f>1191.02+5267.46</f>
        <v>6458.48</v>
      </c>
      <c r="L20" s="77">
        <f>1191.02+5267.46</f>
        <v>6458.48</v>
      </c>
      <c r="M20" s="78">
        <f t="shared" si="1"/>
        <v>0</v>
      </c>
      <c r="N20" s="100">
        <f>1+1+1</f>
        <v>3</v>
      </c>
      <c r="O20" s="81">
        <f>576.3+1810.93</f>
        <v>2387.23</v>
      </c>
      <c r="P20" s="81">
        <f>576.3+1810.93</f>
        <v>2387.23</v>
      </c>
      <c r="Q20" s="232">
        <f t="shared" si="2"/>
        <v>0</v>
      </c>
    </row>
    <row r="21" spans="1:17" s="13" customFormat="1" ht="15" hidden="1" customHeight="1" x14ac:dyDescent="0.25">
      <c r="A21" s="229"/>
      <c r="B21" s="62" t="s">
        <v>24</v>
      </c>
      <c r="C21" s="181" t="s">
        <v>17</v>
      </c>
      <c r="D21" s="182"/>
      <c r="E21" s="183" t="s">
        <v>20</v>
      </c>
      <c r="F21" s="73" t="s">
        <v>454</v>
      </c>
      <c r="G21" s="230" t="s">
        <v>114</v>
      </c>
      <c r="H21" s="181">
        <v>15</v>
      </c>
      <c r="I21" s="231">
        <v>6</v>
      </c>
      <c r="J21" s="190">
        <v>6</v>
      </c>
      <c r="K21" s="77">
        <v>21621.35</v>
      </c>
      <c r="L21" s="77">
        <v>14512.09</v>
      </c>
      <c r="M21" s="78">
        <f t="shared" si="1"/>
        <v>7109.2599999999984</v>
      </c>
      <c r="N21" s="100">
        <v>18</v>
      </c>
      <c r="O21" s="224">
        <v>38146.300000000003</v>
      </c>
      <c r="P21" s="224">
        <v>38146.300000000003</v>
      </c>
      <c r="Q21" s="232">
        <f t="shared" si="2"/>
        <v>0</v>
      </c>
    </row>
    <row r="22" spans="1:17" s="13" customFormat="1" ht="15" customHeight="1" x14ac:dyDescent="0.25">
      <c r="A22" s="229"/>
      <c r="B22" s="62" t="s">
        <v>25</v>
      </c>
      <c r="C22" s="181" t="s">
        <v>17</v>
      </c>
      <c r="D22" s="182"/>
      <c r="E22" s="183" t="s">
        <v>20</v>
      </c>
      <c r="F22" s="73" t="s">
        <v>328</v>
      </c>
      <c r="G22" s="74" t="s">
        <v>112</v>
      </c>
      <c r="H22" s="75">
        <v>16</v>
      </c>
      <c r="I22" s="76">
        <v>12</v>
      </c>
      <c r="J22" s="96">
        <f>1+1+1+1+1+1+1+2+1+2+1+1</f>
        <v>14</v>
      </c>
      <c r="K22" s="173">
        <f>403.41+1605.6+3697.9+1204.2+1092.81+3022.24+4486.05+4612.57+1457.08</f>
        <v>21581.86</v>
      </c>
      <c r="L22" s="173">
        <f>403.41+1605.6+3697.9+1204.2+1092.81+3022.24+4486.05+4612.57+1457.08</f>
        <v>21581.86</v>
      </c>
      <c r="M22" s="78">
        <f t="shared" si="1"/>
        <v>0</v>
      </c>
      <c r="N22" s="100">
        <f>6+1+2+2+1+2</f>
        <v>14</v>
      </c>
      <c r="O22" s="81">
        <f>14526.7+5595.3+2440.62+2839.24+10715.74</f>
        <v>36117.599999999999</v>
      </c>
      <c r="P22" s="81">
        <f>14526.7+5595.3+2440.62+2839.24+10715.74</f>
        <v>36117.599999999999</v>
      </c>
      <c r="Q22" s="232">
        <f t="shared" si="2"/>
        <v>0</v>
      </c>
    </row>
    <row r="23" spans="1:17" s="13" customFormat="1" ht="15" hidden="1" customHeight="1" x14ac:dyDescent="0.25">
      <c r="A23" s="229"/>
      <c r="B23" s="62" t="s">
        <v>25</v>
      </c>
      <c r="C23" s="181" t="s">
        <v>17</v>
      </c>
      <c r="D23" s="182"/>
      <c r="E23" s="183" t="s">
        <v>20</v>
      </c>
      <c r="F23" s="73" t="s">
        <v>455</v>
      </c>
      <c r="G23" s="230" t="s">
        <v>114</v>
      </c>
      <c r="H23" s="181">
        <v>6</v>
      </c>
      <c r="I23" s="231">
        <v>1</v>
      </c>
      <c r="J23" s="190">
        <f>1</f>
        <v>1</v>
      </c>
      <c r="K23" s="77"/>
      <c r="L23" s="77"/>
      <c r="M23" s="78">
        <f t="shared" si="1"/>
        <v>0</v>
      </c>
      <c r="N23" s="100">
        <v>3</v>
      </c>
      <c r="O23" s="224">
        <v>7219.8</v>
      </c>
      <c r="P23" s="224">
        <v>7219.8</v>
      </c>
      <c r="Q23" s="232">
        <f t="shared" si="2"/>
        <v>0</v>
      </c>
    </row>
    <row r="24" spans="1:17" s="13" customFormat="1" ht="15" customHeight="1" x14ac:dyDescent="0.25">
      <c r="A24" s="229"/>
      <c r="B24" s="62" t="s">
        <v>516</v>
      </c>
      <c r="C24" s="181" t="s">
        <v>17</v>
      </c>
      <c r="D24" s="182"/>
      <c r="E24" s="183" t="s">
        <v>20</v>
      </c>
      <c r="F24" s="73" t="s">
        <v>517</v>
      </c>
      <c r="G24" s="287" t="s">
        <v>112</v>
      </c>
      <c r="H24" s="181">
        <v>10</v>
      </c>
      <c r="I24" s="231">
        <v>2</v>
      </c>
      <c r="J24" s="190">
        <f>2</f>
        <v>2</v>
      </c>
      <c r="K24" s="77">
        <f>1604.6</f>
        <v>1604.6</v>
      </c>
      <c r="L24" s="77"/>
      <c r="M24" s="78"/>
      <c r="N24" s="100"/>
      <c r="O24" s="224"/>
      <c r="P24" s="224"/>
      <c r="Q24" s="232"/>
    </row>
    <row r="25" spans="1:17" s="13" customFormat="1" ht="15" customHeight="1" x14ac:dyDescent="0.25">
      <c r="A25" s="229"/>
      <c r="B25" s="62" t="s">
        <v>26</v>
      </c>
      <c r="C25" s="181" t="s">
        <v>17</v>
      </c>
      <c r="D25" s="182"/>
      <c r="E25" s="183" t="s">
        <v>27</v>
      </c>
      <c r="F25" s="73" t="s">
        <v>329</v>
      </c>
      <c r="G25" s="74" t="s">
        <v>112</v>
      </c>
      <c r="H25" s="75">
        <v>22</v>
      </c>
      <c r="I25" s="76">
        <v>17</v>
      </c>
      <c r="J25" s="96">
        <f>2+2+4+1+4+1+1+3+4</f>
        <v>22</v>
      </c>
      <c r="K25" s="77">
        <f>845.24+1056.55+5121.1+26225.35+422.62+16490.35+1457.08+1479.16+11270.02</f>
        <v>64367.47</v>
      </c>
      <c r="L25" s="77">
        <f>845.24+1056.55+5121.1+26225.35+422.62+16490.35+1457.08+1479.16+11270.02</f>
        <v>64367.47</v>
      </c>
      <c r="M25" s="78">
        <f t="shared" si="1"/>
        <v>0</v>
      </c>
      <c r="N25" s="100">
        <f>6+1+1+2+1+1</f>
        <v>12</v>
      </c>
      <c r="O25" s="81">
        <f>17838.53+2535.75+7238.9+9569.44</f>
        <v>37182.620000000003</v>
      </c>
      <c r="P25" s="81">
        <f>17838.53+2535.75+7238.9+9569.44</f>
        <v>37182.620000000003</v>
      </c>
      <c r="Q25" s="232">
        <f t="shared" si="2"/>
        <v>0</v>
      </c>
    </row>
    <row r="26" spans="1:17" s="15" customFormat="1" ht="15" customHeight="1" x14ac:dyDescent="0.25">
      <c r="A26" s="229"/>
      <c r="B26" s="62" t="s">
        <v>28</v>
      </c>
      <c r="C26" s="181" t="s">
        <v>17</v>
      </c>
      <c r="D26" s="182"/>
      <c r="E26" s="194" t="s">
        <v>29</v>
      </c>
      <c r="F26" s="73" t="s">
        <v>330</v>
      </c>
      <c r="G26" s="74" t="s">
        <v>112</v>
      </c>
      <c r="H26" s="75">
        <v>15</v>
      </c>
      <c r="I26" s="76">
        <v>10</v>
      </c>
      <c r="J26" s="96">
        <f>2+1+2+1+1+1+2+1+2+2</f>
        <v>15</v>
      </c>
      <c r="K26" s="77">
        <f>6135.14+2440.63+9722.07+968.96+2258.48+3607.78+10269+19480.76+2759.62</f>
        <v>57642.439999999995</v>
      </c>
      <c r="L26" s="77">
        <f>6135.14+2440.63+9722.07+968.96+2258.48+3607.78+10269+19480.76+2759.62</f>
        <v>57642.439999999995</v>
      </c>
      <c r="M26" s="78">
        <f t="shared" si="1"/>
        <v>0</v>
      </c>
      <c r="N26" s="100">
        <f>3+2+4+3+1+1+3+1</f>
        <v>18</v>
      </c>
      <c r="O26" s="81">
        <f>5310.83+4630.52+14679.01+36087.29+8956.5+10112.26+3030.29+9937.51</f>
        <v>92744.209999999977</v>
      </c>
      <c r="P26" s="81">
        <f>5310.83+4630.52+14679.01+36087.29+8956.5+10112.26+3030.29+9937.51</f>
        <v>92744.209999999977</v>
      </c>
      <c r="Q26" s="232">
        <f t="shared" si="2"/>
        <v>0</v>
      </c>
    </row>
    <row r="27" spans="1:17" s="15" customFormat="1" ht="15" hidden="1" customHeight="1" x14ac:dyDescent="0.25">
      <c r="A27" s="229"/>
      <c r="B27" s="62" t="s">
        <v>28</v>
      </c>
      <c r="C27" s="181" t="s">
        <v>17</v>
      </c>
      <c r="D27" s="182"/>
      <c r="E27" s="194" t="s">
        <v>29</v>
      </c>
      <c r="F27" s="73" t="s">
        <v>420</v>
      </c>
      <c r="G27" s="235" t="s">
        <v>117</v>
      </c>
      <c r="H27" s="181">
        <v>2</v>
      </c>
      <c r="I27" s="231"/>
      <c r="J27" s="96"/>
      <c r="K27" s="77"/>
      <c r="L27" s="77"/>
      <c r="M27" s="78">
        <f t="shared" si="1"/>
        <v>0</v>
      </c>
      <c r="N27" s="100">
        <v>3</v>
      </c>
      <c r="O27" s="224">
        <v>6579.54</v>
      </c>
      <c r="P27" s="224">
        <v>6579.54</v>
      </c>
      <c r="Q27" s="79">
        <f t="shared" si="2"/>
        <v>0</v>
      </c>
    </row>
    <row r="28" spans="1:17" s="15" customFormat="1" ht="15" customHeight="1" x14ac:dyDescent="0.25">
      <c r="A28" s="229"/>
      <c r="B28" s="233" t="s">
        <v>500</v>
      </c>
      <c r="C28" s="181" t="s">
        <v>17</v>
      </c>
      <c r="D28" s="182"/>
      <c r="E28" s="194"/>
      <c r="F28" s="73" t="s">
        <v>503</v>
      </c>
      <c r="G28" s="235" t="s">
        <v>112</v>
      </c>
      <c r="H28" s="181">
        <v>31</v>
      </c>
      <c r="I28" s="231">
        <v>24</v>
      </c>
      <c r="J28" s="96">
        <f>2+2+2+1+3+5+2+1+5+1+6+1+1</f>
        <v>32</v>
      </c>
      <c r="K28" s="77">
        <f>1202.51+3555.1+602.1+708.47+7232.25+1003.5+1938.63+15028.21+1324.62+9088.69+401.4</f>
        <v>42085.48</v>
      </c>
      <c r="L28" s="77">
        <f>1202.51+3555.1+602.1+708.47+7232.25+1003.5+1938.63+15028.21+1324.62+9088.69+401.4</f>
        <v>42085.48</v>
      </c>
      <c r="M28" s="78">
        <f t="shared" si="1"/>
        <v>0</v>
      </c>
      <c r="N28" s="100">
        <f>1</f>
        <v>1</v>
      </c>
      <c r="O28" s="224"/>
      <c r="P28" s="224"/>
      <c r="Q28" s="79">
        <f t="shared" si="2"/>
        <v>0</v>
      </c>
    </row>
    <row r="29" spans="1:17" s="13" customFormat="1" ht="15" customHeight="1" x14ac:dyDescent="0.25">
      <c r="A29" s="229"/>
      <c r="B29" s="27" t="s">
        <v>30</v>
      </c>
      <c r="C29" s="181" t="s">
        <v>17</v>
      </c>
      <c r="D29" s="182"/>
      <c r="E29" s="194" t="s">
        <v>21</v>
      </c>
      <c r="F29" s="73" t="s">
        <v>333</v>
      </c>
      <c r="G29" s="74" t="s">
        <v>112</v>
      </c>
      <c r="H29" s="75">
        <v>26</v>
      </c>
      <c r="I29" s="76">
        <v>17</v>
      </c>
      <c r="J29" s="96">
        <f>3+1+3+1+4+1+1+2+1+3+3+3</f>
        <v>26</v>
      </c>
      <c r="K29" s="77">
        <f>16637.24+1045.98+2789.73+1629.68+3146.97+1646.5+5064.97+2424.05</f>
        <v>34385.120000000003</v>
      </c>
      <c r="L29" s="77">
        <f>16637.24+1045.98+2789.73+1629.68+3146.97+1646.5+5064.97+2424.05</f>
        <v>34385.120000000003</v>
      </c>
      <c r="M29" s="78">
        <f t="shared" si="1"/>
        <v>0</v>
      </c>
      <c r="N29" s="100">
        <f>9+1+3+1+1+1+2+1+1+2+1+1+2+1+1</f>
        <v>28</v>
      </c>
      <c r="O29" s="81">
        <f>77047.8+15703.07+7288.94+1341.33+1730.62+7169.16</f>
        <v>110280.92</v>
      </c>
      <c r="P29" s="81">
        <f>77047.8+15703.07+7288.94+1341.33+1730.62+7169.16</f>
        <v>110280.92</v>
      </c>
      <c r="Q29" s="79">
        <f>O29-P29</f>
        <v>0</v>
      </c>
    </row>
    <row r="30" spans="1:17" s="13" customFormat="1" ht="15" customHeight="1" x14ac:dyDescent="0.25">
      <c r="A30" s="229"/>
      <c r="B30" s="27" t="s">
        <v>491</v>
      </c>
      <c r="C30" s="181" t="s">
        <v>17</v>
      </c>
      <c r="D30" s="182"/>
      <c r="E30" s="183" t="s">
        <v>20</v>
      </c>
      <c r="F30" s="73" t="s">
        <v>495</v>
      </c>
      <c r="G30" s="74" t="s">
        <v>112</v>
      </c>
      <c r="H30" s="75">
        <v>17</v>
      </c>
      <c r="I30" s="76">
        <v>13</v>
      </c>
      <c r="J30" s="96">
        <f>2+2+1+1+1+1+1+1+3</f>
        <v>13</v>
      </c>
      <c r="K30" s="77">
        <f>1727.9+2093.89+728.54+3535.53+2649.24+401.4+802.8+1505.25</f>
        <v>13444.55</v>
      </c>
      <c r="L30" s="77">
        <f>1727.9+2093.89+728.54+3535.53+2649.24+401.4+802.8+1505.25</f>
        <v>13444.55</v>
      </c>
      <c r="M30" s="78">
        <f t="shared" si="1"/>
        <v>0</v>
      </c>
      <c r="N30" s="100"/>
      <c r="O30" s="81"/>
      <c r="P30" s="81"/>
      <c r="Q30" s="79">
        <f t="shared" si="2"/>
        <v>0</v>
      </c>
    </row>
    <row r="31" spans="1:17" s="13" customFormat="1" ht="15" hidden="1" customHeight="1" x14ac:dyDescent="0.25">
      <c r="A31" s="229"/>
      <c r="B31" s="27" t="s">
        <v>491</v>
      </c>
      <c r="C31" s="181" t="s">
        <v>17</v>
      </c>
      <c r="D31" s="182"/>
      <c r="E31" s="183" t="s">
        <v>20</v>
      </c>
      <c r="F31" s="73" t="s">
        <v>504</v>
      </c>
      <c r="G31" s="74" t="s">
        <v>114</v>
      </c>
      <c r="H31" s="75">
        <v>12</v>
      </c>
      <c r="I31" s="76">
        <v>2</v>
      </c>
      <c r="J31" s="96">
        <v>2</v>
      </c>
      <c r="K31" s="77">
        <v>2672.76</v>
      </c>
      <c r="L31" s="77">
        <v>2672.76</v>
      </c>
      <c r="M31" s="78">
        <f t="shared" si="1"/>
        <v>0</v>
      </c>
      <c r="N31" s="100"/>
      <c r="O31" s="81"/>
      <c r="P31" s="81"/>
      <c r="Q31" s="232">
        <f t="shared" si="2"/>
        <v>0</v>
      </c>
    </row>
    <row r="32" spans="1:17" s="13" customFormat="1" ht="15" hidden="1" customHeight="1" x14ac:dyDescent="0.25">
      <c r="A32" s="229"/>
      <c r="B32" s="27" t="s">
        <v>491</v>
      </c>
      <c r="C32" s="181" t="s">
        <v>17</v>
      </c>
      <c r="D32" s="182"/>
      <c r="E32" s="183"/>
      <c r="F32" s="73" t="s">
        <v>510</v>
      </c>
      <c r="G32" s="235" t="s">
        <v>117</v>
      </c>
      <c r="H32" s="75">
        <v>1</v>
      </c>
      <c r="I32" s="76"/>
      <c r="J32" s="96"/>
      <c r="K32" s="77"/>
      <c r="L32" s="77"/>
      <c r="M32" s="78">
        <f t="shared" si="1"/>
        <v>0</v>
      </c>
      <c r="N32" s="100"/>
      <c r="O32" s="81"/>
      <c r="P32" s="81"/>
      <c r="Q32" s="232">
        <f t="shared" si="2"/>
        <v>0</v>
      </c>
    </row>
    <row r="33" spans="1:17" s="13" customFormat="1" ht="15" customHeight="1" x14ac:dyDescent="0.25">
      <c r="A33" s="229"/>
      <c r="B33" s="30" t="s">
        <v>31</v>
      </c>
      <c r="C33" s="181" t="s">
        <v>17</v>
      </c>
      <c r="D33" s="182"/>
      <c r="E33" s="183" t="s">
        <v>32</v>
      </c>
      <c r="F33" s="73" t="s">
        <v>331</v>
      </c>
      <c r="G33" s="74" t="s">
        <v>112</v>
      </c>
      <c r="H33" s="75">
        <v>23</v>
      </c>
      <c r="I33" s="76">
        <v>17</v>
      </c>
      <c r="J33" s="96">
        <f>1+2+3+1+4+3+3+3+1+3</f>
        <v>24</v>
      </c>
      <c r="K33" s="77">
        <f>633.93+1045.98+5377.62+950.9+6004.09+4598.82+8410.14+1846.04+4737.83+728.54</f>
        <v>34333.89</v>
      </c>
      <c r="L33" s="77">
        <f>633.93+1045.98+5377.62+950.9+6004.09+4598.82+8410.14+1846.04+4737.83+728.54</f>
        <v>34333.89</v>
      </c>
      <c r="M33" s="78">
        <f t="shared" si="1"/>
        <v>0</v>
      </c>
      <c r="N33" s="100">
        <f>1+3+3+1+1+2+1</f>
        <v>12</v>
      </c>
      <c r="O33" s="81">
        <f>2299.8+15239.58+6152.75+2720.49+1483.38+7043.49+11175.04</f>
        <v>46114.530000000006</v>
      </c>
      <c r="P33" s="81">
        <f>2299.8+15239.58+6152.75+2720.49+1483.38+7043.49+11175.04</f>
        <v>46114.530000000006</v>
      </c>
      <c r="Q33" s="232">
        <f t="shared" si="2"/>
        <v>0</v>
      </c>
    </row>
    <row r="34" spans="1:17" s="13" customFormat="1" ht="15" hidden="1" customHeight="1" x14ac:dyDescent="0.25">
      <c r="A34" s="229"/>
      <c r="B34" s="30" t="s">
        <v>31</v>
      </c>
      <c r="C34" s="181" t="s">
        <v>17</v>
      </c>
      <c r="D34" s="182"/>
      <c r="E34" s="183" t="s">
        <v>32</v>
      </c>
      <c r="F34" s="73" t="s">
        <v>422</v>
      </c>
      <c r="G34" s="235" t="s">
        <v>117</v>
      </c>
      <c r="H34" s="181">
        <v>16</v>
      </c>
      <c r="I34" s="231">
        <v>7</v>
      </c>
      <c r="J34" s="96">
        <v>7</v>
      </c>
      <c r="K34" s="77">
        <v>18926.05</v>
      </c>
      <c r="L34" s="77">
        <v>18758.95</v>
      </c>
      <c r="M34" s="78">
        <f t="shared" si="1"/>
        <v>167.09999999999854</v>
      </c>
      <c r="N34" s="100">
        <v>10</v>
      </c>
      <c r="O34" s="77">
        <v>21507.42</v>
      </c>
      <c r="P34" s="77">
        <v>21507.42</v>
      </c>
      <c r="Q34" s="232">
        <f t="shared" si="2"/>
        <v>0</v>
      </c>
    </row>
    <row r="35" spans="1:17" s="15" customFormat="1" ht="15" customHeight="1" x14ac:dyDescent="0.25">
      <c r="A35" s="229"/>
      <c r="B35" s="62" t="s">
        <v>33</v>
      </c>
      <c r="C35" s="181" t="s">
        <v>17</v>
      </c>
      <c r="D35" s="182"/>
      <c r="E35" s="183" t="s">
        <v>20</v>
      </c>
      <c r="F35" s="73" t="s">
        <v>332</v>
      </c>
      <c r="G35" s="74" t="s">
        <v>112</v>
      </c>
      <c r="H35" s="75">
        <v>14</v>
      </c>
      <c r="I35" s="76">
        <v>10</v>
      </c>
      <c r="J35" s="96">
        <f>1+1+1+1+1+2+1+1+1+1+1+1</f>
        <v>13</v>
      </c>
      <c r="K35" s="77">
        <f>845.245+5363.43+5912.72+845.24+12887.16+2852.15+6514.08+2058.13+5167.78+1324.62</f>
        <v>43770.555</v>
      </c>
      <c r="L35" s="77">
        <f>845.245+5363.43+5912.72+845.24+12887.16+2852.15+6514.08+2058.13+5167.78+1324.62</f>
        <v>43770.555</v>
      </c>
      <c r="M35" s="78">
        <f t="shared" si="1"/>
        <v>0</v>
      </c>
      <c r="N35" s="100">
        <f>2+1+1+1+1+2+1+1+1</f>
        <v>11</v>
      </c>
      <c r="O35" s="81">
        <f>845.24+1613.64+3380.96+3639.33+1152.6+1518.9</f>
        <v>12150.67</v>
      </c>
      <c r="P35" s="81">
        <f>845.24+1613.64+3380.96+3639.33+1152.6+1518.9</f>
        <v>12150.67</v>
      </c>
      <c r="Q35" s="79">
        <f t="shared" si="2"/>
        <v>0</v>
      </c>
    </row>
    <row r="36" spans="1:17" s="15" customFormat="1" ht="15" hidden="1" customHeight="1" x14ac:dyDescent="0.25">
      <c r="A36" s="229"/>
      <c r="B36" s="62" t="s">
        <v>33</v>
      </c>
      <c r="C36" s="181" t="s">
        <v>17</v>
      </c>
      <c r="D36" s="182"/>
      <c r="E36" s="183" t="s">
        <v>20</v>
      </c>
      <c r="F36" s="73" t="s">
        <v>481</v>
      </c>
      <c r="G36" s="230" t="s">
        <v>114</v>
      </c>
      <c r="H36" s="181">
        <v>10</v>
      </c>
      <c r="I36" s="231">
        <v>1</v>
      </c>
      <c r="J36" s="190">
        <v>1</v>
      </c>
      <c r="K36" s="77">
        <v>3472.11</v>
      </c>
      <c r="L36" s="77">
        <v>3472.11</v>
      </c>
      <c r="M36" s="78">
        <f t="shared" si="1"/>
        <v>0</v>
      </c>
      <c r="N36" s="100">
        <v>16</v>
      </c>
      <c r="O36" s="224">
        <v>45328.13</v>
      </c>
      <c r="P36" s="224">
        <v>45328.13</v>
      </c>
      <c r="Q36" s="232">
        <f t="shared" si="2"/>
        <v>0</v>
      </c>
    </row>
    <row r="37" spans="1:17" s="15" customFormat="1" ht="15" customHeight="1" x14ac:dyDescent="0.25">
      <c r="A37" s="229"/>
      <c r="B37" s="62" t="s">
        <v>147</v>
      </c>
      <c r="C37" s="181" t="s">
        <v>17</v>
      </c>
      <c r="D37" s="182"/>
      <c r="E37" s="183" t="s">
        <v>29</v>
      </c>
      <c r="F37" s="73" t="s">
        <v>334</v>
      </c>
      <c r="G37" s="74" t="s">
        <v>112</v>
      </c>
      <c r="H37" s="75">
        <v>10</v>
      </c>
      <c r="I37" s="234">
        <v>9</v>
      </c>
      <c r="J37" s="96">
        <f>1+1+2+1+3+4+1</f>
        <v>13</v>
      </c>
      <c r="K37" s="77">
        <f>1854.88+2824.48+3058.67+5384.79+14792.98</f>
        <v>27915.8</v>
      </c>
      <c r="L37" s="77">
        <f>1854.88+2824.48+3058.67+5384.79+14792.98</f>
        <v>27915.8</v>
      </c>
      <c r="M37" s="78">
        <f t="shared" si="1"/>
        <v>0</v>
      </c>
      <c r="N37" s="114">
        <f>1+1+1</f>
        <v>3</v>
      </c>
      <c r="O37" s="81">
        <f>1394.65+2473.17+1961.49</f>
        <v>5829.31</v>
      </c>
      <c r="P37" s="81">
        <f>1394.65+2473.17+1961.49</f>
        <v>5829.31</v>
      </c>
      <c r="Q37" s="79">
        <f t="shared" si="2"/>
        <v>0</v>
      </c>
    </row>
    <row r="38" spans="1:17" s="15" customFormat="1" ht="15" hidden="1" customHeight="1" x14ac:dyDescent="0.25">
      <c r="A38" s="229"/>
      <c r="B38" s="233" t="s">
        <v>147</v>
      </c>
      <c r="C38" s="181" t="s">
        <v>17</v>
      </c>
      <c r="D38" s="182"/>
      <c r="E38" s="183" t="s">
        <v>29</v>
      </c>
      <c r="F38" s="73" t="s">
        <v>423</v>
      </c>
      <c r="G38" s="230" t="s">
        <v>117</v>
      </c>
      <c r="H38" s="181">
        <v>14</v>
      </c>
      <c r="I38" s="231">
        <v>4</v>
      </c>
      <c r="J38" s="96">
        <v>4</v>
      </c>
      <c r="K38" s="77">
        <v>6847.1</v>
      </c>
      <c r="L38" s="77">
        <v>6847.1</v>
      </c>
      <c r="M38" s="78">
        <f t="shared" si="1"/>
        <v>0</v>
      </c>
      <c r="N38" s="100">
        <v>4</v>
      </c>
      <c r="O38" s="224">
        <v>4706.45</v>
      </c>
      <c r="P38" s="224">
        <v>4706.45</v>
      </c>
      <c r="Q38" s="232">
        <f t="shared" si="2"/>
        <v>0</v>
      </c>
    </row>
    <row r="39" spans="1:17" s="13" customFormat="1" ht="15" customHeight="1" x14ac:dyDescent="0.25">
      <c r="A39" s="229"/>
      <c r="B39" s="62" t="s">
        <v>34</v>
      </c>
      <c r="C39" s="181" t="s">
        <v>17</v>
      </c>
      <c r="D39" s="182"/>
      <c r="E39" s="194" t="s">
        <v>35</v>
      </c>
      <c r="F39" s="73" t="s">
        <v>335</v>
      </c>
      <c r="G39" s="74" t="s">
        <v>112</v>
      </c>
      <c r="H39" s="75">
        <v>37</v>
      </c>
      <c r="I39" s="76">
        <v>26</v>
      </c>
      <c r="J39" s="96">
        <f>4+2+2+7+4+1+1+2+5+1</f>
        <v>29</v>
      </c>
      <c r="K39" s="77">
        <f>8288.4+1267.86+845.24+13964.6+11418.26+21175.62+1092.81+2207.7+6312.67+3928.83</f>
        <v>70501.989999999991</v>
      </c>
      <c r="L39" s="77">
        <f>8288.4+1267.86+845.24+13964.6+11418.26+21175.62+1092.81+2207.7+6312.67+3928.83</f>
        <v>70501.989999999991</v>
      </c>
      <c r="M39" s="78">
        <f t="shared" si="1"/>
        <v>0</v>
      </c>
      <c r="N39" s="100">
        <f>4+4+6+1+3+1+3+1+2+1+1+2</f>
        <v>29</v>
      </c>
      <c r="O39" s="81">
        <f>23915.04+21171.88+6399.1+11460.81+1501.24+2795.71+8800.35</f>
        <v>76044.13</v>
      </c>
      <c r="P39" s="81">
        <f>23915.04+21171.88+6399.1+11460.81+1501.24+2795.71+8800.35</f>
        <v>76044.13</v>
      </c>
      <c r="Q39" s="79">
        <f t="shared" si="2"/>
        <v>0</v>
      </c>
    </row>
    <row r="40" spans="1:17" s="13" customFormat="1" ht="15" hidden="1" customHeight="1" x14ac:dyDescent="0.25">
      <c r="A40" s="229"/>
      <c r="B40" s="62" t="s">
        <v>34</v>
      </c>
      <c r="C40" s="181" t="s">
        <v>17</v>
      </c>
      <c r="D40" s="182"/>
      <c r="E40" s="194" t="s">
        <v>35</v>
      </c>
      <c r="F40" s="73" t="s">
        <v>424</v>
      </c>
      <c r="G40" s="235" t="s">
        <v>117</v>
      </c>
      <c r="H40" s="181">
        <v>2</v>
      </c>
      <c r="I40" s="231">
        <v>1</v>
      </c>
      <c r="J40" s="96">
        <v>3</v>
      </c>
      <c r="K40" s="77">
        <v>5246.9</v>
      </c>
      <c r="L40" s="77">
        <v>5246.9</v>
      </c>
      <c r="M40" s="78">
        <f t="shared" si="1"/>
        <v>0</v>
      </c>
      <c r="N40" s="100">
        <v>3</v>
      </c>
      <c r="O40" s="224">
        <v>9220.7999999999993</v>
      </c>
      <c r="P40" s="224">
        <v>9220.7999999999993</v>
      </c>
      <c r="Q40" s="232">
        <f t="shared" si="2"/>
        <v>0</v>
      </c>
    </row>
    <row r="41" spans="1:17" s="13" customFormat="1" ht="15" customHeight="1" x14ac:dyDescent="0.25">
      <c r="A41" s="229"/>
      <c r="B41" s="27" t="s">
        <v>36</v>
      </c>
      <c r="C41" s="181" t="s">
        <v>17</v>
      </c>
      <c r="D41" s="182"/>
      <c r="E41" s="194" t="s">
        <v>32</v>
      </c>
      <c r="F41" s="73" t="s">
        <v>336</v>
      </c>
      <c r="G41" s="74" t="s">
        <v>112</v>
      </c>
      <c r="H41" s="75">
        <v>35</v>
      </c>
      <c r="I41" s="76">
        <v>25</v>
      </c>
      <c r="J41" s="96">
        <f>1+3+4+2+2+7+6+2+5+2+2</f>
        <v>36</v>
      </c>
      <c r="K41" s="77">
        <f>2091.97+4201.22+3643.94+998.92+6188.59+7556.35+3399.86+9711+5191.85</f>
        <v>42983.7</v>
      </c>
      <c r="L41" s="77">
        <f>2091.97+4201.22+3643.94+998.92+6188.59+7556.35+3399.86+9711+5191.85</f>
        <v>42983.7</v>
      </c>
      <c r="M41" s="78">
        <f t="shared" si="1"/>
        <v>0</v>
      </c>
      <c r="N41" s="100">
        <f>4+2+5+1+1+4+1+1</f>
        <v>19</v>
      </c>
      <c r="O41" s="81">
        <f>26828.22+3116.2+14162+4691+13237.22+22342.31+1888.86</f>
        <v>86265.81</v>
      </c>
      <c r="P41" s="81">
        <f>26828.22+3116.2+14162+4691+13237.22+22342.31+1888.86</f>
        <v>86265.81</v>
      </c>
      <c r="Q41" s="79">
        <f t="shared" si="2"/>
        <v>0</v>
      </c>
    </row>
    <row r="42" spans="1:17" s="13" customFormat="1" ht="15" customHeight="1" x14ac:dyDescent="0.25">
      <c r="A42" s="229"/>
      <c r="B42" s="27" t="s">
        <v>38</v>
      </c>
      <c r="C42" s="181" t="s">
        <v>17</v>
      </c>
      <c r="D42" s="182"/>
      <c r="E42" s="183" t="s">
        <v>20</v>
      </c>
      <c r="F42" s="73" t="s">
        <v>338</v>
      </c>
      <c r="G42" s="74" t="s">
        <v>112</v>
      </c>
      <c r="H42" s="75">
        <v>56</v>
      </c>
      <c r="I42" s="76">
        <v>47</v>
      </c>
      <c r="J42" s="96">
        <f>5+9+3+4+4+2+3+3+11+3+4+4+1+5+7</f>
        <v>68</v>
      </c>
      <c r="K42" s="77">
        <f>4427.07+14262.52+23391.74+11108.38+9141.17+3923.07+23674.29+5445.61+18020.8+33401.88</f>
        <v>146796.53</v>
      </c>
      <c r="L42" s="77">
        <f>4427.07+14262.52+23391.74+11108.38+9141.17+3923.07+23674.29+5445.61+18020.8+33401.88</f>
        <v>146796.53</v>
      </c>
      <c r="M42" s="78">
        <f t="shared" si="1"/>
        <v>0</v>
      </c>
      <c r="N42" s="100">
        <f>1+14+2+2+2+3+1+1+2+1+1</f>
        <v>30</v>
      </c>
      <c r="O42" s="81">
        <f>34449.99+27363.78+23604.86+16739.26+15240.34+16003.48+4203.85+21715.1</f>
        <v>159320.66</v>
      </c>
      <c r="P42" s="81">
        <f>34449.99+27363.78+23604.86+16739.26+15240.34+16003.48+4203.85+21715.1</f>
        <v>159320.66</v>
      </c>
      <c r="Q42" s="79">
        <f t="shared" si="2"/>
        <v>0</v>
      </c>
    </row>
    <row r="43" spans="1:17" s="13" customFormat="1" ht="15" hidden="1" customHeight="1" x14ac:dyDescent="0.25">
      <c r="A43" s="229"/>
      <c r="B43" s="27" t="s">
        <v>38</v>
      </c>
      <c r="C43" s="181" t="s">
        <v>17</v>
      </c>
      <c r="D43" s="182"/>
      <c r="E43" s="183" t="s">
        <v>20</v>
      </c>
      <c r="F43" s="73" t="s">
        <v>268</v>
      </c>
      <c r="G43" s="230" t="s">
        <v>114</v>
      </c>
      <c r="H43" s="181"/>
      <c r="I43" s="231"/>
      <c r="J43" s="190"/>
      <c r="K43" s="77"/>
      <c r="L43" s="77"/>
      <c r="M43" s="78">
        <f t="shared" si="1"/>
        <v>0</v>
      </c>
      <c r="N43" s="100"/>
      <c r="O43" s="224"/>
      <c r="P43" s="224"/>
      <c r="Q43" s="232">
        <f t="shared" si="2"/>
        <v>0</v>
      </c>
    </row>
    <row r="44" spans="1:17" s="13" customFormat="1" ht="15" hidden="1" customHeight="1" x14ac:dyDescent="0.25">
      <c r="A44" s="229"/>
      <c r="B44" s="27" t="s">
        <v>38</v>
      </c>
      <c r="C44" s="181" t="s">
        <v>17</v>
      </c>
      <c r="D44" s="182"/>
      <c r="E44" s="183" t="s">
        <v>18</v>
      </c>
      <c r="F44" s="73" t="s">
        <v>324</v>
      </c>
      <c r="G44" s="230" t="s">
        <v>116</v>
      </c>
      <c r="H44" s="181">
        <v>6</v>
      </c>
      <c r="I44" s="231">
        <v>3</v>
      </c>
      <c r="J44" s="190">
        <v>3</v>
      </c>
      <c r="K44" s="77">
        <v>4098</v>
      </c>
      <c r="L44" s="77">
        <v>4098</v>
      </c>
      <c r="M44" s="78">
        <f t="shared" si="1"/>
        <v>0</v>
      </c>
      <c r="N44" s="100"/>
      <c r="O44" s="224"/>
      <c r="P44" s="224"/>
      <c r="Q44" s="232">
        <f t="shared" si="2"/>
        <v>0</v>
      </c>
    </row>
    <row r="45" spans="1:17" s="13" customFormat="1" ht="15" hidden="1" customHeight="1" x14ac:dyDescent="0.25">
      <c r="A45" s="229"/>
      <c r="B45" s="62" t="s">
        <v>39</v>
      </c>
      <c r="C45" s="181" t="s">
        <v>17</v>
      </c>
      <c r="D45" s="182"/>
      <c r="E45" s="183" t="s">
        <v>20</v>
      </c>
      <c r="F45" s="73" t="s">
        <v>269</v>
      </c>
      <c r="G45" s="230" t="s">
        <v>114</v>
      </c>
      <c r="H45" s="181"/>
      <c r="I45" s="231"/>
      <c r="J45" s="190"/>
      <c r="K45" s="77"/>
      <c r="L45" s="77"/>
      <c r="M45" s="78">
        <f t="shared" si="1"/>
        <v>0</v>
      </c>
      <c r="N45" s="100"/>
      <c r="O45" s="224"/>
      <c r="P45" s="224"/>
      <c r="Q45" s="232">
        <f t="shared" si="2"/>
        <v>0</v>
      </c>
    </row>
    <row r="46" spans="1:17" s="13" customFormat="1" ht="15" customHeight="1" x14ac:dyDescent="0.25">
      <c r="A46" s="229"/>
      <c r="B46" s="27" t="s">
        <v>40</v>
      </c>
      <c r="C46" s="181" t="s">
        <v>17</v>
      </c>
      <c r="D46" s="182"/>
      <c r="E46" s="194" t="s">
        <v>41</v>
      </c>
      <c r="F46" s="73" t="s">
        <v>339</v>
      </c>
      <c r="G46" s="74" t="s">
        <v>112</v>
      </c>
      <c r="H46" s="75">
        <v>32</v>
      </c>
      <c r="I46" s="76">
        <v>24</v>
      </c>
      <c r="J46" s="96">
        <f>1+1+3+9+4+4+3+2+1+1+2+3+3+5+4</f>
        <v>46</v>
      </c>
      <c r="K46" s="77">
        <f>1045.98+12271.86+15658.52+8166.35+6035.99+8024.36+2759.63+3460.61+3962.12+3444.02+17333.58+11032.73</f>
        <v>93195.749999999985</v>
      </c>
      <c r="L46" s="77">
        <f>1045.98+12271.86+15658.52+8166.35+6035.99+8024.36+2759.63+3460.61+3962.12+3444.02+17333.58+11032.73</f>
        <v>93195.749999999985</v>
      </c>
      <c r="M46" s="78">
        <f t="shared" si="1"/>
        <v>0</v>
      </c>
      <c r="N46" s="100">
        <f>3+13+6+5+4+2+1+1+1+1+1</f>
        <v>38</v>
      </c>
      <c r="O46" s="81">
        <f>17269.31+39990.78+16582.12+23492.44+7068.31+4243.84+1574.64</f>
        <v>110221.43999999999</v>
      </c>
      <c r="P46" s="81">
        <f>17269.31+39990.78+16582.12+23492.44+7068.31+4243.84+1574.64</f>
        <v>110221.43999999999</v>
      </c>
      <c r="Q46" s="79">
        <f t="shared" si="2"/>
        <v>0</v>
      </c>
    </row>
    <row r="47" spans="1:17" s="13" customFormat="1" ht="15" hidden="1" customHeight="1" x14ac:dyDescent="0.25">
      <c r="A47" s="229"/>
      <c r="B47" s="27" t="s">
        <v>40</v>
      </c>
      <c r="C47" s="181" t="s">
        <v>17</v>
      </c>
      <c r="D47" s="182"/>
      <c r="E47" s="194" t="s">
        <v>41</v>
      </c>
      <c r="F47" s="73" t="s">
        <v>482</v>
      </c>
      <c r="G47" s="230" t="s">
        <v>114</v>
      </c>
      <c r="H47" s="181"/>
      <c r="I47" s="231"/>
      <c r="J47" s="190"/>
      <c r="K47" s="77"/>
      <c r="L47" s="77"/>
      <c r="M47" s="78">
        <f t="shared" si="1"/>
        <v>0</v>
      </c>
      <c r="N47" s="100">
        <v>1</v>
      </c>
      <c r="O47" s="224">
        <v>3073.6</v>
      </c>
      <c r="P47" s="224">
        <f>3073.6</f>
        <v>3073.6</v>
      </c>
      <c r="Q47" s="232">
        <f t="shared" si="2"/>
        <v>0</v>
      </c>
    </row>
    <row r="48" spans="1:17" s="13" customFormat="1" ht="15" customHeight="1" x14ac:dyDescent="0.25">
      <c r="A48" s="229"/>
      <c r="B48" s="27" t="s">
        <v>148</v>
      </c>
      <c r="C48" s="181" t="s">
        <v>17</v>
      </c>
      <c r="D48" s="182"/>
      <c r="E48" s="183" t="s">
        <v>20</v>
      </c>
      <c r="F48" s="73" t="s">
        <v>340</v>
      </c>
      <c r="G48" s="74" t="s">
        <v>112</v>
      </c>
      <c r="H48" s="75">
        <v>23</v>
      </c>
      <c r="I48" s="82">
        <v>17</v>
      </c>
      <c r="J48" s="96">
        <f>1+2+1+4+4+2+3+1+1</f>
        <v>19</v>
      </c>
      <c r="K48" s="77">
        <f>537.88+2110.03+6723.98+8914.21+1204.2+602.1+903.15+1324.62</f>
        <v>22320.17</v>
      </c>
      <c r="L48" s="77">
        <f>537.88+2110.03+6723.98+8914.21+1204.2+602.1+903.15+1324.62</f>
        <v>22320.17</v>
      </c>
      <c r="M48" s="78">
        <f t="shared" si="1"/>
        <v>0</v>
      </c>
      <c r="N48" s="100">
        <f>6+5+3+1+1+1+1+1</f>
        <v>19</v>
      </c>
      <c r="O48" s="81">
        <f>9370.6+9456.38+8868.69+5367.27+11572.62+5889.04</f>
        <v>50524.600000000006</v>
      </c>
      <c r="P48" s="81">
        <f>9370.6+9456.38+8868.69+5367.27+11572.62+5889.04</f>
        <v>50524.600000000006</v>
      </c>
      <c r="Q48" s="79">
        <f t="shared" si="2"/>
        <v>0</v>
      </c>
    </row>
    <row r="49" spans="1:17" s="13" customFormat="1" ht="15" hidden="1" customHeight="1" x14ac:dyDescent="0.25">
      <c r="A49" s="229"/>
      <c r="B49" s="27" t="s">
        <v>148</v>
      </c>
      <c r="C49" s="181" t="s">
        <v>17</v>
      </c>
      <c r="D49" s="182"/>
      <c r="E49" s="194" t="s">
        <v>32</v>
      </c>
      <c r="F49" s="73" t="s">
        <v>425</v>
      </c>
      <c r="G49" s="230" t="s">
        <v>117</v>
      </c>
      <c r="H49" s="181">
        <v>14</v>
      </c>
      <c r="I49" s="231">
        <v>4</v>
      </c>
      <c r="J49" s="96">
        <v>4</v>
      </c>
      <c r="K49" s="77">
        <v>13707.82</v>
      </c>
      <c r="L49" s="77">
        <v>13707.82</v>
      </c>
      <c r="M49" s="78">
        <f t="shared" si="1"/>
        <v>0</v>
      </c>
      <c r="N49" s="100">
        <v>4</v>
      </c>
      <c r="O49" s="224">
        <v>12851.49</v>
      </c>
      <c r="P49" s="224">
        <v>12851.49</v>
      </c>
      <c r="Q49" s="232">
        <f t="shared" si="2"/>
        <v>0</v>
      </c>
    </row>
    <row r="50" spans="1:17" s="13" customFormat="1" ht="15" customHeight="1" x14ac:dyDescent="0.25">
      <c r="A50" s="229"/>
      <c r="B50" s="30" t="s">
        <v>42</v>
      </c>
      <c r="C50" s="181" t="s">
        <v>17</v>
      </c>
      <c r="D50" s="182"/>
      <c r="E50" s="183" t="s">
        <v>23</v>
      </c>
      <c r="F50" s="73" t="s">
        <v>341</v>
      </c>
      <c r="G50" s="74" t="s">
        <v>112</v>
      </c>
      <c r="H50" s="75">
        <v>36</v>
      </c>
      <c r="I50" s="76">
        <v>30</v>
      </c>
      <c r="J50" s="96">
        <f>5+3+5+3+8+3+8+5</f>
        <v>40</v>
      </c>
      <c r="K50" s="77">
        <f>7156.22+3849.11+8154.25+4149.36+15912.38+18649.91</f>
        <v>57871.229999999996</v>
      </c>
      <c r="L50" s="77">
        <f>7156.22+3849.11+8154.25+4149.36+15912.38+18649.91</f>
        <v>57871.229999999996</v>
      </c>
      <c r="M50" s="78">
        <f t="shared" si="1"/>
        <v>0</v>
      </c>
      <c r="N50" s="100">
        <f>4+6+9+2+4+2+2+3+3+2</f>
        <v>37</v>
      </c>
      <c r="O50" s="81">
        <f>5364.2+26170.88+2849.25+18965.6+9565.56+9423.5+18214.56</f>
        <v>90553.549999999988</v>
      </c>
      <c r="P50" s="81">
        <f>5364.2+26170.88+2849.25+18965.6+9565.56+9423.5+18214.56</f>
        <v>90553.549999999988</v>
      </c>
      <c r="Q50" s="79">
        <f t="shared" si="2"/>
        <v>0</v>
      </c>
    </row>
    <row r="51" spans="1:17" s="13" customFormat="1" ht="15" hidden="1" customHeight="1" x14ac:dyDescent="0.25">
      <c r="A51" s="229"/>
      <c r="B51" s="30" t="s">
        <v>42</v>
      </c>
      <c r="C51" s="181" t="s">
        <v>17</v>
      </c>
      <c r="D51" s="182"/>
      <c r="E51" s="183" t="s">
        <v>23</v>
      </c>
      <c r="F51" s="73" t="s">
        <v>437</v>
      </c>
      <c r="G51" s="230" t="s">
        <v>118</v>
      </c>
      <c r="H51" s="181">
        <v>2</v>
      </c>
      <c r="I51" s="231"/>
      <c r="J51" s="96"/>
      <c r="K51" s="77"/>
      <c r="L51" s="77"/>
      <c r="M51" s="78">
        <f t="shared" si="1"/>
        <v>0</v>
      </c>
      <c r="N51" s="100">
        <v>1</v>
      </c>
      <c r="O51" s="224">
        <v>7766.4</v>
      </c>
      <c r="P51" s="224">
        <v>7766.4</v>
      </c>
      <c r="Q51" s="232">
        <f t="shared" si="2"/>
        <v>0</v>
      </c>
    </row>
    <row r="52" spans="1:17" s="13" customFormat="1" ht="15" customHeight="1" x14ac:dyDescent="0.25">
      <c r="A52" s="229"/>
      <c r="B52" s="30" t="s">
        <v>173</v>
      </c>
      <c r="C52" s="181" t="s">
        <v>17</v>
      </c>
      <c r="D52" s="182"/>
      <c r="E52" s="230" t="s">
        <v>118</v>
      </c>
      <c r="F52" s="73" t="s">
        <v>342</v>
      </c>
      <c r="G52" s="74" t="s">
        <v>112</v>
      </c>
      <c r="H52" s="75">
        <v>4</v>
      </c>
      <c r="I52" s="76">
        <v>4</v>
      </c>
      <c r="J52" s="96">
        <f>1+2+1</f>
        <v>4</v>
      </c>
      <c r="K52" s="77">
        <f>6833.76+696.36</f>
        <v>7530.12</v>
      </c>
      <c r="L52" s="77">
        <f>6833.76+696.36</f>
        <v>7530.12</v>
      </c>
      <c r="M52" s="78">
        <f t="shared" si="1"/>
        <v>0</v>
      </c>
      <c r="N52" s="100">
        <f>4+2</f>
        <v>6</v>
      </c>
      <c r="O52" s="81">
        <f>5931.9+4183.92+3158.95</f>
        <v>13274.77</v>
      </c>
      <c r="P52" s="81">
        <f>5931.9+4183.92+3158.95</f>
        <v>13274.77</v>
      </c>
      <c r="Q52" s="79">
        <f t="shared" si="2"/>
        <v>0</v>
      </c>
    </row>
    <row r="53" spans="1:17" s="13" customFormat="1" ht="15" hidden="1" customHeight="1" x14ac:dyDescent="0.25">
      <c r="A53" s="229"/>
      <c r="B53" s="62" t="s">
        <v>143</v>
      </c>
      <c r="C53" s="181" t="s">
        <v>64</v>
      </c>
      <c r="D53" s="182" t="s">
        <v>444</v>
      </c>
      <c r="E53" s="183" t="s">
        <v>20</v>
      </c>
      <c r="F53" s="73" t="s">
        <v>445</v>
      </c>
      <c r="G53" s="230" t="s">
        <v>114</v>
      </c>
      <c r="H53" s="181">
        <v>30</v>
      </c>
      <c r="I53" s="234">
        <v>20</v>
      </c>
      <c r="J53" s="190">
        <v>20</v>
      </c>
      <c r="K53" s="193">
        <v>43336.800000000003</v>
      </c>
      <c r="L53" s="193">
        <v>40928.400000000001</v>
      </c>
      <c r="M53" s="78">
        <f t="shared" si="1"/>
        <v>2408.4000000000015</v>
      </c>
      <c r="N53" s="114">
        <v>18</v>
      </c>
      <c r="O53" s="224">
        <v>27390.400000000001</v>
      </c>
      <c r="P53" s="224">
        <v>27390.400000000001</v>
      </c>
      <c r="Q53" s="232">
        <f t="shared" si="2"/>
        <v>0</v>
      </c>
    </row>
    <row r="54" spans="1:17" s="13" customFormat="1" ht="15" hidden="1" customHeight="1" x14ac:dyDescent="0.25">
      <c r="A54" s="229"/>
      <c r="B54" s="30" t="s">
        <v>158</v>
      </c>
      <c r="C54" s="181" t="s">
        <v>17</v>
      </c>
      <c r="D54" s="182"/>
      <c r="E54" s="194" t="s">
        <v>32</v>
      </c>
      <c r="F54" s="73" t="s">
        <v>426</v>
      </c>
      <c r="G54" s="230" t="s">
        <v>117</v>
      </c>
      <c r="H54" s="181">
        <v>13</v>
      </c>
      <c r="I54" s="234">
        <v>6</v>
      </c>
      <c r="J54" s="190">
        <v>7</v>
      </c>
      <c r="K54" s="193">
        <v>12275.74</v>
      </c>
      <c r="L54" s="193">
        <v>12275.74</v>
      </c>
      <c r="M54" s="78">
        <f t="shared" si="1"/>
        <v>0</v>
      </c>
      <c r="N54" s="114">
        <v>5</v>
      </c>
      <c r="O54" s="224">
        <v>16813.7</v>
      </c>
      <c r="P54" s="224">
        <v>16813.7</v>
      </c>
      <c r="Q54" s="232">
        <f t="shared" si="2"/>
        <v>0</v>
      </c>
    </row>
    <row r="55" spans="1:17" s="15" customFormat="1" ht="15" customHeight="1" x14ac:dyDescent="0.25">
      <c r="A55" s="229"/>
      <c r="B55" s="62" t="s">
        <v>43</v>
      </c>
      <c r="C55" s="181" t="s">
        <v>17</v>
      </c>
      <c r="D55" s="182"/>
      <c r="E55" s="183" t="s">
        <v>18</v>
      </c>
      <c r="F55" s="73" t="s">
        <v>344</v>
      </c>
      <c r="G55" s="74" t="s">
        <v>112</v>
      </c>
      <c r="H55" s="75">
        <v>39</v>
      </c>
      <c r="I55" s="76">
        <v>29</v>
      </c>
      <c r="J55" s="96">
        <f>1+2+2+5+2+3+2+3+3+3+5+2+4</f>
        <v>37</v>
      </c>
      <c r="K55" s="77">
        <f>1776.93+926.88+3328.29+3172.19+9832.29+3539.2+3058.67+13375.29+3775.58</f>
        <v>42785.320000000007</v>
      </c>
      <c r="L55" s="77">
        <f>1776.93+926.88+3328.29+3172.19+9832.29+3539.2+3058.67+13375.29+3775.58</f>
        <v>42785.320000000007</v>
      </c>
      <c r="M55" s="78">
        <f t="shared" si="1"/>
        <v>0</v>
      </c>
      <c r="N55" s="100">
        <f>1+5+4+1+1+1+1+1+2+1</f>
        <v>18</v>
      </c>
      <c r="O55" s="81">
        <f>1223.8+3810.29+4959.02+10043.87+2769.48+2146.91+11926.24-1465.64</f>
        <v>35413.97</v>
      </c>
      <c r="P55" s="81">
        <f>1223.8+3810.29+4959.02+10043.87+2769.48+2146.91+11926.24-1465.64</f>
        <v>35413.97</v>
      </c>
      <c r="Q55" s="79">
        <f t="shared" si="2"/>
        <v>0</v>
      </c>
    </row>
    <row r="56" spans="1:17" s="15" customFormat="1" ht="30" hidden="1" customHeight="1" x14ac:dyDescent="0.25">
      <c r="A56" s="229"/>
      <c r="B56" s="62" t="s">
        <v>43</v>
      </c>
      <c r="C56" s="181" t="s">
        <v>304</v>
      </c>
      <c r="D56" s="182" t="s">
        <v>473</v>
      </c>
      <c r="E56" s="183" t="s">
        <v>18</v>
      </c>
      <c r="F56" s="73" t="s">
        <v>323</v>
      </c>
      <c r="G56" s="271" t="s">
        <v>116</v>
      </c>
      <c r="H56" s="181">
        <v>31</v>
      </c>
      <c r="I56" s="234">
        <v>25</v>
      </c>
      <c r="J56" s="98">
        <v>28</v>
      </c>
      <c r="K56" s="77">
        <v>38009</v>
      </c>
      <c r="L56" s="77">
        <v>38009</v>
      </c>
      <c r="M56" s="78">
        <f t="shared" si="1"/>
        <v>0</v>
      </c>
      <c r="N56" s="114">
        <v>21</v>
      </c>
      <c r="O56" s="224">
        <v>68563</v>
      </c>
      <c r="P56" s="224">
        <v>68563</v>
      </c>
      <c r="Q56" s="232">
        <f t="shared" si="2"/>
        <v>0</v>
      </c>
    </row>
    <row r="57" spans="1:17" s="13" customFormat="1" x14ac:dyDescent="0.25">
      <c r="A57" s="229"/>
      <c r="B57" s="30" t="s">
        <v>44</v>
      </c>
      <c r="C57" s="181" t="s">
        <v>17</v>
      </c>
      <c r="D57" s="182"/>
      <c r="E57" s="183" t="s">
        <v>20</v>
      </c>
      <c r="F57" s="73" t="s">
        <v>345</v>
      </c>
      <c r="G57" s="74" t="s">
        <v>112</v>
      </c>
      <c r="H57" s="75">
        <v>22</v>
      </c>
      <c r="I57" s="76">
        <v>13</v>
      </c>
      <c r="J57" s="96">
        <f>1+1+1+4+2+1+1+1+3+4</f>
        <v>19</v>
      </c>
      <c r="K57" s="77">
        <f>2422.38+1267.86+15410.58+1534.35+708.47+883.08+3910.61+496.73</f>
        <v>26634.06</v>
      </c>
      <c r="L57" s="77">
        <f>2422.38+1267.86+15410.58+1534.35+708.47+883.08+3910.61+496.73</f>
        <v>26634.06</v>
      </c>
      <c r="M57" s="78">
        <f t="shared" si="1"/>
        <v>0</v>
      </c>
      <c r="N57" s="100">
        <f>1+11</f>
        <v>12</v>
      </c>
      <c r="O57" s="81">
        <f>421.62+4603.39+10559.77+72902.04+3435.31</f>
        <v>91922.12999999999</v>
      </c>
      <c r="P57" s="81">
        <f>421.62+4603.39+10559.77+72902.04+3435.31</f>
        <v>91922.12999999999</v>
      </c>
      <c r="Q57" s="79">
        <f t="shared" si="2"/>
        <v>0</v>
      </c>
    </row>
    <row r="58" spans="1:17" s="13" customFormat="1" ht="15" hidden="1" customHeight="1" x14ac:dyDescent="0.25">
      <c r="A58" s="229"/>
      <c r="B58" s="30" t="s">
        <v>44</v>
      </c>
      <c r="C58" s="181" t="s">
        <v>17</v>
      </c>
      <c r="D58" s="182"/>
      <c r="E58" s="183" t="s">
        <v>20</v>
      </c>
      <c r="F58" s="73" t="s">
        <v>483</v>
      </c>
      <c r="G58" s="230" t="s">
        <v>114</v>
      </c>
      <c r="H58" s="181"/>
      <c r="I58" s="231"/>
      <c r="J58" s="190"/>
      <c r="K58" s="77"/>
      <c r="L58" s="77"/>
      <c r="M58" s="78">
        <f t="shared" si="1"/>
        <v>0</v>
      </c>
      <c r="N58" s="100">
        <v>3</v>
      </c>
      <c r="O58" s="224">
        <v>12543.8</v>
      </c>
      <c r="P58" s="224">
        <v>12543.8</v>
      </c>
      <c r="Q58" s="232">
        <f t="shared" si="2"/>
        <v>0</v>
      </c>
    </row>
    <row r="59" spans="1:17" s="13" customFormat="1" ht="15" customHeight="1" x14ac:dyDescent="0.25">
      <c r="A59" s="229"/>
      <c r="B59" s="30" t="s">
        <v>492</v>
      </c>
      <c r="C59" s="181" t="s">
        <v>17</v>
      </c>
      <c r="D59" s="182"/>
      <c r="E59" s="183" t="s">
        <v>20</v>
      </c>
      <c r="F59" s="73" t="s">
        <v>499</v>
      </c>
      <c r="G59" s="230" t="s">
        <v>112</v>
      </c>
      <c r="H59" s="181">
        <v>10</v>
      </c>
      <c r="I59" s="231">
        <v>8</v>
      </c>
      <c r="J59" s="190">
        <f>1+8</f>
        <v>9</v>
      </c>
      <c r="K59" s="77">
        <f>1044.98+2096.62</f>
        <v>3141.6</v>
      </c>
      <c r="L59" s="77">
        <f>1044.98+2096.62</f>
        <v>3141.6</v>
      </c>
      <c r="M59" s="78">
        <f t="shared" si="1"/>
        <v>0</v>
      </c>
      <c r="N59" s="100"/>
      <c r="O59" s="224"/>
      <c r="P59" s="224"/>
      <c r="Q59" s="79">
        <f t="shared" si="2"/>
        <v>0</v>
      </c>
    </row>
    <row r="60" spans="1:17" s="13" customFormat="1" ht="15" customHeight="1" x14ac:dyDescent="0.25">
      <c r="A60" s="229"/>
      <c r="B60" s="27" t="s">
        <v>45</v>
      </c>
      <c r="C60" s="181" t="s">
        <v>17</v>
      </c>
      <c r="D60" s="182"/>
      <c r="E60" s="183" t="s">
        <v>20</v>
      </c>
      <c r="F60" s="73" t="s">
        <v>346</v>
      </c>
      <c r="G60" s="74" t="s">
        <v>112</v>
      </c>
      <c r="H60" s="75"/>
      <c r="I60" s="76"/>
      <c r="J60" s="96"/>
      <c r="K60" s="77"/>
      <c r="L60" s="77"/>
      <c r="M60" s="78">
        <f t="shared" si="1"/>
        <v>0</v>
      </c>
      <c r="N60" s="100">
        <f>1</f>
        <v>1</v>
      </c>
      <c r="O60" s="81">
        <f>17995.91+2729.8</f>
        <v>20725.71</v>
      </c>
      <c r="P60" s="81">
        <f>17995.91+2729.8</f>
        <v>20725.71</v>
      </c>
      <c r="Q60" s="79">
        <f t="shared" si="2"/>
        <v>0</v>
      </c>
    </row>
    <row r="61" spans="1:17" s="13" customFormat="1" ht="15" hidden="1" customHeight="1" x14ac:dyDescent="0.25">
      <c r="A61" s="229"/>
      <c r="B61" s="27" t="s">
        <v>45</v>
      </c>
      <c r="C61" s="181" t="s">
        <v>17</v>
      </c>
      <c r="D61" s="182"/>
      <c r="E61" s="183" t="s">
        <v>20</v>
      </c>
      <c r="F61" s="73" t="s">
        <v>484</v>
      </c>
      <c r="G61" s="230" t="s">
        <v>114</v>
      </c>
      <c r="H61" s="181"/>
      <c r="I61" s="231"/>
      <c r="J61" s="190"/>
      <c r="K61" s="77"/>
      <c r="L61" s="77"/>
      <c r="M61" s="78">
        <f t="shared" si="1"/>
        <v>0</v>
      </c>
      <c r="N61" s="100"/>
      <c r="O61" s="224"/>
      <c r="P61" s="224"/>
      <c r="Q61" s="232">
        <f t="shared" si="2"/>
        <v>0</v>
      </c>
    </row>
    <row r="62" spans="1:17" s="15" customFormat="1" x14ac:dyDescent="0.25">
      <c r="A62" s="229"/>
      <c r="B62" s="27" t="s">
        <v>46</v>
      </c>
      <c r="C62" s="181" t="s">
        <v>17</v>
      </c>
      <c r="D62" s="182"/>
      <c r="E62" s="183" t="s">
        <v>20</v>
      </c>
      <c r="F62" s="73" t="s">
        <v>347</v>
      </c>
      <c r="G62" s="74" t="s">
        <v>112</v>
      </c>
      <c r="H62" s="75">
        <v>21</v>
      </c>
      <c r="I62" s="76">
        <v>18</v>
      </c>
      <c r="J62" s="96">
        <f>1+2+3+2+4+1+4+2+1+5+1+1+4+1+4</f>
        <v>36</v>
      </c>
      <c r="K62" s="77">
        <f>1045.98+1068.08+8157.32+1778.85+9152.67+11156.63+11271.63+1490.2+9025.41+10714.36+1457.08+12068.04+1457.08</f>
        <v>79843.33</v>
      </c>
      <c r="L62" s="77">
        <f>1045.98+1068.08+8157.32+1778.85+9152.67+11156.63+11271.63+1490.2+9025.41+10714.36+1457.08+12068.04+1457.08</f>
        <v>79843.33</v>
      </c>
      <c r="M62" s="78">
        <f t="shared" si="1"/>
        <v>0</v>
      </c>
      <c r="N62" s="100">
        <f>4+4+1+1+1+2</f>
        <v>13</v>
      </c>
      <c r="O62" s="81">
        <f>10759.2+10685.34+7362.04+22509.72</f>
        <v>51316.3</v>
      </c>
      <c r="P62" s="81">
        <f>10759.2+10685.34+7362.04+22509.72</f>
        <v>51316.3</v>
      </c>
      <c r="Q62" s="79">
        <f t="shared" si="2"/>
        <v>0</v>
      </c>
    </row>
    <row r="63" spans="1:17" s="15" customFormat="1" ht="15" hidden="1" customHeight="1" x14ac:dyDescent="0.25">
      <c r="A63" s="229"/>
      <c r="B63" s="27" t="s">
        <v>46</v>
      </c>
      <c r="C63" s="181" t="s">
        <v>17</v>
      </c>
      <c r="D63" s="182"/>
      <c r="E63" s="183" t="s">
        <v>20</v>
      </c>
      <c r="F63" s="73" t="s">
        <v>273</v>
      </c>
      <c r="G63" s="230" t="s">
        <v>114</v>
      </c>
      <c r="H63" s="181">
        <v>6</v>
      </c>
      <c r="I63" s="231">
        <v>2</v>
      </c>
      <c r="J63" s="190">
        <v>2</v>
      </c>
      <c r="K63" s="77">
        <v>576.29999999999995</v>
      </c>
      <c r="L63" s="77">
        <v>576.29999999999995</v>
      </c>
      <c r="M63" s="78">
        <f t="shared" si="1"/>
        <v>0</v>
      </c>
      <c r="N63" s="100">
        <v>3</v>
      </c>
      <c r="O63" s="224">
        <v>9356.9</v>
      </c>
      <c r="P63" s="224">
        <v>9356.9</v>
      </c>
      <c r="Q63" s="232">
        <f t="shared" si="2"/>
        <v>0</v>
      </c>
    </row>
    <row r="64" spans="1:17" s="13" customFormat="1" ht="45" customHeight="1" x14ac:dyDescent="0.25">
      <c r="A64" s="229"/>
      <c r="B64" s="30" t="s">
        <v>47</v>
      </c>
      <c r="C64" s="181" t="s">
        <v>304</v>
      </c>
      <c r="D64" s="182" t="s">
        <v>474</v>
      </c>
      <c r="E64" s="183" t="s">
        <v>18</v>
      </c>
      <c r="F64" s="73" t="s">
        <v>348</v>
      </c>
      <c r="G64" s="74" t="s">
        <v>112</v>
      </c>
      <c r="H64" s="75">
        <v>65</v>
      </c>
      <c r="I64" s="76">
        <v>50</v>
      </c>
      <c r="J64" s="98">
        <f>1+1+3+21+7+2+5+2+7+15+14+7+2+5+5+5</f>
        <v>102</v>
      </c>
      <c r="K64" s="77">
        <f>30728.27+19236.99+22614.7+52735.68+23845.61+7108.96</f>
        <v>156270.21</v>
      </c>
      <c r="L64" s="77">
        <f>30728.27+19236.99+22614.7+52735.68+23845.61+7108.96</f>
        <v>156270.21</v>
      </c>
      <c r="M64" s="78">
        <f t="shared" si="1"/>
        <v>0</v>
      </c>
      <c r="N64" s="100">
        <f>7+3+4+10+6+1+2+1+3+2+5+1+2</f>
        <v>47</v>
      </c>
      <c r="O64" s="81">
        <f>8477.51+15159.83+14079.46+15414.2+17995.91+2065.56+1859.53+9543.86+1728.53+14526.84+19728.1+2207.7</f>
        <v>122787.02999999998</v>
      </c>
      <c r="P64" s="81">
        <f>8477.51+15159.83+14079.46+15414.2+17995.91+2065.56+1859.53+9543.86+1728.53+14526.84+19728.1+2207.7</f>
        <v>122787.02999999998</v>
      </c>
      <c r="Q64" s="79">
        <f t="shared" si="2"/>
        <v>0</v>
      </c>
    </row>
    <row r="65" spans="1:17" s="13" customFormat="1" ht="45" hidden="1" customHeight="1" x14ac:dyDescent="0.25">
      <c r="A65" s="229">
        <v>22</v>
      </c>
      <c r="B65" s="62" t="s">
        <v>120</v>
      </c>
      <c r="C65" s="181" t="s">
        <v>304</v>
      </c>
      <c r="D65" s="182" t="s">
        <v>474</v>
      </c>
      <c r="E65" s="183" t="s">
        <v>18</v>
      </c>
      <c r="F65" s="73" t="s">
        <v>334</v>
      </c>
      <c r="G65" s="230" t="s">
        <v>116</v>
      </c>
      <c r="H65" s="181">
        <v>34</v>
      </c>
      <c r="I65" s="234">
        <v>22</v>
      </c>
      <c r="J65" s="98">
        <v>24</v>
      </c>
      <c r="K65" s="77">
        <v>44680</v>
      </c>
      <c r="L65" s="77">
        <v>44680</v>
      </c>
      <c r="M65" s="78">
        <f t="shared" si="1"/>
        <v>0</v>
      </c>
      <c r="N65" s="100">
        <v>15</v>
      </c>
      <c r="O65" s="224">
        <v>60831</v>
      </c>
      <c r="P65" s="224">
        <v>60831</v>
      </c>
      <c r="Q65" s="232">
        <f t="shared" si="2"/>
        <v>0</v>
      </c>
    </row>
    <row r="66" spans="1:17" s="13" customFormat="1" ht="15" customHeight="1" x14ac:dyDescent="0.25">
      <c r="A66" s="229"/>
      <c r="B66" s="30" t="s">
        <v>134</v>
      </c>
      <c r="C66" s="181" t="s">
        <v>17</v>
      </c>
      <c r="D66" s="182"/>
      <c r="E66" s="183" t="s">
        <v>20</v>
      </c>
      <c r="F66" s="73" t="s">
        <v>349</v>
      </c>
      <c r="G66" s="74" t="s">
        <v>112</v>
      </c>
      <c r="H66" s="75">
        <v>24</v>
      </c>
      <c r="I66" s="76">
        <v>23</v>
      </c>
      <c r="J66" s="96">
        <f>1+4+1+1+2+1+1+7+1+1+2+1</f>
        <v>23</v>
      </c>
      <c r="K66" s="77">
        <f>7301.48+1473.89+1911.09+1690.48+845.24+6268.51+441.51+1983.45+3361.83+883.11+2668.51+2972.45+3953.39+2549.89+1534.35</f>
        <v>39839.18</v>
      </c>
      <c r="L66" s="77">
        <f>7301.48+1473.89+1911.09+1690.48+845.24+6268.51+441.51+1983.45+3361.83+883.11+2668.51+2972.45+3953.39+2549.89+1534.35</f>
        <v>39839.18</v>
      </c>
      <c r="M66" s="78">
        <f t="shared" si="1"/>
        <v>0</v>
      </c>
      <c r="N66" s="100">
        <f>4+1+1+1+1+1</f>
        <v>9</v>
      </c>
      <c r="O66" s="81">
        <f>5020.05+3215.31+12312.39+4648.82+32425.98+7889.42+3294.46</f>
        <v>68806.430000000008</v>
      </c>
      <c r="P66" s="81">
        <f>5020.05+3215.31+12312.39+4648.82+32425.98+7889.42+3294.46</f>
        <v>68806.430000000008</v>
      </c>
      <c r="Q66" s="79">
        <f t="shared" si="2"/>
        <v>0</v>
      </c>
    </row>
    <row r="67" spans="1:17" s="13" customFormat="1" ht="15" hidden="1" customHeight="1" x14ac:dyDescent="0.25">
      <c r="A67" s="229"/>
      <c r="B67" s="30" t="s">
        <v>134</v>
      </c>
      <c r="C67" s="181" t="s">
        <v>17</v>
      </c>
      <c r="D67" s="182"/>
      <c r="E67" s="183" t="s">
        <v>20</v>
      </c>
      <c r="F67" s="73" t="s">
        <v>456</v>
      </c>
      <c r="G67" s="230" t="s">
        <v>114</v>
      </c>
      <c r="H67" s="181">
        <v>27</v>
      </c>
      <c r="I67" s="231">
        <v>12</v>
      </c>
      <c r="J67" s="190">
        <v>12</v>
      </c>
      <c r="K67" s="77">
        <v>18987.419999999998</v>
      </c>
      <c r="L67" s="77">
        <v>18987.419999999998</v>
      </c>
      <c r="M67" s="78">
        <f t="shared" si="1"/>
        <v>0</v>
      </c>
      <c r="N67" s="100">
        <v>27</v>
      </c>
      <c r="O67" s="224">
        <v>61494.8</v>
      </c>
      <c r="P67" s="224">
        <v>61494.8</v>
      </c>
      <c r="Q67" s="232">
        <f t="shared" si="2"/>
        <v>0</v>
      </c>
    </row>
    <row r="68" spans="1:17" s="13" customFormat="1" ht="15" customHeight="1" x14ac:dyDescent="0.25">
      <c r="A68" s="229"/>
      <c r="B68" s="62" t="s">
        <v>48</v>
      </c>
      <c r="C68" s="181" t="s">
        <v>17</v>
      </c>
      <c r="D68" s="182"/>
      <c r="E68" s="183" t="s">
        <v>20</v>
      </c>
      <c r="F68" s="73" t="s">
        <v>350</v>
      </c>
      <c r="G68" s="74" t="s">
        <v>112</v>
      </c>
      <c r="H68" s="75">
        <v>21</v>
      </c>
      <c r="I68" s="76">
        <v>14</v>
      </c>
      <c r="J68" s="96">
        <f>1+1+2+1+3+2+6</f>
        <v>16</v>
      </c>
      <c r="K68" s="77">
        <f>4805.96+2585.78+3065.92+2588.55+14407.5+9289.05+3030.73+11469.98+21400.25</f>
        <v>72643.72</v>
      </c>
      <c r="L68" s="77">
        <f>4805.96+2585.78+3065.92+2588.55+14407.5+9289.05+3030.73+11469.98+21400.25</f>
        <v>72643.72</v>
      </c>
      <c r="M68" s="78">
        <f t="shared" si="1"/>
        <v>0</v>
      </c>
      <c r="N68" s="100">
        <f>2+1+2+1+3+2</f>
        <v>11</v>
      </c>
      <c r="O68" s="81">
        <f>23174.33+2535.72+11633.02+6993.42+20756.4+5079.09</f>
        <v>70171.98000000001</v>
      </c>
      <c r="P68" s="81">
        <f>23174.33+2535.72+11633.02+6993.42+20756.4+5079.09</f>
        <v>70171.98000000001</v>
      </c>
      <c r="Q68" s="79">
        <f t="shared" si="2"/>
        <v>0</v>
      </c>
    </row>
    <row r="69" spans="1:17" s="13" customFormat="1" ht="15" customHeight="1" x14ac:dyDescent="0.25">
      <c r="A69" s="229"/>
      <c r="B69" s="62" t="s">
        <v>49</v>
      </c>
      <c r="C69" s="181" t="s">
        <v>17</v>
      </c>
      <c r="D69" s="182"/>
      <c r="E69" s="183" t="s">
        <v>50</v>
      </c>
      <c r="F69" s="73" t="s">
        <v>351</v>
      </c>
      <c r="G69" s="74" t="s">
        <v>112</v>
      </c>
      <c r="H69" s="75">
        <v>30</v>
      </c>
      <c r="I69" s="76">
        <v>23</v>
      </c>
      <c r="J69" s="96">
        <f>1+4+8+6+5+1+2+2</f>
        <v>29</v>
      </c>
      <c r="K69" s="77">
        <f>525.65+1267.86+6544.72+13939.57+2896.54+9712.48+14471.86+991.75+8615.66+5704.78</f>
        <v>64670.869999999995</v>
      </c>
      <c r="L69" s="77">
        <f>525.65+1267.86+6544.72+13939.57+2896.54+9712.48+14471.86+991.75+8615.66+5704.78</f>
        <v>64670.869999999995</v>
      </c>
      <c r="M69" s="78">
        <f t="shared" si="1"/>
        <v>0</v>
      </c>
      <c r="N69" s="100">
        <f>5+1+3+1+1+1+1</f>
        <v>13</v>
      </c>
      <c r="O69" s="81">
        <f>7374+1806.93+7275.53+4666.9+2684.03+6682.03+10412.84</f>
        <v>40902.259999999995</v>
      </c>
      <c r="P69" s="81">
        <f>7374+1806.93+7275.53+4666.9+2684.03+6682.03+10412.84</f>
        <v>40902.259999999995</v>
      </c>
      <c r="Q69" s="232">
        <f t="shared" si="2"/>
        <v>0</v>
      </c>
    </row>
    <row r="70" spans="1:17" s="13" customFormat="1" ht="15" hidden="1" customHeight="1" x14ac:dyDescent="0.25">
      <c r="A70" s="229"/>
      <c r="B70" s="62" t="s">
        <v>49</v>
      </c>
      <c r="C70" s="181" t="s">
        <v>17</v>
      </c>
      <c r="D70" s="182"/>
      <c r="E70" s="183" t="s">
        <v>50</v>
      </c>
      <c r="F70" s="73" t="s">
        <v>427</v>
      </c>
      <c r="G70" s="230" t="s">
        <v>115</v>
      </c>
      <c r="H70" s="181">
        <v>20</v>
      </c>
      <c r="I70" s="231">
        <v>8</v>
      </c>
      <c r="J70" s="96">
        <v>8</v>
      </c>
      <c r="K70" s="77">
        <v>14739.83</v>
      </c>
      <c r="L70" s="77">
        <v>14739.83</v>
      </c>
      <c r="M70" s="78">
        <f t="shared" si="1"/>
        <v>0</v>
      </c>
      <c r="N70" s="100">
        <v>12</v>
      </c>
      <c r="O70" s="224">
        <v>25688.3</v>
      </c>
      <c r="P70" s="224">
        <v>25688.3</v>
      </c>
      <c r="Q70" s="79">
        <f t="shared" si="2"/>
        <v>0</v>
      </c>
    </row>
    <row r="71" spans="1:17" s="13" customFormat="1" ht="15" customHeight="1" x14ac:dyDescent="0.25">
      <c r="A71" s="229"/>
      <c r="B71" s="27" t="s">
        <v>51</v>
      </c>
      <c r="C71" s="181" t="s">
        <v>17</v>
      </c>
      <c r="D71" s="182"/>
      <c r="E71" s="183" t="s">
        <v>20</v>
      </c>
      <c r="F71" s="73" t="s">
        <v>186</v>
      </c>
      <c r="G71" s="74" t="s">
        <v>112</v>
      </c>
      <c r="H71" s="75"/>
      <c r="I71" s="76"/>
      <c r="J71" s="96"/>
      <c r="K71" s="77"/>
      <c r="L71" s="77"/>
      <c r="M71" s="78">
        <f t="shared" si="1"/>
        <v>0</v>
      </c>
      <c r="N71" s="100">
        <f>1</f>
        <v>1</v>
      </c>
      <c r="O71" s="81">
        <v>2451.87</v>
      </c>
      <c r="P71" s="81">
        <v>2451.87</v>
      </c>
      <c r="Q71" s="232">
        <f t="shared" si="2"/>
        <v>0</v>
      </c>
    </row>
    <row r="72" spans="1:17" s="13" customFormat="1" ht="15" hidden="1" customHeight="1" x14ac:dyDescent="0.25">
      <c r="A72" s="229"/>
      <c r="B72" s="27" t="s">
        <v>51</v>
      </c>
      <c r="C72" s="181" t="s">
        <v>17</v>
      </c>
      <c r="D72" s="182"/>
      <c r="E72" s="183" t="s">
        <v>20</v>
      </c>
      <c r="F72" s="73" t="s">
        <v>276</v>
      </c>
      <c r="G72" s="230" t="s">
        <v>114</v>
      </c>
      <c r="H72" s="181"/>
      <c r="I72" s="231"/>
      <c r="J72" s="190"/>
      <c r="K72" s="77"/>
      <c r="L72" s="77"/>
      <c r="M72" s="78">
        <f t="shared" si="1"/>
        <v>0</v>
      </c>
      <c r="N72" s="100">
        <v>3</v>
      </c>
      <c r="O72" s="224">
        <v>6763.6</v>
      </c>
      <c r="P72" s="224">
        <v>6763.6</v>
      </c>
      <c r="Q72" s="232">
        <f t="shared" si="2"/>
        <v>0</v>
      </c>
    </row>
    <row r="73" spans="1:17" s="13" customFormat="1" ht="15" customHeight="1" x14ac:dyDescent="0.25">
      <c r="A73" s="229"/>
      <c r="B73" s="62" t="s">
        <v>52</v>
      </c>
      <c r="C73" s="181" t="s">
        <v>17</v>
      </c>
      <c r="D73" s="182"/>
      <c r="E73" s="183" t="s">
        <v>20</v>
      </c>
      <c r="F73" s="73" t="s">
        <v>352</v>
      </c>
      <c r="G73" s="74" t="s">
        <v>112</v>
      </c>
      <c r="H73" s="75">
        <v>16</v>
      </c>
      <c r="I73" s="76">
        <v>13</v>
      </c>
      <c r="J73" s="96">
        <f>1+1+1+1+2+3+1+1+1+2+1+1</f>
        <v>16</v>
      </c>
      <c r="K73" s="77">
        <f>10714.2+2747.14+2138.07+6709.4+7033.21+883.08+708.47+8516.02+1766.16</f>
        <v>41215.75</v>
      </c>
      <c r="L73" s="77">
        <f>10714.2+2747.14+2138.07+6709.4+7033.21+883.08+708.47+8516.02+1766.16</f>
        <v>41215.75</v>
      </c>
      <c r="M73" s="78">
        <f t="shared" si="1"/>
        <v>0</v>
      </c>
      <c r="N73" s="100">
        <f>4+3+1+1+2+3+1+1+2+1</f>
        <v>19</v>
      </c>
      <c r="O73" s="81">
        <f>5977.15+48296.91+7596.86+1061.83+8902.9+6856.31+2935.36+8136.06+17654.09</f>
        <v>107417.47</v>
      </c>
      <c r="P73" s="81">
        <f>5977.15+48296.91+7596.86+1061.83+8902.9+6856.31+2935.36+8136.06+17654.09</f>
        <v>107417.47</v>
      </c>
      <c r="Q73" s="232">
        <f t="shared" si="2"/>
        <v>0</v>
      </c>
    </row>
    <row r="74" spans="1:17" s="13" customFormat="1" ht="15" hidden="1" customHeight="1" x14ac:dyDescent="0.25">
      <c r="A74" s="229"/>
      <c r="B74" s="62" t="s">
        <v>52</v>
      </c>
      <c r="C74" s="181" t="s">
        <v>17</v>
      </c>
      <c r="D74" s="182"/>
      <c r="E74" s="183" t="s">
        <v>20</v>
      </c>
      <c r="F74" s="73" t="s">
        <v>457</v>
      </c>
      <c r="G74" s="230" t="s">
        <v>114</v>
      </c>
      <c r="H74" s="181">
        <v>16</v>
      </c>
      <c r="I74" s="231">
        <v>6</v>
      </c>
      <c r="J74" s="190">
        <v>6</v>
      </c>
      <c r="K74" s="77">
        <v>19270.099999999999</v>
      </c>
      <c r="L74" s="77">
        <v>19270.099999999999</v>
      </c>
      <c r="M74" s="78">
        <f t="shared" si="1"/>
        <v>0</v>
      </c>
      <c r="N74" s="100">
        <v>23</v>
      </c>
      <c r="O74" s="264">
        <v>66614.92</v>
      </c>
      <c r="P74" s="264">
        <v>66614.92</v>
      </c>
      <c r="Q74" s="232">
        <f t="shared" si="2"/>
        <v>0</v>
      </c>
    </row>
    <row r="75" spans="1:17" s="13" customFormat="1" ht="15" customHeight="1" x14ac:dyDescent="0.25">
      <c r="A75" s="229"/>
      <c r="B75" s="27" t="s">
        <v>53</v>
      </c>
      <c r="C75" s="181" t="s">
        <v>17</v>
      </c>
      <c r="D75" s="182"/>
      <c r="E75" s="183" t="s">
        <v>20</v>
      </c>
      <c r="F75" s="73" t="s">
        <v>353</v>
      </c>
      <c r="G75" s="74" t="s">
        <v>112</v>
      </c>
      <c r="H75" s="75">
        <v>18</v>
      </c>
      <c r="I75" s="76">
        <v>12</v>
      </c>
      <c r="J75" s="96">
        <f>2+2+2+1+2+1+1+3+2</f>
        <v>16</v>
      </c>
      <c r="K75" s="77">
        <f>3655.66+6862.24+2535.72+3550.85+401.4+441.54+3534.2+10803.69</f>
        <v>31785.300000000003</v>
      </c>
      <c r="L75" s="77">
        <f>3655.66+6862.24+2535.72+3550.85+401.4+441.54+3534.2+10803.69</f>
        <v>31785.300000000003</v>
      </c>
      <c r="M75" s="78">
        <f t="shared" si="1"/>
        <v>0</v>
      </c>
      <c r="N75" s="100">
        <f>1+2+2+1+1+1</f>
        <v>8</v>
      </c>
      <c r="O75" s="81">
        <f>1743.3+3921.71+422.62+5626.45+37901.04</f>
        <v>49615.12</v>
      </c>
      <c r="P75" s="81">
        <f>1743.3+3921.71+422.62+5626.45+37901.04</f>
        <v>49615.12</v>
      </c>
      <c r="Q75" s="232">
        <f t="shared" si="2"/>
        <v>0</v>
      </c>
    </row>
    <row r="76" spans="1:17" s="13" customFormat="1" ht="15" customHeight="1" x14ac:dyDescent="0.25">
      <c r="A76" s="229"/>
      <c r="B76" s="27" t="s">
        <v>149</v>
      </c>
      <c r="C76" s="181" t="s">
        <v>17</v>
      </c>
      <c r="D76" s="182"/>
      <c r="E76" s="183" t="s">
        <v>383</v>
      </c>
      <c r="F76" s="73" t="s">
        <v>354</v>
      </c>
      <c r="G76" s="74" t="s">
        <v>112</v>
      </c>
      <c r="H76" s="75">
        <v>43</v>
      </c>
      <c r="I76" s="76">
        <v>19</v>
      </c>
      <c r="J76" s="96">
        <f>7+3+3+7+4+6</f>
        <v>30</v>
      </c>
      <c r="K76" s="77">
        <f>7743.07+4386.1+10376.2+18444.03+9897.12</f>
        <v>50846.520000000004</v>
      </c>
      <c r="L76" s="77">
        <f>7743.07+4386.1+10376.2+18444.03+9897.12</f>
        <v>50846.520000000004</v>
      </c>
      <c r="M76" s="78">
        <f t="shared" si="1"/>
        <v>0</v>
      </c>
      <c r="N76" s="100">
        <f>2+2+2+1+8</f>
        <v>15</v>
      </c>
      <c r="O76" s="81">
        <f>3676.8+3431.65+6320.35+4068.03</f>
        <v>17496.830000000002</v>
      </c>
      <c r="P76" s="81">
        <f>3676.8+3431.65+6320.35+4068.03</f>
        <v>17496.830000000002</v>
      </c>
      <c r="Q76" s="79">
        <f t="shared" si="2"/>
        <v>0</v>
      </c>
    </row>
    <row r="77" spans="1:17" s="13" customFormat="1" ht="15" hidden="1" customHeight="1" x14ac:dyDescent="0.25">
      <c r="A77" s="229"/>
      <c r="B77" s="27" t="s">
        <v>149</v>
      </c>
      <c r="C77" s="181" t="s">
        <v>17</v>
      </c>
      <c r="D77" s="182"/>
      <c r="E77" s="183" t="s">
        <v>383</v>
      </c>
      <c r="F77" s="73" t="s">
        <v>438</v>
      </c>
      <c r="G77" s="230" t="s">
        <v>118</v>
      </c>
      <c r="H77" s="181">
        <v>21</v>
      </c>
      <c r="I77" s="234">
        <v>3</v>
      </c>
      <c r="J77" s="190">
        <v>3</v>
      </c>
      <c r="K77" s="193">
        <v>3988.2</v>
      </c>
      <c r="L77" s="193">
        <v>3988.2</v>
      </c>
      <c r="M77" s="78">
        <f t="shared" si="1"/>
        <v>0</v>
      </c>
      <c r="N77" s="114">
        <v>10</v>
      </c>
      <c r="O77" s="224">
        <v>9835.52</v>
      </c>
      <c r="P77" s="224">
        <v>9835.52</v>
      </c>
      <c r="Q77" s="232">
        <f t="shared" si="2"/>
        <v>0</v>
      </c>
    </row>
    <row r="78" spans="1:17" s="13" customFormat="1" ht="15" customHeight="1" x14ac:dyDescent="0.25">
      <c r="A78" s="229"/>
      <c r="B78" s="62" t="s">
        <v>107</v>
      </c>
      <c r="C78" s="181" t="s">
        <v>17</v>
      </c>
      <c r="D78" s="182"/>
      <c r="E78" s="194" t="s">
        <v>20</v>
      </c>
      <c r="F78" s="73" t="s">
        <v>355</v>
      </c>
      <c r="G78" s="74" t="s">
        <v>112</v>
      </c>
      <c r="H78" s="75">
        <v>22</v>
      </c>
      <c r="I78" s="76">
        <v>12</v>
      </c>
      <c r="J78" s="96">
        <f>1+3+3+2+1+2+1+1+6</f>
        <v>20</v>
      </c>
      <c r="K78" s="77">
        <f>666.63+7071.2+5333.38+13316.37+23091.24+4686.95+2216.53+401.4+401.4+9002.54+7650.44</f>
        <v>73838.080000000016</v>
      </c>
      <c r="L78" s="77">
        <f>666.63+7071.2+5333.38+13316.37+23091.24+4686.95+2216.53+401.4+401.4+9002.54+7650.44</f>
        <v>73838.080000000016</v>
      </c>
      <c r="M78" s="78">
        <f t="shared" ref="M78:M141" si="3">K78-L78</f>
        <v>0</v>
      </c>
      <c r="N78" s="100">
        <f>2+6+1+1+2+1</f>
        <v>13</v>
      </c>
      <c r="O78" s="81">
        <f>7612.92+18804.48+9163.33+3260.98+6297.63+2609.1+642.24</f>
        <v>48390.68</v>
      </c>
      <c r="P78" s="81">
        <f>7612.92+18804.48+9163.33+3260.98+6297.63+2609.1+642.24</f>
        <v>48390.68</v>
      </c>
      <c r="Q78" s="79">
        <f t="shared" si="2"/>
        <v>0</v>
      </c>
    </row>
    <row r="79" spans="1:17" s="13" customFormat="1" ht="15" customHeight="1" x14ac:dyDescent="0.25">
      <c r="A79" s="229"/>
      <c r="B79" s="30" t="s">
        <v>54</v>
      </c>
      <c r="C79" s="181" t="s">
        <v>17</v>
      </c>
      <c r="D79" s="182"/>
      <c r="E79" s="194" t="s">
        <v>20</v>
      </c>
      <c r="F79" s="73" t="s">
        <v>356</v>
      </c>
      <c r="G79" s="74" t="s">
        <v>112</v>
      </c>
      <c r="H79" s="75"/>
      <c r="I79" s="76"/>
      <c r="J79" s="96"/>
      <c r="K79" s="77">
        <f>9075.37</f>
        <v>9075.3700000000008</v>
      </c>
      <c r="L79" s="77">
        <f>9075.37</f>
        <v>9075.3700000000008</v>
      </c>
      <c r="M79" s="78">
        <f t="shared" si="3"/>
        <v>0</v>
      </c>
      <c r="N79" s="100">
        <f>4+1+1+2+1</f>
        <v>9</v>
      </c>
      <c r="O79" s="81">
        <f>17895.28+17443.73+5473.41+2994.97</f>
        <v>43807.39</v>
      </c>
      <c r="P79" s="81">
        <f>17895.28+17443.73+5473.41+2994.97</f>
        <v>43807.39</v>
      </c>
      <c r="Q79" s="79">
        <f t="shared" si="2"/>
        <v>0</v>
      </c>
    </row>
    <row r="80" spans="1:17" s="13" customFormat="1" ht="30" customHeight="1" x14ac:dyDescent="0.25">
      <c r="A80" s="229"/>
      <c r="B80" s="27" t="s">
        <v>55</v>
      </c>
      <c r="C80" s="181" t="s">
        <v>304</v>
      </c>
      <c r="D80" s="182" t="s">
        <v>387</v>
      </c>
      <c r="E80" s="183" t="s">
        <v>20</v>
      </c>
      <c r="F80" s="73" t="s">
        <v>357</v>
      </c>
      <c r="G80" s="74" t="s">
        <v>112</v>
      </c>
      <c r="H80" s="75">
        <v>32</v>
      </c>
      <c r="I80" s="76">
        <v>24</v>
      </c>
      <c r="J80" s="98">
        <f>3+1+1+2+1+1+1+3+3+1+3+1+3+3+3</f>
        <v>30</v>
      </c>
      <c r="K80" s="77">
        <f>1267.86+6667.8+5756.15+1180.38+4780.37+4352.43+2850.42+2493.42+1404.9+10097.91+883.08+8774.66+2561.63+8797.67</f>
        <v>61868.68</v>
      </c>
      <c r="L80" s="77">
        <f>1267.86+6667.8+5756.15+1180.38+4780.37+4352.43+2850.42+2493.42+1404.9+10097.91+883.08+8774.66+2561.63+8797.67</f>
        <v>61868.68</v>
      </c>
      <c r="M80" s="78">
        <f t="shared" si="3"/>
        <v>0</v>
      </c>
      <c r="N80" s="100">
        <f>2+1+2+2+2+1+2+1+1+1</f>
        <v>15</v>
      </c>
      <c r="O80" s="81">
        <f>34854.19+2113.1+6430.67+5463.42+39145.22+2535.72+5132.44+12985.86+3492.63</f>
        <v>112153.25000000001</v>
      </c>
      <c r="P80" s="81">
        <f>34854.19+2113.1+6430.67+5463.42+39145.22+2535.72+5132.44+12985.86+3492.63</f>
        <v>112153.25000000001</v>
      </c>
      <c r="Q80" s="232">
        <f t="shared" si="2"/>
        <v>0</v>
      </c>
    </row>
    <row r="81" spans="1:17" s="13" customFormat="1" ht="30" customHeight="1" x14ac:dyDescent="0.25">
      <c r="A81" s="229"/>
      <c r="B81" s="62" t="s">
        <v>56</v>
      </c>
      <c r="C81" s="181" t="s">
        <v>17</v>
      </c>
      <c r="D81" s="182" t="s">
        <v>386</v>
      </c>
      <c r="E81" s="183" t="s">
        <v>18</v>
      </c>
      <c r="F81" s="73" t="s">
        <v>358</v>
      </c>
      <c r="G81" s="74" t="s">
        <v>112</v>
      </c>
      <c r="H81" s="75">
        <v>14</v>
      </c>
      <c r="I81" s="76">
        <v>12</v>
      </c>
      <c r="J81" s="96">
        <f>1+1+2+2+5+1</f>
        <v>12</v>
      </c>
      <c r="K81" s="77">
        <f>678.11+678.11+4865.7+5265.72+4915.15+2243.02</f>
        <v>18645.810000000001</v>
      </c>
      <c r="L81" s="77">
        <f>678.11+678.11+4865.7+5265.72+4915.15+2243.02</f>
        <v>18645.810000000001</v>
      </c>
      <c r="M81" s="78">
        <f t="shared" si="3"/>
        <v>0</v>
      </c>
      <c r="N81" s="100">
        <f>1</f>
        <v>1</v>
      </c>
      <c r="O81" s="81">
        <f>4395.5</f>
        <v>4395.5</v>
      </c>
      <c r="P81" s="81">
        <f>4395.5</f>
        <v>4395.5</v>
      </c>
      <c r="Q81" s="79">
        <f t="shared" si="2"/>
        <v>0</v>
      </c>
    </row>
    <row r="82" spans="1:17" s="13" customFormat="1" ht="30" hidden="1" customHeight="1" x14ac:dyDescent="0.25">
      <c r="A82" s="229"/>
      <c r="B82" s="62" t="s">
        <v>56</v>
      </c>
      <c r="C82" s="181" t="s">
        <v>304</v>
      </c>
      <c r="D82" s="182" t="s">
        <v>386</v>
      </c>
      <c r="E82" s="183" t="s">
        <v>18</v>
      </c>
      <c r="F82" s="73" t="s">
        <v>476</v>
      </c>
      <c r="G82" s="230" t="s">
        <v>113</v>
      </c>
      <c r="H82" s="181">
        <v>14</v>
      </c>
      <c r="I82" s="234">
        <v>11</v>
      </c>
      <c r="J82" s="98">
        <v>13</v>
      </c>
      <c r="K82" s="77">
        <v>20460</v>
      </c>
      <c r="L82" s="77">
        <v>20460</v>
      </c>
      <c r="M82" s="78">
        <f t="shared" si="3"/>
        <v>0</v>
      </c>
      <c r="N82" s="100"/>
      <c r="O82" s="224">
        <v>7612</v>
      </c>
      <c r="P82" s="224">
        <v>7612</v>
      </c>
      <c r="Q82" s="232">
        <f t="shared" ref="Q82:Q147" si="4">O82-P82</f>
        <v>0</v>
      </c>
    </row>
    <row r="83" spans="1:17" s="13" customFormat="1" ht="15" customHeight="1" x14ac:dyDescent="0.25">
      <c r="A83" s="229"/>
      <c r="B83" s="62" t="s">
        <v>156</v>
      </c>
      <c r="C83" s="181" t="s">
        <v>304</v>
      </c>
      <c r="D83" s="182"/>
      <c r="E83" s="183" t="s">
        <v>20</v>
      </c>
      <c r="F83" s="73" t="s">
        <v>359</v>
      </c>
      <c r="G83" s="74" t="s">
        <v>112</v>
      </c>
      <c r="H83" s="75">
        <v>5</v>
      </c>
      <c r="I83" s="76">
        <v>2</v>
      </c>
      <c r="J83" s="96">
        <f>2</f>
        <v>2</v>
      </c>
      <c r="K83" s="77">
        <f>1690.48+993.47</f>
        <v>2683.95</v>
      </c>
      <c r="L83" s="77">
        <f>1690.48+993.47</f>
        <v>2683.95</v>
      </c>
      <c r="M83" s="78">
        <f t="shared" si="3"/>
        <v>0</v>
      </c>
      <c r="N83" s="100">
        <f>3+1+1</f>
        <v>5</v>
      </c>
      <c r="O83" s="81">
        <f>5488.54+2398.37+422.62+1605.6</f>
        <v>9915.130000000001</v>
      </c>
      <c r="P83" s="81">
        <f>5488.54+2398.37+422.62+1605.6</f>
        <v>9915.130000000001</v>
      </c>
      <c r="Q83" s="79">
        <f t="shared" si="4"/>
        <v>0</v>
      </c>
    </row>
    <row r="84" spans="1:17" s="15" customFormat="1" ht="15" customHeight="1" x14ac:dyDescent="0.25">
      <c r="A84" s="229"/>
      <c r="B84" s="62" t="s">
        <v>57</v>
      </c>
      <c r="C84" s="181" t="s">
        <v>17</v>
      </c>
      <c r="D84" s="182"/>
      <c r="E84" s="183" t="s">
        <v>20</v>
      </c>
      <c r="F84" s="73" t="s">
        <v>360</v>
      </c>
      <c r="G84" s="74" t="s">
        <v>112</v>
      </c>
      <c r="H84" s="75">
        <v>9</v>
      </c>
      <c r="I84" s="76">
        <v>8</v>
      </c>
      <c r="J84" s="96">
        <f>2+1+1+2+2</f>
        <v>8</v>
      </c>
      <c r="K84" s="77">
        <f>806.82+1728.9+422.62+2958.34+863.01</f>
        <v>6779.6900000000005</v>
      </c>
      <c r="L84" s="77">
        <f>806.82+1728.9+422.62+2958.34+863.01</f>
        <v>6779.6900000000005</v>
      </c>
      <c r="M84" s="78">
        <f t="shared" si="3"/>
        <v>0</v>
      </c>
      <c r="N84" s="100">
        <f>2+1</f>
        <v>3</v>
      </c>
      <c r="O84" s="81">
        <f>2745.3</f>
        <v>2745.3</v>
      </c>
      <c r="P84" s="81">
        <f>2745.3</f>
        <v>2745.3</v>
      </c>
      <c r="Q84" s="232">
        <f t="shared" si="4"/>
        <v>0</v>
      </c>
    </row>
    <row r="85" spans="1:17" s="15" customFormat="1" ht="15" hidden="1" customHeight="1" x14ac:dyDescent="0.25">
      <c r="A85" s="229"/>
      <c r="B85" s="62" t="s">
        <v>57</v>
      </c>
      <c r="C85" s="181" t="s">
        <v>17</v>
      </c>
      <c r="D85" s="182"/>
      <c r="E85" s="183" t="s">
        <v>20</v>
      </c>
      <c r="F85" s="73" t="s">
        <v>458</v>
      </c>
      <c r="G85" s="230" t="s">
        <v>114</v>
      </c>
      <c r="H85" s="181">
        <v>40</v>
      </c>
      <c r="I85" s="231">
        <v>19</v>
      </c>
      <c r="J85" s="190">
        <v>19</v>
      </c>
      <c r="K85" s="77">
        <v>50821.97</v>
      </c>
      <c r="L85" s="77">
        <v>50821.97</v>
      </c>
      <c r="M85" s="78">
        <f t="shared" si="3"/>
        <v>0</v>
      </c>
      <c r="N85" s="100">
        <v>20</v>
      </c>
      <c r="O85" s="224">
        <v>42687.199999999997</v>
      </c>
      <c r="P85" s="224">
        <v>42687.199999999997</v>
      </c>
      <c r="Q85" s="232">
        <f t="shared" si="4"/>
        <v>0</v>
      </c>
    </row>
    <row r="86" spans="1:17" s="13" customFormat="1" ht="15" customHeight="1" x14ac:dyDescent="0.25">
      <c r="A86" s="229"/>
      <c r="B86" s="62" t="s">
        <v>58</v>
      </c>
      <c r="C86" s="181" t="s">
        <v>17</v>
      </c>
      <c r="D86" s="182"/>
      <c r="E86" s="183" t="s">
        <v>20</v>
      </c>
      <c r="F86" s="73" t="s">
        <v>361</v>
      </c>
      <c r="G86" s="74" t="s">
        <v>112</v>
      </c>
      <c r="H86" s="75">
        <v>11</v>
      </c>
      <c r="I86" s="76">
        <v>9</v>
      </c>
      <c r="J86" s="96">
        <f>1+2+1+1+1+1+2</f>
        <v>9</v>
      </c>
      <c r="K86" s="77">
        <f>1892.47+3118.94+422.62+1324.62+12755.56</f>
        <v>19514.21</v>
      </c>
      <c r="L86" s="77">
        <f>1892.47+3118.94+422.62+1324.62+12755.56</f>
        <v>19514.21</v>
      </c>
      <c r="M86" s="78">
        <f t="shared" si="3"/>
        <v>0</v>
      </c>
      <c r="N86" s="100">
        <f>1+1+3+1</f>
        <v>6</v>
      </c>
      <c r="O86" s="81">
        <f>9196.24+2480.78+2954.11+15214.32</f>
        <v>29845.45</v>
      </c>
      <c r="P86" s="81">
        <f>9196.24+2480.78+2954.11+15214.32</f>
        <v>29845.45</v>
      </c>
      <c r="Q86" s="232">
        <f t="shared" si="4"/>
        <v>0</v>
      </c>
    </row>
    <row r="87" spans="1:17" s="13" customFormat="1" ht="15" hidden="1" customHeight="1" x14ac:dyDescent="0.25">
      <c r="A87" s="229"/>
      <c r="B87" s="62" t="s">
        <v>58</v>
      </c>
      <c r="C87" s="181" t="s">
        <v>17</v>
      </c>
      <c r="D87" s="182"/>
      <c r="E87" s="183" t="s">
        <v>20</v>
      </c>
      <c r="F87" s="73" t="s">
        <v>478</v>
      </c>
      <c r="G87" s="230" t="s">
        <v>114</v>
      </c>
      <c r="H87" s="181">
        <v>15</v>
      </c>
      <c r="I87" s="231">
        <v>3</v>
      </c>
      <c r="J87" s="190">
        <v>3</v>
      </c>
      <c r="K87" s="77">
        <v>3765.16</v>
      </c>
      <c r="L87" s="77">
        <v>3765.16</v>
      </c>
      <c r="M87" s="78">
        <f t="shared" si="3"/>
        <v>0</v>
      </c>
      <c r="N87" s="100">
        <v>21</v>
      </c>
      <c r="O87" s="224">
        <v>54215.77</v>
      </c>
      <c r="P87" s="224">
        <v>54215.77</v>
      </c>
      <c r="Q87" s="232">
        <f t="shared" si="4"/>
        <v>0</v>
      </c>
    </row>
    <row r="88" spans="1:17" s="13" customFormat="1" ht="15" customHeight="1" x14ac:dyDescent="0.25">
      <c r="A88" s="229"/>
      <c r="B88" s="62" t="s">
        <v>59</v>
      </c>
      <c r="C88" s="181" t="s">
        <v>17</v>
      </c>
      <c r="D88" s="182"/>
      <c r="E88" s="183" t="s">
        <v>20</v>
      </c>
      <c r="F88" s="73" t="s">
        <v>362</v>
      </c>
      <c r="G88" s="74" t="s">
        <v>112</v>
      </c>
      <c r="H88" s="75">
        <v>16</v>
      </c>
      <c r="I88" s="76">
        <v>10</v>
      </c>
      <c r="J88" s="96">
        <f>1+1+1+3+1+1+2</f>
        <v>10</v>
      </c>
      <c r="K88" s="77">
        <f>403.41+1431.16+845.24+998.92+3059.87+5898.13+2379.46</f>
        <v>15016.189999999999</v>
      </c>
      <c r="L88" s="77">
        <f>403.41+1431.16+845.24+998.92+3059.87+5898.13+2379.46</f>
        <v>15016.189999999999</v>
      </c>
      <c r="M88" s="78">
        <f t="shared" si="3"/>
        <v>0</v>
      </c>
      <c r="N88" s="100">
        <f>1+2+2+1+1+1+1+1</f>
        <v>10</v>
      </c>
      <c r="O88" s="81">
        <f>6646.05+1267.86+979.71</f>
        <v>8893.619999999999</v>
      </c>
      <c r="P88" s="81">
        <f>2353.23+5561.68+978.71</f>
        <v>8893.619999999999</v>
      </c>
      <c r="Q88" s="232">
        <f t="shared" si="4"/>
        <v>0</v>
      </c>
    </row>
    <row r="89" spans="1:17" s="13" customFormat="1" ht="15" hidden="1" customHeight="1" x14ac:dyDescent="0.25">
      <c r="A89" s="229"/>
      <c r="B89" s="62" t="s">
        <v>59</v>
      </c>
      <c r="C89" s="181" t="s">
        <v>17</v>
      </c>
      <c r="D89" s="182"/>
      <c r="E89" s="183" t="s">
        <v>20</v>
      </c>
      <c r="F89" s="73" t="s">
        <v>128</v>
      </c>
      <c r="G89" s="230" t="s">
        <v>114</v>
      </c>
      <c r="H89" s="181"/>
      <c r="I89" s="231"/>
      <c r="J89" s="190"/>
      <c r="K89" s="77"/>
      <c r="L89" s="77"/>
      <c r="M89" s="78">
        <f t="shared" si="3"/>
        <v>0</v>
      </c>
      <c r="N89" s="100"/>
      <c r="O89" s="224"/>
      <c r="P89" s="224"/>
      <c r="Q89" s="232">
        <f t="shared" si="4"/>
        <v>0</v>
      </c>
    </row>
    <row r="90" spans="1:17" s="13" customFormat="1" ht="15" customHeight="1" x14ac:dyDescent="0.25">
      <c r="A90" s="229"/>
      <c r="B90" s="27" t="s">
        <v>60</v>
      </c>
      <c r="C90" s="181" t="s">
        <v>17</v>
      </c>
      <c r="D90" s="182"/>
      <c r="E90" s="183" t="s">
        <v>20</v>
      </c>
      <c r="F90" s="73" t="s">
        <v>364</v>
      </c>
      <c r="G90" s="74" t="s">
        <v>112</v>
      </c>
      <c r="H90" s="75">
        <v>21</v>
      </c>
      <c r="I90" s="76">
        <v>11</v>
      </c>
      <c r="J90" s="96">
        <f>1+1+1+4+4+2+2</f>
        <v>15</v>
      </c>
      <c r="K90" s="77">
        <f>634.93+893.27+2930.22+8503.46+16092.98</f>
        <v>29054.86</v>
      </c>
      <c r="L90" s="77">
        <f>634.93+893.27+2930.22+8503.46+16092.98</f>
        <v>29054.86</v>
      </c>
      <c r="M90" s="78">
        <f t="shared" si="3"/>
        <v>0</v>
      </c>
      <c r="N90" s="100">
        <f>4+1+3+1+1+2+2</f>
        <v>14</v>
      </c>
      <c r="O90" s="81">
        <f>15124.53+2065.75+8492.52+5828.3+7183.28</f>
        <v>38694.379999999997</v>
      </c>
      <c r="P90" s="81">
        <f>15124.53+2065.75+8492.52+5828.3+7183.28</f>
        <v>38694.379999999997</v>
      </c>
      <c r="Q90" s="232">
        <f t="shared" si="4"/>
        <v>0</v>
      </c>
    </row>
    <row r="91" spans="1:17" s="13" customFormat="1" ht="15" hidden="1" customHeight="1" x14ac:dyDescent="0.25">
      <c r="A91" s="229"/>
      <c r="B91" s="27" t="s">
        <v>60</v>
      </c>
      <c r="C91" s="181" t="s">
        <v>17</v>
      </c>
      <c r="D91" s="182"/>
      <c r="E91" s="183" t="s">
        <v>20</v>
      </c>
      <c r="F91" s="73" t="s">
        <v>479</v>
      </c>
      <c r="G91" s="230" t="s">
        <v>114</v>
      </c>
      <c r="H91" s="181">
        <v>17</v>
      </c>
      <c r="I91" s="231">
        <v>4</v>
      </c>
      <c r="J91" s="190">
        <v>4</v>
      </c>
      <c r="K91" s="77">
        <v>8197.2000000000007</v>
      </c>
      <c r="L91" s="77">
        <v>8197.2000000000007</v>
      </c>
      <c r="M91" s="78">
        <f t="shared" si="3"/>
        <v>0</v>
      </c>
      <c r="N91" s="100">
        <v>14</v>
      </c>
      <c r="O91" s="224">
        <v>44683.68</v>
      </c>
      <c r="P91" s="224">
        <v>44683.68</v>
      </c>
      <c r="Q91" s="232">
        <f t="shared" si="4"/>
        <v>0</v>
      </c>
    </row>
    <row r="92" spans="1:17" s="13" customFormat="1" ht="15" customHeight="1" x14ac:dyDescent="0.25">
      <c r="A92" s="229"/>
      <c r="B92" s="27" t="s">
        <v>493</v>
      </c>
      <c r="C92" s="181" t="s">
        <v>17</v>
      </c>
      <c r="D92" s="182"/>
      <c r="E92" s="183" t="s">
        <v>20</v>
      </c>
      <c r="F92" s="73" t="s">
        <v>496</v>
      </c>
      <c r="G92" s="230" t="s">
        <v>112</v>
      </c>
      <c r="H92" s="181">
        <v>16</v>
      </c>
      <c r="I92" s="231">
        <v>13</v>
      </c>
      <c r="J92" s="190">
        <f>3+2+1+3+1+2+1+3+3+1</f>
        <v>20</v>
      </c>
      <c r="K92" s="77">
        <f>3387.04+3467.41+1267.86+2218.74+8089.94+1924.71+5638.36+4883.04+2510.56+993.47</f>
        <v>34381.129999999997</v>
      </c>
      <c r="L92" s="77">
        <f>3387.04+3467.41+1267.86+2218.74+8089.94+1924.71+5638.36+4883.04+2510.56+993.47</f>
        <v>34381.129999999997</v>
      </c>
      <c r="M92" s="78">
        <f t="shared" si="3"/>
        <v>0</v>
      </c>
      <c r="N92" s="100"/>
      <c r="O92" s="224"/>
      <c r="P92" s="224"/>
      <c r="Q92" s="232">
        <f t="shared" si="4"/>
        <v>0</v>
      </c>
    </row>
    <row r="93" spans="1:17" s="15" customFormat="1" ht="15" customHeight="1" x14ac:dyDescent="0.25">
      <c r="A93" s="229"/>
      <c r="B93" s="27" t="s">
        <v>61</v>
      </c>
      <c r="C93" s="181" t="s">
        <v>17</v>
      </c>
      <c r="D93" s="182"/>
      <c r="E93" s="183" t="s">
        <v>20</v>
      </c>
      <c r="F93" s="73" t="s">
        <v>363</v>
      </c>
      <c r="G93" s="74" t="s">
        <v>112</v>
      </c>
      <c r="H93" s="75"/>
      <c r="I93" s="76"/>
      <c r="J93" s="96"/>
      <c r="K93" s="77"/>
      <c r="L93" s="77"/>
      <c r="M93" s="78">
        <f t="shared" si="3"/>
        <v>0</v>
      </c>
      <c r="N93" s="100"/>
      <c r="O93" s="81"/>
      <c r="P93" s="81"/>
      <c r="Q93" s="232">
        <f t="shared" si="4"/>
        <v>0</v>
      </c>
    </row>
    <row r="94" spans="1:17" s="15" customFormat="1" ht="15" customHeight="1" x14ac:dyDescent="0.25">
      <c r="A94" s="229"/>
      <c r="B94" s="236" t="s">
        <v>306</v>
      </c>
      <c r="C94" s="181" t="s">
        <v>17</v>
      </c>
      <c r="D94" s="182"/>
      <c r="E94" s="183" t="s">
        <v>35</v>
      </c>
      <c r="F94" s="73" t="s">
        <v>365</v>
      </c>
      <c r="G94" s="230" t="s">
        <v>112</v>
      </c>
      <c r="H94" s="181">
        <v>44</v>
      </c>
      <c r="I94" s="231">
        <v>32</v>
      </c>
      <c r="J94" s="190">
        <f>1+2+1+3+3+2+3+1+2+1+3+4+3+6</f>
        <v>35</v>
      </c>
      <c r="K94" s="77">
        <f>1045.98+2658.7+35696.14+4892.46+1024.04+2384.53+10793.24+5320.79+2075.24+1324.62+1192.16+2649.24+3973.86</f>
        <v>75031</v>
      </c>
      <c r="L94" s="77">
        <f>1045.98+2658.7+35696.14+4892.46+1024.04+2384.53+10793.24+5320.79+2075.24+1324.62+1192.16+2649.24+3973.86</f>
        <v>75031</v>
      </c>
      <c r="M94" s="78">
        <f t="shared" si="3"/>
        <v>0</v>
      </c>
      <c r="N94" s="114">
        <f>7+2+2+2+1+1+1</f>
        <v>16</v>
      </c>
      <c r="O94" s="224">
        <f>2313.84+6162.57+2330.32+1690.48+3706.14+3107.65+4960.7</f>
        <v>24271.7</v>
      </c>
      <c r="P94" s="224">
        <f>2313.84+6162.57+2330.32+1690.48+3706.14+3107.65+4960.7</f>
        <v>24271.7</v>
      </c>
      <c r="Q94" s="232">
        <f t="shared" si="4"/>
        <v>0</v>
      </c>
    </row>
    <row r="95" spans="1:17" s="13" customFormat="1" ht="15" hidden="1" customHeight="1" x14ac:dyDescent="0.25">
      <c r="A95" s="229"/>
      <c r="B95" s="62" t="s">
        <v>306</v>
      </c>
      <c r="C95" s="181" t="s">
        <v>17</v>
      </c>
      <c r="D95" s="182"/>
      <c r="E95" s="183" t="s">
        <v>27</v>
      </c>
      <c r="F95" s="73" t="s">
        <v>421</v>
      </c>
      <c r="G95" s="230" t="s">
        <v>117</v>
      </c>
      <c r="H95" s="181">
        <v>5</v>
      </c>
      <c r="I95" s="231"/>
      <c r="J95" s="96"/>
      <c r="K95" s="77"/>
      <c r="L95" s="77"/>
      <c r="M95" s="78">
        <f t="shared" si="3"/>
        <v>0</v>
      </c>
      <c r="N95" s="100"/>
      <c r="O95" s="77"/>
      <c r="P95" s="77"/>
      <c r="Q95" s="79">
        <f>O95-P95</f>
        <v>0</v>
      </c>
    </row>
    <row r="96" spans="1:17" s="13" customFormat="1" ht="15" customHeight="1" x14ac:dyDescent="0.25">
      <c r="A96" s="229"/>
      <c r="B96" s="27" t="s">
        <v>62</v>
      </c>
      <c r="C96" s="181" t="s">
        <v>17</v>
      </c>
      <c r="D96" s="182"/>
      <c r="E96" s="183" t="s">
        <v>35</v>
      </c>
      <c r="F96" s="73" t="s">
        <v>366</v>
      </c>
      <c r="G96" s="74" t="s">
        <v>112</v>
      </c>
      <c r="H96" s="75">
        <v>39</v>
      </c>
      <c r="I96" s="76">
        <v>27</v>
      </c>
      <c r="J96" s="96">
        <f>1+3+1+1+2+4+4+3+3+4+2</f>
        <v>28</v>
      </c>
      <c r="K96" s="77">
        <f>3613.4+1872.01+1394.65+3518.32+15902.72+5370.89+2686.97+19155.26+5281.5+2557.29</f>
        <v>61353.01</v>
      </c>
      <c r="L96" s="77">
        <f>3613.4+1872.01+1394.65+3518.32+15902.72+5370.89+2686.97+19155.26+5281.5+2557.29</f>
        <v>61353.01</v>
      </c>
      <c r="M96" s="78">
        <f t="shared" si="3"/>
        <v>0</v>
      </c>
      <c r="N96" s="100">
        <f>6+2+1+2+1+3+1+1</f>
        <v>17</v>
      </c>
      <c r="O96" s="81">
        <f>19511.33+1270.93+3979.74+2500.85+8530.18+845.24+12787.47+17476.07</f>
        <v>66901.81</v>
      </c>
      <c r="P96" s="81">
        <f>19511.33+1270.93+3979.74+2500.85+8530.18+845.24+12787.47+17476.07</f>
        <v>66901.81</v>
      </c>
      <c r="Q96" s="79">
        <f t="shared" si="4"/>
        <v>0</v>
      </c>
    </row>
    <row r="97" spans="1:17" s="13" customFormat="1" ht="15" hidden="1" customHeight="1" x14ac:dyDescent="0.25">
      <c r="A97" s="229"/>
      <c r="B97" s="27" t="s">
        <v>62</v>
      </c>
      <c r="C97" s="181" t="s">
        <v>17</v>
      </c>
      <c r="D97" s="182"/>
      <c r="E97" s="183" t="s">
        <v>35</v>
      </c>
      <c r="F97" s="73" t="s">
        <v>428</v>
      </c>
      <c r="G97" s="230" t="s">
        <v>117</v>
      </c>
      <c r="H97" s="181">
        <v>6</v>
      </c>
      <c r="I97" s="231"/>
      <c r="J97" s="96"/>
      <c r="K97" s="77"/>
      <c r="L97" s="77"/>
      <c r="M97" s="78">
        <f t="shared" si="3"/>
        <v>0</v>
      </c>
      <c r="N97" s="100">
        <v>10</v>
      </c>
      <c r="O97" s="224">
        <v>35030.800000000003</v>
      </c>
      <c r="P97" s="224">
        <v>35030.800000000003</v>
      </c>
      <c r="Q97" s="232">
        <f t="shared" si="4"/>
        <v>0</v>
      </c>
    </row>
    <row r="98" spans="1:17" s="13" customFormat="1" ht="15" customHeight="1" x14ac:dyDescent="0.25">
      <c r="A98" s="229"/>
      <c r="B98" s="27" t="s">
        <v>155</v>
      </c>
      <c r="C98" s="181" t="s">
        <v>17</v>
      </c>
      <c r="D98" s="182"/>
      <c r="E98" s="183" t="s">
        <v>20</v>
      </c>
      <c r="F98" s="73" t="s">
        <v>367</v>
      </c>
      <c r="G98" s="74" t="s">
        <v>112</v>
      </c>
      <c r="H98" s="75">
        <v>14</v>
      </c>
      <c r="I98" s="82">
        <v>10</v>
      </c>
      <c r="J98" s="96">
        <f>1+2+3+1+2+2+1+1</f>
        <v>13</v>
      </c>
      <c r="K98" s="77">
        <f>3117.56+2266.78+5307.72+3606.94+1494.21+6905.68+2817.8+364.27</f>
        <v>25880.960000000003</v>
      </c>
      <c r="L98" s="77">
        <f>3117.56+2266.78+5307.72+3606.94+1494.21+6905.68+2817.8+364.27</f>
        <v>25880.960000000003</v>
      </c>
      <c r="M98" s="78">
        <f t="shared" si="3"/>
        <v>0</v>
      </c>
      <c r="N98" s="100">
        <f>1+1+1+1+1</f>
        <v>5</v>
      </c>
      <c r="O98" s="81">
        <f>1798.06+2123.67+2959.73</f>
        <v>6881.46</v>
      </c>
      <c r="P98" s="81">
        <f>1798.06+2123.67+2959.73</f>
        <v>6881.46</v>
      </c>
      <c r="Q98" s="232">
        <f t="shared" si="4"/>
        <v>0</v>
      </c>
    </row>
    <row r="99" spans="1:17" s="13" customFormat="1" ht="15.75" hidden="1" customHeight="1" x14ac:dyDescent="0.25">
      <c r="A99" s="229"/>
      <c r="B99" s="27" t="s">
        <v>155</v>
      </c>
      <c r="C99" s="181" t="s">
        <v>17</v>
      </c>
      <c r="D99" s="182"/>
      <c r="E99" s="183" t="s">
        <v>20</v>
      </c>
      <c r="F99" s="73" t="s">
        <v>459</v>
      </c>
      <c r="G99" s="230" t="s">
        <v>114</v>
      </c>
      <c r="H99" s="1">
        <v>16</v>
      </c>
      <c r="I99" s="231">
        <v>4</v>
      </c>
      <c r="J99" s="190">
        <v>4</v>
      </c>
      <c r="K99" s="77">
        <v>8816.51</v>
      </c>
      <c r="L99" s="77">
        <v>8816.51</v>
      </c>
      <c r="M99" s="78">
        <f t="shared" si="3"/>
        <v>0</v>
      </c>
      <c r="N99" s="100">
        <v>16</v>
      </c>
      <c r="O99" s="224">
        <v>36413.46</v>
      </c>
      <c r="P99" s="224">
        <v>36413.46</v>
      </c>
      <c r="Q99" s="232">
        <f t="shared" si="4"/>
        <v>0</v>
      </c>
    </row>
    <row r="100" spans="1:17" s="13" customFormat="1" ht="15" customHeight="1" x14ac:dyDescent="0.25">
      <c r="A100" s="229"/>
      <c r="B100" s="30" t="s">
        <v>66</v>
      </c>
      <c r="C100" s="181" t="s">
        <v>17</v>
      </c>
      <c r="D100" s="182"/>
      <c r="E100" s="183" t="s">
        <v>21</v>
      </c>
      <c r="F100" s="73" t="s">
        <v>368</v>
      </c>
      <c r="G100" s="74" t="s">
        <v>112</v>
      </c>
      <c r="H100" s="75">
        <v>38</v>
      </c>
      <c r="I100" s="76">
        <v>34</v>
      </c>
      <c r="J100" s="96">
        <f>1+3+2+3+2+1+2+1+3+7+4+3+2+3+4+5+7+1</f>
        <v>54</v>
      </c>
      <c r="K100" s="77">
        <f>1045.98+4309.04+3820.12+1872.01+4253.49+3044.79+1191.19+4942.84+9299.2+9796.16+4139.27+2886.87+11269.91+12820.57+18537.23</f>
        <v>93228.67</v>
      </c>
      <c r="L100" s="77">
        <f>1045.98+4309.04+3820.12+1872.01+4253.49+3044.79+1191.19+4942.84+9299.2+9796.16+4139.27+2886.87+11269.91+12820.57+18537.23</f>
        <v>93228.67</v>
      </c>
      <c r="M100" s="78">
        <f t="shared" si="3"/>
        <v>0</v>
      </c>
      <c r="N100" s="100">
        <f>6+3+8+7+1+1+1+2+1+1+1+1+1+1+1</f>
        <v>36</v>
      </c>
      <c r="O100" s="81">
        <f>11911.17+23136+18060.17+1977.84+2091.97+19535.65+19124.11+3199.71+4430.07+5418.9+2717.24+5690.21</f>
        <v>117293.04000000001</v>
      </c>
      <c r="P100" s="81">
        <f>11911.17+23136+18060.17+1977.84+2091.97+19535.65+19124.11+3199.71+4430.07+5418.9+2717.24+5690.21</f>
        <v>117293.04000000001</v>
      </c>
      <c r="Q100" s="232">
        <f t="shared" si="4"/>
        <v>0</v>
      </c>
    </row>
    <row r="101" spans="1:17" s="13" customFormat="1" ht="15" hidden="1" customHeight="1" x14ac:dyDescent="0.25">
      <c r="A101" s="229"/>
      <c r="B101" s="30" t="s">
        <v>66</v>
      </c>
      <c r="C101" s="181" t="s">
        <v>17</v>
      </c>
      <c r="D101" s="182"/>
      <c r="E101" s="183" t="s">
        <v>21</v>
      </c>
      <c r="F101" s="73" t="s">
        <v>439</v>
      </c>
      <c r="G101" s="230" t="s">
        <v>118</v>
      </c>
      <c r="H101" s="181">
        <v>9</v>
      </c>
      <c r="I101" s="231">
        <v>4</v>
      </c>
      <c r="J101" s="96">
        <v>4</v>
      </c>
      <c r="K101" s="77">
        <v>7173.6</v>
      </c>
      <c r="L101" s="77">
        <v>7173.6</v>
      </c>
      <c r="M101" s="78">
        <f t="shared" si="3"/>
        <v>0</v>
      </c>
      <c r="N101" s="100">
        <v>24</v>
      </c>
      <c r="O101" s="224">
        <v>81462.58</v>
      </c>
      <c r="P101" s="224">
        <v>81462.58</v>
      </c>
      <c r="Q101" s="79">
        <f t="shared" si="4"/>
        <v>0</v>
      </c>
    </row>
    <row r="102" spans="1:17" s="13" customFormat="1" ht="15" customHeight="1" x14ac:dyDescent="0.25">
      <c r="A102" s="229"/>
      <c r="B102" s="62" t="s">
        <v>137</v>
      </c>
      <c r="C102" s="181" t="s">
        <v>17</v>
      </c>
      <c r="D102" s="182"/>
      <c r="E102" s="194" t="s">
        <v>35</v>
      </c>
      <c r="F102" s="73" t="s">
        <v>369</v>
      </c>
      <c r="G102" s="74" t="s">
        <v>112</v>
      </c>
      <c r="H102" s="75">
        <v>41</v>
      </c>
      <c r="I102" s="76">
        <v>30</v>
      </c>
      <c r="J102" s="96">
        <f>3+3+1+4+1+3+2+3+6+2+3+1</f>
        <v>32</v>
      </c>
      <c r="K102" s="77">
        <f>504.26+845.24+3380.96+422.62+2535.72+6256.62+883.08+2649.24+4395.33+2649.24+2863.99</f>
        <v>27386.299999999996</v>
      </c>
      <c r="L102" s="77">
        <f>504.26+845.24+3380.96+422.62+2535.72+6256.62+883.08+2649.24+4395.33+2649.24+2863.99</f>
        <v>27386.299999999996</v>
      </c>
      <c r="M102" s="78">
        <f t="shared" si="3"/>
        <v>0</v>
      </c>
      <c r="N102" s="100">
        <f>5+1+1+2+1</f>
        <v>10</v>
      </c>
      <c r="O102" s="81">
        <f>2617.36+422.62+3852.18+3380.96+422.62</f>
        <v>10695.74</v>
      </c>
      <c r="P102" s="81">
        <f>2617.36+422.62+3852.18+3380.96+422.62</f>
        <v>10695.74</v>
      </c>
      <c r="Q102" s="232">
        <f t="shared" si="4"/>
        <v>0</v>
      </c>
    </row>
    <row r="103" spans="1:17" s="13" customFormat="1" ht="15" hidden="1" customHeight="1" x14ac:dyDescent="0.25">
      <c r="A103" s="229"/>
      <c r="B103" s="62" t="s">
        <v>137</v>
      </c>
      <c r="C103" s="181" t="s">
        <v>17</v>
      </c>
      <c r="D103" s="182"/>
      <c r="E103" s="194" t="s">
        <v>35</v>
      </c>
      <c r="F103" s="73" t="s">
        <v>429</v>
      </c>
      <c r="G103" s="230" t="s">
        <v>117</v>
      </c>
      <c r="H103" s="181">
        <v>13</v>
      </c>
      <c r="I103" s="231">
        <v>5</v>
      </c>
      <c r="J103" s="190">
        <v>6</v>
      </c>
      <c r="K103" s="193">
        <v>11675.02</v>
      </c>
      <c r="L103" s="193">
        <v>11675.02</v>
      </c>
      <c r="M103" s="78">
        <f t="shared" si="3"/>
        <v>0</v>
      </c>
      <c r="N103" s="114">
        <v>2</v>
      </c>
      <c r="O103" s="224">
        <v>10565.5</v>
      </c>
      <c r="P103" s="224">
        <v>10565.5</v>
      </c>
      <c r="Q103" s="79">
        <f t="shared" si="4"/>
        <v>0</v>
      </c>
    </row>
    <row r="104" spans="1:17" s="13" customFormat="1" ht="15" customHeight="1" x14ac:dyDescent="0.25">
      <c r="A104" s="229"/>
      <c r="B104" s="30" t="s">
        <v>67</v>
      </c>
      <c r="C104" s="181" t="s">
        <v>17</v>
      </c>
      <c r="D104" s="182"/>
      <c r="E104" s="194" t="s">
        <v>21</v>
      </c>
      <c r="F104" s="73" t="s">
        <v>370</v>
      </c>
      <c r="G104" s="74" t="s">
        <v>112</v>
      </c>
      <c r="H104" s="75">
        <v>40</v>
      </c>
      <c r="I104" s="76">
        <v>33</v>
      </c>
      <c r="J104" s="96">
        <f>2+1+1+2+1+1+2+2+1+2+5+5+2+5+3+2+1+2+3</f>
        <v>43</v>
      </c>
      <c r="K104" s="77">
        <f>3319.85+1198.9+864.45+7235.32+1947.89+5377.75+8701.73+3581.7+8737.54+7647.65+16410.46+4594.78</f>
        <v>69618.02</v>
      </c>
      <c r="L104" s="77">
        <f>3319.85+1198.9+864.45+7235.32+1947.89+5377.75+8701.73+3581.7+8737.54+7647.65+16410.46+4594.78</f>
        <v>69618.02</v>
      </c>
      <c r="M104" s="78">
        <f t="shared" si="3"/>
        <v>0</v>
      </c>
      <c r="N104" s="100">
        <f>4+9+4+4+1+3+1+3+1+1+1+1+1+1+3+2</f>
        <v>40</v>
      </c>
      <c r="O104" s="81">
        <f>29696.65+38129.03+13567.9+20687.05+2022.79+8145.77+17250.05+1233.28+5568.04+11106.62+7079.38</f>
        <v>154486.56</v>
      </c>
      <c r="P104" s="81">
        <f>29696.65+38129.03+13567.9+20687.05+2022.79+8145.77+17250.05+1233.28+5568.04+11106.62+7079.38</f>
        <v>154486.56</v>
      </c>
      <c r="Q104" s="232">
        <f t="shared" si="4"/>
        <v>0</v>
      </c>
    </row>
    <row r="105" spans="1:17" s="13" customFormat="1" ht="15" hidden="1" customHeight="1" x14ac:dyDescent="0.25">
      <c r="A105" s="229"/>
      <c r="B105" s="30" t="s">
        <v>67</v>
      </c>
      <c r="C105" s="181" t="s">
        <v>17</v>
      </c>
      <c r="D105" s="182"/>
      <c r="E105" s="194" t="s">
        <v>21</v>
      </c>
      <c r="F105" s="73" t="s">
        <v>440</v>
      </c>
      <c r="G105" s="230" t="s">
        <v>118</v>
      </c>
      <c r="H105" s="181">
        <v>16</v>
      </c>
      <c r="I105" s="231">
        <v>3</v>
      </c>
      <c r="J105" s="96">
        <v>3</v>
      </c>
      <c r="K105" s="77">
        <v>12778.52</v>
      </c>
      <c r="L105" s="77">
        <v>12778.52</v>
      </c>
      <c r="M105" s="78">
        <f t="shared" si="3"/>
        <v>0</v>
      </c>
      <c r="N105" s="100">
        <v>22</v>
      </c>
      <c r="O105" s="224">
        <v>74857.98</v>
      </c>
      <c r="P105" s="224">
        <v>74857.98</v>
      </c>
      <c r="Q105" s="79">
        <f t="shared" si="4"/>
        <v>0</v>
      </c>
    </row>
    <row r="106" spans="1:17" s="13" customFormat="1" ht="15" customHeight="1" x14ac:dyDescent="0.25">
      <c r="A106" s="229"/>
      <c r="B106" s="30" t="s">
        <v>68</v>
      </c>
      <c r="C106" s="181" t="s">
        <v>17</v>
      </c>
      <c r="D106" s="182"/>
      <c r="E106" s="194" t="s">
        <v>32</v>
      </c>
      <c r="F106" s="73" t="s">
        <v>371</v>
      </c>
      <c r="G106" s="74" t="s">
        <v>112</v>
      </c>
      <c r="H106" s="75">
        <v>22</v>
      </c>
      <c r="I106" s="76">
        <v>21</v>
      </c>
      <c r="J106" s="96">
        <f>2+1+2+5+5+3+1+2+2+1+3</f>
        <v>27</v>
      </c>
      <c r="K106" s="77">
        <f>1128.59+422.62+1152.6+4557.81+10981.59+5362.88+4996.85+4352.15+3073.96+3697.9+1003.5+581.63</f>
        <v>41312.080000000002</v>
      </c>
      <c r="L106" s="77">
        <f>1128.59+422.62+1152.6+4557.81+10981.59+5362.88+4996.85+4352.15+3073.96+3697.9+1003.5+581.63</f>
        <v>41312.080000000002</v>
      </c>
      <c r="M106" s="78">
        <f t="shared" si="3"/>
        <v>0</v>
      </c>
      <c r="N106" s="100">
        <f>6+5+1+4+2+2+1+1+1</f>
        <v>23</v>
      </c>
      <c r="O106" s="81">
        <f>7813.73+8523.5+1452.28+12582.19+18077.76+4987.46+2373.79+1831.3</f>
        <v>57642.009999999995</v>
      </c>
      <c r="P106" s="81">
        <f>7813.73+8523.5+1452.28+12582.19+18077.76+4987.46+2373.79+1831.3</f>
        <v>57642.009999999995</v>
      </c>
      <c r="Q106" s="232">
        <f t="shared" si="4"/>
        <v>0</v>
      </c>
    </row>
    <row r="107" spans="1:17" s="13" customFormat="1" ht="15" hidden="1" customHeight="1" x14ac:dyDescent="0.25">
      <c r="A107" s="229"/>
      <c r="B107" s="30" t="s">
        <v>68</v>
      </c>
      <c r="C107" s="181" t="s">
        <v>17</v>
      </c>
      <c r="D107" s="182"/>
      <c r="E107" s="194" t="s">
        <v>32</v>
      </c>
      <c r="F107" s="73" t="s">
        <v>430</v>
      </c>
      <c r="G107" s="235" t="s">
        <v>117</v>
      </c>
      <c r="H107" s="181">
        <v>5</v>
      </c>
      <c r="I107" s="231">
        <v>2</v>
      </c>
      <c r="J107" s="96">
        <v>2</v>
      </c>
      <c r="K107" s="77">
        <v>3010.5</v>
      </c>
      <c r="L107" s="77">
        <v>3010.5</v>
      </c>
      <c r="M107" s="78">
        <f t="shared" si="3"/>
        <v>0</v>
      </c>
      <c r="N107" s="100"/>
      <c r="O107" s="77"/>
      <c r="P107" s="77"/>
      <c r="Q107" s="79">
        <f t="shared" si="4"/>
        <v>0</v>
      </c>
    </row>
    <row r="108" spans="1:17" s="15" customFormat="1" ht="15" customHeight="1" x14ac:dyDescent="0.25">
      <c r="A108" s="229"/>
      <c r="B108" s="27" t="s">
        <v>69</v>
      </c>
      <c r="C108" s="181" t="s">
        <v>17</v>
      </c>
      <c r="D108" s="182"/>
      <c r="E108" s="183" t="s">
        <v>20</v>
      </c>
      <c r="F108" s="73" t="s">
        <v>372</v>
      </c>
      <c r="G108" s="74" t="s">
        <v>112</v>
      </c>
      <c r="H108" s="75">
        <v>11</v>
      </c>
      <c r="I108" s="76">
        <v>5</v>
      </c>
      <c r="J108" s="96">
        <f>1+1+1+1+3+1+2</f>
        <v>10</v>
      </c>
      <c r="K108" s="77">
        <f>422.62+17390.69+3114.71+475.45+2326.92+1707.76</f>
        <v>25438.149999999998</v>
      </c>
      <c r="L108" s="77">
        <f>422.62+17390.69+3114.71+475.45+2326.92+1707.76</f>
        <v>25438.149999999998</v>
      </c>
      <c r="M108" s="78">
        <f t="shared" si="3"/>
        <v>0</v>
      </c>
      <c r="N108" s="100">
        <f>3+2+1+1+1+1</f>
        <v>9</v>
      </c>
      <c r="O108" s="77">
        <f>7210.31+3647.96+1306.28+1267.86+2697.06</f>
        <v>16129.470000000001</v>
      </c>
      <c r="P108" s="77">
        <f>7210.31+3647.96+1306.28+1267.86+2697.06</f>
        <v>16129.470000000001</v>
      </c>
      <c r="Q108" s="232">
        <f t="shared" si="4"/>
        <v>0</v>
      </c>
    </row>
    <row r="109" spans="1:17" s="15" customFormat="1" ht="15" customHeight="1" x14ac:dyDescent="0.25">
      <c r="A109" s="229"/>
      <c r="B109" s="236" t="s">
        <v>502</v>
      </c>
      <c r="C109" s="181" t="s">
        <v>17</v>
      </c>
      <c r="D109" s="182"/>
      <c r="E109" s="183" t="s">
        <v>20</v>
      </c>
      <c r="F109" s="73" t="s">
        <v>508</v>
      </c>
      <c r="G109" s="74" t="s">
        <v>112</v>
      </c>
      <c r="H109" s="75">
        <v>18</v>
      </c>
      <c r="I109" s="76">
        <v>12</v>
      </c>
      <c r="J109" s="96">
        <f>4+1+4+1+2+2</f>
        <v>14</v>
      </c>
      <c r="K109" s="77">
        <f>6145.3+993.47+5403.3+2759.63+2599.77</f>
        <v>17901.47</v>
      </c>
      <c r="L109" s="77">
        <f>6145.3+993.47+5403.3+2759.63+2599.77</f>
        <v>17901.47</v>
      </c>
      <c r="M109" s="78">
        <f t="shared" si="3"/>
        <v>0</v>
      </c>
      <c r="N109" s="100"/>
      <c r="O109" s="77"/>
      <c r="P109" s="77"/>
      <c r="Q109" s="232">
        <f t="shared" si="4"/>
        <v>0</v>
      </c>
    </row>
    <row r="110" spans="1:17" s="15" customFormat="1" ht="15" hidden="1" customHeight="1" x14ac:dyDescent="0.25">
      <c r="A110" s="229"/>
      <c r="B110" s="236" t="s">
        <v>502</v>
      </c>
      <c r="C110" s="181" t="s">
        <v>17</v>
      </c>
      <c r="D110" s="182"/>
      <c r="E110" s="183" t="s">
        <v>32</v>
      </c>
      <c r="F110" s="73" t="s">
        <v>511</v>
      </c>
      <c r="G110" s="235" t="s">
        <v>117</v>
      </c>
      <c r="H110" s="75">
        <v>7</v>
      </c>
      <c r="I110" s="76">
        <v>1</v>
      </c>
      <c r="J110" s="96">
        <v>1</v>
      </c>
      <c r="K110" s="77"/>
      <c r="L110" s="77"/>
      <c r="M110" s="78">
        <f t="shared" si="3"/>
        <v>0</v>
      </c>
      <c r="N110" s="100"/>
      <c r="O110" s="77"/>
      <c r="P110" s="77"/>
      <c r="Q110" s="232">
        <f t="shared" si="4"/>
        <v>0</v>
      </c>
    </row>
    <row r="111" spans="1:17" s="13" customFormat="1" ht="15" customHeight="1" x14ac:dyDescent="0.25">
      <c r="A111" s="229"/>
      <c r="B111" s="62" t="s">
        <v>70</v>
      </c>
      <c r="C111" s="181" t="s">
        <v>17</v>
      </c>
      <c r="D111" s="182"/>
      <c r="E111" s="183" t="s">
        <v>20</v>
      </c>
      <c r="F111" s="73" t="s">
        <v>373</v>
      </c>
      <c r="G111" s="74" t="s">
        <v>112</v>
      </c>
      <c r="H111" s="75">
        <v>19</v>
      </c>
      <c r="I111" s="76">
        <v>15</v>
      </c>
      <c r="J111" s="96">
        <f>2+2+2+3+1+2+1+1+3</f>
        <v>17</v>
      </c>
      <c r="K111" s="77">
        <f>19498+3011.17+8156.45+4593.85+883.08+4500.96</f>
        <v>40643.51</v>
      </c>
      <c r="L111" s="77">
        <f>19498+3011.17+8156.45+4593.85+883.08+4500.96</f>
        <v>40643.51</v>
      </c>
      <c r="M111" s="78">
        <f t="shared" si="3"/>
        <v>0</v>
      </c>
      <c r="N111" s="100">
        <f>2+3+4+2+1+1</f>
        <v>13</v>
      </c>
      <c r="O111" s="81">
        <f>7606.2+16795.84+3492.18</f>
        <v>27894.22</v>
      </c>
      <c r="P111" s="81">
        <f>7606.2+16795.84+3492.18</f>
        <v>27894.22</v>
      </c>
      <c r="Q111" s="79">
        <f t="shared" si="4"/>
        <v>0</v>
      </c>
    </row>
    <row r="112" spans="1:17" s="13" customFormat="1" ht="15" hidden="1" customHeight="1" x14ac:dyDescent="0.25">
      <c r="A112" s="229"/>
      <c r="B112" s="62" t="s">
        <v>70</v>
      </c>
      <c r="C112" s="181" t="s">
        <v>17</v>
      </c>
      <c r="D112" s="182"/>
      <c r="E112" s="183" t="s">
        <v>20</v>
      </c>
      <c r="F112" s="73" t="s">
        <v>460</v>
      </c>
      <c r="G112" s="230" t="s">
        <v>114</v>
      </c>
      <c r="H112" s="181">
        <v>42</v>
      </c>
      <c r="I112" s="231">
        <v>22</v>
      </c>
      <c r="J112" s="190">
        <v>22</v>
      </c>
      <c r="K112" s="77">
        <v>62930.74</v>
      </c>
      <c r="L112" s="77">
        <v>62930.74</v>
      </c>
      <c r="M112" s="78">
        <f t="shared" si="3"/>
        <v>0</v>
      </c>
      <c r="N112" s="100">
        <v>33</v>
      </c>
      <c r="O112" s="224">
        <v>79611.08</v>
      </c>
      <c r="P112" s="224">
        <v>79611.08</v>
      </c>
      <c r="Q112" s="232">
        <f t="shared" si="4"/>
        <v>0</v>
      </c>
    </row>
    <row r="113" spans="1:17" s="15" customFormat="1" x14ac:dyDescent="0.25">
      <c r="A113" s="229"/>
      <c r="B113" s="62" t="s">
        <v>71</v>
      </c>
      <c r="C113" s="181" t="s">
        <v>17</v>
      </c>
      <c r="D113" s="182"/>
      <c r="E113" s="183" t="s">
        <v>32</v>
      </c>
      <c r="F113" s="73" t="s">
        <v>374</v>
      </c>
      <c r="G113" s="74" t="s">
        <v>112</v>
      </c>
      <c r="H113" s="75">
        <v>27</v>
      </c>
      <c r="I113" s="76">
        <v>21</v>
      </c>
      <c r="J113" s="96">
        <f>3+1+2+1+1+3+3+1+3+4+1+2</f>
        <v>25</v>
      </c>
      <c r="K113" s="77">
        <f>1536.8+461.04+1748.88+633.93+3169.65+2435.83+13203.17+728.54+3984.13+1479.16</f>
        <v>29381.130000000005</v>
      </c>
      <c r="L113" s="77">
        <f>1536.8+461.04+1748.88+633.93+3169.65+2435.83+13203.17+728.54+3984.13+1479.16</f>
        <v>29381.130000000005</v>
      </c>
      <c r="M113" s="78">
        <f t="shared" si="3"/>
        <v>0</v>
      </c>
      <c r="N113" s="100">
        <f>3+2+1+1+2+1+1</f>
        <v>11</v>
      </c>
      <c r="O113" s="81">
        <f>9567.93+3616.67+403.41+14275.52+10922.18+12907.41+5701.38</f>
        <v>57394.499999999993</v>
      </c>
      <c r="P113" s="81">
        <f>9567.93+3616.67+403.41+14275.52+10922.18+12907.41+5701.38</f>
        <v>57394.499999999993</v>
      </c>
      <c r="Q113" s="79">
        <f t="shared" si="4"/>
        <v>0</v>
      </c>
    </row>
    <row r="114" spans="1:17" s="15" customFormat="1" ht="15" hidden="1" customHeight="1" x14ac:dyDescent="0.25">
      <c r="A114" s="229"/>
      <c r="B114" s="62" t="s">
        <v>71</v>
      </c>
      <c r="C114" s="181" t="s">
        <v>17</v>
      </c>
      <c r="D114" s="182"/>
      <c r="E114" s="183" t="s">
        <v>32</v>
      </c>
      <c r="F114" s="73" t="s">
        <v>431</v>
      </c>
      <c r="G114" s="230" t="s">
        <v>115</v>
      </c>
      <c r="H114" s="181">
        <v>9</v>
      </c>
      <c r="I114" s="231">
        <v>7</v>
      </c>
      <c r="J114" s="96">
        <v>7</v>
      </c>
      <c r="K114" s="237">
        <v>13651.95</v>
      </c>
      <c r="L114" s="237">
        <v>13651.95</v>
      </c>
      <c r="M114" s="78">
        <f t="shared" si="3"/>
        <v>0</v>
      </c>
      <c r="N114" s="114">
        <f>5</f>
        <v>5</v>
      </c>
      <c r="O114" s="77">
        <v>6595.5</v>
      </c>
      <c r="P114" s="77">
        <v>6595.5</v>
      </c>
      <c r="Q114" s="232">
        <f t="shared" si="4"/>
        <v>0</v>
      </c>
    </row>
    <row r="115" spans="1:17" s="13" customFormat="1" ht="15" customHeight="1" x14ac:dyDescent="0.25">
      <c r="A115" s="229"/>
      <c r="B115" s="62" t="s">
        <v>319</v>
      </c>
      <c r="C115" s="181" t="s">
        <v>17</v>
      </c>
      <c r="D115" s="182"/>
      <c r="E115" s="183" t="s">
        <v>20</v>
      </c>
      <c r="F115" s="73" t="s">
        <v>375</v>
      </c>
      <c r="G115" s="74" t="s">
        <v>112</v>
      </c>
      <c r="H115" s="75">
        <v>46</v>
      </c>
      <c r="I115" s="76">
        <v>36</v>
      </c>
      <c r="J115" s="96">
        <f>2+1+4+3+6+2+7+1+2+1+1+7+1+6</f>
        <v>44</v>
      </c>
      <c r="K115" s="77">
        <f>710.77+1523.35+6753.23+7215.52+1437.48+28056.52+6091.99+2561.63+3510.24+1726.58+441.54+15673.73+993.47+7206.74</f>
        <v>83902.79</v>
      </c>
      <c r="L115" s="77">
        <f>710.77+1523.35+6753.23+7215.52+1437.48+28056.52+6091.99+2561.63+3510.24+1726.58+441.54+15673.73+993.47+7206.74</f>
        <v>83902.79</v>
      </c>
      <c r="M115" s="78">
        <f t="shared" si="3"/>
        <v>0</v>
      </c>
      <c r="N115" s="100">
        <f>3+1+2+1+2+1</f>
        <v>10</v>
      </c>
      <c r="O115" s="77">
        <f>13419.94+726.71+2846.77+3770.56+4653.31+2237.23</f>
        <v>27654.520000000004</v>
      </c>
      <c r="P115" s="77">
        <f>13419.94+726.71+2846.77+3770.56+4653.31+2237.23</f>
        <v>27654.520000000004</v>
      </c>
      <c r="Q115" s="79">
        <f>O115-P115</f>
        <v>0</v>
      </c>
    </row>
    <row r="116" spans="1:17" s="15" customFormat="1" ht="15" customHeight="1" x14ac:dyDescent="0.25">
      <c r="A116" s="229"/>
      <c r="B116" s="62" t="s">
        <v>150</v>
      </c>
      <c r="C116" s="181" t="s">
        <v>17</v>
      </c>
      <c r="D116" s="182"/>
      <c r="E116" s="183" t="s">
        <v>35</v>
      </c>
      <c r="F116" s="73" t="s">
        <v>376</v>
      </c>
      <c r="G116" s="74" t="s">
        <v>112</v>
      </c>
      <c r="H116" s="75">
        <v>38</v>
      </c>
      <c r="I116" s="76">
        <v>23</v>
      </c>
      <c r="J116" s="96">
        <f>1+1+2+2+1+3+1+4+4+1+3+1+1</f>
        <v>25</v>
      </c>
      <c r="K116" s="77">
        <f>1343.65+384.2+1690.4+4889.84+2417.43+2791.74+5298.48+5960.79+1192.16+3814.3</f>
        <v>29782.989999999998</v>
      </c>
      <c r="L116" s="77">
        <f>1343.65+384.2+1690.4+4889.84+2417.43+2791.74+5298.48+5960.79+1192.16+3814.3</f>
        <v>29782.989999999998</v>
      </c>
      <c r="M116" s="78">
        <f t="shared" si="3"/>
        <v>0</v>
      </c>
      <c r="N116" s="114">
        <f>8+1+1+2+3+1+1+1+1</f>
        <v>19</v>
      </c>
      <c r="O116" s="77">
        <f>5997.32+3719.39+3054.34+13138.17+6578.46+6198.68+2649.24</f>
        <v>41335.599999999999</v>
      </c>
      <c r="P116" s="77">
        <f>5997.32+3719.39+3054.34+13138.17+6578.46+6198.68+2649.24</f>
        <v>41335.599999999999</v>
      </c>
      <c r="Q116" s="79">
        <f t="shared" si="4"/>
        <v>0</v>
      </c>
    </row>
    <row r="117" spans="1:17" s="15" customFormat="1" ht="15" hidden="1" customHeight="1" x14ac:dyDescent="0.25">
      <c r="A117" s="229"/>
      <c r="B117" s="233" t="s">
        <v>150</v>
      </c>
      <c r="C117" s="181" t="s">
        <v>17</v>
      </c>
      <c r="D117" s="182"/>
      <c r="E117" s="183" t="s">
        <v>32</v>
      </c>
      <c r="F117" s="73" t="s">
        <v>487</v>
      </c>
      <c r="G117" s="230" t="s">
        <v>117</v>
      </c>
      <c r="H117" s="181">
        <v>6</v>
      </c>
      <c r="I117" s="231">
        <v>4</v>
      </c>
      <c r="J117" s="96">
        <v>6</v>
      </c>
      <c r="K117" s="77">
        <v>21694.2</v>
      </c>
      <c r="L117" s="77">
        <v>21694.2</v>
      </c>
      <c r="M117" s="78">
        <f t="shared" si="3"/>
        <v>0</v>
      </c>
      <c r="N117" s="100">
        <v>3</v>
      </c>
      <c r="O117" s="77">
        <v>9645.1</v>
      </c>
      <c r="P117" s="77">
        <v>9645.1</v>
      </c>
      <c r="Q117" s="232">
        <f t="shared" si="4"/>
        <v>0</v>
      </c>
    </row>
    <row r="118" spans="1:17" s="13" customFormat="1" ht="15" customHeight="1" x14ac:dyDescent="0.25">
      <c r="A118" s="229"/>
      <c r="B118" s="30" t="s">
        <v>72</v>
      </c>
      <c r="C118" s="181" t="s">
        <v>17</v>
      </c>
      <c r="D118" s="182"/>
      <c r="E118" s="183" t="s">
        <v>21</v>
      </c>
      <c r="F118" s="73" t="s">
        <v>377</v>
      </c>
      <c r="G118" s="74" t="s">
        <v>112</v>
      </c>
      <c r="H118" s="75">
        <v>28</v>
      </c>
      <c r="I118" s="76">
        <v>19</v>
      </c>
      <c r="J118" s="96">
        <f>1+1+1+1+6+2+1+2+3+1+1+4+1</f>
        <v>25</v>
      </c>
      <c r="K118" s="77">
        <f>633.93+1415.78+1610.18+1394.65+18140.86+2440.63+4140.81+3166.55+2165.55+10853.72</f>
        <v>45962.660000000011</v>
      </c>
      <c r="L118" s="77">
        <f>633.93+1415.78+1610.18+1394.65+18140.86+2440.63+4140.81+3166.55+2165.55+10853.72</f>
        <v>45962.660000000011</v>
      </c>
      <c r="M118" s="78">
        <f t="shared" si="3"/>
        <v>0</v>
      </c>
      <c r="N118" s="100">
        <f>1+3+1+1+1+3+1+3+1+1+2+1+1+1</f>
        <v>21</v>
      </c>
      <c r="O118" s="81">
        <f>1950.74+10237.13+6595.95+3861.21+1348.53+10328.94+50451.86-19567+15859.78+3744.76+5149.77</f>
        <v>89961.67</v>
      </c>
      <c r="P118" s="81">
        <f>1950.74+10237.13+6595.95+3861.21+1348.53+10328.94+50451.86-19567+15859.78+3744.76+5149.77</f>
        <v>89961.67</v>
      </c>
      <c r="Q118" s="79">
        <f t="shared" si="4"/>
        <v>0</v>
      </c>
    </row>
    <row r="119" spans="1:17" s="13" customFormat="1" ht="15" hidden="1" customHeight="1" x14ac:dyDescent="0.25">
      <c r="A119" s="229"/>
      <c r="B119" s="30" t="s">
        <v>72</v>
      </c>
      <c r="C119" s="181" t="s">
        <v>17</v>
      </c>
      <c r="D119" s="182"/>
      <c r="E119" s="183" t="s">
        <v>21</v>
      </c>
      <c r="F119" s="73" t="s">
        <v>441</v>
      </c>
      <c r="G119" s="230" t="s">
        <v>118</v>
      </c>
      <c r="H119" s="181">
        <v>11</v>
      </c>
      <c r="I119" s="231">
        <v>3</v>
      </c>
      <c r="J119" s="96">
        <v>3</v>
      </c>
      <c r="K119" s="77">
        <v>1728.9</v>
      </c>
      <c r="L119" s="77">
        <v>1728.9</v>
      </c>
      <c r="M119" s="78">
        <f t="shared" si="3"/>
        <v>0</v>
      </c>
      <c r="N119" s="100">
        <v>21</v>
      </c>
      <c r="O119" s="224">
        <v>63010.7</v>
      </c>
      <c r="P119" s="224">
        <v>63010.7</v>
      </c>
      <c r="Q119" s="232">
        <f t="shared" si="4"/>
        <v>0</v>
      </c>
    </row>
    <row r="120" spans="1:17" s="15" customFormat="1" ht="15" customHeight="1" x14ac:dyDescent="0.25">
      <c r="A120" s="229"/>
      <c r="B120" s="30" t="s">
        <v>73</v>
      </c>
      <c r="C120" s="181" t="s">
        <v>17</v>
      </c>
      <c r="D120" s="182"/>
      <c r="E120" s="183" t="s">
        <v>74</v>
      </c>
      <c r="F120" s="73" t="s">
        <v>378</v>
      </c>
      <c r="G120" s="74" t="s">
        <v>112</v>
      </c>
      <c r="H120" s="75">
        <v>38</v>
      </c>
      <c r="I120" s="76">
        <v>34</v>
      </c>
      <c r="J120" s="96">
        <f>9+8+2+2+10+1+6+5+9</f>
        <v>52</v>
      </c>
      <c r="K120" s="77">
        <f>6305.33+12574.83+14899.84+13657.06+15923.24+7697.06+2858.97+10093.97</f>
        <v>84010.3</v>
      </c>
      <c r="L120" s="77">
        <f>6305.33+12574.83+14899.84+13657.06+15923.24+7697.06+2858.97+10093.97</f>
        <v>84010.3</v>
      </c>
      <c r="M120" s="78">
        <f t="shared" si="3"/>
        <v>0</v>
      </c>
      <c r="N120" s="100">
        <f>5+3+3+1+1+2+2</f>
        <v>17</v>
      </c>
      <c r="O120" s="81">
        <f>5416.39+9506.99+12269.39+7610.68+1915.68+16508.04+12449.36</f>
        <v>65676.53</v>
      </c>
      <c r="P120" s="81">
        <f>5416.39+9506.99+12269.39+7610.68+1915.68+16508.04+12449.36</f>
        <v>65676.53</v>
      </c>
      <c r="Q120" s="79">
        <f t="shared" si="4"/>
        <v>0</v>
      </c>
    </row>
    <row r="121" spans="1:17" s="15" customFormat="1" ht="15" hidden="1" customHeight="1" x14ac:dyDescent="0.25">
      <c r="A121" s="229"/>
      <c r="B121" s="30" t="s">
        <v>73</v>
      </c>
      <c r="C121" s="181" t="s">
        <v>17</v>
      </c>
      <c r="D121" s="182"/>
      <c r="E121" s="183" t="s">
        <v>74</v>
      </c>
      <c r="F121" s="73" t="s">
        <v>282</v>
      </c>
      <c r="G121" s="230" t="s">
        <v>114</v>
      </c>
      <c r="H121" s="181"/>
      <c r="I121" s="231"/>
      <c r="J121" s="190"/>
      <c r="K121" s="77"/>
      <c r="L121" s="77"/>
      <c r="M121" s="78">
        <f t="shared" si="3"/>
        <v>0</v>
      </c>
      <c r="N121" s="100">
        <v>1</v>
      </c>
      <c r="O121" s="224">
        <v>1728.9</v>
      </c>
      <c r="P121" s="224">
        <v>1728.9</v>
      </c>
      <c r="Q121" s="232">
        <f t="shared" si="4"/>
        <v>0</v>
      </c>
    </row>
    <row r="122" spans="1:17" s="13" customFormat="1" ht="15" customHeight="1" x14ac:dyDescent="0.25">
      <c r="A122" s="229"/>
      <c r="B122" s="30" t="s">
        <v>135</v>
      </c>
      <c r="C122" s="181" t="s">
        <v>17</v>
      </c>
      <c r="D122" s="182"/>
      <c r="E122" s="194" t="s">
        <v>35</v>
      </c>
      <c r="F122" s="73" t="s">
        <v>379</v>
      </c>
      <c r="G122" s="74" t="s">
        <v>112</v>
      </c>
      <c r="H122" s="75">
        <v>40</v>
      </c>
      <c r="I122" s="76">
        <v>37</v>
      </c>
      <c r="J122" s="96">
        <f>1+6+5+3+3+5+1+5+4+4+1</f>
        <v>38</v>
      </c>
      <c r="K122" s="77">
        <f>697.32+4374.12+5747.44+4426.94+15712.05+4176.57+2649.24+4106.34+2207.7</f>
        <v>44097.72</v>
      </c>
      <c r="L122" s="77">
        <f>697.32+4374.12+5747.44+4426.94+15712.05+4176.57+2649.24+4106.34+2207.7</f>
        <v>44097.72</v>
      </c>
      <c r="M122" s="78">
        <f t="shared" si="3"/>
        <v>0</v>
      </c>
      <c r="N122" s="100">
        <f>2+5+1+2+2+2</f>
        <v>14</v>
      </c>
      <c r="O122" s="81">
        <f>6432.89+2283.68+4932.13+377</f>
        <v>14025.7</v>
      </c>
      <c r="P122" s="81">
        <f>6432.89+2283.68+4932.13+377</f>
        <v>14025.7</v>
      </c>
      <c r="Q122" s="232">
        <f t="shared" si="4"/>
        <v>0</v>
      </c>
    </row>
    <row r="123" spans="1:17" s="13" customFormat="1" ht="15" hidden="1" customHeight="1" x14ac:dyDescent="0.25">
      <c r="A123" s="229"/>
      <c r="B123" s="30" t="s">
        <v>135</v>
      </c>
      <c r="C123" s="181" t="s">
        <v>17</v>
      </c>
      <c r="D123" s="182"/>
      <c r="E123" s="194" t="s">
        <v>35</v>
      </c>
      <c r="F123" s="73" t="s">
        <v>432</v>
      </c>
      <c r="G123" s="230" t="s">
        <v>115</v>
      </c>
      <c r="H123" s="181">
        <v>2</v>
      </c>
      <c r="I123" s="231"/>
      <c r="J123" s="96"/>
      <c r="K123" s="77"/>
      <c r="L123" s="77"/>
      <c r="M123" s="78">
        <f t="shared" si="3"/>
        <v>0</v>
      </c>
      <c r="N123" s="100">
        <v>1</v>
      </c>
      <c r="O123" s="224">
        <v>2689.4</v>
      </c>
      <c r="P123" s="224">
        <v>2689.4</v>
      </c>
      <c r="Q123" s="79">
        <f t="shared" si="4"/>
        <v>0</v>
      </c>
    </row>
    <row r="124" spans="1:17" s="13" customFormat="1" x14ac:dyDescent="0.25">
      <c r="A124" s="229"/>
      <c r="B124" s="30" t="s">
        <v>145</v>
      </c>
      <c r="C124" s="181" t="s">
        <v>17</v>
      </c>
      <c r="D124" s="182"/>
      <c r="E124" s="194" t="s">
        <v>20</v>
      </c>
      <c r="F124" s="73" t="s">
        <v>380</v>
      </c>
      <c r="G124" s="74" t="s">
        <v>112</v>
      </c>
      <c r="H124" s="75">
        <v>17</v>
      </c>
      <c r="I124" s="82">
        <v>15</v>
      </c>
      <c r="J124" s="96">
        <f>2+1+1+2+2+5+3+2+3+1+1+2</f>
        <v>25</v>
      </c>
      <c r="K124" s="77">
        <f>5169.72+1100+538.84+4293.82+3949.22+3361.76+5643.1+4037.33+4704.3+6285.32+5025.28</f>
        <v>44108.69</v>
      </c>
      <c r="L124" s="77">
        <f>5169.72+1100+538.84+4293.82+3949.22+3361.76+5643.1+4037.33+4704.3+6285.32+5025.28</f>
        <v>44108.69</v>
      </c>
      <c r="M124" s="78">
        <f t="shared" si="3"/>
        <v>0</v>
      </c>
      <c r="N124" s="100">
        <f>1+1+2+1+2+1</f>
        <v>8</v>
      </c>
      <c r="O124" s="81">
        <f>5120.23+3915.15+1114.12+14002.49+7111.04</f>
        <v>31263.03</v>
      </c>
      <c r="P124" s="81">
        <f>5120.23+3915.15+1114.12+14002.49+7111.04</f>
        <v>31263.03</v>
      </c>
      <c r="Q124" s="232">
        <f t="shared" si="4"/>
        <v>0</v>
      </c>
    </row>
    <row r="125" spans="1:17" s="13" customFormat="1" ht="15" hidden="1" customHeight="1" x14ac:dyDescent="0.25">
      <c r="A125" s="229"/>
      <c r="B125" s="30" t="s">
        <v>145</v>
      </c>
      <c r="C125" s="181" t="s">
        <v>17</v>
      </c>
      <c r="D125" s="182"/>
      <c r="E125" s="194" t="s">
        <v>20</v>
      </c>
      <c r="F125" s="73" t="s">
        <v>461</v>
      </c>
      <c r="G125" s="230" t="s">
        <v>114</v>
      </c>
      <c r="H125" s="181">
        <v>7</v>
      </c>
      <c r="I125" s="231">
        <v>5</v>
      </c>
      <c r="J125" s="190">
        <v>5</v>
      </c>
      <c r="K125" s="77">
        <v>6135.7</v>
      </c>
      <c r="L125" s="77">
        <v>6135.7</v>
      </c>
      <c r="M125" s="78">
        <f t="shared" si="3"/>
        <v>0</v>
      </c>
      <c r="N125" s="100">
        <v>11</v>
      </c>
      <c r="O125" s="224">
        <v>24338.15</v>
      </c>
      <c r="P125" s="224">
        <v>24338.15</v>
      </c>
      <c r="Q125" s="232">
        <f t="shared" si="4"/>
        <v>0</v>
      </c>
    </row>
    <row r="126" spans="1:17" s="13" customFormat="1" ht="15" customHeight="1" x14ac:dyDescent="0.25">
      <c r="A126" s="229"/>
      <c r="B126" s="62" t="s">
        <v>76</v>
      </c>
      <c r="C126" s="181" t="s">
        <v>17</v>
      </c>
      <c r="D126" s="182"/>
      <c r="E126" s="183" t="s">
        <v>20</v>
      </c>
      <c r="F126" s="73" t="s">
        <v>381</v>
      </c>
      <c r="G126" s="74" t="s">
        <v>112</v>
      </c>
      <c r="H126" s="75">
        <v>31</v>
      </c>
      <c r="I126" s="76">
        <v>22</v>
      </c>
      <c r="J126" s="96">
        <f>1+6+3+1+3+1+2+2+2+1+1+6+1</f>
        <v>30</v>
      </c>
      <c r="K126" s="77">
        <f>6556.06+2806.39+2697.06+1267.86+11775.51+1557.35+2113.1+4117.36+1673.84+1724.01+1457.08+3514.26+14440.84</f>
        <v>55700.72</v>
      </c>
      <c r="L126" s="77">
        <f>6556.06+2806.39+2697.06+1267.86+11775.51+1557.35+2113.1+4117.36+1673.84+1724.01+1457.08+3514.26+14440.84</f>
        <v>55700.72</v>
      </c>
      <c r="M126" s="78">
        <f t="shared" si="3"/>
        <v>0</v>
      </c>
      <c r="N126" s="100">
        <f>5+6+2+1+1+1+1+2+2+1+1</f>
        <v>23</v>
      </c>
      <c r="O126" s="81">
        <f>11527.9+19846.52+1011.91+9641+2451.87+10072.83+11307.66+2243.83+6181.56+5655.45+1404.9</f>
        <v>81345.429999999993</v>
      </c>
      <c r="P126" s="81">
        <f>11527.9+19846.52+1011.91+9641+2451.87+10072.83+11307.66+2243.83+6181.56+5655.45+1404.9</f>
        <v>81345.429999999993</v>
      </c>
      <c r="Q126" s="232">
        <f t="shared" si="4"/>
        <v>0</v>
      </c>
    </row>
    <row r="127" spans="1:17" s="13" customFormat="1" ht="15" hidden="1" customHeight="1" x14ac:dyDescent="0.25">
      <c r="A127" s="229"/>
      <c r="B127" s="62" t="s">
        <v>76</v>
      </c>
      <c r="C127" s="181" t="s">
        <v>17</v>
      </c>
      <c r="D127" s="182"/>
      <c r="E127" s="183" t="s">
        <v>20</v>
      </c>
      <c r="F127" s="73" t="s">
        <v>462</v>
      </c>
      <c r="G127" s="230" t="s">
        <v>114</v>
      </c>
      <c r="H127" s="181">
        <v>15</v>
      </c>
      <c r="I127" s="231">
        <v>6</v>
      </c>
      <c r="J127" s="190">
        <v>6</v>
      </c>
      <c r="K127" s="77">
        <v>11144.6</v>
      </c>
      <c r="L127" s="77">
        <v>11144.6</v>
      </c>
      <c r="M127" s="78">
        <f t="shared" si="3"/>
        <v>0</v>
      </c>
      <c r="N127" s="100">
        <v>9</v>
      </c>
      <c r="O127" s="224">
        <v>30007.39</v>
      </c>
      <c r="P127" s="224">
        <v>30007.39</v>
      </c>
      <c r="Q127" s="232">
        <f t="shared" si="4"/>
        <v>0</v>
      </c>
    </row>
    <row r="128" spans="1:17" s="13" customFormat="1" ht="15" customHeight="1" x14ac:dyDescent="0.25">
      <c r="A128" s="229"/>
      <c r="B128" s="30" t="s">
        <v>77</v>
      </c>
      <c r="C128" s="181" t="s">
        <v>17</v>
      </c>
      <c r="D128" s="182"/>
      <c r="E128" s="183" t="s">
        <v>32</v>
      </c>
      <c r="F128" s="73" t="s">
        <v>388</v>
      </c>
      <c r="G128" s="74" t="s">
        <v>112</v>
      </c>
      <c r="H128" s="75">
        <v>24</v>
      </c>
      <c r="I128" s="76">
        <v>17</v>
      </c>
      <c r="J128" s="96">
        <f>2+2+2+6+1+1+1+7+3+1</f>
        <v>26</v>
      </c>
      <c r="K128" s="77">
        <f>2440.63+1507.02+2101.48+13625.7+1324.62+2083.47+13864.31</f>
        <v>36947.230000000003</v>
      </c>
      <c r="L128" s="77">
        <f>2440.63+1507.02+2101.48+13625.7+1324.62+2083.47+13864.31</f>
        <v>36947.230000000003</v>
      </c>
      <c r="M128" s="78">
        <f t="shared" si="3"/>
        <v>0</v>
      </c>
      <c r="N128" s="100">
        <f>5+2+3+3+1+1</f>
        <v>15</v>
      </c>
      <c r="O128" s="81">
        <f>11716.73+6848.82+4046.18+11166.34+8845.95</f>
        <v>42624.020000000004</v>
      </c>
      <c r="P128" s="81">
        <f>11716.73+6848.82+4046.18+11166.34+8845.95</f>
        <v>42624.020000000004</v>
      </c>
      <c r="Q128" s="232">
        <f t="shared" si="4"/>
        <v>0</v>
      </c>
    </row>
    <row r="129" spans="1:17" s="13" customFormat="1" ht="15" hidden="1" customHeight="1" x14ac:dyDescent="0.25">
      <c r="A129" s="229"/>
      <c r="B129" s="30" t="s">
        <v>77</v>
      </c>
      <c r="C129" s="181" t="s">
        <v>17</v>
      </c>
      <c r="D129" s="182"/>
      <c r="E129" s="183" t="s">
        <v>32</v>
      </c>
      <c r="F129" s="73" t="s">
        <v>433</v>
      </c>
      <c r="G129" s="230" t="s">
        <v>117</v>
      </c>
      <c r="H129" s="181">
        <v>5</v>
      </c>
      <c r="I129" s="231">
        <v>2</v>
      </c>
      <c r="J129" s="96">
        <v>2</v>
      </c>
      <c r="K129" s="77">
        <v>4530.1000000000004</v>
      </c>
      <c r="L129" s="77">
        <v>4530.1000000000004</v>
      </c>
      <c r="M129" s="78">
        <f t="shared" si="3"/>
        <v>0</v>
      </c>
      <c r="N129" s="100">
        <v>7</v>
      </c>
      <c r="O129" s="224">
        <v>18164.11</v>
      </c>
      <c r="P129" s="224">
        <v>18164.11</v>
      </c>
      <c r="Q129" s="79">
        <f t="shared" si="4"/>
        <v>0</v>
      </c>
    </row>
    <row r="130" spans="1:17" s="13" customFormat="1" ht="15" customHeight="1" x14ac:dyDescent="0.25">
      <c r="A130" s="229"/>
      <c r="B130" s="30" t="s">
        <v>321</v>
      </c>
      <c r="C130" s="181" t="s">
        <v>17</v>
      </c>
      <c r="D130" s="182"/>
      <c r="E130" s="183" t="s">
        <v>21</v>
      </c>
      <c r="F130" s="73" t="s">
        <v>489</v>
      </c>
      <c r="G130" s="230" t="s">
        <v>112</v>
      </c>
      <c r="H130" s="181">
        <v>6</v>
      </c>
      <c r="I130" s="231">
        <v>2</v>
      </c>
      <c r="J130" s="96">
        <f>1+1</f>
        <v>2</v>
      </c>
      <c r="K130" s="77">
        <f>2547.89+1766.16</f>
        <v>4314.05</v>
      </c>
      <c r="L130" s="77">
        <f>2547.89+1766.16</f>
        <v>4314.05</v>
      </c>
      <c r="M130" s="78">
        <f t="shared" si="3"/>
        <v>0</v>
      </c>
      <c r="N130" s="100"/>
      <c r="O130" s="224"/>
      <c r="P130" s="224"/>
      <c r="Q130" s="79">
        <f t="shared" si="4"/>
        <v>0</v>
      </c>
    </row>
    <row r="131" spans="1:17" s="13" customFormat="1" ht="30" customHeight="1" x14ac:dyDescent="0.25">
      <c r="A131" s="229"/>
      <c r="B131" s="62" t="s">
        <v>79</v>
      </c>
      <c r="C131" s="181" t="s">
        <v>304</v>
      </c>
      <c r="D131" s="182" t="s">
        <v>385</v>
      </c>
      <c r="E131" s="183" t="s">
        <v>18</v>
      </c>
      <c r="F131" s="73" t="s">
        <v>389</v>
      </c>
      <c r="G131" s="74" t="s">
        <v>112</v>
      </c>
      <c r="H131" s="75">
        <v>24</v>
      </c>
      <c r="I131" s="76">
        <v>18</v>
      </c>
      <c r="J131" s="98">
        <f>2+5+2+3+2+2+5+2+2</f>
        <v>25</v>
      </c>
      <c r="K131" s="77">
        <f>2091.97+3190.2+5703.08+6368.88+4029.68+4560.06+5101.32</f>
        <v>31045.190000000002</v>
      </c>
      <c r="L131" s="77">
        <f>2091.97+3190.2+5703.08+6368.88+4029.68+4560.06+5101.32</f>
        <v>31045.190000000002</v>
      </c>
      <c r="M131" s="78">
        <f t="shared" si="3"/>
        <v>0</v>
      </c>
      <c r="N131" s="100">
        <f>2+2+1+2+1+1+3+1+2</f>
        <v>15</v>
      </c>
      <c r="O131" s="81">
        <f>1547.4+4166.12+7835.61+1675.01+4717.63+6039.62+18829.39+23135.63+18613.81</f>
        <v>86560.22</v>
      </c>
      <c r="P131" s="81">
        <f>1547.4+4166.12+7835.61+1675.01+4717.63+6039.62+18829.39+23135.63+18613.81</f>
        <v>86560.22</v>
      </c>
      <c r="Q131" s="232">
        <f t="shared" si="4"/>
        <v>0</v>
      </c>
    </row>
    <row r="132" spans="1:17" s="13" customFormat="1" ht="30" hidden="1" customHeight="1" x14ac:dyDescent="0.25">
      <c r="A132" s="229"/>
      <c r="B132" s="62" t="s">
        <v>79</v>
      </c>
      <c r="C132" s="181" t="s">
        <v>304</v>
      </c>
      <c r="D132" s="182" t="s">
        <v>475</v>
      </c>
      <c r="E132" s="183" t="s">
        <v>18</v>
      </c>
      <c r="F132" s="73" t="s">
        <v>329</v>
      </c>
      <c r="G132" s="271" t="s">
        <v>116</v>
      </c>
      <c r="H132" s="181">
        <v>47</v>
      </c>
      <c r="I132" s="234">
        <v>36</v>
      </c>
      <c r="J132" s="98">
        <v>42</v>
      </c>
      <c r="K132" s="224">
        <v>82168</v>
      </c>
      <c r="L132" s="224">
        <v>82168</v>
      </c>
      <c r="M132" s="78">
        <f t="shared" si="3"/>
        <v>0</v>
      </c>
      <c r="N132" s="100">
        <v>18</v>
      </c>
      <c r="O132" s="224">
        <v>56311</v>
      </c>
      <c r="P132" s="224">
        <v>56311</v>
      </c>
      <c r="Q132" s="79">
        <f t="shared" si="4"/>
        <v>0</v>
      </c>
    </row>
    <row r="133" spans="1:17" s="13" customFormat="1" ht="15" customHeight="1" x14ac:dyDescent="0.25">
      <c r="A133" s="229"/>
      <c r="B133" s="62" t="s">
        <v>151</v>
      </c>
      <c r="C133" s="181" t="s">
        <v>17</v>
      </c>
      <c r="D133" s="182"/>
      <c r="E133" s="183" t="s">
        <v>32</v>
      </c>
      <c r="F133" s="73" t="s">
        <v>390</v>
      </c>
      <c r="G133" s="74" t="s">
        <v>112</v>
      </c>
      <c r="H133" s="75">
        <v>73</v>
      </c>
      <c r="I133" s="82">
        <v>63</v>
      </c>
      <c r="J133" s="96">
        <f>1+3+3+5+3+9+4+6+3+2+6+5+3+8+4+5+2+7+6</f>
        <v>85</v>
      </c>
      <c r="K133" s="81">
        <f>2317+4640.19+5864.19+10765+12519.53+4514.35+14486.46+3421.94+27163.56+5180.87+3460.57+13888.56+16894.73</f>
        <v>125116.95</v>
      </c>
      <c r="L133" s="81">
        <f>2317+4640.19+5864.19+10765+12519.53+4514.35+14486.46+3421.94+27163.56+5180.87+3460.57+13888.56+16894.73</f>
        <v>125116.95</v>
      </c>
      <c r="M133" s="78">
        <f t="shared" si="3"/>
        <v>0</v>
      </c>
      <c r="N133" s="100">
        <f>9+3+5+1+4+4+1+2+1</f>
        <v>30</v>
      </c>
      <c r="O133" s="81">
        <f>10726.94+18822.65+5703.53+12846.53+1320.36+4050.1+22728.38+3733.09</f>
        <v>79931.58</v>
      </c>
      <c r="P133" s="81">
        <f>10726.94+18822.65+5703.53+12846.53+1320.36+4050.1+22728.38+3733.09</f>
        <v>79931.58</v>
      </c>
      <c r="Q133" s="232">
        <f t="shared" si="4"/>
        <v>0</v>
      </c>
    </row>
    <row r="134" spans="1:17" s="13" customFormat="1" ht="15" hidden="1" customHeight="1" x14ac:dyDescent="0.25">
      <c r="A134" s="229"/>
      <c r="B134" s="62" t="s">
        <v>151</v>
      </c>
      <c r="C134" s="181" t="s">
        <v>17</v>
      </c>
      <c r="D134" s="182"/>
      <c r="E134" s="183" t="s">
        <v>32</v>
      </c>
      <c r="F134" s="73" t="s">
        <v>434</v>
      </c>
      <c r="G134" s="230" t="s">
        <v>117</v>
      </c>
      <c r="H134" s="181">
        <v>15</v>
      </c>
      <c r="I134" s="231">
        <v>5</v>
      </c>
      <c r="J134" s="96">
        <v>5</v>
      </c>
      <c r="K134" s="77">
        <v>5920.65</v>
      </c>
      <c r="L134" s="77">
        <v>5920.65</v>
      </c>
      <c r="M134" s="78">
        <f t="shared" si="3"/>
        <v>0</v>
      </c>
      <c r="N134" s="100">
        <v>13</v>
      </c>
      <c r="O134" s="224">
        <v>24537.7</v>
      </c>
      <c r="P134" s="224">
        <v>24537.7</v>
      </c>
      <c r="Q134" s="79">
        <f t="shared" si="4"/>
        <v>0</v>
      </c>
    </row>
    <row r="135" spans="1:17" s="13" customFormat="1" ht="15" customHeight="1" x14ac:dyDescent="0.25">
      <c r="A135" s="229"/>
      <c r="B135" s="62" t="s">
        <v>80</v>
      </c>
      <c r="C135" s="181" t="s">
        <v>17</v>
      </c>
      <c r="D135" s="182"/>
      <c r="E135" s="183" t="s">
        <v>81</v>
      </c>
      <c r="F135" s="73" t="s">
        <v>417</v>
      </c>
      <c r="G135" s="74" t="s">
        <v>112</v>
      </c>
      <c r="H135" s="75"/>
      <c r="I135" s="76"/>
      <c r="J135" s="96"/>
      <c r="K135" s="77">
        <f>749.19+8649.27</f>
        <v>9398.4600000000009</v>
      </c>
      <c r="L135" s="77">
        <f>749.19+8649.27</f>
        <v>9398.4600000000009</v>
      </c>
      <c r="M135" s="78">
        <f t="shared" si="3"/>
        <v>0</v>
      </c>
      <c r="N135" s="100">
        <f>2+2+1</f>
        <v>5</v>
      </c>
      <c r="O135" s="81">
        <f>3040.94+9398.46</f>
        <v>12439.4</v>
      </c>
      <c r="P135" s="81">
        <f>3040.94+9398.46</f>
        <v>12439.4</v>
      </c>
      <c r="Q135" s="232">
        <f t="shared" si="4"/>
        <v>0</v>
      </c>
    </row>
    <row r="136" spans="1:17" s="13" customFormat="1" ht="15" hidden="1" customHeight="1" x14ac:dyDescent="0.25">
      <c r="A136" s="229"/>
      <c r="B136" s="62" t="s">
        <v>80</v>
      </c>
      <c r="C136" s="181" t="s">
        <v>17</v>
      </c>
      <c r="D136" s="182"/>
      <c r="E136" s="183" t="s">
        <v>81</v>
      </c>
      <c r="F136" s="73" t="s">
        <v>285</v>
      </c>
      <c r="G136" s="230" t="s">
        <v>114</v>
      </c>
      <c r="H136" s="181"/>
      <c r="I136" s="231"/>
      <c r="J136" s="190"/>
      <c r="K136" s="77"/>
      <c r="L136" s="77"/>
      <c r="M136" s="78">
        <f t="shared" si="3"/>
        <v>0</v>
      </c>
      <c r="N136" s="100">
        <v>27</v>
      </c>
      <c r="O136" s="224">
        <v>62268.31</v>
      </c>
      <c r="P136" s="224">
        <v>62268.31</v>
      </c>
      <c r="Q136" s="232">
        <f t="shared" si="4"/>
        <v>0</v>
      </c>
    </row>
    <row r="137" spans="1:17" s="13" customFormat="1" ht="15" customHeight="1" x14ac:dyDescent="0.25">
      <c r="A137" s="229"/>
      <c r="B137" s="30" t="s">
        <v>82</v>
      </c>
      <c r="C137" s="181" t="s">
        <v>17</v>
      </c>
      <c r="D137" s="182"/>
      <c r="E137" s="183" t="s">
        <v>20</v>
      </c>
      <c r="F137" s="73" t="s">
        <v>394</v>
      </c>
      <c r="G137" s="74" t="s">
        <v>112</v>
      </c>
      <c r="H137" s="75">
        <v>19</v>
      </c>
      <c r="I137" s="76">
        <v>16</v>
      </c>
      <c r="J137" s="96">
        <f>4+3+2+2+1+1+1+1+1+2</f>
        <v>18</v>
      </c>
      <c r="K137" s="77">
        <f>20254+3953.39+602.1+1457.08</f>
        <v>26266.57</v>
      </c>
      <c r="L137" s="77">
        <f>20254+3953.39+602.1+1457.08</f>
        <v>26266.57</v>
      </c>
      <c r="M137" s="78">
        <f t="shared" si="3"/>
        <v>0</v>
      </c>
      <c r="N137" s="100">
        <f>3+5+1+1+1</f>
        <v>11</v>
      </c>
      <c r="O137" s="81">
        <f>5975.84+23579.15+1426.34+3500</f>
        <v>34481.33</v>
      </c>
      <c r="P137" s="81">
        <f>5975.84+23579.15+1426.34+3500</f>
        <v>34481.33</v>
      </c>
      <c r="Q137" s="232">
        <f t="shared" si="4"/>
        <v>0</v>
      </c>
    </row>
    <row r="138" spans="1:17" s="13" customFormat="1" ht="15" hidden="1" customHeight="1" x14ac:dyDescent="0.25">
      <c r="A138" s="229"/>
      <c r="B138" s="30" t="s">
        <v>82</v>
      </c>
      <c r="C138" s="181" t="s">
        <v>17</v>
      </c>
      <c r="D138" s="182"/>
      <c r="E138" s="183" t="s">
        <v>20</v>
      </c>
      <c r="F138" s="73" t="s">
        <v>463</v>
      </c>
      <c r="G138" s="230" t="s">
        <v>114</v>
      </c>
      <c r="H138" s="181">
        <v>30</v>
      </c>
      <c r="I138" s="231">
        <v>9</v>
      </c>
      <c r="J138" s="190">
        <v>9</v>
      </c>
      <c r="K138" s="77">
        <v>16086.18</v>
      </c>
      <c r="L138" s="77">
        <v>16086.18</v>
      </c>
      <c r="M138" s="78">
        <f t="shared" si="3"/>
        <v>0</v>
      </c>
      <c r="N138" s="100">
        <v>14</v>
      </c>
      <c r="O138" s="224">
        <v>48620.71</v>
      </c>
      <c r="P138" s="224">
        <v>48620.71</v>
      </c>
      <c r="Q138" s="232">
        <f t="shared" si="4"/>
        <v>0</v>
      </c>
    </row>
    <row r="139" spans="1:17" s="13" customFormat="1" ht="15" customHeight="1" x14ac:dyDescent="0.25">
      <c r="A139" s="229"/>
      <c r="B139" s="30" t="s">
        <v>309</v>
      </c>
      <c r="C139" s="181" t="s">
        <v>17</v>
      </c>
      <c r="D139" s="182"/>
      <c r="E139" s="183" t="s">
        <v>20</v>
      </c>
      <c r="F139" s="73" t="s">
        <v>391</v>
      </c>
      <c r="G139" s="230" t="s">
        <v>112</v>
      </c>
      <c r="H139" s="181">
        <v>20</v>
      </c>
      <c r="I139" s="231">
        <v>14</v>
      </c>
      <c r="J139" s="190">
        <f>1+5+2+1+1+1+2+1+1</f>
        <v>15</v>
      </c>
      <c r="K139" s="77">
        <f>3606.1+3402.77+2649.24+993.47+441.54+8488+4287.75+3090.78</f>
        <v>26959.65</v>
      </c>
      <c r="L139" s="77">
        <f>3606.1+3402.77+2649.24+993.47+441.54+8488+4287.75+3090.78</f>
        <v>26959.65</v>
      </c>
      <c r="M139" s="78">
        <f t="shared" si="3"/>
        <v>0</v>
      </c>
      <c r="N139" s="100">
        <f>1+5+1+3</f>
        <v>10</v>
      </c>
      <c r="O139" s="224">
        <f>3088.97+13147.65+1267.86+5955.71</f>
        <v>23460.19</v>
      </c>
      <c r="P139" s="224">
        <f>3088.97+13147.65+1267.86+5955.71</f>
        <v>23460.19</v>
      </c>
      <c r="Q139" s="232">
        <f t="shared" si="4"/>
        <v>0</v>
      </c>
    </row>
    <row r="140" spans="1:17" s="13" customFormat="1" ht="15" customHeight="1" x14ac:dyDescent="0.25">
      <c r="A140" s="229"/>
      <c r="B140" s="30" t="s">
        <v>152</v>
      </c>
      <c r="C140" s="181" t="s">
        <v>17</v>
      </c>
      <c r="D140" s="182"/>
      <c r="E140" s="183" t="s">
        <v>35</v>
      </c>
      <c r="F140" s="73" t="s">
        <v>392</v>
      </c>
      <c r="G140" s="74" t="s">
        <v>112</v>
      </c>
      <c r="H140" s="75">
        <v>7</v>
      </c>
      <c r="I140" s="76">
        <v>6</v>
      </c>
      <c r="J140" s="96">
        <f>1+1+2+1+1+1+2</f>
        <v>9</v>
      </c>
      <c r="K140" s="77">
        <f>403.41+845.24+2113.1+2649.24</f>
        <v>6010.99</v>
      </c>
      <c r="L140" s="77">
        <f>403.41+845.24+2113.1+2649.24</f>
        <v>6010.99</v>
      </c>
      <c r="M140" s="78">
        <f t="shared" si="3"/>
        <v>0</v>
      </c>
      <c r="N140" s="100">
        <f>2+2+2+1+1+1+2</f>
        <v>11</v>
      </c>
      <c r="O140" s="81">
        <f>1690.48+3050.26+3661.61+4648.82+1267.86+1690.48+9282.42+4052.53</f>
        <v>29344.46</v>
      </c>
      <c r="P140" s="81">
        <f>1690.48+3050.26+3661.61+4648.82+1267.86+1690.48+9282.42+4052.53</f>
        <v>29344.46</v>
      </c>
      <c r="Q140" s="232">
        <f t="shared" si="4"/>
        <v>0</v>
      </c>
    </row>
    <row r="141" spans="1:17" s="13" customFormat="1" ht="15" customHeight="1" x14ac:dyDescent="0.25">
      <c r="A141" s="229"/>
      <c r="B141" s="30" t="s">
        <v>83</v>
      </c>
      <c r="C141" s="181" t="s">
        <v>17</v>
      </c>
      <c r="D141" s="182"/>
      <c r="E141" s="183" t="s">
        <v>20</v>
      </c>
      <c r="F141" s="73" t="s">
        <v>393</v>
      </c>
      <c r="G141" s="74" t="s">
        <v>112</v>
      </c>
      <c r="H141" s="75">
        <v>14</v>
      </c>
      <c r="I141" s="76">
        <v>9</v>
      </c>
      <c r="J141" s="96">
        <f>1+1+2+1+1+1+1+1+1+1+1</f>
        <v>12</v>
      </c>
      <c r="K141" s="77">
        <f>768.4+2535.72+845.24+14407.5+883.08+883.08</f>
        <v>20323.020000000004</v>
      </c>
      <c r="L141" s="77">
        <f>768.4+2535.72+845.24+14407.5+883.08+883.08</f>
        <v>20323.020000000004</v>
      </c>
      <c r="M141" s="78">
        <f t="shared" si="3"/>
        <v>0</v>
      </c>
      <c r="N141" s="100">
        <f>1+2+1+1+1+2</f>
        <v>8</v>
      </c>
      <c r="O141" s="81">
        <f>5837.09+1922.92+4288.54+1686.25</f>
        <v>13734.8</v>
      </c>
      <c r="P141" s="81">
        <f>5837.09+1922.92+4288.54+1686.25</f>
        <v>13734.8</v>
      </c>
      <c r="Q141" s="232">
        <f t="shared" si="4"/>
        <v>0</v>
      </c>
    </row>
    <row r="142" spans="1:17" s="13" customFormat="1" ht="15" hidden="1" customHeight="1" x14ac:dyDescent="0.25">
      <c r="A142" s="229"/>
      <c r="B142" s="30" t="s">
        <v>83</v>
      </c>
      <c r="C142" s="181" t="s">
        <v>17</v>
      </c>
      <c r="D142" s="182"/>
      <c r="E142" s="183" t="s">
        <v>20</v>
      </c>
      <c r="F142" s="73" t="s">
        <v>464</v>
      </c>
      <c r="G142" s="230" t="s">
        <v>114</v>
      </c>
      <c r="H142" s="181">
        <v>37</v>
      </c>
      <c r="I142" s="231">
        <v>23</v>
      </c>
      <c r="J142" s="190">
        <v>23</v>
      </c>
      <c r="K142" s="77">
        <v>60040.41</v>
      </c>
      <c r="L142" s="77">
        <v>60040.41</v>
      </c>
      <c r="M142" s="78">
        <f t="shared" ref="M142:M194" si="5">K142-L142</f>
        <v>0</v>
      </c>
      <c r="N142" s="100">
        <v>31</v>
      </c>
      <c r="O142" s="224">
        <v>114176.52</v>
      </c>
      <c r="P142" s="224">
        <v>114176.52</v>
      </c>
      <c r="Q142" s="232">
        <f t="shared" si="4"/>
        <v>0</v>
      </c>
    </row>
    <row r="143" spans="1:17" s="13" customFormat="1" ht="45" customHeight="1" x14ac:dyDescent="0.25">
      <c r="A143" s="229"/>
      <c r="B143" s="30" t="s">
        <v>85</v>
      </c>
      <c r="C143" s="181" t="s">
        <v>304</v>
      </c>
      <c r="D143" s="182" t="s">
        <v>415</v>
      </c>
      <c r="E143" s="183" t="s">
        <v>20</v>
      </c>
      <c r="F143" s="73" t="s">
        <v>395</v>
      </c>
      <c r="G143" s="74" t="s">
        <v>112</v>
      </c>
      <c r="H143" s="75">
        <v>21</v>
      </c>
      <c r="I143" s="76">
        <v>9</v>
      </c>
      <c r="J143" s="98">
        <f>2+1+1+1+3</f>
        <v>8</v>
      </c>
      <c r="K143" s="77">
        <f>4800.58+2591.84+7239.38+3534.03</f>
        <v>18165.829999999998</v>
      </c>
      <c r="L143" s="77">
        <f>4800.58+2591.84+7239.38+3534.03</f>
        <v>18165.829999999998</v>
      </c>
      <c r="M143" s="78">
        <f t="shared" si="5"/>
        <v>0</v>
      </c>
      <c r="N143" s="100">
        <f>2+1+2+1</f>
        <v>6</v>
      </c>
      <c r="O143" s="81">
        <f>3917.73+8936.21+5669.37+31185.72+18292.46</f>
        <v>68001.489999999991</v>
      </c>
      <c r="P143" s="81">
        <f>3917.73+8936.21+5669.37+31185.72+18292.46</f>
        <v>68001.489999999991</v>
      </c>
      <c r="Q143" s="79">
        <f t="shared" si="4"/>
        <v>0</v>
      </c>
    </row>
    <row r="144" spans="1:17" s="13" customFormat="1" ht="15" customHeight="1" x14ac:dyDescent="0.25">
      <c r="A144" s="229"/>
      <c r="B144" s="27" t="s">
        <v>86</v>
      </c>
      <c r="C144" s="181" t="s">
        <v>17</v>
      </c>
      <c r="D144" s="182"/>
      <c r="E144" s="194" t="s">
        <v>20</v>
      </c>
      <c r="F144" s="73" t="s">
        <v>396</v>
      </c>
      <c r="G144" s="74" t="s">
        <v>112</v>
      </c>
      <c r="H144" s="75">
        <v>25</v>
      </c>
      <c r="I144" s="76">
        <v>20</v>
      </c>
      <c r="J144" s="96">
        <f>1+3+1+7+2+2+5+5+1+3</f>
        <v>30</v>
      </c>
      <c r="K144" s="77">
        <f>950.9+5134.06+2091.97+528.03+8954.46+5719.74+9578.1+2631.85+7667.14</f>
        <v>43256.249999999993</v>
      </c>
      <c r="L144" s="77">
        <f>950.9+5134.06+2091.97+528.03+8954.46+5719.74+9578.1+2631.85+7667.14</f>
        <v>43256.249999999993</v>
      </c>
      <c r="M144" s="78">
        <f t="shared" si="5"/>
        <v>0</v>
      </c>
      <c r="N144" s="100">
        <f>15+4+2+1+2+2</f>
        <v>26</v>
      </c>
      <c r="O144" s="81">
        <f>30236.61+18366.75+8887.09+1077.68+8961.95</f>
        <v>67530.080000000002</v>
      </c>
      <c r="P144" s="81">
        <f>30236.61+18366.75+8887.09+1077.68+8961.95</f>
        <v>67530.080000000002</v>
      </c>
      <c r="Q144" s="232">
        <f t="shared" si="4"/>
        <v>0</v>
      </c>
    </row>
    <row r="145" spans="1:17" s="13" customFormat="1" ht="15" hidden="1" customHeight="1" x14ac:dyDescent="0.25">
      <c r="A145" s="229"/>
      <c r="B145" s="27" t="s">
        <v>86</v>
      </c>
      <c r="C145" s="181" t="s">
        <v>17</v>
      </c>
      <c r="D145" s="182"/>
      <c r="E145" s="194" t="s">
        <v>20</v>
      </c>
      <c r="F145" s="73" t="s">
        <v>465</v>
      </c>
      <c r="G145" s="230" t="s">
        <v>114</v>
      </c>
      <c r="H145" s="181">
        <v>9</v>
      </c>
      <c r="I145" s="231">
        <v>4</v>
      </c>
      <c r="J145" s="190">
        <v>4</v>
      </c>
      <c r="K145" s="77">
        <v>8549.82</v>
      </c>
      <c r="L145" s="77">
        <v>8549.82</v>
      </c>
      <c r="M145" s="78">
        <f t="shared" si="5"/>
        <v>0</v>
      </c>
      <c r="N145" s="100">
        <v>10</v>
      </c>
      <c r="O145" s="224">
        <v>22234.03</v>
      </c>
      <c r="P145" s="224">
        <v>22234.03</v>
      </c>
      <c r="Q145" s="232">
        <f t="shared" si="4"/>
        <v>0</v>
      </c>
    </row>
    <row r="146" spans="1:17" s="13" customFormat="1" ht="15" customHeight="1" x14ac:dyDescent="0.25">
      <c r="A146" s="229"/>
      <c r="B146" s="27" t="s">
        <v>87</v>
      </c>
      <c r="C146" s="181" t="s">
        <v>17</v>
      </c>
      <c r="D146" s="182"/>
      <c r="E146" s="194" t="s">
        <v>20</v>
      </c>
      <c r="F146" s="73" t="s">
        <v>520</v>
      </c>
      <c r="G146" s="294" t="s">
        <v>112</v>
      </c>
      <c r="H146" s="181">
        <v>3</v>
      </c>
      <c r="I146" s="231">
        <v>2</v>
      </c>
      <c r="J146" s="190">
        <f>2</f>
        <v>2</v>
      </c>
      <c r="K146" s="77">
        <f>2595.26</f>
        <v>2595.2600000000002</v>
      </c>
      <c r="L146" s="77"/>
      <c r="M146" s="78"/>
      <c r="N146" s="100"/>
      <c r="O146" s="224"/>
      <c r="P146" s="224"/>
      <c r="Q146" s="232"/>
    </row>
    <row r="147" spans="1:17" s="13" customFormat="1" ht="15" customHeight="1" x14ac:dyDescent="0.25">
      <c r="A147" s="229"/>
      <c r="B147" s="62" t="s">
        <v>312</v>
      </c>
      <c r="C147" s="181" t="s">
        <v>17</v>
      </c>
      <c r="D147" s="182"/>
      <c r="E147" s="194" t="s">
        <v>20</v>
      </c>
      <c r="F147" s="73" t="s">
        <v>320</v>
      </c>
      <c r="G147" s="74" t="s">
        <v>112</v>
      </c>
      <c r="H147" s="75">
        <v>24</v>
      </c>
      <c r="I147" s="76">
        <v>17</v>
      </c>
      <c r="J147" s="96">
        <f>1+1+1+2+3+4+4+3</f>
        <v>19</v>
      </c>
      <c r="K147" s="77">
        <f>3319.49+845.24+4965.79+4415.4+3090.78</f>
        <v>16636.7</v>
      </c>
      <c r="L147" s="77">
        <f>3319.49+845.24+4965.79+4415.4+3090.78</f>
        <v>16636.7</v>
      </c>
      <c r="M147" s="78">
        <f t="shared" si="5"/>
        <v>0</v>
      </c>
      <c r="N147" s="100">
        <f>5+6+1+1+1</f>
        <v>14</v>
      </c>
      <c r="O147" s="81">
        <f>4226.2+6627.45+4360.59+6336.1</f>
        <v>21550.34</v>
      </c>
      <c r="P147" s="81">
        <f>4226.2+6627.45+4360.59+6336.1</f>
        <v>21550.34</v>
      </c>
      <c r="Q147" s="232">
        <f t="shared" si="4"/>
        <v>0</v>
      </c>
    </row>
    <row r="148" spans="1:17" s="13" customFormat="1" ht="15" customHeight="1" x14ac:dyDescent="0.25">
      <c r="A148" s="229"/>
      <c r="B148" s="62" t="s">
        <v>494</v>
      </c>
      <c r="C148" s="181" t="s">
        <v>17</v>
      </c>
      <c r="D148" s="182"/>
      <c r="E148" s="194" t="s">
        <v>20</v>
      </c>
      <c r="F148" s="73" t="s">
        <v>497</v>
      </c>
      <c r="G148" s="74" t="s">
        <v>112</v>
      </c>
      <c r="H148" s="75">
        <v>16</v>
      </c>
      <c r="I148" s="76">
        <v>11</v>
      </c>
      <c r="J148" s="96">
        <f>1+1+1+1+2+1+2+2</f>
        <v>11</v>
      </c>
      <c r="K148" s="77">
        <f>3379+5494.06+576.3+2417.43+3057.66+2384.32+1986.93</f>
        <v>19295.7</v>
      </c>
      <c r="L148" s="77">
        <f>3379+5494.06+576.3+2417.43+3057.66+2384.32+1986.93</f>
        <v>19295.7</v>
      </c>
      <c r="M148" s="78">
        <f t="shared" si="5"/>
        <v>0</v>
      </c>
      <c r="N148" s="100"/>
      <c r="O148" s="81"/>
      <c r="P148" s="81"/>
      <c r="Q148" s="232">
        <f t="shared" ref="Q148:Q195" si="6">O148-P148</f>
        <v>0</v>
      </c>
    </row>
    <row r="149" spans="1:17" s="13" customFormat="1" ht="15" hidden="1" customHeight="1" x14ac:dyDescent="0.25">
      <c r="A149" s="229"/>
      <c r="B149" s="62" t="s">
        <v>494</v>
      </c>
      <c r="C149" s="181" t="s">
        <v>17</v>
      </c>
      <c r="D149" s="182"/>
      <c r="E149" s="194" t="s">
        <v>20</v>
      </c>
      <c r="F149" s="73" t="s">
        <v>507</v>
      </c>
      <c r="G149" s="74" t="s">
        <v>114</v>
      </c>
      <c r="H149" s="75">
        <v>37</v>
      </c>
      <c r="I149" s="76">
        <v>10</v>
      </c>
      <c r="J149" s="96">
        <v>10</v>
      </c>
      <c r="K149" s="77">
        <v>24597.26</v>
      </c>
      <c r="L149" s="77">
        <v>24597.26</v>
      </c>
      <c r="M149" s="78">
        <f t="shared" si="5"/>
        <v>0</v>
      </c>
      <c r="N149" s="100"/>
      <c r="O149" s="81"/>
      <c r="P149" s="81"/>
      <c r="Q149" s="232">
        <f t="shared" si="6"/>
        <v>0</v>
      </c>
    </row>
    <row r="150" spans="1:17" s="13" customFormat="1" ht="15" customHeight="1" x14ac:dyDescent="0.25">
      <c r="A150" s="229"/>
      <c r="B150" s="62" t="s">
        <v>521</v>
      </c>
      <c r="C150" s="181"/>
      <c r="D150" s="182"/>
      <c r="E150" s="194"/>
      <c r="F150" s="73"/>
      <c r="G150" s="74" t="s">
        <v>112</v>
      </c>
      <c r="H150" s="75">
        <v>1</v>
      </c>
      <c r="I150" s="76"/>
      <c r="J150" s="96"/>
      <c r="K150" s="77"/>
      <c r="L150" s="77"/>
      <c r="M150" s="78"/>
      <c r="N150" s="100"/>
      <c r="O150" s="81"/>
      <c r="P150" s="81"/>
      <c r="Q150" s="232"/>
    </row>
    <row r="151" spans="1:17" s="13" customFormat="1" ht="15" hidden="1" customHeight="1" x14ac:dyDescent="0.25">
      <c r="A151" s="229"/>
      <c r="B151" s="62" t="s">
        <v>521</v>
      </c>
      <c r="C151" s="181"/>
      <c r="D151" s="182"/>
      <c r="E151" s="194"/>
      <c r="F151" s="73"/>
      <c r="G151" s="74" t="s">
        <v>116</v>
      </c>
      <c r="H151" s="75">
        <v>2</v>
      </c>
      <c r="I151" s="76"/>
      <c r="J151" s="96"/>
      <c r="K151" s="77"/>
      <c r="L151" s="77"/>
      <c r="M151" s="78"/>
      <c r="N151" s="100"/>
      <c r="O151" s="81"/>
      <c r="P151" s="81"/>
      <c r="Q151" s="232"/>
    </row>
    <row r="152" spans="1:17" s="13" customFormat="1" ht="15" customHeight="1" x14ac:dyDescent="0.25">
      <c r="A152" s="229"/>
      <c r="B152" s="30" t="s">
        <v>88</v>
      </c>
      <c r="C152" s="181" t="s">
        <v>17</v>
      </c>
      <c r="D152" s="182"/>
      <c r="E152" s="183" t="s">
        <v>89</v>
      </c>
      <c r="F152" s="73" t="s">
        <v>397</v>
      </c>
      <c r="G152" s="74" t="s">
        <v>112</v>
      </c>
      <c r="H152" s="75">
        <v>33</v>
      </c>
      <c r="I152" s="76">
        <v>21</v>
      </c>
      <c r="J152" s="96">
        <f>1+3+1+2+4+1+2+5+2</f>
        <v>21</v>
      </c>
      <c r="K152" s="77">
        <f>4226.2+2394.91+6485.1+556.71+4126.31+9704.16+1282.67+1282.67+2185.62</f>
        <v>32244.349999999995</v>
      </c>
      <c r="L152" s="77">
        <f>4226.2+2394.91+6485.1+556.71+4126.31+9704.16+1282.67+1282.67+2185.62</f>
        <v>32244.349999999995</v>
      </c>
      <c r="M152" s="78">
        <f t="shared" si="5"/>
        <v>0</v>
      </c>
      <c r="N152" s="100">
        <f>4+1+3+1+2+2+1+1+2</f>
        <v>17</v>
      </c>
      <c r="O152" s="81">
        <f>11967.83+2831.55+10544.37+9418.99+3799.13+1798.04+2548.4-12193.52+4083.77</f>
        <v>34798.559999999998</v>
      </c>
      <c r="P152" s="81">
        <f>11967.83+2831.55+10544.37+9418.99+3799.13+1798.04+2548.4-12193.52+4083.77</f>
        <v>34798.559999999998</v>
      </c>
      <c r="Q152" s="79">
        <f t="shared" si="6"/>
        <v>0</v>
      </c>
    </row>
    <row r="153" spans="1:17" s="13" customFormat="1" ht="15" hidden="1" customHeight="1" x14ac:dyDescent="0.25">
      <c r="A153" s="229"/>
      <c r="B153" s="30" t="s">
        <v>88</v>
      </c>
      <c r="C153" s="181" t="s">
        <v>17</v>
      </c>
      <c r="D153" s="182"/>
      <c r="E153" s="183" t="s">
        <v>89</v>
      </c>
      <c r="F153" s="73" t="s">
        <v>442</v>
      </c>
      <c r="G153" s="230" t="s">
        <v>118</v>
      </c>
      <c r="H153" s="181">
        <v>7</v>
      </c>
      <c r="I153" s="231">
        <v>4</v>
      </c>
      <c r="J153" s="96">
        <v>4</v>
      </c>
      <c r="K153" s="77">
        <v>7937.26</v>
      </c>
      <c r="L153" s="77">
        <v>7937.26</v>
      </c>
      <c r="M153" s="78">
        <f>K153-L153</f>
        <v>0</v>
      </c>
      <c r="N153" s="100">
        <v>5</v>
      </c>
      <c r="O153" s="224">
        <v>19245.009999999998</v>
      </c>
      <c r="P153" s="224">
        <v>19245.009999999998</v>
      </c>
      <c r="Q153" s="232">
        <f t="shared" si="6"/>
        <v>0</v>
      </c>
    </row>
    <row r="154" spans="1:17" s="13" customFormat="1" ht="15" hidden="1" customHeight="1" x14ac:dyDescent="0.25">
      <c r="A154" s="229"/>
      <c r="B154" s="30" t="s">
        <v>88</v>
      </c>
      <c r="C154" s="181" t="s">
        <v>17</v>
      </c>
      <c r="D154" s="182"/>
      <c r="E154" s="194" t="s">
        <v>505</v>
      </c>
      <c r="F154" s="73" t="s">
        <v>506</v>
      </c>
      <c r="G154" s="230" t="s">
        <v>114</v>
      </c>
      <c r="H154" s="181">
        <v>10</v>
      </c>
      <c r="I154" s="231">
        <v>4</v>
      </c>
      <c r="J154" s="96">
        <v>4</v>
      </c>
      <c r="K154" s="77">
        <v>11656.54</v>
      </c>
      <c r="L154" s="77">
        <v>11656.54</v>
      </c>
      <c r="M154" s="78">
        <f t="shared" si="5"/>
        <v>0</v>
      </c>
      <c r="N154" s="100"/>
      <c r="O154" s="224"/>
      <c r="P154" s="224"/>
      <c r="Q154" s="232">
        <f t="shared" si="6"/>
        <v>0</v>
      </c>
    </row>
    <row r="155" spans="1:17" s="13" customFormat="1" ht="15" customHeight="1" x14ac:dyDescent="0.25">
      <c r="A155" s="229"/>
      <c r="B155" s="30" t="s">
        <v>90</v>
      </c>
      <c r="C155" s="181" t="s">
        <v>17</v>
      </c>
      <c r="D155" s="182"/>
      <c r="E155" s="194" t="s">
        <v>20</v>
      </c>
      <c r="F155" s="73" t="s">
        <v>398</v>
      </c>
      <c r="G155" s="74" t="s">
        <v>112</v>
      </c>
      <c r="H155" s="75">
        <v>15</v>
      </c>
      <c r="I155" s="76">
        <v>8</v>
      </c>
      <c r="J155" s="96">
        <f>1+1+1+4+1+2</f>
        <v>10</v>
      </c>
      <c r="K155" s="77">
        <f>422.62+4662.44+7580.13+2408.4+8770.77</f>
        <v>23844.36</v>
      </c>
      <c r="L155" s="77">
        <f>422.62+4662.44+7580.13+2408.4+8770.77</f>
        <v>23844.36</v>
      </c>
      <c r="M155" s="78">
        <f t="shared" si="5"/>
        <v>0</v>
      </c>
      <c r="N155" s="100">
        <f>1+1+1+1+2+1</f>
        <v>7</v>
      </c>
      <c r="O155" s="81">
        <f>2122.67+787.61+15453.48+6194.26+37549.5</f>
        <v>62107.519999999997</v>
      </c>
      <c r="P155" s="81">
        <f>2122.67+787.61+15453.48+6194.26+37549.5</f>
        <v>62107.519999999997</v>
      </c>
      <c r="Q155" s="79">
        <f t="shared" si="6"/>
        <v>0</v>
      </c>
    </row>
    <row r="156" spans="1:17" s="13" customFormat="1" ht="15" hidden="1" customHeight="1" x14ac:dyDescent="0.25">
      <c r="A156" s="229"/>
      <c r="B156" s="30" t="s">
        <v>90</v>
      </c>
      <c r="C156" s="181" t="s">
        <v>17</v>
      </c>
      <c r="D156" s="182"/>
      <c r="E156" s="194" t="s">
        <v>20</v>
      </c>
      <c r="F156" s="73" t="s">
        <v>466</v>
      </c>
      <c r="G156" s="230" t="s">
        <v>114</v>
      </c>
      <c r="H156" s="181">
        <v>24</v>
      </c>
      <c r="I156" s="231">
        <v>12</v>
      </c>
      <c r="J156" s="190">
        <v>12</v>
      </c>
      <c r="K156" s="77">
        <v>24517.56</v>
      </c>
      <c r="L156" s="77">
        <v>24517.56</v>
      </c>
      <c r="M156" s="78">
        <f t="shared" si="5"/>
        <v>0</v>
      </c>
      <c r="N156" s="100">
        <v>31</v>
      </c>
      <c r="O156" s="224">
        <v>115855.1</v>
      </c>
      <c r="P156" s="224">
        <v>115855.1</v>
      </c>
      <c r="Q156" s="232">
        <f t="shared" si="6"/>
        <v>0</v>
      </c>
    </row>
    <row r="157" spans="1:17" s="13" customFormat="1" ht="15" customHeight="1" x14ac:dyDescent="0.25">
      <c r="A157" s="229"/>
      <c r="B157" s="30" t="s">
        <v>91</v>
      </c>
      <c r="C157" s="181" t="s">
        <v>17</v>
      </c>
      <c r="D157" s="182"/>
      <c r="E157" s="194" t="s">
        <v>20</v>
      </c>
      <c r="F157" s="73"/>
      <c r="G157" s="74" t="s">
        <v>112</v>
      </c>
      <c r="H157" s="75"/>
      <c r="I157" s="76"/>
      <c r="J157" s="96"/>
      <c r="K157" s="77"/>
      <c r="L157" s="77"/>
      <c r="M157" s="78">
        <f t="shared" si="5"/>
        <v>0</v>
      </c>
      <c r="N157" s="100"/>
      <c r="O157" s="81"/>
      <c r="P157" s="81"/>
      <c r="Q157" s="79">
        <f t="shared" si="6"/>
        <v>0</v>
      </c>
    </row>
    <row r="158" spans="1:17" s="13" customFormat="1" ht="15" hidden="1" customHeight="1" x14ac:dyDescent="0.25">
      <c r="A158" s="229"/>
      <c r="B158" s="62" t="s">
        <v>138</v>
      </c>
      <c r="C158" s="181" t="s">
        <v>17</v>
      </c>
      <c r="D158" s="182"/>
      <c r="E158" s="194" t="s">
        <v>20</v>
      </c>
      <c r="F158" s="73" t="s">
        <v>467</v>
      </c>
      <c r="G158" s="230" t="s">
        <v>114</v>
      </c>
      <c r="H158" s="181">
        <v>18</v>
      </c>
      <c r="I158" s="231">
        <v>3</v>
      </c>
      <c r="J158" s="190">
        <v>3</v>
      </c>
      <c r="K158" s="193">
        <v>5542.2</v>
      </c>
      <c r="L158" s="193">
        <v>5542.2</v>
      </c>
      <c r="M158" s="78">
        <f t="shared" si="5"/>
        <v>0</v>
      </c>
      <c r="N158" s="114">
        <v>8</v>
      </c>
      <c r="O158" s="224">
        <v>16429.099999999999</v>
      </c>
      <c r="P158" s="224">
        <v>16429.099999999999</v>
      </c>
      <c r="Q158" s="232">
        <f t="shared" si="6"/>
        <v>0</v>
      </c>
    </row>
    <row r="159" spans="1:17" s="13" customFormat="1" x14ac:dyDescent="0.25">
      <c r="A159" s="229"/>
      <c r="B159" s="62" t="s">
        <v>138</v>
      </c>
      <c r="C159" s="181" t="s">
        <v>17</v>
      </c>
      <c r="D159" s="182"/>
      <c r="E159" s="194" t="s">
        <v>20</v>
      </c>
      <c r="F159" s="73" t="s">
        <v>400</v>
      </c>
      <c r="G159" s="74" t="s">
        <v>112</v>
      </c>
      <c r="H159" s="75">
        <v>15</v>
      </c>
      <c r="I159" s="82">
        <v>11</v>
      </c>
      <c r="J159" s="96">
        <f>3+1+1+2+2+3</f>
        <v>12</v>
      </c>
      <c r="K159" s="77">
        <f>2224.52+9639.33+3232.07+1625.67+1324.62+2604.08</f>
        <v>20650.29</v>
      </c>
      <c r="L159" s="77">
        <f>2224.52+9639.33+3232.07+1625.67+1324.62+2604.08</f>
        <v>20650.29</v>
      </c>
      <c r="M159" s="78">
        <f t="shared" si="5"/>
        <v>0</v>
      </c>
      <c r="N159" s="100">
        <f>5+4+2</f>
        <v>11</v>
      </c>
      <c r="O159" s="81">
        <f>8995.87+8641.99+5740.02</f>
        <v>23377.88</v>
      </c>
      <c r="P159" s="81">
        <f>8995.87+8641.99+5740.02</f>
        <v>23377.88</v>
      </c>
      <c r="Q159" s="79">
        <f t="shared" si="6"/>
        <v>0</v>
      </c>
    </row>
    <row r="160" spans="1:17" s="13" customFormat="1" ht="15" customHeight="1" x14ac:dyDescent="0.25">
      <c r="A160" s="229"/>
      <c r="B160" s="62" t="s">
        <v>157</v>
      </c>
      <c r="C160" s="181" t="s">
        <v>17</v>
      </c>
      <c r="D160" s="182"/>
      <c r="E160" s="194" t="s">
        <v>20</v>
      </c>
      <c r="F160" s="73" t="s">
        <v>401</v>
      </c>
      <c r="G160" s="74" t="s">
        <v>112</v>
      </c>
      <c r="H160" s="75">
        <v>15</v>
      </c>
      <c r="I160" s="82"/>
      <c r="J160" s="96"/>
      <c r="K160" s="77"/>
      <c r="L160" s="77"/>
      <c r="M160" s="78">
        <f t="shared" si="5"/>
        <v>0</v>
      </c>
      <c r="N160" s="100"/>
      <c r="O160" s="81"/>
      <c r="P160" s="81"/>
      <c r="Q160" s="232">
        <f t="shared" si="6"/>
        <v>0</v>
      </c>
    </row>
    <row r="161" spans="1:17" s="13" customFormat="1" ht="15" customHeight="1" x14ac:dyDescent="0.25">
      <c r="A161" s="229"/>
      <c r="B161" s="62" t="s">
        <v>515</v>
      </c>
      <c r="C161" s="181" t="s">
        <v>17</v>
      </c>
      <c r="D161" s="182"/>
      <c r="E161" s="194" t="s">
        <v>20</v>
      </c>
      <c r="F161" s="73" t="s">
        <v>519</v>
      </c>
      <c r="G161" s="74" t="s">
        <v>112</v>
      </c>
      <c r="H161" s="75">
        <v>12</v>
      </c>
      <c r="I161" s="82">
        <v>3</v>
      </c>
      <c r="J161" s="96">
        <f>1+1+2</f>
        <v>4</v>
      </c>
      <c r="K161" s="77">
        <f>1091.81+1091.81+662.31</f>
        <v>2845.93</v>
      </c>
      <c r="L161" s="77">
        <f>1091.81+1091.81+662.31</f>
        <v>2845.93</v>
      </c>
      <c r="M161" s="78">
        <f t="shared" si="5"/>
        <v>0</v>
      </c>
      <c r="N161" s="100"/>
      <c r="O161" s="81"/>
      <c r="P161" s="81"/>
      <c r="Q161" s="232"/>
    </row>
    <row r="162" spans="1:17" s="15" customFormat="1" ht="15" customHeight="1" x14ac:dyDescent="0.25">
      <c r="A162" s="229"/>
      <c r="B162" s="62" t="s">
        <v>92</v>
      </c>
      <c r="C162" s="181" t="s">
        <v>17</v>
      </c>
      <c r="D162" s="182"/>
      <c r="E162" s="194" t="s">
        <v>20</v>
      </c>
      <c r="F162" s="73" t="s">
        <v>402</v>
      </c>
      <c r="G162" s="74" t="s">
        <v>112</v>
      </c>
      <c r="H162" s="75">
        <v>14</v>
      </c>
      <c r="I162" s="76">
        <v>12</v>
      </c>
      <c r="J162" s="96">
        <f>1+2+5+2+2</f>
        <v>12</v>
      </c>
      <c r="K162" s="77">
        <f>1951.74+1335.1+2996.76+883.08+842.94+868.07</f>
        <v>8877.69</v>
      </c>
      <c r="L162" s="77">
        <f>1951.74+1335.1+2996.76+883.08+842.94+868.07</f>
        <v>8877.69</v>
      </c>
      <c r="M162" s="78">
        <f t="shared" si="5"/>
        <v>0</v>
      </c>
      <c r="N162" s="100">
        <f>4+1+1</f>
        <v>6</v>
      </c>
      <c r="O162" s="81">
        <f>12624.74+2697.06+1225.93</f>
        <v>16547.73</v>
      </c>
      <c r="P162" s="81">
        <f>12624.74+2697.06+1225.93</f>
        <v>16547.73</v>
      </c>
      <c r="Q162" s="232">
        <f t="shared" si="6"/>
        <v>0</v>
      </c>
    </row>
    <row r="163" spans="1:17" s="15" customFormat="1" ht="15" hidden="1" customHeight="1" x14ac:dyDescent="0.25">
      <c r="A163" s="229"/>
      <c r="B163" s="62" t="s">
        <v>92</v>
      </c>
      <c r="C163" s="181" t="s">
        <v>17</v>
      </c>
      <c r="D163" s="182"/>
      <c r="E163" s="194" t="s">
        <v>20</v>
      </c>
      <c r="F163" s="73" t="s">
        <v>129</v>
      </c>
      <c r="G163" s="230" t="s">
        <v>114</v>
      </c>
      <c r="H163" s="181"/>
      <c r="I163" s="231"/>
      <c r="J163" s="190"/>
      <c r="K163" s="77"/>
      <c r="L163" s="77"/>
      <c r="M163" s="78">
        <f t="shared" si="5"/>
        <v>0</v>
      </c>
      <c r="N163" s="114"/>
      <c r="O163" s="224"/>
      <c r="P163" s="224"/>
      <c r="Q163" s="232">
        <f t="shared" si="6"/>
        <v>0</v>
      </c>
    </row>
    <row r="164" spans="1:17" s="13" customFormat="1" ht="15" customHeight="1" x14ac:dyDescent="0.25">
      <c r="A164" s="229"/>
      <c r="B164" s="30" t="s">
        <v>93</v>
      </c>
      <c r="C164" s="181" t="s">
        <v>17</v>
      </c>
      <c r="D164" s="182"/>
      <c r="E164" s="183" t="s">
        <v>94</v>
      </c>
      <c r="F164" s="73" t="s">
        <v>403</v>
      </c>
      <c r="G164" s="74" t="s">
        <v>112</v>
      </c>
      <c r="H164" s="75">
        <v>7</v>
      </c>
      <c r="I164" s="76">
        <v>2</v>
      </c>
      <c r="J164" s="96">
        <f>2</f>
        <v>2</v>
      </c>
      <c r="K164" s="77">
        <f>2336.84</f>
        <v>2336.84</v>
      </c>
      <c r="L164" s="77">
        <f>2336.84</f>
        <v>2336.84</v>
      </c>
      <c r="M164" s="78">
        <f t="shared" si="5"/>
        <v>0</v>
      </c>
      <c r="N164" s="100">
        <f>3+8</f>
        <v>11</v>
      </c>
      <c r="O164" s="81">
        <f>20117.75</f>
        <v>20117.75</v>
      </c>
      <c r="P164" s="81">
        <f>20117.75</f>
        <v>20117.75</v>
      </c>
      <c r="Q164" s="232">
        <f t="shared" si="6"/>
        <v>0</v>
      </c>
    </row>
    <row r="165" spans="1:17" s="13" customFormat="1" ht="15" hidden="1" customHeight="1" x14ac:dyDescent="0.25">
      <c r="A165" s="229"/>
      <c r="B165" s="30" t="s">
        <v>93</v>
      </c>
      <c r="C165" s="181" t="s">
        <v>17</v>
      </c>
      <c r="D165" s="182"/>
      <c r="E165" s="183" t="s">
        <v>94</v>
      </c>
      <c r="F165" s="73" t="s">
        <v>130</v>
      </c>
      <c r="G165" s="230" t="s">
        <v>114</v>
      </c>
      <c r="H165" s="181"/>
      <c r="I165" s="231"/>
      <c r="J165" s="190"/>
      <c r="K165" s="77"/>
      <c r="L165" s="77"/>
      <c r="M165" s="78">
        <f t="shared" si="5"/>
        <v>0</v>
      </c>
      <c r="N165" s="100"/>
      <c r="O165" s="224"/>
      <c r="P165" s="224"/>
      <c r="Q165" s="232">
        <f t="shared" si="6"/>
        <v>0</v>
      </c>
    </row>
    <row r="166" spans="1:17" s="13" customFormat="1" ht="15" hidden="1" customHeight="1" x14ac:dyDescent="0.25">
      <c r="A166" s="229"/>
      <c r="B166" s="30" t="s">
        <v>93</v>
      </c>
      <c r="C166" s="181" t="s">
        <v>17</v>
      </c>
      <c r="D166" s="182"/>
      <c r="E166" s="183" t="s">
        <v>94</v>
      </c>
      <c r="F166" s="73" t="s">
        <v>240</v>
      </c>
      <c r="G166" s="230" t="s">
        <v>118</v>
      </c>
      <c r="H166" s="181"/>
      <c r="I166" s="231"/>
      <c r="J166" s="96"/>
      <c r="K166" s="77"/>
      <c r="L166" s="77"/>
      <c r="M166" s="78">
        <f t="shared" si="5"/>
        <v>0</v>
      </c>
      <c r="N166" s="100"/>
      <c r="O166" s="224"/>
      <c r="P166" s="224"/>
      <c r="Q166" s="232">
        <f t="shared" si="6"/>
        <v>0</v>
      </c>
    </row>
    <row r="167" spans="1:17" s="13" customFormat="1" ht="15" customHeight="1" x14ac:dyDescent="0.25">
      <c r="A167" s="229"/>
      <c r="B167" s="30" t="s">
        <v>95</v>
      </c>
      <c r="C167" s="181" t="s">
        <v>17</v>
      </c>
      <c r="D167" s="182"/>
      <c r="E167" s="194" t="s">
        <v>20</v>
      </c>
      <c r="F167" s="73" t="s">
        <v>404</v>
      </c>
      <c r="G167" s="74" t="s">
        <v>112</v>
      </c>
      <c r="H167" s="75">
        <v>25</v>
      </c>
      <c r="I167" s="76">
        <v>12</v>
      </c>
      <c r="J167" s="96">
        <f>1+4+4+5+2+1+1</f>
        <v>18</v>
      </c>
      <c r="K167" s="77">
        <f>1061.35+5770.05+5238.9+6606.04+6345.59+3388.62</f>
        <v>28410.55</v>
      </c>
      <c r="L167" s="77">
        <f>1061.35+5770.05+5238.9+6606.04+6345.59+3388.62</f>
        <v>28410.55</v>
      </c>
      <c r="M167" s="78">
        <f t="shared" si="5"/>
        <v>0</v>
      </c>
      <c r="N167" s="100">
        <f>1+6+1+4+1+1+1</f>
        <v>15</v>
      </c>
      <c r="O167" s="81">
        <f>11603.82+7559.28+6777.29+24757.02+4991.61</f>
        <v>55689.020000000004</v>
      </c>
      <c r="P167" s="81">
        <f>11603.82+7559.28+6777.29+24757.02+4991.61</f>
        <v>55689.020000000004</v>
      </c>
      <c r="Q167" s="79">
        <f t="shared" si="6"/>
        <v>0</v>
      </c>
    </row>
    <row r="168" spans="1:17" s="13" customFormat="1" ht="15" hidden="1" customHeight="1" x14ac:dyDescent="0.25">
      <c r="A168" s="229"/>
      <c r="B168" s="30" t="s">
        <v>95</v>
      </c>
      <c r="C168" s="181" t="s">
        <v>17</v>
      </c>
      <c r="D168" s="182"/>
      <c r="E168" s="194" t="s">
        <v>20</v>
      </c>
      <c r="F168" s="73" t="s">
        <v>291</v>
      </c>
      <c r="G168" s="230" t="s">
        <v>114</v>
      </c>
      <c r="H168" s="181">
        <v>13</v>
      </c>
      <c r="I168" s="231">
        <v>5</v>
      </c>
      <c r="J168" s="190">
        <v>5</v>
      </c>
      <c r="K168" s="77">
        <v>6270.46</v>
      </c>
      <c r="L168" s="77">
        <v>6270.46</v>
      </c>
      <c r="M168" s="78">
        <f t="shared" si="5"/>
        <v>0</v>
      </c>
      <c r="N168" s="100">
        <v>14</v>
      </c>
      <c r="O168" s="224">
        <v>32601.05</v>
      </c>
      <c r="P168" s="224">
        <v>32601.05</v>
      </c>
      <c r="Q168" s="232">
        <f t="shared" si="6"/>
        <v>0</v>
      </c>
    </row>
    <row r="169" spans="1:17" s="13" customFormat="1" ht="15" customHeight="1" x14ac:dyDescent="0.25">
      <c r="A169" s="229"/>
      <c r="B169" s="30" t="s">
        <v>96</v>
      </c>
      <c r="C169" s="181" t="s">
        <v>17</v>
      </c>
      <c r="D169" s="182"/>
      <c r="E169" s="194" t="s">
        <v>97</v>
      </c>
      <c r="F169" s="73" t="s">
        <v>405</v>
      </c>
      <c r="G169" s="74" t="s">
        <v>112</v>
      </c>
      <c r="H169" s="75">
        <v>1</v>
      </c>
      <c r="I169" s="76">
        <v>1</v>
      </c>
      <c r="J169" s="96">
        <f>2</f>
        <v>2</v>
      </c>
      <c r="K169" s="77">
        <f>3187.92</f>
        <v>3187.92</v>
      </c>
      <c r="L169" s="77">
        <f>3187.92</f>
        <v>3187.92</v>
      </c>
      <c r="M169" s="78">
        <f t="shared" si="5"/>
        <v>0</v>
      </c>
      <c r="N169" s="103">
        <f>1+2+1+2</f>
        <v>6</v>
      </c>
      <c r="O169" s="77">
        <f>1742.31+9358.48+3187.92</f>
        <v>14288.71</v>
      </c>
      <c r="P169" s="77">
        <f>1742.31+9358.48+3187.92</f>
        <v>14288.71</v>
      </c>
      <c r="Q169" s="79">
        <f t="shared" si="6"/>
        <v>0</v>
      </c>
    </row>
    <row r="170" spans="1:17" s="13" customFormat="1" ht="15" hidden="1" customHeight="1" x14ac:dyDescent="0.25">
      <c r="A170" s="229"/>
      <c r="B170" s="30" t="s">
        <v>96</v>
      </c>
      <c r="C170" s="181" t="s">
        <v>17</v>
      </c>
      <c r="D170" s="182"/>
      <c r="E170" s="194" t="s">
        <v>97</v>
      </c>
      <c r="F170" s="73" t="s">
        <v>468</v>
      </c>
      <c r="G170" s="230" t="s">
        <v>114</v>
      </c>
      <c r="H170" s="181">
        <v>1</v>
      </c>
      <c r="I170" s="231">
        <v>1</v>
      </c>
      <c r="J170" s="190">
        <v>1</v>
      </c>
      <c r="K170" s="77">
        <v>1204.2</v>
      </c>
      <c r="L170" s="77">
        <v>1204.2</v>
      </c>
      <c r="M170" s="78">
        <f t="shared" si="5"/>
        <v>0</v>
      </c>
      <c r="N170" s="100">
        <v>8</v>
      </c>
      <c r="O170" s="224">
        <v>18393.400000000001</v>
      </c>
      <c r="P170" s="224">
        <v>18393.400000000001</v>
      </c>
      <c r="Q170" s="232">
        <f t="shared" si="6"/>
        <v>0</v>
      </c>
    </row>
    <row r="171" spans="1:17" s="13" customFormat="1" ht="15" customHeight="1" x14ac:dyDescent="0.25">
      <c r="A171" s="229"/>
      <c r="B171" s="30" t="s">
        <v>98</v>
      </c>
      <c r="C171" s="181" t="s">
        <v>17</v>
      </c>
      <c r="D171" s="182"/>
      <c r="E171" s="194" t="s">
        <v>35</v>
      </c>
      <c r="F171" s="73" t="s">
        <v>406</v>
      </c>
      <c r="G171" s="74" t="s">
        <v>112</v>
      </c>
      <c r="H171" s="75">
        <v>46</v>
      </c>
      <c r="I171" s="76">
        <v>34</v>
      </c>
      <c r="J171" s="96">
        <f>1+2+1+1+4+4+1+2+1+5+5+3+3</f>
        <v>33</v>
      </c>
      <c r="K171" s="77">
        <f>845.24+1764.25+8353.03+1298.98+7610.68+13826.64+2752.31+9720.26+116979.76-2616.91+4851.2+993.47+3498.2+12402.65</f>
        <v>182279.76</v>
      </c>
      <c r="L171" s="77">
        <f>845.24+1764.25+8353.03+1298.98+7610.68+13826.64+2752.31+9720.26+116979.76-2616.91+4851.2+993.47+3498.2+12402.65</f>
        <v>182279.76</v>
      </c>
      <c r="M171" s="78">
        <f t="shared" si="5"/>
        <v>0</v>
      </c>
      <c r="N171" s="100">
        <f>9+1+1+4+2+1+2+4+2+1+1+1+1</f>
        <v>30</v>
      </c>
      <c r="O171" s="81">
        <f>76864.27+883.08+47501.34+5480.06+4025.41</f>
        <v>134754.16</v>
      </c>
      <c r="P171" s="81">
        <f>76864.27+883.08+47501.34+5480.06+4025.41</f>
        <v>134754.16</v>
      </c>
      <c r="Q171" s="79">
        <f t="shared" si="6"/>
        <v>0</v>
      </c>
    </row>
    <row r="172" spans="1:17" s="13" customFormat="1" ht="15" hidden="1" customHeight="1" x14ac:dyDescent="0.25">
      <c r="A172" s="229"/>
      <c r="B172" s="30" t="s">
        <v>98</v>
      </c>
      <c r="C172" s="181" t="s">
        <v>17</v>
      </c>
      <c r="D172" s="182"/>
      <c r="E172" s="194" t="s">
        <v>35</v>
      </c>
      <c r="F172" s="73" t="s">
        <v>435</v>
      </c>
      <c r="G172" s="235" t="s">
        <v>117</v>
      </c>
      <c r="H172" s="181">
        <v>8</v>
      </c>
      <c r="I172" s="231">
        <v>2</v>
      </c>
      <c r="J172" s="96">
        <v>2</v>
      </c>
      <c r="K172" s="77">
        <v>2486.83</v>
      </c>
      <c r="L172" s="77">
        <v>2486.83</v>
      </c>
      <c r="M172" s="78">
        <f t="shared" si="5"/>
        <v>0</v>
      </c>
      <c r="N172" s="100">
        <v>5</v>
      </c>
      <c r="O172" s="77">
        <v>18950.45</v>
      </c>
      <c r="P172" s="77">
        <v>18950.45</v>
      </c>
      <c r="Q172" s="232">
        <f t="shared" si="6"/>
        <v>0</v>
      </c>
    </row>
    <row r="173" spans="1:17" s="13" customFormat="1" ht="15" customHeight="1" x14ac:dyDescent="0.25">
      <c r="A173" s="229"/>
      <c r="B173" s="30" t="s">
        <v>488</v>
      </c>
      <c r="C173" s="181" t="s">
        <v>17</v>
      </c>
      <c r="D173" s="182"/>
      <c r="E173" s="194" t="s">
        <v>97</v>
      </c>
      <c r="F173" s="73" t="s">
        <v>498</v>
      </c>
      <c r="G173" s="235" t="s">
        <v>112</v>
      </c>
      <c r="H173" s="181">
        <v>17</v>
      </c>
      <c r="I173" s="231">
        <v>13</v>
      </c>
      <c r="J173" s="96">
        <f>4+1+1+2+3+1+1</f>
        <v>13</v>
      </c>
      <c r="K173" s="77">
        <f>1535.8+576.3+802.8+4667.08+421.47</f>
        <v>8003.45</v>
      </c>
      <c r="L173" s="77">
        <f>1535.8+576.3+802.8+4667.08+421.47</f>
        <v>8003.45</v>
      </c>
      <c r="M173" s="78">
        <f t="shared" si="5"/>
        <v>0</v>
      </c>
      <c r="N173" s="100"/>
      <c r="O173" s="77"/>
      <c r="P173" s="77"/>
      <c r="Q173" s="232"/>
    </row>
    <row r="174" spans="1:17" s="15" customFormat="1" ht="15" customHeight="1" x14ac:dyDescent="0.25">
      <c r="A174" s="229"/>
      <c r="B174" s="30" t="s">
        <v>99</v>
      </c>
      <c r="C174" s="181" t="s">
        <v>17</v>
      </c>
      <c r="D174" s="182"/>
      <c r="E174" s="183" t="s">
        <v>32</v>
      </c>
      <c r="F174" s="73" t="s">
        <v>418</v>
      </c>
      <c r="G174" s="74" t="s">
        <v>112</v>
      </c>
      <c r="H174" s="75"/>
      <c r="I174" s="76"/>
      <c r="J174" s="96"/>
      <c r="K174" s="77"/>
      <c r="L174" s="77"/>
      <c r="M174" s="78">
        <f t="shared" si="5"/>
        <v>0</v>
      </c>
      <c r="N174" s="100"/>
      <c r="O174" s="81"/>
      <c r="P174" s="81"/>
      <c r="Q174" s="79">
        <f t="shared" si="6"/>
        <v>0</v>
      </c>
    </row>
    <row r="175" spans="1:17" s="15" customFormat="1" ht="15" hidden="1" customHeight="1" x14ac:dyDescent="0.25">
      <c r="A175" s="229"/>
      <c r="B175" s="30" t="s">
        <v>99</v>
      </c>
      <c r="C175" s="181" t="s">
        <v>17</v>
      </c>
      <c r="D175" s="182"/>
      <c r="E175" s="183" t="s">
        <v>32</v>
      </c>
      <c r="F175" s="73" t="s">
        <v>423</v>
      </c>
      <c r="G175" s="235" t="s">
        <v>117</v>
      </c>
      <c r="H175" s="181"/>
      <c r="I175" s="231"/>
      <c r="J175" s="190"/>
      <c r="K175" s="77"/>
      <c r="L175" s="77"/>
      <c r="M175" s="78">
        <f t="shared" si="5"/>
        <v>0</v>
      </c>
      <c r="N175" s="114"/>
      <c r="O175" s="77"/>
      <c r="P175" s="77"/>
      <c r="Q175" s="232">
        <f t="shared" si="6"/>
        <v>0</v>
      </c>
    </row>
    <row r="176" spans="1:17" s="15" customFormat="1" ht="30" customHeight="1" x14ac:dyDescent="0.25">
      <c r="A176" s="229"/>
      <c r="B176" s="30" t="s">
        <v>144</v>
      </c>
      <c r="C176" s="181" t="s">
        <v>304</v>
      </c>
      <c r="D176" s="182" t="s">
        <v>313</v>
      </c>
      <c r="E176" s="194" t="s">
        <v>97</v>
      </c>
      <c r="F176" s="73" t="s">
        <v>407</v>
      </c>
      <c r="G176" s="66" t="s">
        <v>112</v>
      </c>
      <c r="H176" s="75">
        <v>24</v>
      </c>
      <c r="I176" s="76">
        <v>21</v>
      </c>
      <c r="J176" s="98">
        <f>2+2+1+3+1+1+5+2+1+4+2+4+1+1</f>
        <v>30</v>
      </c>
      <c r="K176" s="77">
        <f>950.9+1449.39+2272.32+2785.92+5112.01+6655.23+3700.19+4208.95+6370.42</f>
        <v>33505.33</v>
      </c>
      <c r="L176" s="77">
        <f>950.9+1449.39+2272.32+2785.92+5112.01+6655.23+3700.19+4208.95+6370.42</f>
        <v>33505.33</v>
      </c>
      <c r="M176" s="78">
        <f t="shared" si="5"/>
        <v>0</v>
      </c>
      <c r="N176" s="100">
        <f>3+2+1+1+1+1+1+1</f>
        <v>11</v>
      </c>
      <c r="O176" s="77">
        <f>5020.57+5566.06+2694.94+845.24+2460.18</f>
        <v>16586.990000000002</v>
      </c>
      <c r="P176" s="77">
        <f>5020.57+5566.06+2694.94+845.24+2460.18</f>
        <v>16586.990000000002</v>
      </c>
      <c r="Q176" s="79">
        <f t="shared" si="6"/>
        <v>0</v>
      </c>
    </row>
    <row r="177" spans="1:17" s="15" customFormat="1" ht="15" hidden="1" customHeight="1" x14ac:dyDescent="0.25">
      <c r="A177" s="229"/>
      <c r="B177" s="30" t="s">
        <v>488</v>
      </c>
      <c r="C177" s="181"/>
      <c r="D177" s="182"/>
      <c r="E177" s="194"/>
      <c r="F177" s="73" t="s">
        <v>509</v>
      </c>
      <c r="G177" s="66" t="s">
        <v>114</v>
      </c>
      <c r="H177" s="75">
        <v>29</v>
      </c>
      <c r="I177" s="76">
        <v>16</v>
      </c>
      <c r="J177" s="98">
        <v>16</v>
      </c>
      <c r="K177" s="77">
        <v>36014.74</v>
      </c>
      <c r="L177" s="77">
        <v>36014.74</v>
      </c>
      <c r="M177" s="78">
        <f t="shared" si="5"/>
        <v>0</v>
      </c>
      <c r="N177" s="100"/>
      <c r="O177" s="77"/>
      <c r="P177" s="77"/>
      <c r="Q177" s="232">
        <f t="shared" si="6"/>
        <v>0</v>
      </c>
    </row>
    <row r="178" spans="1:17" s="15" customFormat="1" ht="15" hidden="1" customHeight="1" x14ac:dyDescent="0.25">
      <c r="A178" s="229"/>
      <c r="B178" s="30" t="s">
        <v>514</v>
      </c>
      <c r="C178" s="181"/>
      <c r="D178" s="182"/>
      <c r="E178" s="194" t="s">
        <v>18</v>
      </c>
      <c r="F178" s="73"/>
      <c r="G178" s="66" t="s">
        <v>116</v>
      </c>
      <c r="H178" s="75">
        <v>8</v>
      </c>
      <c r="I178" s="76">
        <v>2</v>
      </c>
      <c r="J178" s="98">
        <v>2</v>
      </c>
      <c r="K178" s="77">
        <v>3572</v>
      </c>
      <c r="L178" s="77">
        <v>3572</v>
      </c>
      <c r="M178" s="78">
        <f t="shared" si="5"/>
        <v>0</v>
      </c>
      <c r="N178" s="100"/>
      <c r="O178" s="77"/>
      <c r="P178" s="77"/>
      <c r="Q178" s="232"/>
    </row>
    <row r="179" spans="1:17" s="15" customFormat="1" ht="15" hidden="1" customHeight="1" x14ac:dyDescent="0.25">
      <c r="A179" s="229"/>
      <c r="B179" s="30" t="s">
        <v>488</v>
      </c>
      <c r="C179" s="181"/>
      <c r="D179" s="182"/>
      <c r="E179" s="194"/>
      <c r="F179" s="73" t="s">
        <v>512</v>
      </c>
      <c r="G179" s="66" t="s">
        <v>116</v>
      </c>
      <c r="H179" s="75">
        <v>13</v>
      </c>
      <c r="I179" s="76">
        <v>8</v>
      </c>
      <c r="J179" s="98">
        <v>8</v>
      </c>
      <c r="K179" s="77">
        <v>20353</v>
      </c>
      <c r="L179" s="77">
        <v>20353</v>
      </c>
      <c r="M179" s="78">
        <f t="shared" si="5"/>
        <v>0</v>
      </c>
      <c r="N179" s="100"/>
      <c r="O179" s="77"/>
      <c r="P179" s="77"/>
      <c r="Q179" s="79"/>
    </row>
    <row r="180" spans="1:17" s="15" customFormat="1" ht="30" hidden="1" customHeight="1" x14ac:dyDescent="0.25">
      <c r="A180" s="229"/>
      <c r="B180" s="238" t="s">
        <v>144</v>
      </c>
      <c r="C180" s="181" t="s">
        <v>446</v>
      </c>
      <c r="D180" s="182" t="s">
        <v>313</v>
      </c>
      <c r="E180" s="183" t="s">
        <v>20</v>
      </c>
      <c r="F180" s="73" t="s">
        <v>485</v>
      </c>
      <c r="G180" s="235" t="s">
        <v>114</v>
      </c>
      <c r="H180" s="181">
        <v>43</v>
      </c>
      <c r="I180" s="234">
        <v>21</v>
      </c>
      <c r="J180" s="202">
        <v>21</v>
      </c>
      <c r="K180" s="77">
        <v>57178.03</v>
      </c>
      <c r="L180" s="77">
        <v>53164.03</v>
      </c>
      <c r="M180" s="78">
        <f t="shared" si="5"/>
        <v>4014</v>
      </c>
      <c r="N180" s="100">
        <v>22</v>
      </c>
      <c r="O180" s="224">
        <v>55283.8</v>
      </c>
      <c r="P180" s="224">
        <v>55283.8</v>
      </c>
      <c r="Q180" s="232">
        <f t="shared" ref="Q180" si="7">O180-P180</f>
        <v>0</v>
      </c>
    </row>
    <row r="181" spans="1:17" s="21" customFormat="1" ht="45" customHeight="1" x14ac:dyDescent="0.25">
      <c r="A181" s="181"/>
      <c r="B181" s="30" t="s">
        <v>100</v>
      </c>
      <c r="C181" s="181" t="s">
        <v>304</v>
      </c>
      <c r="D181" s="182" t="s">
        <v>416</v>
      </c>
      <c r="E181" s="194" t="s">
        <v>20</v>
      </c>
      <c r="F181" s="73" t="s">
        <v>408</v>
      </c>
      <c r="G181" s="27" t="s">
        <v>112</v>
      </c>
      <c r="H181" s="75">
        <v>37</v>
      </c>
      <c r="I181" s="76">
        <v>23</v>
      </c>
      <c r="J181" s="98">
        <f>5+1+4+6+4+2+4+3+2</f>
        <v>31</v>
      </c>
      <c r="K181" s="86">
        <f>6524.55+600.31+19349.45+15377.18+2248.86+10883.06</f>
        <v>54983.41</v>
      </c>
      <c r="L181" s="86">
        <f>6524.55+600.31+19349.45+15377.18+2248.86+10883.06</f>
        <v>54983.41</v>
      </c>
      <c r="M181" s="78">
        <f t="shared" si="5"/>
        <v>0</v>
      </c>
      <c r="N181" s="100">
        <f>1+3+2+3+1+1+1</f>
        <v>12</v>
      </c>
      <c r="O181" s="87">
        <f>10770.58+2113.01+3508.24+19305.88+22849.19+23443.77</f>
        <v>81990.670000000013</v>
      </c>
      <c r="P181" s="87">
        <f>10770.58+2113.01+3508.24+19305.88+22849.19+23443.77</f>
        <v>81990.670000000013</v>
      </c>
      <c r="Q181" s="79">
        <f t="shared" si="6"/>
        <v>0</v>
      </c>
    </row>
    <row r="182" spans="1:17" s="21" customFormat="1" ht="60" hidden="1" customHeight="1" x14ac:dyDescent="0.25">
      <c r="A182" s="181"/>
      <c r="B182" s="30" t="s">
        <v>100</v>
      </c>
      <c r="C182" s="203" t="s">
        <v>125</v>
      </c>
      <c r="D182" s="182" t="s">
        <v>126</v>
      </c>
      <c r="E182" s="194" t="s">
        <v>20</v>
      </c>
      <c r="F182" s="73" t="s">
        <v>486</v>
      </c>
      <c r="G182" s="236" t="s">
        <v>114</v>
      </c>
      <c r="H182" s="181">
        <v>13</v>
      </c>
      <c r="I182" s="234">
        <v>3</v>
      </c>
      <c r="J182" s="202">
        <v>3</v>
      </c>
      <c r="K182" s="86">
        <v>17316</v>
      </c>
      <c r="L182" s="86">
        <v>17316</v>
      </c>
      <c r="M182" s="78">
        <f t="shared" si="5"/>
        <v>0</v>
      </c>
      <c r="N182" s="100">
        <v>2</v>
      </c>
      <c r="O182" s="239">
        <v>71568.429999999993</v>
      </c>
      <c r="P182" s="239">
        <v>71568.429999999993</v>
      </c>
      <c r="Q182" s="232">
        <f t="shared" si="6"/>
        <v>0</v>
      </c>
    </row>
    <row r="183" spans="1:17" s="13" customFormat="1" ht="15" customHeight="1" x14ac:dyDescent="0.25">
      <c r="A183" s="229"/>
      <c r="B183" s="62" t="s">
        <v>101</v>
      </c>
      <c r="C183" s="181" t="s">
        <v>17</v>
      </c>
      <c r="D183" s="182"/>
      <c r="E183" s="194" t="s">
        <v>20</v>
      </c>
      <c r="F183" s="73" t="s">
        <v>409</v>
      </c>
      <c r="G183" s="74" t="s">
        <v>112</v>
      </c>
      <c r="H183" s="75">
        <v>18</v>
      </c>
      <c r="I183" s="76">
        <v>8</v>
      </c>
      <c r="J183" s="96">
        <f>1+5+1+1+2+2+1</f>
        <v>13</v>
      </c>
      <c r="K183" s="77">
        <v>9863.65</v>
      </c>
      <c r="L183" s="77">
        <v>9863.65</v>
      </c>
      <c r="M183" s="78">
        <f t="shared" si="5"/>
        <v>0</v>
      </c>
      <c r="N183" s="100">
        <f>5+2+1+1+1</f>
        <v>10</v>
      </c>
      <c r="O183" s="81">
        <v>25277.53</v>
      </c>
      <c r="P183" s="81">
        <v>25277.53</v>
      </c>
      <c r="Q183" s="79">
        <f t="shared" si="6"/>
        <v>0</v>
      </c>
    </row>
    <row r="184" spans="1:17" s="13" customFormat="1" ht="15" customHeight="1" x14ac:dyDescent="0.25">
      <c r="A184" s="229"/>
      <c r="B184" s="62" t="s">
        <v>146</v>
      </c>
      <c r="C184" s="181" t="s">
        <v>17</v>
      </c>
      <c r="D184" s="182"/>
      <c r="E184" s="194" t="s">
        <v>20</v>
      </c>
      <c r="F184" s="73" t="s">
        <v>410</v>
      </c>
      <c r="G184" s="74" t="s">
        <v>112</v>
      </c>
      <c r="H184" s="75">
        <v>19</v>
      </c>
      <c r="I184" s="76">
        <v>14</v>
      </c>
      <c r="J184" s="96">
        <f>4+1+1+2+1+2+1+1+1+1+1</f>
        <v>16</v>
      </c>
      <c r="K184" s="77">
        <f>4610.77+1568.98+1854.88+422.62+1334.13+2599.07+5262.18+1092.81+1092.81+481.68+1092.81</f>
        <v>21412.740000000005</v>
      </c>
      <c r="L184" s="77">
        <f>4610.77+1568.98+1854.88+422.62+1334.13+2599.07+5262.18+1092.81+1092.81+481.68+1092.81</f>
        <v>21412.740000000005</v>
      </c>
      <c r="M184" s="78">
        <f t="shared" si="5"/>
        <v>0</v>
      </c>
      <c r="N184" s="100">
        <f>5+1+1+2+1+1+1+3</f>
        <v>15</v>
      </c>
      <c r="O184" s="81">
        <f>13579.06+1287.07+2636.18+26196.83+1204.2</f>
        <v>44903.34</v>
      </c>
      <c r="P184" s="81">
        <f>13579.06+1287.07+2636.18+26196.83+1204.2</f>
        <v>44903.34</v>
      </c>
      <c r="Q184" s="232">
        <f t="shared" si="6"/>
        <v>0</v>
      </c>
    </row>
    <row r="185" spans="1:17" s="13" customFormat="1" ht="15" hidden="1" customHeight="1" x14ac:dyDescent="0.25">
      <c r="A185" s="229"/>
      <c r="B185" s="62" t="s">
        <v>146</v>
      </c>
      <c r="C185" s="181" t="s">
        <v>17</v>
      </c>
      <c r="D185" s="182"/>
      <c r="E185" s="183" t="s">
        <v>21</v>
      </c>
      <c r="F185" s="73" t="s">
        <v>443</v>
      </c>
      <c r="G185" s="230" t="s">
        <v>118</v>
      </c>
      <c r="H185" s="181">
        <v>18</v>
      </c>
      <c r="I185" s="234">
        <v>7</v>
      </c>
      <c r="J185" s="190">
        <v>7</v>
      </c>
      <c r="K185" s="193">
        <v>13074.18</v>
      </c>
      <c r="L185" s="193">
        <v>13074.18</v>
      </c>
      <c r="M185" s="78">
        <f t="shared" si="5"/>
        <v>0</v>
      </c>
      <c r="N185" s="114">
        <v>6</v>
      </c>
      <c r="O185" s="224">
        <v>6120.6</v>
      </c>
      <c r="P185" s="224">
        <v>3363.06</v>
      </c>
      <c r="Q185" s="79">
        <f t="shared" si="6"/>
        <v>2757.5400000000004</v>
      </c>
    </row>
    <row r="186" spans="1:17" s="13" customFormat="1" ht="15" customHeight="1" x14ac:dyDescent="0.25">
      <c r="A186" s="229"/>
      <c r="B186" s="27" t="s">
        <v>102</v>
      </c>
      <c r="C186" s="181" t="s">
        <v>17</v>
      </c>
      <c r="D186" s="182"/>
      <c r="E186" s="194" t="s">
        <v>20</v>
      </c>
      <c r="F186" s="73" t="s">
        <v>411</v>
      </c>
      <c r="G186" s="74" t="s">
        <v>112</v>
      </c>
      <c r="H186" s="75">
        <v>14</v>
      </c>
      <c r="I186" s="76">
        <v>11</v>
      </c>
      <c r="J186" s="96">
        <f>1+1+2+1+2+1+3</f>
        <v>11</v>
      </c>
      <c r="K186" s="77">
        <f>845.24+845.24+1690.48+1394.65+2689.38+1324.62</f>
        <v>8789.61</v>
      </c>
      <c r="L186" s="77">
        <f>845.24+845.24+1690.48+1394.65+2689.38+1324.62</f>
        <v>8789.61</v>
      </c>
      <c r="M186" s="78">
        <f t="shared" si="5"/>
        <v>0</v>
      </c>
      <c r="N186" s="100">
        <f>3+1+1+1+1</f>
        <v>7</v>
      </c>
      <c r="O186" s="81">
        <f>7808.21+30833.77-12193.52+9963.17+5385.9+14660.89</f>
        <v>56458.420000000006</v>
      </c>
      <c r="P186" s="81">
        <f>7808.21+30833.77-12193.52+9963.17+5385.9+14660.89</f>
        <v>56458.420000000006</v>
      </c>
      <c r="Q186" s="232">
        <f t="shared" si="6"/>
        <v>0</v>
      </c>
    </row>
    <row r="187" spans="1:17" s="13" customFormat="1" ht="15" hidden="1" customHeight="1" x14ac:dyDescent="0.25">
      <c r="A187" s="229"/>
      <c r="B187" s="27" t="s">
        <v>102</v>
      </c>
      <c r="C187" s="181" t="s">
        <v>17</v>
      </c>
      <c r="D187" s="182"/>
      <c r="E187" s="194" t="s">
        <v>20</v>
      </c>
      <c r="F187" s="73" t="s">
        <v>469</v>
      </c>
      <c r="G187" s="230" t="s">
        <v>114</v>
      </c>
      <c r="H187" s="181">
        <v>12</v>
      </c>
      <c r="I187" s="231">
        <v>5</v>
      </c>
      <c r="J187" s="190">
        <v>5</v>
      </c>
      <c r="K187" s="77">
        <v>7690.26</v>
      </c>
      <c r="L187" s="77">
        <v>7690.26</v>
      </c>
      <c r="M187" s="78">
        <f t="shared" si="5"/>
        <v>0</v>
      </c>
      <c r="N187" s="100">
        <v>8</v>
      </c>
      <c r="O187" s="224">
        <v>31795.42</v>
      </c>
      <c r="P187" s="224">
        <v>31795.42</v>
      </c>
      <c r="Q187" s="232">
        <f t="shared" si="6"/>
        <v>0</v>
      </c>
    </row>
    <row r="188" spans="1:17" s="13" customFormat="1" ht="15" customHeight="1" x14ac:dyDescent="0.25">
      <c r="A188" s="229"/>
      <c r="B188" s="27" t="s">
        <v>103</v>
      </c>
      <c r="C188" s="181" t="s">
        <v>17</v>
      </c>
      <c r="D188" s="182"/>
      <c r="E188" s="183" t="s">
        <v>20</v>
      </c>
      <c r="F188" s="73" t="s">
        <v>412</v>
      </c>
      <c r="G188" s="74" t="s">
        <v>112</v>
      </c>
      <c r="H188" s="75">
        <v>18</v>
      </c>
      <c r="I188" s="76">
        <v>11</v>
      </c>
      <c r="J188" s="96">
        <f>4+1+2+3+1+1</f>
        <v>12</v>
      </c>
      <c r="K188" s="77">
        <f>16248.67+1092.81+2003.49+401.4+421.47</f>
        <v>20167.840000000004</v>
      </c>
      <c r="L188" s="77">
        <f>16248.67+1092.81+2003.49+401.4+421.47</f>
        <v>20167.840000000004</v>
      </c>
      <c r="M188" s="78">
        <f t="shared" si="5"/>
        <v>0</v>
      </c>
      <c r="N188" s="100">
        <f>7+2+1+1+2+1+1</f>
        <v>15</v>
      </c>
      <c r="O188" s="77">
        <f>20193.14+7541.5+685.38+1766.16</f>
        <v>30186.18</v>
      </c>
      <c r="P188" s="77">
        <f>20193.14+7541.5+685.38+1766.16</f>
        <v>30186.18</v>
      </c>
      <c r="Q188" s="232">
        <f t="shared" si="6"/>
        <v>0</v>
      </c>
    </row>
    <row r="189" spans="1:17" s="13" customFormat="1" ht="15" hidden="1" customHeight="1" x14ac:dyDescent="0.25">
      <c r="A189" s="229"/>
      <c r="B189" s="27" t="s">
        <v>103</v>
      </c>
      <c r="C189" s="181" t="s">
        <v>17</v>
      </c>
      <c r="D189" s="182"/>
      <c r="E189" s="183" t="s">
        <v>20</v>
      </c>
      <c r="F189" s="73" t="s">
        <v>470</v>
      </c>
      <c r="G189" s="230" t="s">
        <v>114</v>
      </c>
      <c r="H189" s="181">
        <v>19</v>
      </c>
      <c r="I189" s="231">
        <v>6</v>
      </c>
      <c r="J189" s="190">
        <v>6</v>
      </c>
      <c r="K189" s="77">
        <v>10158.299999999999</v>
      </c>
      <c r="L189" s="77">
        <v>10158.299999999999</v>
      </c>
      <c r="M189" s="78">
        <f t="shared" si="5"/>
        <v>0</v>
      </c>
      <c r="N189" s="100">
        <v>5</v>
      </c>
      <c r="O189" s="224">
        <v>14245.19</v>
      </c>
      <c r="P189" s="224">
        <v>14245.19</v>
      </c>
      <c r="Q189" s="232">
        <f t="shared" si="6"/>
        <v>0</v>
      </c>
    </row>
    <row r="190" spans="1:17" s="15" customFormat="1" ht="15" customHeight="1" x14ac:dyDescent="0.25">
      <c r="A190" s="229"/>
      <c r="B190" s="27" t="s">
        <v>104</v>
      </c>
      <c r="C190" s="181" t="s">
        <v>17</v>
      </c>
      <c r="D190" s="182"/>
      <c r="E190" s="183" t="s">
        <v>20</v>
      </c>
      <c r="F190" s="73" t="s">
        <v>413</v>
      </c>
      <c r="G190" s="74" t="s">
        <v>112</v>
      </c>
      <c r="H190" s="75">
        <v>19</v>
      </c>
      <c r="I190" s="76">
        <v>17</v>
      </c>
      <c r="J190" s="96">
        <f>3+1+2+4+1+1+1+5+5</f>
        <v>23</v>
      </c>
      <c r="K190" s="77">
        <f>5112.82+422.64+8302.14+1605.5+1092.81+1390.85+7796.86</f>
        <v>25723.62</v>
      </c>
      <c r="L190" s="77">
        <f>5112.82+422.64+8302.14+1605.5+1092.81+1390.85+7796.86</f>
        <v>25723.62</v>
      </c>
      <c r="M190" s="78">
        <f t="shared" si="5"/>
        <v>0</v>
      </c>
      <c r="N190" s="100">
        <f>4+1+1+2+1+1+1</f>
        <v>11</v>
      </c>
      <c r="O190" s="81">
        <f>7087.22+3426.18+3496.22</f>
        <v>14009.619999999999</v>
      </c>
      <c r="P190" s="81">
        <f>7087.22+3426.18+3496.22</f>
        <v>14009.619999999999</v>
      </c>
      <c r="Q190" s="232">
        <f t="shared" si="6"/>
        <v>0</v>
      </c>
    </row>
    <row r="191" spans="1:17" s="15" customFormat="1" ht="15" hidden="1" customHeight="1" x14ac:dyDescent="0.25">
      <c r="A191" s="229"/>
      <c r="B191" s="27" t="s">
        <v>104</v>
      </c>
      <c r="C191" s="181" t="s">
        <v>17</v>
      </c>
      <c r="D191" s="182"/>
      <c r="E191" s="183" t="s">
        <v>20</v>
      </c>
      <c r="F191" s="73" t="s">
        <v>471</v>
      </c>
      <c r="G191" s="230" t="s">
        <v>114</v>
      </c>
      <c r="H191" s="181">
        <v>45</v>
      </c>
      <c r="I191" s="231">
        <v>19</v>
      </c>
      <c r="J191" s="190">
        <v>19</v>
      </c>
      <c r="K191" s="77">
        <v>41748.910000000003</v>
      </c>
      <c r="L191" s="77">
        <v>41748.910000000003</v>
      </c>
      <c r="M191" s="78">
        <f t="shared" si="5"/>
        <v>0</v>
      </c>
      <c r="N191" s="114">
        <v>20</v>
      </c>
      <c r="O191" s="224">
        <v>50922.05</v>
      </c>
      <c r="P191" s="224">
        <v>50922.05</v>
      </c>
      <c r="Q191" s="232">
        <f t="shared" si="6"/>
        <v>0</v>
      </c>
    </row>
    <row r="192" spans="1:17" s="13" customFormat="1" ht="15" hidden="1" customHeight="1" x14ac:dyDescent="0.25">
      <c r="A192" s="229"/>
      <c r="B192" s="30" t="s">
        <v>26</v>
      </c>
      <c r="C192" s="181" t="s">
        <v>17</v>
      </c>
      <c r="D192" s="182"/>
      <c r="E192" s="183" t="s">
        <v>32</v>
      </c>
      <c r="F192" s="73" t="s">
        <v>246</v>
      </c>
      <c r="G192" s="74" t="s">
        <v>117</v>
      </c>
      <c r="H192" s="75"/>
      <c r="I192" s="76"/>
      <c r="J192" s="96"/>
      <c r="K192" s="77"/>
      <c r="L192" s="77"/>
      <c r="M192" s="78">
        <f t="shared" si="5"/>
        <v>0</v>
      </c>
      <c r="N192" s="100">
        <v>5</v>
      </c>
      <c r="O192" s="81">
        <v>7808.15</v>
      </c>
      <c r="P192" s="81">
        <v>7808.15</v>
      </c>
      <c r="Q192" s="232">
        <f t="shared" si="6"/>
        <v>0</v>
      </c>
    </row>
    <row r="193" spans="1:17" s="13" customFormat="1" ht="15" customHeight="1" x14ac:dyDescent="0.25">
      <c r="A193" s="229"/>
      <c r="B193" s="30" t="s">
        <v>105</v>
      </c>
      <c r="C193" s="181" t="s">
        <v>17</v>
      </c>
      <c r="D193" s="182"/>
      <c r="E193" s="194" t="s">
        <v>35</v>
      </c>
      <c r="F193" s="73" t="s">
        <v>518</v>
      </c>
      <c r="G193" s="74" t="s">
        <v>112</v>
      </c>
      <c r="H193" s="75">
        <v>6</v>
      </c>
      <c r="I193" s="76"/>
      <c r="J193" s="96"/>
      <c r="K193" s="77"/>
      <c r="L193" s="77"/>
      <c r="M193" s="78"/>
      <c r="N193" s="100"/>
      <c r="O193" s="81"/>
      <c r="P193" s="81"/>
      <c r="Q193" s="232"/>
    </row>
    <row r="194" spans="1:17" s="13" customFormat="1" ht="15" customHeight="1" x14ac:dyDescent="0.25">
      <c r="A194" s="229"/>
      <c r="B194" s="62" t="s">
        <v>106</v>
      </c>
      <c r="C194" s="181" t="s">
        <v>17</v>
      </c>
      <c r="D194" s="205"/>
      <c r="E194" s="194" t="s">
        <v>20</v>
      </c>
      <c r="F194" s="73" t="s">
        <v>414</v>
      </c>
      <c r="G194" s="74" t="s">
        <v>112</v>
      </c>
      <c r="H194" s="75">
        <v>18</v>
      </c>
      <c r="I194" s="76">
        <v>11</v>
      </c>
      <c r="J194" s="96">
        <f>1+4+2+2+1+4</f>
        <v>14</v>
      </c>
      <c r="K194" s="77">
        <f>4901.5+2119.39+5027.75</f>
        <v>12048.64</v>
      </c>
      <c r="L194" s="77">
        <f>4901.5+2119.39+5027.75</f>
        <v>12048.64</v>
      </c>
      <c r="M194" s="78">
        <f t="shared" si="5"/>
        <v>0</v>
      </c>
      <c r="N194" s="100">
        <f>3+1+1+1+1</f>
        <v>7</v>
      </c>
      <c r="O194" s="81">
        <f>49473.81+3066.27+1501.24</f>
        <v>54041.319999999992</v>
      </c>
      <c r="P194" s="81">
        <f>49473.81+3066.27+1501.24</f>
        <v>54041.319999999992</v>
      </c>
      <c r="Q194" s="232">
        <f t="shared" si="6"/>
        <v>0</v>
      </c>
    </row>
    <row r="195" spans="1:17" ht="15" hidden="1" customHeight="1" x14ac:dyDescent="0.25">
      <c r="A195" s="315"/>
      <c r="B195" s="66"/>
      <c r="C195" s="316"/>
      <c r="D195" s="235"/>
      <c r="E195" s="235"/>
      <c r="F195" s="73"/>
      <c r="G195" s="235" t="s">
        <v>131</v>
      </c>
      <c r="H195" s="240">
        <f>SUM(H10:H194)</f>
        <v>3327</v>
      </c>
      <c r="I195" s="314">
        <f>SUM(I10:I194)</f>
        <v>2107</v>
      </c>
      <c r="J195" s="208">
        <f>SUM(J10:J194)</f>
        <v>2572</v>
      </c>
      <c r="K195" s="209">
        <f>SUM(K10:K194)</f>
        <v>4678318.8450000025</v>
      </c>
      <c r="L195" s="209">
        <f>SUM(L10:L194)</f>
        <v>4660420.2250000024</v>
      </c>
      <c r="M195" s="210">
        <f>K195-L195</f>
        <v>17898.620000000112</v>
      </c>
      <c r="N195" s="208">
        <f>SUM(N10:N194)</f>
        <v>1947</v>
      </c>
      <c r="O195" s="241">
        <f>SUM(O10:O194)</f>
        <v>6154114</v>
      </c>
      <c r="P195" s="241">
        <f>SUM(P10:P194)</f>
        <v>6140317.9600000009</v>
      </c>
      <c r="Q195" s="79">
        <f t="shared" si="6"/>
        <v>13796.039999999106</v>
      </c>
    </row>
    <row r="196" spans="1:17" ht="15" hidden="1" customHeight="1" x14ac:dyDescent="0.25">
      <c r="K196" s="91" t="s">
        <v>305</v>
      </c>
    </row>
    <row r="197" spans="1:17" ht="45" hidden="1" customHeight="1" x14ac:dyDescent="0.25">
      <c r="B197" s="89" t="s">
        <v>316</v>
      </c>
      <c r="F197" s="104" t="s">
        <v>317</v>
      </c>
      <c r="M197" s="142"/>
      <c r="N197" s="277"/>
      <c r="O197" s="278"/>
      <c r="P197" s="279"/>
      <c r="Q197" s="133"/>
    </row>
    <row r="198" spans="1:17" x14ac:dyDescent="0.25"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216"/>
      <c r="N198" s="6"/>
      <c r="O198" s="6"/>
      <c r="P198" s="6"/>
      <c r="Q198" s="6"/>
    </row>
    <row r="199" spans="1:17" x14ac:dyDescent="0.25">
      <c r="M199" s="216"/>
    </row>
    <row r="200" spans="1:17" x14ac:dyDescent="0.25">
      <c r="M200" s="216"/>
    </row>
    <row r="201" spans="1:17" x14ac:dyDescent="0.25">
      <c r="M201" s="216"/>
    </row>
    <row r="202" spans="1:17" x14ac:dyDescent="0.25">
      <c r="M202" s="216"/>
    </row>
  </sheetData>
  <autoFilter ref="A9:Q197">
    <filterColumn colId="6">
      <filters>
        <filter val="Регіональний центр"/>
      </filters>
    </filterColumn>
  </autoFilter>
  <mergeCells count="7">
    <mergeCell ref="O1:Q1"/>
    <mergeCell ref="A3:Q3"/>
    <mergeCell ref="A4:Q4"/>
    <mergeCell ref="A5:Q5"/>
    <mergeCell ref="B7:G7"/>
    <mergeCell ref="H7:M7"/>
    <mergeCell ref="N7:Q7"/>
  </mergeCells>
  <pageMargins left="0.7" right="0.7" top="0.75" bottom="0.75" header="0.3" footer="0.3"/>
  <pageSetup paperSize="9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03"/>
  <sheetViews>
    <sheetView workbookViewId="0">
      <selection sqref="A1:XFD1048576"/>
    </sheetView>
  </sheetViews>
  <sheetFormatPr defaultRowHeight="15" x14ac:dyDescent="0.25"/>
  <cols>
    <col min="1" max="1" width="1.85546875" style="6" customWidth="1"/>
    <col min="2" max="2" width="38.28515625" style="88" customWidth="1"/>
    <col min="3" max="3" width="6.5703125" style="19" customWidth="1"/>
    <col min="4" max="4" width="17.42578125" style="19" customWidth="1"/>
    <col min="5" max="5" width="19" style="19" customWidth="1"/>
    <col min="6" max="6" width="19" style="89" customWidth="1"/>
    <col min="7" max="7" width="20.140625" style="89" customWidth="1"/>
    <col min="8" max="9" width="15.7109375" style="90" customWidth="1"/>
    <col min="10" max="10" width="15.7109375" style="99" customWidth="1"/>
    <col min="11" max="13" width="15.7109375" style="91" customWidth="1"/>
    <col min="14" max="14" width="15.7109375" style="99" customWidth="1"/>
    <col min="15" max="17" width="15.7109375" style="92" customWidth="1"/>
    <col min="18" max="18" width="11" style="6" bestFit="1" customWidth="1"/>
    <col min="19" max="16384" width="9.140625" style="6"/>
  </cols>
  <sheetData>
    <row r="1" spans="1:17" s="105" customFormat="1" x14ac:dyDescent="0.25">
      <c r="A1" s="60"/>
      <c r="B1" s="60"/>
      <c r="C1" s="225"/>
      <c r="D1" s="225"/>
      <c r="E1" s="225"/>
      <c r="F1" s="63"/>
      <c r="G1" s="63"/>
      <c r="H1" s="64"/>
      <c r="I1" s="64"/>
      <c r="J1" s="93"/>
      <c r="K1" s="65"/>
      <c r="L1" s="65"/>
      <c r="M1" s="65"/>
      <c r="N1" s="93"/>
      <c r="O1" s="362" t="s">
        <v>15</v>
      </c>
      <c r="P1" s="362"/>
      <c r="Q1" s="362"/>
    </row>
    <row r="2" spans="1:17" s="105" customFormat="1" x14ac:dyDescent="0.25">
      <c r="A2" s="319"/>
      <c r="B2" s="319"/>
      <c r="C2" s="320"/>
      <c r="D2" s="320"/>
      <c r="E2" s="320"/>
      <c r="F2" s="66"/>
      <c r="G2" s="66"/>
      <c r="H2" s="318"/>
      <c r="I2" s="318"/>
      <c r="J2" s="94"/>
      <c r="K2" s="67"/>
      <c r="L2" s="67"/>
      <c r="M2" s="67"/>
      <c r="N2" s="94"/>
      <c r="O2" s="68"/>
      <c r="P2" s="68"/>
      <c r="Q2" s="68"/>
    </row>
    <row r="3" spans="1:17" s="105" customFormat="1" x14ac:dyDescent="0.25">
      <c r="A3" s="380" t="s">
        <v>318</v>
      </c>
      <c r="B3" s="367"/>
      <c r="C3" s="380"/>
      <c r="D3" s="380"/>
      <c r="E3" s="380"/>
      <c r="F3" s="367"/>
      <c r="G3" s="367"/>
      <c r="H3" s="366"/>
      <c r="I3" s="366"/>
      <c r="J3" s="367"/>
      <c r="K3" s="367"/>
      <c r="L3" s="367"/>
      <c r="M3" s="367"/>
      <c r="N3" s="367"/>
      <c r="O3" s="367"/>
      <c r="P3" s="367"/>
      <c r="Q3" s="367"/>
    </row>
    <row r="4" spans="1:17" s="105" customFormat="1" x14ac:dyDescent="0.25">
      <c r="A4" s="381">
        <v>43808</v>
      </c>
      <c r="B4" s="373"/>
      <c r="C4" s="382"/>
      <c r="D4" s="382"/>
      <c r="E4" s="382"/>
      <c r="F4" s="373"/>
      <c r="G4" s="373"/>
      <c r="H4" s="372"/>
      <c r="I4" s="372"/>
      <c r="J4" s="373"/>
      <c r="K4" s="373"/>
      <c r="L4" s="373"/>
      <c r="M4" s="373"/>
      <c r="N4" s="373"/>
      <c r="O4" s="373"/>
      <c r="P4" s="373"/>
      <c r="Q4" s="373"/>
    </row>
    <row r="5" spans="1:17" s="105" customFormat="1" x14ac:dyDescent="0.25">
      <c r="A5" s="367" t="s">
        <v>14</v>
      </c>
      <c r="B5" s="367"/>
      <c r="C5" s="367"/>
      <c r="D5" s="367"/>
      <c r="E5" s="367"/>
      <c r="F5" s="367"/>
      <c r="G5" s="367"/>
      <c r="H5" s="366"/>
      <c r="I5" s="366"/>
      <c r="J5" s="367"/>
      <c r="K5" s="367"/>
      <c r="L5" s="367"/>
      <c r="M5" s="367"/>
      <c r="N5" s="367"/>
      <c r="O5" s="367"/>
      <c r="P5" s="367"/>
      <c r="Q5" s="367"/>
    </row>
    <row r="6" spans="1:17" s="105" customFormat="1" x14ac:dyDescent="0.25">
      <c r="A6" s="319"/>
      <c r="B6" s="319"/>
      <c r="C6" s="320"/>
      <c r="D6" s="320"/>
      <c r="E6" s="320"/>
      <c r="F6" s="66"/>
      <c r="G6" s="66"/>
      <c r="H6" s="318"/>
      <c r="I6" s="318"/>
      <c r="J6" s="94"/>
      <c r="K6" s="67"/>
      <c r="L6" s="67"/>
      <c r="M6" s="67"/>
      <c r="N6" s="94"/>
      <c r="O6" s="68"/>
      <c r="P6" s="68"/>
      <c r="Q6" s="68"/>
    </row>
    <row r="7" spans="1:17" x14ac:dyDescent="0.25">
      <c r="A7" s="227" t="s">
        <v>0</v>
      </c>
      <c r="B7" s="367" t="s">
        <v>10</v>
      </c>
      <c r="C7" s="380"/>
      <c r="D7" s="380"/>
      <c r="E7" s="380"/>
      <c r="F7" s="367"/>
      <c r="G7" s="367"/>
      <c r="H7" s="366" t="s">
        <v>472</v>
      </c>
      <c r="I7" s="366"/>
      <c r="J7" s="367"/>
      <c r="K7" s="367"/>
      <c r="L7" s="367"/>
      <c r="M7" s="367"/>
      <c r="N7" s="367" t="s">
        <v>132</v>
      </c>
      <c r="O7" s="367"/>
      <c r="P7" s="367"/>
      <c r="Q7" s="367"/>
    </row>
    <row r="8" spans="1:17" ht="195" x14ac:dyDescent="0.25">
      <c r="A8" s="227"/>
      <c r="B8" s="319" t="s">
        <v>4</v>
      </c>
      <c r="C8" s="320" t="s">
        <v>1</v>
      </c>
      <c r="D8" s="320" t="s">
        <v>3</v>
      </c>
      <c r="E8" s="320" t="s">
        <v>2</v>
      </c>
      <c r="F8" s="319" t="s">
        <v>6</v>
      </c>
      <c r="G8" s="66" t="s">
        <v>5</v>
      </c>
      <c r="H8" s="319" t="s">
        <v>7</v>
      </c>
      <c r="I8" s="319" t="s">
        <v>8</v>
      </c>
      <c r="J8" s="94" t="s">
        <v>9</v>
      </c>
      <c r="K8" s="67" t="s">
        <v>11</v>
      </c>
      <c r="L8" s="67" t="s">
        <v>12</v>
      </c>
      <c r="M8" s="67" t="s">
        <v>13</v>
      </c>
      <c r="N8" s="94" t="s">
        <v>9</v>
      </c>
      <c r="O8" s="68" t="s">
        <v>11</v>
      </c>
      <c r="P8" s="68" t="s">
        <v>12</v>
      </c>
      <c r="Q8" s="68" t="s">
        <v>13</v>
      </c>
    </row>
    <row r="9" spans="1:17" x14ac:dyDescent="0.25">
      <c r="A9" s="228">
        <v>1</v>
      </c>
      <c r="B9" s="61">
        <f>A9+1</f>
        <v>2</v>
      </c>
      <c r="C9" s="228">
        <f t="shared" ref="C9:Q9" si="0">B9+1</f>
        <v>3</v>
      </c>
      <c r="D9" s="228">
        <f t="shared" si="0"/>
        <v>4</v>
      </c>
      <c r="E9" s="228">
        <f t="shared" si="0"/>
        <v>5</v>
      </c>
      <c r="F9" s="69">
        <f t="shared" si="0"/>
        <v>6</v>
      </c>
      <c r="G9" s="69">
        <f t="shared" si="0"/>
        <v>7</v>
      </c>
      <c r="H9" s="70">
        <f t="shared" si="0"/>
        <v>8</v>
      </c>
      <c r="I9" s="70">
        <f t="shared" si="0"/>
        <v>9</v>
      </c>
      <c r="J9" s="95">
        <f t="shared" si="0"/>
        <v>10</v>
      </c>
      <c r="K9" s="71">
        <f t="shared" si="0"/>
        <v>11</v>
      </c>
      <c r="L9" s="71">
        <f t="shared" si="0"/>
        <v>12</v>
      </c>
      <c r="M9" s="71">
        <f t="shared" si="0"/>
        <v>13</v>
      </c>
      <c r="N9" s="95">
        <f t="shared" si="0"/>
        <v>14</v>
      </c>
      <c r="O9" s="72">
        <f t="shared" si="0"/>
        <v>15</v>
      </c>
      <c r="P9" s="72">
        <f t="shared" si="0"/>
        <v>16</v>
      </c>
      <c r="Q9" s="72">
        <f t="shared" si="0"/>
        <v>17</v>
      </c>
    </row>
    <row r="10" spans="1:17" s="13" customFormat="1" ht="30" x14ac:dyDescent="0.25">
      <c r="A10" s="229"/>
      <c r="B10" s="62" t="s">
        <v>16</v>
      </c>
      <c r="C10" s="181" t="s">
        <v>304</v>
      </c>
      <c r="D10" s="182" t="s">
        <v>315</v>
      </c>
      <c r="E10" s="183" t="s">
        <v>18</v>
      </c>
      <c r="F10" s="73" t="s">
        <v>322</v>
      </c>
      <c r="G10" s="74" t="s">
        <v>112</v>
      </c>
      <c r="H10" s="75">
        <v>13</v>
      </c>
      <c r="I10" s="76">
        <v>11</v>
      </c>
      <c r="J10" s="98">
        <f>2+1+3+3+1+3</f>
        <v>13</v>
      </c>
      <c r="K10" s="77">
        <f>4792.51+1138.19+504.26+11366.06+4859.68+3954.5+12023.46+3259.34+6673.56</f>
        <v>48571.56</v>
      </c>
      <c r="L10" s="77">
        <f>4792.51+1138.19+504.26+11366.06+4859.68+3954.5+12023.46+3259.34</f>
        <v>41898</v>
      </c>
      <c r="M10" s="78">
        <f>K10-L10</f>
        <v>6673.5599999999977</v>
      </c>
      <c r="N10" s="100">
        <f>2+5+1+2+1+1</f>
        <v>12</v>
      </c>
      <c r="O10" s="77">
        <f>9108.77+6924.32+22366.06+8197.52</f>
        <v>46596.67</v>
      </c>
      <c r="P10" s="77">
        <f>9108.77+6924.32+22366.06+8197.52</f>
        <v>46596.67</v>
      </c>
      <c r="Q10" s="79">
        <f>O10-P10</f>
        <v>0</v>
      </c>
    </row>
    <row r="11" spans="1:17" s="13" customFormat="1" ht="30" x14ac:dyDescent="0.25">
      <c r="A11" s="229"/>
      <c r="B11" s="62" t="s">
        <v>16</v>
      </c>
      <c r="C11" s="181" t="s">
        <v>304</v>
      </c>
      <c r="D11" s="182" t="s">
        <v>315</v>
      </c>
      <c r="E11" s="183" t="s">
        <v>18</v>
      </c>
      <c r="F11" s="73" t="s">
        <v>322</v>
      </c>
      <c r="G11" s="230" t="s">
        <v>116</v>
      </c>
      <c r="H11" s="181">
        <v>15</v>
      </c>
      <c r="I11" s="231">
        <v>9</v>
      </c>
      <c r="J11" s="96">
        <v>9</v>
      </c>
      <c r="K11" s="224">
        <v>15861</v>
      </c>
      <c r="L11" s="224">
        <v>15861</v>
      </c>
      <c r="M11" s="78">
        <f t="shared" ref="M11:M77" si="1">K11-L11</f>
        <v>0</v>
      </c>
      <c r="N11" s="100"/>
      <c r="O11" s="224">
        <v>2945</v>
      </c>
      <c r="P11" s="224">
        <v>2945</v>
      </c>
      <c r="Q11" s="232">
        <f t="shared" ref="Q11:Q81" si="2">O11-P11</f>
        <v>0</v>
      </c>
    </row>
    <row r="12" spans="1:17" s="13" customFormat="1" x14ac:dyDescent="0.25">
      <c r="A12" s="229"/>
      <c r="B12" s="62" t="s">
        <v>490</v>
      </c>
      <c r="C12" s="181" t="s">
        <v>304</v>
      </c>
      <c r="D12" s="182"/>
      <c r="E12" s="183"/>
      <c r="F12" s="189" t="s">
        <v>501</v>
      </c>
      <c r="G12" s="230" t="s">
        <v>112</v>
      </c>
      <c r="H12" s="181">
        <v>22</v>
      </c>
      <c r="I12" s="231">
        <v>18</v>
      </c>
      <c r="J12" s="96">
        <f>5+1+3+1+1+2+2+1+1+2+1</f>
        <v>20</v>
      </c>
      <c r="K12" s="224">
        <f>8352.39+384.2+1463.8+3720.67+546.41+5470.48+13100.4+2207.7+4647.18+8101.05+7814.05</f>
        <v>55808.33</v>
      </c>
      <c r="L12" s="224">
        <f>8352.39+384.2+1463.8+3720.67+546.41+5470.48+13100.4+2207.7+4647.18</f>
        <v>39893.229999999996</v>
      </c>
      <c r="M12" s="78">
        <f t="shared" si="1"/>
        <v>15915.100000000006</v>
      </c>
      <c r="N12" s="100"/>
      <c r="O12" s="224"/>
      <c r="P12" s="224"/>
      <c r="Q12" s="79">
        <f t="shared" si="2"/>
        <v>0</v>
      </c>
    </row>
    <row r="13" spans="1:17" s="15" customFormat="1" x14ac:dyDescent="0.25">
      <c r="A13" s="229"/>
      <c r="B13" s="62" t="s">
        <v>19</v>
      </c>
      <c r="C13" s="181" t="s">
        <v>17</v>
      </c>
      <c r="D13" s="182"/>
      <c r="E13" s="183" t="s">
        <v>20</v>
      </c>
      <c r="F13" s="73" t="s">
        <v>323</v>
      </c>
      <c r="G13" s="74" t="s">
        <v>112</v>
      </c>
      <c r="H13" s="75">
        <v>18</v>
      </c>
      <c r="I13" s="76">
        <v>15</v>
      </c>
      <c r="J13" s="96">
        <f>1+2+5+2+1+5+1+3+1+2+1</f>
        <v>24</v>
      </c>
      <c r="K13" s="77">
        <f>422.62+4792.51+1796.14+1373.52+5511.59+1707.76+662.31+2561.63</f>
        <v>18828.080000000002</v>
      </c>
      <c r="L13" s="77">
        <f>422.62+4792.51+1796.14+1373.52+5511.59+1707.76+662.31</f>
        <v>16266.45</v>
      </c>
      <c r="M13" s="78">
        <f>K13-L13</f>
        <v>2561.630000000001</v>
      </c>
      <c r="N13" s="100">
        <f>8+3+1+2</f>
        <v>14</v>
      </c>
      <c r="O13" s="81">
        <f>6459.36+7124.45</f>
        <v>13583.81</v>
      </c>
      <c r="P13" s="81">
        <f>6459.36+7124.45</f>
        <v>13583.81</v>
      </c>
      <c r="Q13" s="79">
        <f t="shared" si="2"/>
        <v>0</v>
      </c>
    </row>
    <row r="14" spans="1:17" s="15" customFormat="1" x14ac:dyDescent="0.25">
      <c r="A14" s="229"/>
      <c r="B14" s="62" t="s">
        <v>19</v>
      </c>
      <c r="C14" s="181" t="s">
        <v>17</v>
      </c>
      <c r="D14" s="182"/>
      <c r="E14" s="183" t="s">
        <v>20</v>
      </c>
      <c r="F14" s="73" t="s">
        <v>451</v>
      </c>
      <c r="G14" s="230" t="s">
        <v>114</v>
      </c>
      <c r="H14" s="181">
        <v>15</v>
      </c>
      <c r="I14" s="231">
        <v>7</v>
      </c>
      <c r="J14" s="190">
        <v>7</v>
      </c>
      <c r="K14" s="77">
        <v>11142.12</v>
      </c>
      <c r="L14" s="77">
        <v>11142.12</v>
      </c>
      <c r="M14" s="78">
        <f t="shared" si="1"/>
        <v>0</v>
      </c>
      <c r="N14" s="100">
        <v>10</v>
      </c>
      <c r="O14" s="224">
        <v>18093.599999999999</v>
      </c>
      <c r="P14" s="224">
        <v>18093.599999999999</v>
      </c>
      <c r="Q14" s="232">
        <f t="shared" si="2"/>
        <v>0</v>
      </c>
    </row>
    <row r="15" spans="1:17" s="15" customFormat="1" x14ac:dyDescent="0.25">
      <c r="A15" s="229"/>
      <c r="B15" s="62" t="s">
        <v>153</v>
      </c>
      <c r="C15" s="181" t="s">
        <v>17</v>
      </c>
      <c r="D15" s="182"/>
      <c r="E15" s="183" t="s">
        <v>20</v>
      </c>
      <c r="F15" s="73" t="s">
        <v>324</v>
      </c>
      <c r="G15" s="74" t="s">
        <v>112</v>
      </c>
      <c r="H15" s="75">
        <v>21</v>
      </c>
      <c r="I15" s="82">
        <v>15</v>
      </c>
      <c r="J15" s="96">
        <f>1+1+2+1+1+2+1+1+1+1+2+1+1+1</f>
        <v>17</v>
      </c>
      <c r="K15" s="77">
        <f>950.9+2451.87+3074.57+845.24+1977.86+1284.48+883.08+401.4+1357.13+421.47+6324.86+2980.4</f>
        <v>22953.26</v>
      </c>
      <c r="L15" s="77">
        <f>950.9+2451.87+3074.57+845.24+1977.86+1284.48+883.08+401.4+1357.13+421.47+6324.86</f>
        <v>19972.859999999997</v>
      </c>
      <c r="M15" s="78">
        <f t="shared" si="1"/>
        <v>2980.4000000000015</v>
      </c>
      <c r="N15" s="114">
        <f>1+2+1+2+1+1</f>
        <v>8</v>
      </c>
      <c r="O15" s="81">
        <f>422.62+945.61+2484.69+7964.81+1536.8+2498.17</f>
        <v>15852.699999999999</v>
      </c>
      <c r="P15" s="81">
        <f>422.62+945.61+2484.69+7964.81+1536.8+2498.17</f>
        <v>15852.699999999999</v>
      </c>
      <c r="Q15" s="79">
        <f t="shared" si="2"/>
        <v>0</v>
      </c>
    </row>
    <row r="16" spans="1:17" s="15" customFormat="1" x14ac:dyDescent="0.25">
      <c r="A16" s="229"/>
      <c r="B16" s="233" t="s">
        <v>153</v>
      </c>
      <c r="C16" s="181" t="s">
        <v>17</v>
      </c>
      <c r="D16" s="182"/>
      <c r="E16" s="183" t="s">
        <v>20</v>
      </c>
      <c r="F16" s="73" t="s">
        <v>452</v>
      </c>
      <c r="G16" s="230" t="s">
        <v>114</v>
      </c>
      <c r="H16" s="181">
        <v>21</v>
      </c>
      <c r="I16" s="231">
        <v>7</v>
      </c>
      <c r="J16" s="190">
        <v>7</v>
      </c>
      <c r="K16" s="77">
        <v>20595.29</v>
      </c>
      <c r="L16" s="77">
        <v>20595.29</v>
      </c>
      <c r="M16" s="78">
        <f t="shared" si="1"/>
        <v>0</v>
      </c>
      <c r="N16" s="100">
        <v>10</v>
      </c>
      <c r="O16" s="224">
        <v>28910.6</v>
      </c>
      <c r="P16" s="224">
        <v>23692.400000000001</v>
      </c>
      <c r="Q16" s="232">
        <f t="shared" si="2"/>
        <v>5218.1999999999971</v>
      </c>
    </row>
    <row r="17" spans="1:17" s="13" customFormat="1" x14ac:dyDescent="0.25">
      <c r="A17" s="229"/>
      <c r="B17" s="30" t="s">
        <v>22</v>
      </c>
      <c r="C17" s="181" t="s">
        <v>17</v>
      </c>
      <c r="D17" s="182"/>
      <c r="E17" s="183" t="s">
        <v>23</v>
      </c>
      <c r="F17" s="73" t="s">
        <v>325</v>
      </c>
      <c r="G17" s="74" t="s">
        <v>112</v>
      </c>
      <c r="H17" s="75">
        <v>55</v>
      </c>
      <c r="I17" s="76">
        <v>10</v>
      </c>
      <c r="J17" s="96">
        <f>1+2+1+9</f>
        <v>13</v>
      </c>
      <c r="K17" s="77">
        <f>2698.64+1402.33+11601.84+8586.48</f>
        <v>24289.29</v>
      </c>
      <c r="L17" s="77">
        <f>2698.64+1402.33+11601.84+8586.48</f>
        <v>24289.29</v>
      </c>
      <c r="M17" s="78">
        <f t="shared" si="1"/>
        <v>0</v>
      </c>
      <c r="N17" s="100">
        <f>14+3+7+1+1</f>
        <v>26</v>
      </c>
      <c r="O17" s="81">
        <f>22716.4+4171.06+18768.39+8172.47</f>
        <v>53828.320000000007</v>
      </c>
      <c r="P17" s="81">
        <f>22716.4+4171.06+18768.39+8172.47</f>
        <v>53828.320000000007</v>
      </c>
      <c r="Q17" s="79">
        <f t="shared" si="2"/>
        <v>0</v>
      </c>
    </row>
    <row r="18" spans="1:17" s="13" customFormat="1" x14ac:dyDescent="0.25">
      <c r="A18" s="229"/>
      <c r="B18" s="30" t="s">
        <v>154</v>
      </c>
      <c r="C18" s="181" t="s">
        <v>17</v>
      </c>
      <c r="D18" s="182"/>
      <c r="E18" s="183" t="s">
        <v>20</v>
      </c>
      <c r="F18" s="73" t="s">
        <v>453</v>
      </c>
      <c r="G18" s="230" t="s">
        <v>114</v>
      </c>
      <c r="H18" s="181">
        <v>35</v>
      </c>
      <c r="I18" s="234">
        <v>5</v>
      </c>
      <c r="J18" s="190">
        <v>5</v>
      </c>
      <c r="K18" s="193">
        <v>6550.8</v>
      </c>
      <c r="L18" s="193">
        <v>6550.8</v>
      </c>
      <c r="M18" s="78">
        <f t="shared" si="1"/>
        <v>0</v>
      </c>
      <c r="N18" s="114">
        <v>19</v>
      </c>
      <c r="O18" s="224">
        <v>50947.07</v>
      </c>
      <c r="P18" s="224">
        <v>45126.77</v>
      </c>
      <c r="Q18" s="232">
        <f t="shared" si="2"/>
        <v>5820.3000000000029</v>
      </c>
    </row>
    <row r="19" spans="1:17" s="13" customFormat="1" x14ac:dyDescent="0.25">
      <c r="A19" s="229"/>
      <c r="B19" s="30" t="s">
        <v>154</v>
      </c>
      <c r="C19" s="181" t="s">
        <v>17</v>
      </c>
      <c r="D19" s="182"/>
      <c r="E19" s="183" t="s">
        <v>20</v>
      </c>
      <c r="F19" s="73" t="s">
        <v>326</v>
      </c>
      <c r="G19" s="74" t="s">
        <v>112</v>
      </c>
      <c r="H19" s="75">
        <v>35</v>
      </c>
      <c r="I19" s="76">
        <v>28</v>
      </c>
      <c r="J19" s="96">
        <f>1+1+2+2+2+6+1+4+1+2+2+3+1+1+1+3+1+2+1+1+2</f>
        <v>40</v>
      </c>
      <c r="K19" s="77">
        <f>950.9+864.46+845.24+405.02+739.59+6850.57+12952.58+883.08+2185.62+1053.68+5958.27+6539.59+4664.82+441.54+1890.34</f>
        <v>47225.3</v>
      </c>
      <c r="L19" s="77">
        <f>950.9+864.46+845.24+405.02+739.59+6850.57+12952.58+883.08+2185.62+1053.68+5958.27+6539.59+4664.82+441.54+1890.34</f>
        <v>47225.3</v>
      </c>
      <c r="M19" s="78">
        <f t="shared" si="1"/>
        <v>0</v>
      </c>
      <c r="N19" s="100">
        <f>6+3+1+1+1+2+1+1</f>
        <v>16</v>
      </c>
      <c r="O19" s="81">
        <f>6681.33+7017+1523.5+9094.74+3532.32</f>
        <v>27848.89</v>
      </c>
      <c r="P19" s="81">
        <f>6681.33+7017+1523.5+9094.74+3532.32</f>
        <v>27848.89</v>
      </c>
      <c r="Q19" s="79">
        <f t="shared" si="2"/>
        <v>0</v>
      </c>
    </row>
    <row r="20" spans="1:17" s="13" customFormat="1" x14ac:dyDescent="0.25">
      <c r="A20" s="229"/>
      <c r="B20" s="62" t="s">
        <v>24</v>
      </c>
      <c r="C20" s="181" t="s">
        <v>17</v>
      </c>
      <c r="D20" s="182"/>
      <c r="E20" s="183" t="s">
        <v>20</v>
      </c>
      <c r="F20" s="73" t="s">
        <v>327</v>
      </c>
      <c r="G20" s="74" t="s">
        <v>112</v>
      </c>
      <c r="H20" s="75">
        <v>12</v>
      </c>
      <c r="I20" s="76">
        <v>5</v>
      </c>
      <c r="J20" s="96">
        <f>3+1+1+2</f>
        <v>7</v>
      </c>
      <c r="K20" s="77">
        <f>1191.02+5267.46</f>
        <v>6458.48</v>
      </c>
      <c r="L20" s="77">
        <f>1191.02+5267.46</f>
        <v>6458.48</v>
      </c>
      <c r="M20" s="78">
        <f t="shared" si="1"/>
        <v>0</v>
      </c>
      <c r="N20" s="100">
        <f>1+1+1</f>
        <v>3</v>
      </c>
      <c r="O20" s="81">
        <f>576.3+1810.93</f>
        <v>2387.23</v>
      </c>
      <c r="P20" s="81">
        <f>576.3+1810.93</f>
        <v>2387.23</v>
      </c>
      <c r="Q20" s="232">
        <f t="shared" si="2"/>
        <v>0</v>
      </c>
    </row>
    <row r="21" spans="1:17" s="13" customFormat="1" x14ac:dyDescent="0.25">
      <c r="A21" s="229"/>
      <c r="B21" s="62" t="s">
        <v>24</v>
      </c>
      <c r="C21" s="181" t="s">
        <v>17</v>
      </c>
      <c r="D21" s="182"/>
      <c r="E21" s="183" t="s">
        <v>20</v>
      </c>
      <c r="F21" s="73" t="s">
        <v>454</v>
      </c>
      <c r="G21" s="230" t="s">
        <v>114</v>
      </c>
      <c r="H21" s="181">
        <v>15</v>
      </c>
      <c r="I21" s="231">
        <v>6</v>
      </c>
      <c r="J21" s="190">
        <v>6</v>
      </c>
      <c r="K21" s="77">
        <v>21621.35</v>
      </c>
      <c r="L21" s="77">
        <v>14512.09</v>
      </c>
      <c r="M21" s="78">
        <f t="shared" si="1"/>
        <v>7109.2599999999984</v>
      </c>
      <c r="N21" s="100">
        <v>18</v>
      </c>
      <c r="O21" s="224">
        <v>38146.300000000003</v>
      </c>
      <c r="P21" s="224">
        <v>38146.300000000003</v>
      </c>
      <c r="Q21" s="232">
        <f t="shared" si="2"/>
        <v>0</v>
      </c>
    </row>
    <row r="22" spans="1:17" s="13" customFormat="1" x14ac:dyDescent="0.25">
      <c r="A22" s="229"/>
      <c r="B22" s="62" t="s">
        <v>25</v>
      </c>
      <c r="C22" s="181" t="s">
        <v>17</v>
      </c>
      <c r="D22" s="182"/>
      <c r="E22" s="183" t="s">
        <v>20</v>
      </c>
      <c r="F22" s="73" t="s">
        <v>328</v>
      </c>
      <c r="G22" s="74" t="s">
        <v>112</v>
      </c>
      <c r="H22" s="75">
        <v>18</v>
      </c>
      <c r="I22" s="76">
        <v>13</v>
      </c>
      <c r="J22" s="96">
        <f>1+1+1+1+1+1+1+2+1+2+1+1</f>
        <v>14</v>
      </c>
      <c r="K22" s="173">
        <f>403.41+1605.6+3697.9+1204.2+1092.81+3022.24+4486.05+4612.57+1457.08</f>
        <v>21581.86</v>
      </c>
      <c r="L22" s="173">
        <f>403.41+1605.6+3697.9+1204.2+1092.81+3022.24+4486.05+4612.57+1457.08</f>
        <v>21581.86</v>
      </c>
      <c r="M22" s="78">
        <f t="shared" si="1"/>
        <v>0</v>
      </c>
      <c r="N22" s="100">
        <f>6+1+2+2+1+2</f>
        <v>14</v>
      </c>
      <c r="O22" s="81">
        <f>14526.7+5595.3+2440.62+2839.24+10715.74</f>
        <v>36117.599999999999</v>
      </c>
      <c r="P22" s="81">
        <f>14526.7+5595.3+2440.62+2839.24+10715.74</f>
        <v>36117.599999999999</v>
      </c>
      <c r="Q22" s="232">
        <f t="shared" si="2"/>
        <v>0</v>
      </c>
    </row>
    <row r="23" spans="1:17" s="13" customFormat="1" x14ac:dyDescent="0.25">
      <c r="A23" s="229"/>
      <c r="B23" s="62" t="s">
        <v>25</v>
      </c>
      <c r="C23" s="181" t="s">
        <v>17</v>
      </c>
      <c r="D23" s="182"/>
      <c r="E23" s="183" t="s">
        <v>20</v>
      </c>
      <c r="F23" s="73" t="s">
        <v>455</v>
      </c>
      <c r="G23" s="230" t="s">
        <v>114</v>
      </c>
      <c r="H23" s="181">
        <v>6</v>
      </c>
      <c r="I23" s="231">
        <v>1</v>
      </c>
      <c r="J23" s="190">
        <f>1</f>
        <v>1</v>
      </c>
      <c r="K23" s="77"/>
      <c r="L23" s="77"/>
      <c r="M23" s="78">
        <f t="shared" si="1"/>
        <v>0</v>
      </c>
      <c r="N23" s="100">
        <v>3</v>
      </c>
      <c r="O23" s="224">
        <v>7219.8</v>
      </c>
      <c r="P23" s="224">
        <v>7219.8</v>
      </c>
      <c r="Q23" s="232">
        <f t="shared" si="2"/>
        <v>0</v>
      </c>
    </row>
    <row r="24" spans="1:17" s="13" customFormat="1" x14ac:dyDescent="0.25">
      <c r="A24" s="229"/>
      <c r="B24" s="62" t="s">
        <v>516</v>
      </c>
      <c r="C24" s="181" t="s">
        <v>17</v>
      </c>
      <c r="D24" s="182"/>
      <c r="E24" s="183" t="s">
        <v>20</v>
      </c>
      <c r="F24" s="73" t="s">
        <v>517</v>
      </c>
      <c r="G24" s="287" t="s">
        <v>112</v>
      </c>
      <c r="H24" s="181">
        <v>10</v>
      </c>
      <c r="I24" s="231">
        <v>5</v>
      </c>
      <c r="J24" s="190">
        <f>2+3</f>
        <v>5</v>
      </c>
      <c r="K24" s="77">
        <f>1604.6</f>
        <v>1604.6</v>
      </c>
      <c r="L24" s="77"/>
      <c r="M24" s="78"/>
      <c r="N24" s="100"/>
      <c r="O24" s="224"/>
      <c r="P24" s="224"/>
      <c r="Q24" s="232"/>
    </row>
    <row r="25" spans="1:17" s="13" customFormat="1" x14ac:dyDescent="0.25">
      <c r="A25" s="229"/>
      <c r="B25" s="62" t="s">
        <v>26</v>
      </c>
      <c r="C25" s="181" t="s">
        <v>17</v>
      </c>
      <c r="D25" s="182"/>
      <c r="E25" s="183" t="s">
        <v>27</v>
      </c>
      <c r="F25" s="73" t="s">
        <v>329</v>
      </c>
      <c r="G25" s="74" t="s">
        <v>112</v>
      </c>
      <c r="H25" s="75">
        <v>22</v>
      </c>
      <c r="I25" s="76">
        <v>18</v>
      </c>
      <c r="J25" s="96">
        <f>2+2+4+1+4+1+1+3+4+3</f>
        <v>25</v>
      </c>
      <c r="K25" s="77">
        <f>845.24+1056.55+5121.1+26225.35+422.62+16490.35+1457.08+1479.16+11270.02+6163.9</f>
        <v>70531.37</v>
      </c>
      <c r="L25" s="77">
        <f>845.24+1056.55+5121.1+26225.35+422.62+16490.35+1457.08+1479.16+11270.02</f>
        <v>64367.47</v>
      </c>
      <c r="M25" s="78">
        <f t="shared" si="1"/>
        <v>6163.8999999999942</v>
      </c>
      <c r="N25" s="100">
        <f>6+1+1+2+1+1</f>
        <v>12</v>
      </c>
      <c r="O25" s="81">
        <f>17838.53+2535.75+7238.9+9569.44</f>
        <v>37182.620000000003</v>
      </c>
      <c r="P25" s="81">
        <f>17838.53+2535.75+7238.9+9569.44</f>
        <v>37182.620000000003</v>
      </c>
      <c r="Q25" s="232">
        <f t="shared" si="2"/>
        <v>0</v>
      </c>
    </row>
    <row r="26" spans="1:17" s="15" customFormat="1" x14ac:dyDescent="0.25">
      <c r="A26" s="229"/>
      <c r="B26" s="62" t="s">
        <v>28</v>
      </c>
      <c r="C26" s="181" t="s">
        <v>17</v>
      </c>
      <c r="D26" s="182"/>
      <c r="E26" s="194" t="s">
        <v>29</v>
      </c>
      <c r="F26" s="73" t="s">
        <v>330</v>
      </c>
      <c r="G26" s="74" t="s">
        <v>112</v>
      </c>
      <c r="H26" s="75">
        <v>15</v>
      </c>
      <c r="I26" s="76">
        <v>12</v>
      </c>
      <c r="J26" s="96">
        <f>2+1+2+1+1+1+2+1+2+2+2</f>
        <v>17</v>
      </c>
      <c r="K26" s="77">
        <f>6135.14+2440.63+9722.07+968.96+2258.48+3607.78+10269+19480.76+2759.62</f>
        <v>57642.439999999995</v>
      </c>
      <c r="L26" s="77">
        <f>6135.14+2440.63+9722.07+968.96+2258.48+3607.78+10269+19480.76+2759.62</f>
        <v>57642.439999999995</v>
      </c>
      <c r="M26" s="78">
        <f t="shared" si="1"/>
        <v>0</v>
      </c>
      <c r="N26" s="100">
        <f>3+2+4+3+1+1+3+1+1</f>
        <v>19</v>
      </c>
      <c r="O26" s="81">
        <f>5310.83+4630.52+14679.01+36087.29+8956.5+10112.26+3030.29+9937.51</f>
        <v>92744.209999999977</v>
      </c>
      <c r="P26" s="81">
        <f>5310.83+4630.52+14679.01+36087.29+8956.5+10112.26+3030.29+9937.51</f>
        <v>92744.209999999977</v>
      </c>
      <c r="Q26" s="232">
        <f t="shared" si="2"/>
        <v>0</v>
      </c>
    </row>
    <row r="27" spans="1:17" s="15" customFormat="1" x14ac:dyDescent="0.25">
      <c r="A27" s="229"/>
      <c r="B27" s="62" t="s">
        <v>28</v>
      </c>
      <c r="C27" s="181" t="s">
        <v>17</v>
      </c>
      <c r="D27" s="182"/>
      <c r="E27" s="194" t="s">
        <v>29</v>
      </c>
      <c r="F27" s="73" t="s">
        <v>420</v>
      </c>
      <c r="G27" s="235" t="s">
        <v>117</v>
      </c>
      <c r="H27" s="181">
        <v>2</v>
      </c>
      <c r="I27" s="231"/>
      <c r="J27" s="96"/>
      <c r="K27" s="77"/>
      <c r="L27" s="77"/>
      <c r="M27" s="78">
        <f t="shared" si="1"/>
        <v>0</v>
      </c>
      <c r="N27" s="100">
        <v>3</v>
      </c>
      <c r="O27" s="224">
        <v>6579.54</v>
      </c>
      <c r="P27" s="224">
        <v>6579.54</v>
      </c>
      <c r="Q27" s="79">
        <f t="shared" si="2"/>
        <v>0</v>
      </c>
    </row>
    <row r="28" spans="1:17" s="15" customFormat="1" x14ac:dyDescent="0.25">
      <c r="A28" s="229"/>
      <c r="B28" s="233" t="s">
        <v>500</v>
      </c>
      <c r="C28" s="181" t="s">
        <v>17</v>
      </c>
      <c r="D28" s="182"/>
      <c r="E28" s="194"/>
      <c r="F28" s="73" t="s">
        <v>503</v>
      </c>
      <c r="G28" s="235" t="s">
        <v>112</v>
      </c>
      <c r="H28" s="181">
        <v>31</v>
      </c>
      <c r="I28" s="231">
        <v>24</v>
      </c>
      <c r="J28" s="96">
        <f>2+2+2+1+3+5+2+1+5+1+6+1+1+1</f>
        <v>33</v>
      </c>
      <c r="K28" s="77">
        <f>1202.51+3555.1+602.1+708.47+7232.25+1003.5+1938.63+15028.21+1324.62+9088.69+401.4+441</f>
        <v>42526.48</v>
      </c>
      <c r="L28" s="77">
        <f>1202.51+3555.1+602.1+708.47+7232.25+1003.5+1938.63+15028.21+1324.62+9088.69+401.4</f>
        <v>42085.48</v>
      </c>
      <c r="M28" s="78">
        <f t="shared" si="1"/>
        <v>441</v>
      </c>
      <c r="N28" s="100">
        <f>1</f>
        <v>1</v>
      </c>
      <c r="O28" s="224"/>
      <c r="P28" s="224"/>
      <c r="Q28" s="79">
        <f t="shared" si="2"/>
        <v>0</v>
      </c>
    </row>
    <row r="29" spans="1:17" s="13" customFormat="1" x14ac:dyDescent="0.25">
      <c r="A29" s="229"/>
      <c r="B29" s="27" t="s">
        <v>30</v>
      </c>
      <c r="C29" s="181" t="s">
        <v>17</v>
      </c>
      <c r="D29" s="182"/>
      <c r="E29" s="194" t="s">
        <v>21</v>
      </c>
      <c r="F29" s="73" t="s">
        <v>333</v>
      </c>
      <c r="G29" s="74" t="s">
        <v>112</v>
      </c>
      <c r="H29" s="75">
        <v>31</v>
      </c>
      <c r="I29" s="76">
        <v>18</v>
      </c>
      <c r="J29" s="96">
        <f>3+1+3+1+4+1+1+2+1+3+3+3</f>
        <v>26</v>
      </c>
      <c r="K29" s="77">
        <f>16637.24+1045.98+2789.73+1629.68+3146.97+1646.5+5064.97+2424.05+3009.5</f>
        <v>37394.620000000003</v>
      </c>
      <c r="L29" s="77">
        <f>16637.24+1045.98+2789.73+1629.68+3146.97+1646.5+5064.97+2424.05</f>
        <v>34385.120000000003</v>
      </c>
      <c r="M29" s="78">
        <f t="shared" si="1"/>
        <v>3009.5</v>
      </c>
      <c r="N29" s="100">
        <f>9+1+3+1+1+1+2+1+1+2+1+1+2+1+1</f>
        <v>28</v>
      </c>
      <c r="O29" s="81">
        <f>77047.8+15703.07+7288.94+1341.33+1730.62+7169.16+2550.18</f>
        <v>112831.09999999999</v>
      </c>
      <c r="P29" s="81">
        <f>77047.8+15703.07+7288.94+1341.33+1730.62+7169.16</f>
        <v>110280.92</v>
      </c>
      <c r="Q29" s="79">
        <f>O29-P29</f>
        <v>2550.179999999993</v>
      </c>
    </row>
    <row r="30" spans="1:17" s="13" customFormat="1" x14ac:dyDescent="0.25">
      <c r="A30" s="229"/>
      <c r="B30" s="27" t="s">
        <v>491</v>
      </c>
      <c r="C30" s="181" t="s">
        <v>17</v>
      </c>
      <c r="D30" s="182"/>
      <c r="E30" s="183" t="s">
        <v>20</v>
      </c>
      <c r="F30" s="73" t="s">
        <v>495</v>
      </c>
      <c r="G30" s="74" t="s">
        <v>112</v>
      </c>
      <c r="H30" s="75">
        <v>17</v>
      </c>
      <c r="I30" s="76">
        <v>13</v>
      </c>
      <c r="J30" s="96">
        <f>2+2+1+1+1+1+1+1+3</f>
        <v>13</v>
      </c>
      <c r="K30" s="77">
        <f>1727.9+2093.89+728.54+3535.53+2649.24+401.4+802.8+1505.25</f>
        <v>13444.55</v>
      </c>
      <c r="L30" s="77">
        <f>1727.9+2093.89+728.54+3535.53+2649.24+401.4+802.8+1505.25</f>
        <v>13444.55</v>
      </c>
      <c r="M30" s="78">
        <f t="shared" si="1"/>
        <v>0</v>
      </c>
      <c r="N30" s="100"/>
      <c r="O30" s="81"/>
      <c r="P30" s="81"/>
      <c r="Q30" s="79">
        <f t="shared" si="2"/>
        <v>0</v>
      </c>
    </row>
    <row r="31" spans="1:17" s="13" customFormat="1" x14ac:dyDescent="0.25">
      <c r="A31" s="229"/>
      <c r="B31" s="27" t="s">
        <v>491</v>
      </c>
      <c r="C31" s="181" t="s">
        <v>17</v>
      </c>
      <c r="D31" s="182"/>
      <c r="E31" s="183" t="s">
        <v>20</v>
      </c>
      <c r="F31" s="73" t="s">
        <v>504</v>
      </c>
      <c r="G31" s="74" t="s">
        <v>114</v>
      </c>
      <c r="H31" s="75">
        <v>14</v>
      </c>
      <c r="I31" s="76">
        <v>2</v>
      </c>
      <c r="J31" s="96">
        <v>2</v>
      </c>
      <c r="K31" s="77">
        <v>2672.76</v>
      </c>
      <c r="L31" s="77">
        <v>2672.76</v>
      </c>
      <c r="M31" s="78">
        <f t="shared" si="1"/>
        <v>0</v>
      </c>
      <c r="N31" s="100"/>
      <c r="O31" s="81"/>
      <c r="P31" s="81"/>
      <c r="Q31" s="232">
        <f t="shared" si="2"/>
        <v>0</v>
      </c>
    </row>
    <row r="32" spans="1:17" s="13" customFormat="1" x14ac:dyDescent="0.25">
      <c r="A32" s="229"/>
      <c r="B32" s="27" t="s">
        <v>491</v>
      </c>
      <c r="C32" s="181" t="s">
        <v>17</v>
      </c>
      <c r="D32" s="182"/>
      <c r="E32" s="183"/>
      <c r="F32" s="73" t="s">
        <v>510</v>
      </c>
      <c r="G32" s="235" t="s">
        <v>117</v>
      </c>
      <c r="H32" s="75">
        <v>1</v>
      </c>
      <c r="I32" s="76"/>
      <c r="J32" s="96"/>
      <c r="K32" s="77"/>
      <c r="L32" s="77"/>
      <c r="M32" s="78">
        <f t="shared" si="1"/>
        <v>0</v>
      </c>
      <c r="N32" s="100"/>
      <c r="O32" s="81"/>
      <c r="P32" s="81"/>
      <c r="Q32" s="232">
        <f t="shared" si="2"/>
        <v>0</v>
      </c>
    </row>
    <row r="33" spans="1:17" s="13" customFormat="1" x14ac:dyDescent="0.25">
      <c r="A33" s="229"/>
      <c r="B33" s="30" t="s">
        <v>31</v>
      </c>
      <c r="C33" s="181" t="s">
        <v>17</v>
      </c>
      <c r="D33" s="182"/>
      <c r="E33" s="183" t="s">
        <v>32</v>
      </c>
      <c r="F33" s="73" t="s">
        <v>331</v>
      </c>
      <c r="G33" s="74" t="s">
        <v>112</v>
      </c>
      <c r="H33" s="75">
        <v>23</v>
      </c>
      <c r="I33" s="76">
        <v>18</v>
      </c>
      <c r="J33" s="96">
        <f>1+2+3+1+4+3+3+3+1+3+1</f>
        <v>25</v>
      </c>
      <c r="K33" s="77">
        <f>633.93+1045.98+5377.62+950.9+6004.09+4598.82+8410.14+1846.04+4737.83+728.54+3120.88</f>
        <v>37454.769999999997</v>
      </c>
      <c r="L33" s="77">
        <f>633.93+1045.98+5377.62+950.9+6004.09+4598.82+8410.14+1846.04+4737.83+728.54</f>
        <v>34333.89</v>
      </c>
      <c r="M33" s="78">
        <f t="shared" si="1"/>
        <v>3120.8799999999974</v>
      </c>
      <c r="N33" s="100">
        <f>1+3+3+1+1+2+1</f>
        <v>12</v>
      </c>
      <c r="O33" s="81">
        <f>2299.8+15239.58+6152.75+2720.49+1483.38+7043.49+11175.04</f>
        <v>46114.530000000006</v>
      </c>
      <c r="P33" s="81">
        <f>2299.8+15239.58+6152.75+2720.49+1483.38+7043.49+11175.04</f>
        <v>46114.530000000006</v>
      </c>
      <c r="Q33" s="232">
        <f t="shared" si="2"/>
        <v>0</v>
      </c>
    </row>
    <row r="34" spans="1:17" s="13" customFormat="1" x14ac:dyDescent="0.25">
      <c r="A34" s="229"/>
      <c r="B34" s="30" t="s">
        <v>31</v>
      </c>
      <c r="C34" s="181" t="s">
        <v>17</v>
      </c>
      <c r="D34" s="182"/>
      <c r="E34" s="183" t="s">
        <v>32</v>
      </c>
      <c r="F34" s="73" t="s">
        <v>422</v>
      </c>
      <c r="G34" s="235" t="s">
        <v>117</v>
      </c>
      <c r="H34" s="181">
        <v>16</v>
      </c>
      <c r="I34" s="231">
        <v>8</v>
      </c>
      <c r="J34" s="96">
        <v>9</v>
      </c>
      <c r="K34" s="77">
        <v>18926.05</v>
      </c>
      <c r="L34" s="77">
        <v>18758.95</v>
      </c>
      <c r="M34" s="78">
        <f t="shared" si="1"/>
        <v>167.09999999999854</v>
      </c>
      <c r="N34" s="100">
        <v>10</v>
      </c>
      <c r="O34" s="77">
        <v>21507.42</v>
      </c>
      <c r="P34" s="77">
        <v>21507.42</v>
      </c>
      <c r="Q34" s="232">
        <f t="shared" si="2"/>
        <v>0</v>
      </c>
    </row>
    <row r="35" spans="1:17" s="15" customFormat="1" x14ac:dyDescent="0.25">
      <c r="A35" s="229"/>
      <c r="B35" s="62" t="s">
        <v>33</v>
      </c>
      <c r="C35" s="181" t="s">
        <v>17</v>
      </c>
      <c r="D35" s="182"/>
      <c r="E35" s="183" t="s">
        <v>20</v>
      </c>
      <c r="F35" s="73" t="s">
        <v>332</v>
      </c>
      <c r="G35" s="74" t="s">
        <v>112</v>
      </c>
      <c r="H35" s="75">
        <v>14</v>
      </c>
      <c r="I35" s="76">
        <v>12</v>
      </c>
      <c r="J35" s="96">
        <f>1+1+1+1+1+2+1+1+1+1+1+1+2</f>
        <v>15</v>
      </c>
      <c r="K35" s="77">
        <f>845.245+5363.43+5912.72+845.24+12887.16+2852.15+6514.08+2058.13+5167.78+1324.62+3058.67</f>
        <v>46829.224999999999</v>
      </c>
      <c r="L35" s="77">
        <f>845.245+5363.43+5912.72+845.24+12887.16+2852.15+6514.08+2058.13+5167.78+1324.62</f>
        <v>43770.555</v>
      </c>
      <c r="M35" s="78">
        <f t="shared" si="1"/>
        <v>3058.6699999999983</v>
      </c>
      <c r="N35" s="100">
        <f>2+1+1+1+1+2+1+1+1</f>
        <v>11</v>
      </c>
      <c r="O35" s="81">
        <f>845.24+1613.64+3380.96+3639.33+1152.6+1518.9</f>
        <v>12150.67</v>
      </c>
      <c r="P35" s="81">
        <f>845.24+1613.64+3380.96+3639.33+1152.6+1518.9</f>
        <v>12150.67</v>
      </c>
      <c r="Q35" s="79">
        <f t="shared" si="2"/>
        <v>0</v>
      </c>
    </row>
    <row r="36" spans="1:17" s="15" customFormat="1" x14ac:dyDescent="0.25">
      <c r="A36" s="229"/>
      <c r="B36" s="62" t="s">
        <v>33</v>
      </c>
      <c r="C36" s="181" t="s">
        <v>17</v>
      </c>
      <c r="D36" s="182"/>
      <c r="E36" s="183" t="s">
        <v>20</v>
      </c>
      <c r="F36" s="73" t="s">
        <v>481</v>
      </c>
      <c r="G36" s="230" t="s">
        <v>114</v>
      </c>
      <c r="H36" s="181">
        <v>11</v>
      </c>
      <c r="I36" s="231">
        <v>1</v>
      </c>
      <c r="J36" s="190">
        <v>1</v>
      </c>
      <c r="K36" s="77">
        <v>3472.11</v>
      </c>
      <c r="L36" s="77">
        <v>3472.11</v>
      </c>
      <c r="M36" s="78">
        <f t="shared" si="1"/>
        <v>0</v>
      </c>
      <c r="N36" s="100">
        <v>16</v>
      </c>
      <c r="O36" s="224">
        <v>45328.13</v>
      </c>
      <c r="P36" s="224">
        <v>45328.13</v>
      </c>
      <c r="Q36" s="232">
        <f t="shared" si="2"/>
        <v>0</v>
      </c>
    </row>
    <row r="37" spans="1:17" s="15" customFormat="1" x14ac:dyDescent="0.25">
      <c r="A37" s="229"/>
      <c r="B37" s="62" t="s">
        <v>147</v>
      </c>
      <c r="C37" s="181" t="s">
        <v>17</v>
      </c>
      <c r="D37" s="182"/>
      <c r="E37" s="183" t="s">
        <v>29</v>
      </c>
      <c r="F37" s="73" t="s">
        <v>334</v>
      </c>
      <c r="G37" s="74" t="s">
        <v>112</v>
      </c>
      <c r="H37" s="75">
        <v>12</v>
      </c>
      <c r="I37" s="234">
        <v>11</v>
      </c>
      <c r="J37" s="96">
        <f>1+1+2+1+3+4+1+1</f>
        <v>14</v>
      </c>
      <c r="K37" s="77">
        <f>1854.88+2824.48+3058.67+5384.79+14792.98</f>
        <v>27915.8</v>
      </c>
      <c r="L37" s="77">
        <f>1854.88+2824.48+3058.67+5384.79+14792.98</f>
        <v>27915.8</v>
      </c>
      <c r="M37" s="78">
        <f t="shared" si="1"/>
        <v>0</v>
      </c>
      <c r="N37" s="114">
        <f>1+1+1</f>
        <v>3</v>
      </c>
      <c r="O37" s="81">
        <f>1394.65+2473.17+1961.49</f>
        <v>5829.31</v>
      </c>
      <c r="P37" s="81">
        <f>1394.65+2473.17+1961.49</f>
        <v>5829.31</v>
      </c>
      <c r="Q37" s="79">
        <f t="shared" si="2"/>
        <v>0</v>
      </c>
    </row>
    <row r="38" spans="1:17" s="15" customFormat="1" x14ac:dyDescent="0.25">
      <c r="A38" s="229"/>
      <c r="B38" s="233" t="s">
        <v>147</v>
      </c>
      <c r="C38" s="181" t="s">
        <v>17</v>
      </c>
      <c r="D38" s="182"/>
      <c r="E38" s="183" t="s">
        <v>29</v>
      </c>
      <c r="F38" s="73" t="s">
        <v>423</v>
      </c>
      <c r="G38" s="230" t="s">
        <v>117</v>
      </c>
      <c r="H38" s="181">
        <v>17</v>
      </c>
      <c r="I38" s="231">
        <v>4</v>
      </c>
      <c r="J38" s="96">
        <v>4</v>
      </c>
      <c r="K38" s="77">
        <v>6847.1</v>
      </c>
      <c r="L38" s="77">
        <v>6847.1</v>
      </c>
      <c r="M38" s="78">
        <f t="shared" si="1"/>
        <v>0</v>
      </c>
      <c r="N38" s="100">
        <v>5</v>
      </c>
      <c r="O38" s="224">
        <v>4706.45</v>
      </c>
      <c r="P38" s="224">
        <v>4706.45</v>
      </c>
      <c r="Q38" s="232">
        <f t="shared" si="2"/>
        <v>0</v>
      </c>
    </row>
    <row r="39" spans="1:17" s="13" customFormat="1" x14ac:dyDescent="0.25">
      <c r="A39" s="229"/>
      <c r="B39" s="62" t="s">
        <v>34</v>
      </c>
      <c r="C39" s="181" t="s">
        <v>17</v>
      </c>
      <c r="D39" s="182"/>
      <c r="E39" s="194" t="s">
        <v>35</v>
      </c>
      <c r="F39" s="73" t="s">
        <v>335</v>
      </c>
      <c r="G39" s="74" t="s">
        <v>112</v>
      </c>
      <c r="H39" s="75">
        <v>41</v>
      </c>
      <c r="I39" s="76">
        <v>26</v>
      </c>
      <c r="J39" s="96">
        <f>4+2+2+7+4+1+1+2+5+1</f>
        <v>29</v>
      </c>
      <c r="K39" s="77">
        <f>8288.4+1267.86+845.24+13964.6+11418.26+21175.62+1092.81+2207.7+6312.67+3928.83+708.47</f>
        <v>71210.459999999992</v>
      </c>
      <c r="L39" s="77">
        <f>8288.4+1267.86+845.24+13964.6+11418.26+21175.62+1092.81+2207.7+6312.67+3928.83</f>
        <v>70501.989999999991</v>
      </c>
      <c r="M39" s="78">
        <f t="shared" si="1"/>
        <v>708.47000000000116</v>
      </c>
      <c r="N39" s="100">
        <f>4+4+6+1+3+1+3+1+2+1+1+2</f>
        <v>29</v>
      </c>
      <c r="O39" s="81">
        <f>23915.04+21171.88+6399.1+11460.81+1501.24+2795.71+8800.35</f>
        <v>76044.13</v>
      </c>
      <c r="P39" s="81">
        <f>23915.04+21171.88+6399.1+11460.81+1501.24+2795.71+8800.35</f>
        <v>76044.13</v>
      </c>
      <c r="Q39" s="79">
        <f t="shared" si="2"/>
        <v>0</v>
      </c>
    </row>
    <row r="40" spans="1:17" s="13" customFormat="1" x14ac:dyDescent="0.25">
      <c r="A40" s="229"/>
      <c r="B40" s="62" t="s">
        <v>34</v>
      </c>
      <c r="C40" s="181" t="s">
        <v>17</v>
      </c>
      <c r="D40" s="182"/>
      <c r="E40" s="194" t="s">
        <v>35</v>
      </c>
      <c r="F40" s="73" t="s">
        <v>424</v>
      </c>
      <c r="G40" s="235" t="s">
        <v>117</v>
      </c>
      <c r="H40" s="181">
        <v>3</v>
      </c>
      <c r="I40" s="231">
        <v>1</v>
      </c>
      <c r="J40" s="96">
        <v>3</v>
      </c>
      <c r="K40" s="77">
        <v>5246.9</v>
      </c>
      <c r="L40" s="77">
        <v>5246.9</v>
      </c>
      <c r="M40" s="78">
        <f t="shared" si="1"/>
        <v>0</v>
      </c>
      <c r="N40" s="100">
        <v>3</v>
      </c>
      <c r="O40" s="224">
        <v>9220.7999999999993</v>
      </c>
      <c r="P40" s="224">
        <v>9220.7999999999993</v>
      </c>
      <c r="Q40" s="232">
        <f t="shared" si="2"/>
        <v>0</v>
      </c>
    </row>
    <row r="41" spans="1:17" s="13" customFormat="1" x14ac:dyDescent="0.25">
      <c r="A41" s="229"/>
      <c r="B41" s="27" t="s">
        <v>36</v>
      </c>
      <c r="C41" s="181" t="s">
        <v>17</v>
      </c>
      <c r="D41" s="182"/>
      <c r="E41" s="194" t="s">
        <v>32</v>
      </c>
      <c r="F41" s="73" t="s">
        <v>336</v>
      </c>
      <c r="G41" s="74" t="s">
        <v>112</v>
      </c>
      <c r="H41" s="75">
        <v>35</v>
      </c>
      <c r="I41" s="76">
        <v>27</v>
      </c>
      <c r="J41" s="96">
        <f>1+3+4+2+2+7+6+2+5+2+2+2</f>
        <v>38</v>
      </c>
      <c r="K41" s="77">
        <f>2091.97+4201.22+3643.94+998.92+6188.59+7556.35+3399.86+9711+5191.85+1920.7</f>
        <v>44904.399999999994</v>
      </c>
      <c r="L41" s="77">
        <f>2091.97+4201.22+3643.94+998.92+6188.59+7556.35+3399.86+9711+5191.85</f>
        <v>42983.7</v>
      </c>
      <c r="M41" s="78">
        <f t="shared" si="1"/>
        <v>1920.6999999999971</v>
      </c>
      <c r="N41" s="100">
        <f>4+2+5+1+1+4+1+1</f>
        <v>19</v>
      </c>
      <c r="O41" s="81">
        <f>26828.22+3116.2+14162+4691+13237.22+22342.31+1888.86</f>
        <v>86265.81</v>
      </c>
      <c r="P41" s="81">
        <f>26828.22+3116.2+14162+4691+13237.22+22342.31+1888.86</f>
        <v>86265.81</v>
      </c>
      <c r="Q41" s="79">
        <f t="shared" si="2"/>
        <v>0</v>
      </c>
    </row>
    <row r="42" spans="1:17" s="13" customFormat="1" x14ac:dyDescent="0.25">
      <c r="A42" s="229"/>
      <c r="B42" s="27" t="s">
        <v>38</v>
      </c>
      <c r="C42" s="181" t="s">
        <v>17</v>
      </c>
      <c r="D42" s="182"/>
      <c r="E42" s="183" t="s">
        <v>20</v>
      </c>
      <c r="F42" s="73" t="s">
        <v>338</v>
      </c>
      <c r="G42" s="74" t="s">
        <v>112</v>
      </c>
      <c r="H42" s="75">
        <v>57</v>
      </c>
      <c r="I42" s="76">
        <v>49</v>
      </c>
      <c r="J42" s="96">
        <f>5+9+3+4+4+2+3+3+11+3+4+4+1+5+7+3</f>
        <v>71</v>
      </c>
      <c r="K42" s="77">
        <f>4427.07+14262.52+23391.74+11108.38+9141.17+3923.07+23674.29+5445.61+18020.8+33401.88</f>
        <v>146796.53</v>
      </c>
      <c r="L42" s="77">
        <f>4427.07+14262.52+23391.74+11108.38+9141.17+3923.07+23674.29+5445.61+18020.8+33401.88</f>
        <v>146796.53</v>
      </c>
      <c r="M42" s="78">
        <f t="shared" si="1"/>
        <v>0</v>
      </c>
      <c r="N42" s="100">
        <f>1+14+2+2+2+3+1+1+2+1+1</f>
        <v>30</v>
      </c>
      <c r="O42" s="81">
        <f>34449.99+27363.78+23604.86+16739.26+15240.34+16003.48+4203.85+21715.1</f>
        <v>159320.66</v>
      </c>
      <c r="P42" s="81">
        <f>34449.99+27363.78+23604.86+16739.26+15240.34+16003.48+4203.85+21715.1</f>
        <v>159320.66</v>
      </c>
      <c r="Q42" s="79">
        <f t="shared" si="2"/>
        <v>0</v>
      </c>
    </row>
    <row r="43" spans="1:17" s="13" customFormat="1" x14ac:dyDescent="0.25">
      <c r="A43" s="229"/>
      <c r="B43" s="27" t="s">
        <v>38</v>
      </c>
      <c r="C43" s="181" t="s">
        <v>17</v>
      </c>
      <c r="D43" s="182"/>
      <c r="E43" s="183" t="s">
        <v>20</v>
      </c>
      <c r="F43" s="73" t="s">
        <v>268</v>
      </c>
      <c r="G43" s="230" t="s">
        <v>114</v>
      </c>
      <c r="H43" s="181"/>
      <c r="I43" s="231"/>
      <c r="J43" s="190"/>
      <c r="K43" s="77"/>
      <c r="L43" s="77"/>
      <c r="M43" s="78">
        <f t="shared" si="1"/>
        <v>0</v>
      </c>
      <c r="N43" s="100"/>
      <c r="O43" s="224"/>
      <c r="P43" s="224"/>
      <c r="Q43" s="232">
        <f t="shared" si="2"/>
        <v>0</v>
      </c>
    </row>
    <row r="44" spans="1:17" s="13" customFormat="1" x14ac:dyDescent="0.25">
      <c r="A44" s="229"/>
      <c r="B44" s="27" t="s">
        <v>38</v>
      </c>
      <c r="C44" s="181" t="s">
        <v>17</v>
      </c>
      <c r="D44" s="182"/>
      <c r="E44" s="183" t="s">
        <v>18</v>
      </c>
      <c r="F44" s="73" t="s">
        <v>324</v>
      </c>
      <c r="G44" s="230" t="s">
        <v>116</v>
      </c>
      <c r="H44" s="181">
        <v>6</v>
      </c>
      <c r="I44" s="231">
        <v>3</v>
      </c>
      <c r="J44" s="190">
        <v>3</v>
      </c>
      <c r="K44" s="77">
        <v>4098</v>
      </c>
      <c r="L44" s="77">
        <v>4098</v>
      </c>
      <c r="M44" s="78">
        <f t="shared" si="1"/>
        <v>0</v>
      </c>
      <c r="N44" s="100"/>
      <c r="O44" s="224"/>
      <c r="P44" s="224"/>
      <c r="Q44" s="232">
        <f t="shared" si="2"/>
        <v>0</v>
      </c>
    </row>
    <row r="45" spans="1:17" s="13" customFormat="1" x14ac:dyDescent="0.25">
      <c r="A45" s="229"/>
      <c r="B45" s="62" t="s">
        <v>39</v>
      </c>
      <c r="C45" s="181" t="s">
        <v>17</v>
      </c>
      <c r="D45" s="182"/>
      <c r="E45" s="183" t="s">
        <v>20</v>
      </c>
      <c r="F45" s="73" t="s">
        <v>269</v>
      </c>
      <c r="G45" s="230" t="s">
        <v>114</v>
      </c>
      <c r="H45" s="181"/>
      <c r="I45" s="231"/>
      <c r="J45" s="190"/>
      <c r="K45" s="77"/>
      <c r="L45" s="77"/>
      <c r="M45" s="78">
        <f t="shared" si="1"/>
        <v>0</v>
      </c>
      <c r="N45" s="100"/>
      <c r="O45" s="224"/>
      <c r="P45" s="224"/>
      <c r="Q45" s="232">
        <f t="shared" si="2"/>
        <v>0</v>
      </c>
    </row>
    <row r="46" spans="1:17" s="13" customFormat="1" x14ac:dyDescent="0.25">
      <c r="A46" s="229"/>
      <c r="B46" s="27" t="s">
        <v>40</v>
      </c>
      <c r="C46" s="181" t="s">
        <v>17</v>
      </c>
      <c r="D46" s="182"/>
      <c r="E46" s="194" t="s">
        <v>41</v>
      </c>
      <c r="F46" s="73" t="s">
        <v>339</v>
      </c>
      <c r="G46" s="74" t="s">
        <v>112</v>
      </c>
      <c r="H46" s="75">
        <v>33</v>
      </c>
      <c r="I46" s="76">
        <v>27</v>
      </c>
      <c r="J46" s="96">
        <f>1+1+3+9+4+4+3+2+1+1+2+3+3+5+4</f>
        <v>46</v>
      </c>
      <c r="K46" s="77">
        <f>1045.98+12271.86+15658.52+8166.35+6035.99+8024.36+2759.63+3460.61+3962.12+3444.02+17333.58+11032.73+15915.1</f>
        <v>109110.84999999999</v>
      </c>
      <c r="L46" s="77">
        <f>1045.98+12271.86+15658.52+8166.35+6035.99+8024.36+2759.63+3460.61+3962.12+3444.02+17333.58+11032.73</f>
        <v>93195.749999999985</v>
      </c>
      <c r="M46" s="78">
        <f t="shared" si="1"/>
        <v>15915.100000000006</v>
      </c>
      <c r="N46" s="100">
        <f>3+13+6+5+4+2+1+1+1+1+1</f>
        <v>38</v>
      </c>
      <c r="O46" s="81">
        <f>17269.31+39990.78+16582.12+23492.44+7068.31+4243.84+1574.64</f>
        <v>110221.43999999999</v>
      </c>
      <c r="P46" s="81">
        <f>17269.31+39990.78+16582.12+23492.44+7068.31+4243.84+1574.64</f>
        <v>110221.43999999999</v>
      </c>
      <c r="Q46" s="79">
        <f t="shared" si="2"/>
        <v>0</v>
      </c>
    </row>
    <row r="47" spans="1:17" s="13" customFormat="1" x14ac:dyDescent="0.25">
      <c r="A47" s="229"/>
      <c r="B47" s="27" t="s">
        <v>40</v>
      </c>
      <c r="C47" s="181" t="s">
        <v>17</v>
      </c>
      <c r="D47" s="182"/>
      <c r="E47" s="194" t="s">
        <v>41</v>
      </c>
      <c r="F47" s="73" t="s">
        <v>482</v>
      </c>
      <c r="G47" s="230" t="s">
        <v>114</v>
      </c>
      <c r="H47" s="181"/>
      <c r="I47" s="231"/>
      <c r="J47" s="190"/>
      <c r="K47" s="77"/>
      <c r="L47" s="77"/>
      <c r="M47" s="78">
        <f t="shared" si="1"/>
        <v>0</v>
      </c>
      <c r="N47" s="100">
        <v>1</v>
      </c>
      <c r="O47" s="224">
        <v>3073.6</v>
      </c>
      <c r="P47" s="224">
        <f>3073.6</f>
        <v>3073.6</v>
      </c>
      <c r="Q47" s="232">
        <f t="shared" si="2"/>
        <v>0</v>
      </c>
    </row>
    <row r="48" spans="1:17" s="13" customFormat="1" x14ac:dyDescent="0.25">
      <c r="A48" s="229"/>
      <c r="B48" s="27" t="s">
        <v>148</v>
      </c>
      <c r="C48" s="181" t="s">
        <v>17</v>
      </c>
      <c r="D48" s="182"/>
      <c r="E48" s="183" t="s">
        <v>20</v>
      </c>
      <c r="F48" s="73" t="s">
        <v>340</v>
      </c>
      <c r="G48" s="74" t="s">
        <v>112</v>
      </c>
      <c r="H48" s="75">
        <v>24</v>
      </c>
      <c r="I48" s="82">
        <v>17</v>
      </c>
      <c r="J48" s="96">
        <f>1+2+1+4+4+2+3+1+1</f>
        <v>19</v>
      </c>
      <c r="K48" s="77">
        <f>537.88+2110.03+6723.98+8914.21+1204.2+602.1+903.15+1324.62+602.1</f>
        <v>22922.269999999997</v>
      </c>
      <c r="L48" s="77">
        <f>537.88+2110.03+6723.98+8914.21+1204.2+602.1+903.15+1324.62</f>
        <v>22320.17</v>
      </c>
      <c r="M48" s="78">
        <f t="shared" si="1"/>
        <v>602.09999999999854</v>
      </c>
      <c r="N48" s="100">
        <f>6+5+3+1+1+1+1+1</f>
        <v>19</v>
      </c>
      <c r="O48" s="81">
        <f>9370.6+9456.38+8868.69+5367.27+11572.62+5889.04</f>
        <v>50524.600000000006</v>
      </c>
      <c r="P48" s="81">
        <f>9370.6+9456.38+8868.69+5367.27+11572.62+5889.04</f>
        <v>50524.600000000006</v>
      </c>
      <c r="Q48" s="79">
        <f t="shared" si="2"/>
        <v>0</v>
      </c>
    </row>
    <row r="49" spans="1:17" s="13" customFormat="1" x14ac:dyDescent="0.25">
      <c r="A49" s="229"/>
      <c r="B49" s="27" t="s">
        <v>148</v>
      </c>
      <c r="C49" s="181" t="s">
        <v>17</v>
      </c>
      <c r="D49" s="182"/>
      <c r="E49" s="194" t="s">
        <v>32</v>
      </c>
      <c r="F49" s="73" t="s">
        <v>425</v>
      </c>
      <c r="G49" s="230" t="s">
        <v>117</v>
      </c>
      <c r="H49" s="181">
        <v>15</v>
      </c>
      <c r="I49" s="231">
        <v>4</v>
      </c>
      <c r="J49" s="96">
        <v>4</v>
      </c>
      <c r="K49" s="77">
        <v>13707.82</v>
      </c>
      <c r="L49" s="77">
        <v>13707.82</v>
      </c>
      <c r="M49" s="78">
        <f t="shared" si="1"/>
        <v>0</v>
      </c>
      <c r="N49" s="100">
        <v>4</v>
      </c>
      <c r="O49" s="224">
        <v>12851.49</v>
      </c>
      <c r="P49" s="224">
        <v>12851.49</v>
      </c>
      <c r="Q49" s="232">
        <f t="shared" si="2"/>
        <v>0</v>
      </c>
    </row>
    <row r="50" spans="1:17" s="13" customFormat="1" x14ac:dyDescent="0.25">
      <c r="A50" s="229"/>
      <c r="B50" s="30" t="s">
        <v>42</v>
      </c>
      <c r="C50" s="181" t="s">
        <v>17</v>
      </c>
      <c r="D50" s="182"/>
      <c r="E50" s="183" t="s">
        <v>23</v>
      </c>
      <c r="F50" s="73" t="s">
        <v>341</v>
      </c>
      <c r="G50" s="74" t="s">
        <v>112</v>
      </c>
      <c r="H50" s="75">
        <v>36</v>
      </c>
      <c r="I50" s="76">
        <v>30</v>
      </c>
      <c r="J50" s="96">
        <f>5+3+5+3+8+3+8+5</f>
        <v>40</v>
      </c>
      <c r="K50" s="77">
        <f>7156.22+3849.11+8154.25+4149.36+15912.38+18649.91</f>
        <v>57871.229999999996</v>
      </c>
      <c r="L50" s="77">
        <f>7156.22+3849.11+8154.25+4149.36+15912.38+18649.91</f>
        <v>57871.229999999996</v>
      </c>
      <c r="M50" s="78">
        <f t="shared" si="1"/>
        <v>0</v>
      </c>
      <c r="N50" s="100">
        <f>4+6+9+2+4+2+2+3+3+2</f>
        <v>37</v>
      </c>
      <c r="O50" s="81">
        <f>5364.2+26170.88+2849.25+18965.6+9565.56+9423.5+18214.56</f>
        <v>90553.549999999988</v>
      </c>
      <c r="P50" s="81">
        <f>5364.2+26170.88+2849.25+18965.6+9565.56+9423.5+18214.56</f>
        <v>90553.549999999988</v>
      </c>
      <c r="Q50" s="79">
        <f t="shared" si="2"/>
        <v>0</v>
      </c>
    </row>
    <row r="51" spans="1:17" s="13" customFormat="1" x14ac:dyDescent="0.25">
      <c r="A51" s="229"/>
      <c r="B51" s="30" t="s">
        <v>42</v>
      </c>
      <c r="C51" s="181" t="s">
        <v>17</v>
      </c>
      <c r="D51" s="182"/>
      <c r="E51" s="183" t="s">
        <v>23</v>
      </c>
      <c r="F51" s="73" t="s">
        <v>437</v>
      </c>
      <c r="G51" s="230" t="s">
        <v>118</v>
      </c>
      <c r="H51" s="181">
        <v>2</v>
      </c>
      <c r="I51" s="231"/>
      <c r="J51" s="96"/>
      <c r="K51" s="77"/>
      <c r="L51" s="77"/>
      <c r="M51" s="78">
        <f t="shared" si="1"/>
        <v>0</v>
      </c>
      <c r="N51" s="100">
        <v>1</v>
      </c>
      <c r="O51" s="224">
        <v>7766.4</v>
      </c>
      <c r="P51" s="224">
        <v>7766.4</v>
      </c>
      <c r="Q51" s="232">
        <f t="shared" si="2"/>
        <v>0</v>
      </c>
    </row>
    <row r="52" spans="1:17" s="13" customFormat="1" x14ac:dyDescent="0.25">
      <c r="A52" s="229"/>
      <c r="B52" s="30" t="s">
        <v>173</v>
      </c>
      <c r="C52" s="181" t="s">
        <v>17</v>
      </c>
      <c r="D52" s="182"/>
      <c r="E52" s="230" t="s">
        <v>118</v>
      </c>
      <c r="F52" s="73" t="s">
        <v>342</v>
      </c>
      <c r="G52" s="74" t="s">
        <v>112</v>
      </c>
      <c r="H52" s="75">
        <v>4</v>
      </c>
      <c r="I52" s="76">
        <v>4</v>
      </c>
      <c r="J52" s="96">
        <f>1+2+1</f>
        <v>4</v>
      </c>
      <c r="K52" s="77">
        <f>6833.76+696.36</f>
        <v>7530.12</v>
      </c>
      <c r="L52" s="77">
        <f>6833.76+696.36</f>
        <v>7530.12</v>
      </c>
      <c r="M52" s="78">
        <f t="shared" si="1"/>
        <v>0</v>
      </c>
      <c r="N52" s="100">
        <f>4+2</f>
        <v>6</v>
      </c>
      <c r="O52" s="81">
        <f>5931.9+4183.92+3158.95</f>
        <v>13274.77</v>
      </c>
      <c r="P52" s="81">
        <f>5931.9+4183.92+3158.95</f>
        <v>13274.77</v>
      </c>
      <c r="Q52" s="79">
        <f t="shared" si="2"/>
        <v>0</v>
      </c>
    </row>
    <row r="53" spans="1:17" s="13" customFormat="1" x14ac:dyDescent="0.25">
      <c r="A53" s="229"/>
      <c r="B53" s="62" t="s">
        <v>143</v>
      </c>
      <c r="C53" s="181" t="s">
        <v>64</v>
      </c>
      <c r="D53" s="182" t="s">
        <v>444</v>
      </c>
      <c r="E53" s="183" t="s">
        <v>20</v>
      </c>
      <c r="F53" s="73" t="s">
        <v>445</v>
      </c>
      <c r="G53" s="230" t="s">
        <v>114</v>
      </c>
      <c r="H53" s="181">
        <v>33</v>
      </c>
      <c r="I53" s="234">
        <v>20</v>
      </c>
      <c r="J53" s="190">
        <v>20</v>
      </c>
      <c r="K53" s="193">
        <v>43336.800000000003</v>
      </c>
      <c r="L53" s="193">
        <v>40928.400000000001</v>
      </c>
      <c r="M53" s="78">
        <f t="shared" si="1"/>
        <v>2408.4000000000015</v>
      </c>
      <c r="N53" s="114">
        <v>18</v>
      </c>
      <c r="O53" s="224">
        <v>27390.400000000001</v>
      </c>
      <c r="P53" s="224">
        <v>27390.400000000001</v>
      </c>
      <c r="Q53" s="232">
        <f t="shared" si="2"/>
        <v>0</v>
      </c>
    </row>
    <row r="54" spans="1:17" s="13" customFormat="1" x14ac:dyDescent="0.25">
      <c r="A54" s="229"/>
      <c r="B54" s="30" t="s">
        <v>158</v>
      </c>
      <c r="C54" s="181" t="s">
        <v>17</v>
      </c>
      <c r="D54" s="182"/>
      <c r="E54" s="194" t="s">
        <v>32</v>
      </c>
      <c r="F54" s="73" t="s">
        <v>426</v>
      </c>
      <c r="G54" s="230" t="s">
        <v>117</v>
      </c>
      <c r="H54" s="181">
        <v>13</v>
      </c>
      <c r="I54" s="234">
        <v>6</v>
      </c>
      <c r="J54" s="190">
        <v>7</v>
      </c>
      <c r="K54" s="193">
        <v>12275.74</v>
      </c>
      <c r="L54" s="193">
        <v>12275.74</v>
      </c>
      <c r="M54" s="78">
        <f t="shared" si="1"/>
        <v>0</v>
      </c>
      <c r="N54" s="114">
        <v>5</v>
      </c>
      <c r="O54" s="224">
        <v>16813.7</v>
      </c>
      <c r="P54" s="224">
        <v>16813.7</v>
      </c>
      <c r="Q54" s="232">
        <f t="shared" si="2"/>
        <v>0</v>
      </c>
    </row>
    <row r="55" spans="1:17" s="15" customFormat="1" x14ac:dyDescent="0.25">
      <c r="A55" s="229"/>
      <c r="B55" s="62" t="s">
        <v>43</v>
      </c>
      <c r="C55" s="181" t="s">
        <v>17</v>
      </c>
      <c r="D55" s="182"/>
      <c r="E55" s="183" t="s">
        <v>18</v>
      </c>
      <c r="F55" s="73" t="s">
        <v>344</v>
      </c>
      <c r="G55" s="74" t="s">
        <v>112</v>
      </c>
      <c r="H55" s="75">
        <v>40</v>
      </c>
      <c r="I55" s="76">
        <v>32</v>
      </c>
      <c r="J55" s="96">
        <f>1+2+2+5+2+3+2+3+3+3+5+2+4</f>
        <v>37</v>
      </c>
      <c r="K55" s="77">
        <f>1776.93+926.88+3328.29+3172.19+9832.29+3539.2+3058.67+13375.29+3775.58+5775.23</f>
        <v>48560.55</v>
      </c>
      <c r="L55" s="77">
        <f>1776.93+926.88+3328.29+3172.19+9832.29+3539.2+3058.67+13375.29+3775.58</f>
        <v>42785.320000000007</v>
      </c>
      <c r="M55" s="78">
        <f t="shared" si="1"/>
        <v>5775.2299999999959</v>
      </c>
      <c r="N55" s="100">
        <f>1+5+4+1+1+1+1+1+2+1</f>
        <v>18</v>
      </c>
      <c r="O55" s="81">
        <f>1223.8+3810.29+4959.02+10043.87+2769.48+2146.91+11926.24-1465.64+1516.77</f>
        <v>36930.74</v>
      </c>
      <c r="P55" s="81">
        <f>1223.8+3810.29+4959.02+10043.87+2769.48+2146.91+11926.24-1465.64</f>
        <v>35413.97</v>
      </c>
      <c r="Q55" s="79">
        <f t="shared" si="2"/>
        <v>1516.7699999999968</v>
      </c>
    </row>
    <row r="56" spans="1:17" s="15" customFormat="1" ht="30" x14ac:dyDescent="0.25">
      <c r="A56" s="229"/>
      <c r="B56" s="62" t="s">
        <v>43</v>
      </c>
      <c r="C56" s="181" t="s">
        <v>304</v>
      </c>
      <c r="D56" s="182" t="s">
        <v>473</v>
      </c>
      <c r="E56" s="183" t="s">
        <v>18</v>
      </c>
      <c r="F56" s="73" t="s">
        <v>323</v>
      </c>
      <c r="G56" s="271" t="s">
        <v>116</v>
      </c>
      <c r="H56" s="181">
        <v>33</v>
      </c>
      <c r="I56" s="234">
        <v>25</v>
      </c>
      <c r="J56" s="98">
        <v>28</v>
      </c>
      <c r="K56" s="77">
        <v>38009</v>
      </c>
      <c r="L56" s="77">
        <v>38009</v>
      </c>
      <c r="M56" s="78">
        <f t="shared" si="1"/>
        <v>0</v>
      </c>
      <c r="N56" s="114">
        <v>21</v>
      </c>
      <c r="O56" s="224">
        <v>68563</v>
      </c>
      <c r="P56" s="224">
        <v>68563</v>
      </c>
      <c r="Q56" s="232">
        <f t="shared" si="2"/>
        <v>0</v>
      </c>
    </row>
    <row r="57" spans="1:17" s="13" customFormat="1" x14ac:dyDescent="0.25">
      <c r="A57" s="229"/>
      <c r="B57" s="30" t="s">
        <v>44</v>
      </c>
      <c r="C57" s="181" t="s">
        <v>17</v>
      </c>
      <c r="D57" s="182"/>
      <c r="E57" s="183" t="s">
        <v>20</v>
      </c>
      <c r="F57" s="73" t="s">
        <v>345</v>
      </c>
      <c r="G57" s="74" t="s">
        <v>112</v>
      </c>
      <c r="H57" s="75">
        <v>22</v>
      </c>
      <c r="I57" s="76">
        <v>16</v>
      </c>
      <c r="J57" s="96">
        <f>1+1+1+4+2+1+1+1+3+4</f>
        <v>19</v>
      </c>
      <c r="K57" s="77">
        <f>2422.38+1267.86+15410.58+1534.35+708.47+883.08+3910.61+496.73+12652.53</f>
        <v>39286.590000000004</v>
      </c>
      <c r="L57" s="77">
        <f>2422.38+1267.86+15410.58+1534.35+708.47+883.08+3910.61+496.73</f>
        <v>26634.06</v>
      </c>
      <c r="M57" s="78">
        <f t="shared" si="1"/>
        <v>12652.530000000002</v>
      </c>
      <c r="N57" s="100">
        <f>1+11</f>
        <v>12</v>
      </c>
      <c r="O57" s="81">
        <f>421.62+4603.39+10559.77+72902.04+3435.31</f>
        <v>91922.12999999999</v>
      </c>
      <c r="P57" s="81">
        <f>421.62+4603.39+10559.77+72902.04+3435.31</f>
        <v>91922.12999999999</v>
      </c>
      <c r="Q57" s="79">
        <f t="shared" si="2"/>
        <v>0</v>
      </c>
    </row>
    <row r="58" spans="1:17" s="13" customFormat="1" x14ac:dyDescent="0.25">
      <c r="A58" s="229"/>
      <c r="B58" s="30" t="s">
        <v>44</v>
      </c>
      <c r="C58" s="181" t="s">
        <v>17</v>
      </c>
      <c r="D58" s="182"/>
      <c r="E58" s="183" t="s">
        <v>20</v>
      </c>
      <c r="F58" s="73" t="s">
        <v>483</v>
      </c>
      <c r="G58" s="230" t="s">
        <v>114</v>
      </c>
      <c r="H58" s="181"/>
      <c r="I58" s="231"/>
      <c r="J58" s="190"/>
      <c r="K58" s="77"/>
      <c r="L58" s="77"/>
      <c r="M58" s="78">
        <f t="shared" si="1"/>
        <v>0</v>
      </c>
      <c r="N58" s="100">
        <v>3</v>
      </c>
      <c r="O58" s="224">
        <v>12543.8</v>
      </c>
      <c r="P58" s="224">
        <v>12543.8</v>
      </c>
      <c r="Q58" s="232">
        <f t="shared" si="2"/>
        <v>0</v>
      </c>
    </row>
    <row r="59" spans="1:17" s="13" customFormat="1" x14ac:dyDescent="0.25">
      <c r="A59" s="229"/>
      <c r="B59" s="30" t="s">
        <v>492</v>
      </c>
      <c r="C59" s="181" t="s">
        <v>17</v>
      </c>
      <c r="D59" s="182"/>
      <c r="E59" s="183" t="s">
        <v>20</v>
      </c>
      <c r="F59" s="73" t="s">
        <v>499</v>
      </c>
      <c r="G59" s="230" t="s">
        <v>112</v>
      </c>
      <c r="H59" s="181">
        <v>10</v>
      </c>
      <c r="I59" s="231">
        <v>8</v>
      </c>
      <c r="J59" s="190">
        <f>1+8</f>
        <v>9</v>
      </c>
      <c r="K59" s="77">
        <f>1044.98+2096.62</f>
        <v>3141.6</v>
      </c>
      <c r="L59" s="77">
        <f>1044.98+2096.62</f>
        <v>3141.6</v>
      </c>
      <c r="M59" s="78">
        <f t="shared" si="1"/>
        <v>0</v>
      </c>
      <c r="N59" s="100"/>
      <c r="O59" s="224"/>
      <c r="P59" s="224"/>
      <c r="Q59" s="79">
        <f t="shared" si="2"/>
        <v>0</v>
      </c>
    </row>
    <row r="60" spans="1:17" s="13" customFormat="1" x14ac:dyDescent="0.25">
      <c r="A60" s="229"/>
      <c r="B60" s="27" t="s">
        <v>45</v>
      </c>
      <c r="C60" s="181" t="s">
        <v>17</v>
      </c>
      <c r="D60" s="182"/>
      <c r="E60" s="183" t="s">
        <v>20</v>
      </c>
      <c r="F60" s="73" t="s">
        <v>346</v>
      </c>
      <c r="G60" s="74" t="s">
        <v>112</v>
      </c>
      <c r="H60" s="75"/>
      <c r="I60" s="76"/>
      <c r="J60" s="96"/>
      <c r="K60" s="77"/>
      <c r="L60" s="77"/>
      <c r="M60" s="78">
        <f t="shared" si="1"/>
        <v>0</v>
      </c>
      <c r="N60" s="100">
        <f>1</f>
        <v>1</v>
      </c>
      <c r="O60" s="81">
        <f>17995.91+2729.8</f>
        <v>20725.71</v>
      </c>
      <c r="P60" s="81">
        <f>17995.91+2729.8</f>
        <v>20725.71</v>
      </c>
      <c r="Q60" s="79">
        <f t="shared" si="2"/>
        <v>0</v>
      </c>
    </row>
    <row r="61" spans="1:17" s="13" customFormat="1" x14ac:dyDescent="0.25">
      <c r="A61" s="229"/>
      <c r="B61" s="27" t="s">
        <v>45</v>
      </c>
      <c r="C61" s="181" t="s">
        <v>17</v>
      </c>
      <c r="D61" s="182"/>
      <c r="E61" s="183" t="s">
        <v>20</v>
      </c>
      <c r="F61" s="73" t="s">
        <v>484</v>
      </c>
      <c r="G61" s="230" t="s">
        <v>114</v>
      </c>
      <c r="H61" s="181"/>
      <c r="I61" s="231"/>
      <c r="J61" s="190"/>
      <c r="K61" s="77"/>
      <c r="L61" s="77"/>
      <c r="M61" s="78">
        <f t="shared" si="1"/>
        <v>0</v>
      </c>
      <c r="N61" s="100"/>
      <c r="O61" s="224"/>
      <c r="P61" s="224"/>
      <c r="Q61" s="232">
        <f t="shared" si="2"/>
        <v>0</v>
      </c>
    </row>
    <row r="62" spans="1:17" s="15" customFormat="1" x14ac:dyDescent="0.25">
      <c r="A62" s="229"/>
      <c r="B62" s="27" t="s">
        <v>46</v>
      </c>
      <c r="C62" s="181" t="s">
        <v>17</v>
      </c>
      <c r="D62" s="182"/>
      <c r="E62" s="183" t="s">
        <v>20</v>
      </c>
      <c r="F62" s="73" t="s">
        <v>347</v>
      </c>
      <c r="G62" s="74" t="s">
        <v>112</v>
      </c>
      <c r="H62" s="75">
        <v>22</v>
      </c>
      <c r="I62" s="76">
        <v>20</v>
      </c>
      <c r="J62" s="96">
        <f>1+2+3+2+4+1+4+2+1+5+1+1+4+1+4</f>
        <v>36</v>
      </c>
      <c r="K62" s="77">
        <f>1045.98+1068.08+8157.32+1778.85+9152.67+11156.63+11271.63+1490.2+9025.41+10714.36+1457.08+12068.04+1457.08</f>
        <v>79843.33</v>
      </c>
      <c r="L62" s="77">
        <f>1045.98+1068.08+8157.32+1778.85+9152.67+11156.63+11271.63+1490.2+9025.41+10714.36+1457.08+12068.04+1457.08</f>
        <v>79843.33</v>
      </c>
      <c r="M62" s="78">
        <f t="shared" si="1"/>
        <v>0</v>
      </c>
      <c r="N62" s="100">
        <f>4+4+1+1+1+2</f>
        <v>13</v>
      </c>
      <c r="O62" s="81">
        <f>10759.2+10685.34+7362.04+22509.72</f>
        <v>51316.3</v>
      </c>
      <c r="P62" s="81">
        <f>10759.2+10685.34+7362.04+22509.72</f>
        <v>51316.3</v>
      </c>
      <c r="Q62" s="79">
        <f t="shared" si="2"/>
        <v>0</v>
      </c>
    </row>
    <row r="63" spans="1:17" s="15" customFormat="1" x14ac:dyDescent="0.25">
      <c r="A63" s="229"/>
      <c r="B63" s="27" t="s">
        <v>46</v>
      </c>
      <c r="C63" s="181" t="s">
        <v>17</v>
      </c>
      <c r="D63" s="182"/>
      <c r="E63" s="183" t="s">
        <v>20</v>
      </c>
      <c r="F63" s="73" t="s">
        <v>273</v>
      </c>
      <c r="G63" s="230" t="s">
        <v>114</v>
      </c>
      <c r="H63" s="181">
        <v>6</v>
      </c>
      <c r="I63" s="231">
        <v>2</v>
      </c>
      <c r="J63" s="190">
        <v>2</v>
      </c>
      <c r="K63" s="77">
        <v>576.29999999999995</v>
      </c>
      <c r="L63" s="77">
        <v>576.29999999999995</v>
      </c>
      <c r="M63" s="78">
        <f t="shared" si="1"/>
        <v>0</v>
      </c>
      <c r="N63" s="100">
        <v>3</v>
      </c>
      <c r="O63" s="224">
        <v>9356.9</v>
      </c>
      <c r="P63" s="224">
        <v>9356.9</v>
      </c>
      <c r="Q63" s="232">
        <f t="shared" si="2"/>
        <v>0</v>
      </c>
    </row>
    <row r="64" spans="1:17" s="13" customFormat="1" ht="45" x14ac:dyDescent="0.25">
      <c r="A64" s="229"/>
      <c r="B64" s="30" t="s">
        <v>47</v>
      </c>
      <c r="C64" s="181" t="s">
        <v>304</v>
      </c>
      <c r="D64" s="182" t="s">
        <v>474</v>
      </c>
      <c r="E64" s="183" t="s">
        <v>18</v>
      </c>
      <c r="F64" s="73" t="s">
        <v>348</v>
      </c>
      <c r="G64" s="74" t="s">
        <v>112</v>
      </c>
      <c r="H64" s="75">
        <v>69</v>
      </c>
      <c r="I64" s="76">
        <v>54</v>
      </c>
      <c r="J64" s="98">
        <f>1+1+3+21+7+2+5+2+7+15+14+7+2+5+5+5</f>
        <v>102</v>
      </c>
      <c r="K64" s="77">
        <f>30728.27+19236.99+22614.7+52735.68+23845.61+7108.96+19683.78</f>
        <v>175953.99</v>
      </c>
      <c r="L64" s="77">
        <f>30728.27+19236.99+22614.7+52735.68+23845.61+7108.96</f>
        <v>156270.21</v>
      </c>
      <c r="M64" s="78">
        <f t="shared" si="1"/>
        <v>19683.78</v>
      </c>
      <c r="N64" s="100">
        <f>7+3+4+10+6+1+2+1+3+2+5+1+2</f>
        <v>47</v>
      </c>
      <c r="O64" s="81">
        <f>8477.51+15159.83+14079.46+15414.2+17995.91+2065.56+1859.53+9543.86+1728.53+14526.84+19728.1+2207.7</f>
        <v>122787.02999999998</v>
      </c>
      <c r="P64" s="81">
        <f>8477.51+15159.83+14079.46+15414.2+17995.91+2065.56+1859.53+9543.86+1728.53+14526.84+19728.1+2207.7</f>
        <v>122787.02999999998</v>
      </c>
      <c r="Q64" s="79">
        <f t="shared" si="2"/>
        <v>0</v>
      </c>
    </row>
    <row r="65" spans="1:17" s="13" customFormat="1" ht="45" x14ac:dyDescent="0.25">
      <c r="A65" s="229">
        <v>22</v>
      </c>
      <c r="B65" s="62" t="s">
        <v>120</v>
      </c>
      <c r="C65" s="181" t="s">
        <v>304</v>
      </c>
      <c r="D65" s="182" t="s">
        <v>474</v>
      </c>
      <c r="E65" s="183" t="s">
        <v>18</v>
      </c>
      <c r="F65" s="73" t="s">
        <v>334</v>
      </c>
      <c r="G65" s="230" t="s">
        <v>116</v>
      </c>
      <c r="H65" s="181">
        <v>36</v>
      </c>
      <c r="I65" s="234">
        <v>22</v>
      </c>
      <c r="J65" s="98">
        <v>24</v>
      </c>
      <c r="K65" s="77">
        <v>44680</v>
      </c>
      <c r="L65" s="77">
        <v>44680</v>
      </c>
      <c r="M65" s="78">
        <f t="shared" si="1"/>
        <v>0</v>
      </c>
      <c r="N65" s="100">
        <v>15</v>
      </c>
      <c r="O65" s="224">
        <v>60831</v>
      </c>
      <c r="P65" s="224">
        <v>60831</v>
      </c>
      <c r="Q65" s="232">
        <f t="shared" si="2"/>
        <v>0</v>
      </c>
    </row>
    <row r="66" spans="1:17" s="13" customFormat="1" x14ac:dyDescent="0.25">
      <c r="A66" s="229"/>
      <c r="B66" s="30" t="s">
        <v>134</v>
      </c>
      <c r="C66" s="181" t="s">
        <v>17</v>
      </c>
      <c r="D66" s="182"/>
      <c r="E66" s="183" t="s">
        <v>20</v>
      </c>
      <c r="F66" s="73" t="s">
        <v>349</v>
      </c>
      <c r="G66" s="74" t="s">
        <v>112</v>
      </c>
      <c r="H66" s="75">
        <v>24</v>
      </c>
      <c r="I66" s="76">
        <v>23</v>
      </c>
      <c r="J66" s="96">
        <f>1+4+1+1+2+1+1+7+1+1+2+1</f>
        <v>23</v>
      </c>
      <c r="K66" s="77">
        <f>7301.48+1473.89+1911.09+1690.48+845.24+6268.51+441.51+1983.45+3361.83+883.11+2668.51+2972.45+3953.39+2549.89+1534.35+1092.81</f>
        <v>40931.99</v>
      </c>
      <c r="L66" s="77">
        <f>7301.48+1473.89+1911.09+1690.48+845.24+6268.51+441.51+1983.45+3361.83+883.11+2668.51+2972.45+3953.39+2549.89+1534.35</f>
        <v>39839.18</v>
      </c>
      <c r="M66" s="78">
        <f t="shared" si="1"/>
        <v>1092.8099999999977</v>
      </c>
      <c r="N66" s="100">
        <f>4+1+1+1+1+1</f>
        <v>9</v>
      </c>
      <c r="O66" s="81">
        <f>5020.05+3215.31+12312.39+4648.82+32425.98+7889.42+3294.46</f>
        <v>68806.430000000008</v>
      </c>
      <c r="P66" s="81">
        <f>5020.05+3215.31+12312.39+4648.82+32425.98+7889.42+3294.46</f>
        <v>68806.430000000008</v>
      </c>
      <c r="Q66" s="79">
        <f t="shared" si="2"/>
        <v>0</v>
      </c>
    </row>
    <row r="67" spans="1:17" s="13" customFormat="1" x14ac:dyDescent="0.25">
      <c r="A67" s="229"/>
      <c r="B67" s="30" t="s">
        <v>134</v>
      </c>
      <c r="C67" s="181" t="s">
        <v>17</v>
      </c>
      <c r="D67" s="182"/>
      <c r="E67" s="183" t="s">
        <v>20</v>
      </c>
      <c r="F67" s="73" t="s">
        <v>456</v>
      </c>
      <c r="G67" s="230" t="s">
        <v>114</v>
      </c>
      <c r="H67" s="181">
        <v>27</v>
      </c>
      <c r="I67" s="231">
        <v>12</v>
      </c>
      <c r="J67" s="190">
        <v>12</v>
      </c>
      <c r="K67" s="77">
        <v>18987.419999999998</v>
      </c>
      <c r="L67" s="77">
        <v>18987.419999999998</v>
      </c>
      <c r="M67" s="78">
        <f t="shared" si="1"/>
        <v>0</v>
      </c>
      <c r="N67" s="100">
        <v>27</v>
      </c>
      <c r="O67" s="224">
        <v>61494.8</v>
      </c>
      <c r="P67" s="224">
        <v>61494.8</v>
      </c>
      <c r="Q67" s="232">
        <f t="shared" si="2"/>
        <v>0</v>
      </c>
    </row>
    <row r="68" spans="1:17" s="13" customFormat="1" x14ac:dyDescent="0.25">
      <c r="A68" s="229"/>
      <c r="B68" s="62" t="s">
        <v>48</v>
      </c>
      <c r="C68" s="181" t="s">
        <v>17</v>
      </c>
      <c r="D68" s="182"/>
      <c r="E68" s="183" t="s">
        <v>20</v>
      </c>
      <c r="F68" s="73" t="s">
        <v>350</v>
      </c>
      <c r="G68" s="74" t="s">
        <v>112</v>
      </c>
      <c r="H68" s="75">
        <v>24</v>
      </c>
      <c r="I68" s="76">
        <v>14</v>
      </c>
      <c r="J68" s="96">
        <f>1+1+2+1+3+2+6+3</f>
        <v>19</v>
      </c>
      <c r="K68" s="77">
        <f>4805.96+2585.78+3065.92+2588.55+14407.5+9289.05+3030.73+11469.98+21400.25</f>
        <v>72643.72</v>
      </c>
      <c r="L68" s="77">
        <f>4805.96+2585.78+3065.92+2588.55+14407.5+9289.05+3030.73+11469.98+21400.25</f>
        <v>72643.72</v>
      </c>
      <c r="M68" s="78">
        <f t="shared" si="1"/>
        <v>0</v>
      </c>
      <c r="N68" s="100">
        <f>2+1+2+1+3+2</f>
        <v>11</v>
      </c>
      <c r="O68" s="81">
        <f>23174.33+2535.72+11633.02+6993.42+20756.4+5079.09</f>
        <v>70171.98000000001</v>
      </c>
      <c r="P68" s="81">
        <f>23174.33+2535.72+11633.02+6993.42+20756.4+5079.09</f>
        <v>70171.98000000001</v>
      </c>
      <c r="Q68" s="79">
        <f t="shared" si="2"/>
        <v>0</v>
      </c>
    </row>
    <row r="69" spans="1:17" s="13" customFormat="1" x14ac:dyDescent="0.25">
      <c r="A69" s="229"/>
      <c r="B69" s="62" t="s">
        <v>49</v>
      </c>
      <c r="C69" s="181" t="s">
        <v>17</v>
      </c>
      <c r="D69" s="182"/>
      <c r="E69" s="183" t="s">
        <v>50</v>
      </c>
      <c r="F69" s="73" t="s">
        <v>351</v>
      </c>
      <c r="G69" s="74" t="s">
        <v>112</v>
      </c>
      <c r="H69" s="75">
        <v>30</v>
      </c>
      <c r="I69" s="76">
        <v>27</v>
      </c>
      <c r="J69" s="96">
        <f>1+4+8+6+5+1+2+2+5</f>
        <v>34</v>
      </c>
      <c r="K69" s="77">
        <f>525.65+1267.86+6544.72+13939.57+2896.54+9712.48+14471.86+991.75+8615.66+5704.78</f>
        <v>64670.869999999995</v>
      </c>
      <c r="L69" s="77">
        <f>525.65+1267.86+6544.72+13939.57+2896.54+9712.48+14471.86+991.75+8615.66+5704.78</f>
        <v>64670.869999999995</v>
      </c>
      <c r="M69" s="78">
        <f t="shared" si="1"/>
        <v>0</v>
      </c>
      <c r="N69" s="100">
        <f>5+1+3+1+1+1+1</f>
        <v>13</v>
      </c>
      <c r="O69" s="81">
        <f>7374+1806.93+7275.53+4666.9+2684.03+6682.03+10412.84+2217.14</f>
        <v>43119.399999999994</v>
      </c>
      <c r="P69" s="81">
        <f>7374+1806.93+7275.53+4666.9+2684.03+6682.03+10412.84</f>
        <v>40902.259999999995</v>
      </c>
      <c r="Q69" s="232">
        <f t="shared" si="2"/>
        <v>2217.1399999999994</v>
      </c>
    </row>
    <row r="70" spans="1:17" s="13" customFormat="1" x14ac:dyDescent="0.25">
      <c r="A70" s="229"/>
      <c r="B70" s="62" t="s">
        <v>49</v>
      </c>
      <c r="C70" s="181" t="s">
        <v>17</v>
      </c>
      <c r="D70" s="182"/>
      <c r="E70" s="183" t="s">
        <v>50</v>
      </c>
      <c r="F70" s="73" t="s">
        <v>427</v>
      </c>
      <c r="G70" s="230" t="s">
        <v>115</v>
      </c>
      <c r="H70" s="181">
        <v>20</v>
      </c>
      <c r="I70" s="231">
        <v>8</v>
      </c>
      <c r="J70" s="96">
        <v>8</v>
      </c>
      <c r="K70" s="77">
        <v>14739.83</v>
      </c>
      <c r="L70" s="77">
        <v>14739.83</v>
      </c>
      <c r="M70" s="78">
        <f t="shared" si="1"/>
        <v>0</v>
      </c>
      <c r="N70" s="100">
        <v>12</v>
      </c>
      <c r="O70" s="224">
        <v>26290.400000000001</v>
      </c>
      <c r="P70" s="224">
        <v>25688.3</v>
      </c>
      <c r="Q70" s="79">
        <f t="shared" si="2"/>
        <v>602.10000000000218</v>
      </c>
    </row>
    <row r="71" spans="1:17" s="13" customFormat="1" x14ac:dyDescent="0.25">
      <c r="A71" s="229"/>
      <c r="B71" s="27" t="s">
        <v>51</v>
      </c>
      <c r="C71" s="181" t="s">
        <v>17</v>
      </c>
      <c r="D71" s="182"/>
      <c r="E71" s="183" t="s">
        <v>20</v>
      </c>
      <c r="F71" s="73" t="s">
        <v>186</v>
      </c>
      <c r="G71" s="74" t="s">
        <v>112</v>
      </c>
      <c r="H71" s="75"/>
      <c r="I71" s="76"/>
      <c r="J71" s="96"/>
      <c r="K71" s="77"/>
      <c r="L71" s="77"/>
      <c r="M71" s="78">
        <f t="shared" si="1"/>
        <v>0</v>
      </c>
      <c r="N71" s="100">
        <f>1</f>
        <v>1</v>
      </c>
      <c r="O71" s="81">
        <v>2451.87</v>
      </c>
      <c r="P71" s="81">
        <v>2451.87</v>
      </c>
      <c r="Q71" s="232">
        <f t="shared" si="2"/>
        <v>0</v>
      </c>
    </row>
    <row r="72" spans="1:17" s="13" customFormat="1" x14ac:dyDescent="0.25">
      <c r="A72" s="229"/>
      <c r="B72" s="27" t="s">
        <v>51</v>
      </c>
      <c r="C72" s="181" t="s">
        <v>17</v>
      </c>
      <c r="D72" s="182"/>
      <c r="E72" s="183" t="s">
        <v>20</v>
      </c>
      <c r="F72" s="73" t="s">
        <v>276</v>
      </c>
      <c r="G72" s="230" t="s">
        <v>114</v>
      </c>
      <c r="H72" s="181"/>
      <c r="I72" s="231"/>
      <c r="J72" s="190"/>
      <c r="K72" s="77"/>
      <c r="L72" s="77"/>
      <c r="M72" s="78">
        <f t="shared" si="1"/>
        <v>0</v>
      </c>
      <c r="N72" s="100">
        <v>3</v>
      </c>
      <c r="O72" s="224">
        <v>6763.6</v>
      </c>
      <c r="P72" s="224">
        <v>6763.6</v>
      </c>
      <c r="Q72" s="232">
        <f t="shared" si="2"/>
        <v>0</v>
      </c>
    </row>
    <row r="73" spans="1:17" s="13" customFormat="1" x14ac:dyDescent="0.25">
      <c r="A73" s="229"/>
      <c r="B73" s="62" t="s">
        <v>52</v>
      </c>
      <c r="C73" s="181" t="s">
        <v>17</v>
      </c>
      <c r="D73" s="182"/>
      <c r="E73" s="183" t="s">
        <v>20</v>
      </c>
      <c r="F73" s="73" t="s">
        <v>352</v>
      </c>
      <c r="G73" s="74" t="s">
        <v>112</v>
      </c>
      <c r="H73" s="75">
        <v>16</v>
      </c>
      <c r="I73" s="76">
        <v>13</v>
      </c>
      <c r="J73" s="96">
        <f>1+1+1+1+2+3+1+1+1+2+1+1</f>
        <v>16</v>
      </c>
      <c r="K73" s="77">
        <f>10714.2+2747.14+2138.07+6709.4+7033.21+883.08+708.47+8516.02+1766.16</f>
        <v>41215.75</v>
      </c>
      <c r="L73" s="77">
        <f>10714.2+2747.14+2138.07+6709.4+7033.21+883.08+708.47+8516.02+1766.16</f>
        <v>41215.75</v>
      </c>
      <c r="M73" s="78">
        <f t="shared" si="1"/>
        <v>0</v>
      </c>
      <c r="N73" s="100">
        <f>4+3+1+1+2+3+1+1+2+1</f>
        <v>19</v>
      </c>
      <c r="O73" s="81">
        <f>5977.15+48296.91+7596.86+1061.83+8902.9+6856.31+2935.36+8136.06+17654.09</f>
        <v>107417.47</v>
      </c>
      <c r="P73" s="81">
        <f>5977.15+48296.91+7596.86+1061.83+8902.9+6856.31+2935.36+8136.06+17654.09</f>
        <v>107417.47</v>
      </c>
      <c r="Q73" s="232">
        <f t="shared" si="2"/>
        <v>0</v>
      </c>
    </row>
    <row r="74" spans="1:17" s="13" customFormat="1" x14ac:dyDescent="0.25">
      <c r="A74" s="229"/>
      <c r="B74" s="62" t="s">
        <v>52</v>
      </c>
      <c r="C74" s="181" t="s">
        <v>17</v>
      </c>
      <c r="D74" s="182"/>
      <c r="E74" s="183" t="s">
        <v>20</v>
      </c>
      <c r="F74" s="73" t="s">
        <v>457</v>
      </c>
      <c r="G74" s="230" t="s">
        <v>114</v>
      </c>
      <c r="H74" s="181">
        <v>16</v>
      </c>
      <c r="I74" s="231">
        <v>6</v>
      </c>
      <c r="J74" s="190">
        <v>6</v>
      </c>
      <c r="K74" s="77">
        <v>19270.099999999999</v>
      </c>
      <c r="L74" s="77">
        <v>19270.099999999999</v>
      </c>
      <c r="M74" s="78">
        <f t="shared" si="1"/>
        <v>0</v>
      </c>
      <c r="N74" s="100">
        <v>23</v>
      </c>
      <c r="O74" s="264">
        <v>66614.92</v>
      </c>
      <c r="P74" s="264">
        <v>66614.92</v>
      </c>
      <c r="Q74" s="232">
        <f t="shared" si="2"/>
        <v>0</v>
      </c>
    </row>
    <row r="75" spans="1:17" s="13" customFormat="1" x14ac:dyDescent="0.25">
      <c r="A75" s="229"/>
      <c r="B75" s="27" t="s">
        <v>53</v>
      </c>
      <c r="C75" s="181" t="s">
        <v>17</v>
      </c>
      <c r="D75" s="182"/>
      <c r="E75" s="183" t="s">
        <v>20</v>
      </c>
      <c r="F75" s="73" t="s">
        <v>353</v>
      </c>
      <c r="G75" s="74" t="s">
        <v>112</v>
      </c>
      <c r="H75" s="75">
        <v>19</v>
      </c>
      <c r="I75" s="76">
        <v>12</v>
      </c>
      <c r="J75" s="96">
        <f>2+2+2+1+2+1+1+3+2</f>
        <v>16</v>
      </c>
      <c r="K75" s="77">
        <f>3655.66+6862.24+2535.72+3550.85+401.4+441.54+3534.2+10803.69</f>
        <v>31785.300000000003</v>
      </c>
      <c r="L75" s="77">
        <f>3655.66+6862.24+2535.72+3550.85+401.4+441.54+3534.2+10803.69</f>
        <v>31785.300000000003</v>
      </c>
      <c r="M75" s="78">
        <f t="shared" si="1"/>
        <v>0</v>
      </c>
      <c r="N75" s="100">
        <f>1+2+2+1+1+1</f>
        <v>8</v>
      </c>
      <c r="O75" s="81">
        <f>1743.3+3921.71+422.62+5626.45+37901.04</f>
        <v>49615.12</v>
      </c>
      <c r="P75" s="81">
        <f>1743.3+3921.71+422.62+5626.45+37901.04</f>
        <v>49615.12</v>
      </c>
      <c r="Q75" s="232">
        <f t="shared" si="2"/>
        <v>0</v>
      </c>
    </row>
    <row r="76" spans="1:17" s="13" customFormat="1" x14ac:dyDescent="0.25">
      <c r="A76" s="229"/>
      <c r="B76" s="27" t="s">
        <v>149</v>
      </c>
      <c r="C76" s="181" t="s">
        <v>17</v>
      </c>
      <c r="D76" s="182"/>
      <c r="E76" s="183" t="s">
        <v>383</v>
      </c>
      <c r="F76" s="73" t="s">
        <v>354</v>
      </c>
      <c r="G76" s="74" t="s">
        <v>112</v>
      </c>
      <c r="H76" s="75">
        <v>43</v>
      </c>
      <c r="I76" s="76">
        <v>33</v>
      </c>
      <c r="J76" s="96">
        <f>7+3+3+7+4+6</f>
        <v>30</v>
      </c>
      <c r="K76" s="77">
        <f>7743.07+4386.1+10376.2+18444.03+9897.12+13372.35</f>
        <v>64218.87</v>
      </c>
      <c r="L76" s="77">
        <f>7743.07+4386.1+10376.2+18444.03+9897.12</f>
        <v>50846.520000000004</v>
      </c>
      <c r="M76" s="78">
        <f t="shared" si="1"/>
        <v>13372.349999999999</v>
      </c>
      <c r="N76" s="100">
        <f>2+2+2+1+8</f>
        <v>15</v>
      </c>
      <c r="O76" s="81">
        <f>3676.8+3431.65+6320.35+4068.03</f>
        <v>17496.830000000002</v>
      </c>
      <c r="P76" s="81">
        <f>3676.8+3431.65+6320.35+4068.03</f>
        <v>17496.830000000002</v>
      </c>
      <c r="Q76" s="79">
        <f t="shared" si="2"/>
        <v>0</v>
      </c>
    </row>
    <row r="77" spans="1:17" s="13" customFormat="1" x14ac:dyDescent="0.25">
      <c r="A77" s="229"/>
      <c r="B77" s="27" t="s">
        <v>149</v>
      </c>
      <c r="C77" s="181" t="s">
        <v>17</v>
      </c>
      <c r="D77" s="182"/>
      <c r="E77" s="183" t="s">
        <v>383</v>
      </c>
      <c r="F77" s="73" t="s">
        <v>438</v>
      </c>
      <c r="G77" s="230" t="s">
        <v>118</v>
      </c>
      <c r="H77" s="181">
        <v>21</v>
      </c>
      <c r="I77" s="234">
        <v>3</v>
      </c>
      <c r="J77" s="190">
        <v>3</v>
      </c>
      <c r="K77" s="193">
        <v>3988.2</v>
      </c>
      <c r="L77" s="193">
        <v>3988.2</v>
      </c>
      <c r="M77" s="78">
        <f t="shared" si="1"/>
        <v>0</v>
      </c>
      <c r="N77" s="114">
        <v>10</v>
      </c>
      <c r="O77" s="224">
        <v>9835.52</v>
      </c>
      <c r="P77" s="224">
        <v>9835.52</v>
      </c>
      <c r="Q77" s="232">
        <f t="shared" si="2"/>
        <v>0</v>
      </c>
    </row>
    <row r="78" spans="1:17" s="13" customFormat="1" x14ac:dyDescent="0.25">
      <c r="A78" s="229"/>
      <c r="B78" s="62" t="s">
        <v>107</v>
      </c>
      <c r="C78" s="181" t="s">
        <v>17</v>
      </c>
      <c r="D78" s="182"/>
      <c r="E78" s="194" t="s">
        <v>20</v>
      </c>
      <c r="F78" s="73" t="s">
        <v>355</v>
      </c>
      <c r="G78" s="74" t="s">
        <v>112</v>
      </c>
      <c r="H78" s="75">
        <v>23</v>
      </c>
      <c r="I78" s="76">
        <v>18</v>
      </c>
      <c r="J78" s="96">
        <f>1+3+3+2+1+2+1+1+6+3</f>
        <v>23</v>
      </c>
      <c r="K78" s="77">
        <f>666.63+7071.2+5333.38+13316.37+23091.24+4686.95+2216.53+401.4+401.4+9002.54+7650.44+6933.89</f>
        <v>80771.970000000016</v>
      </c>
      <c r="L78" s="77">
        <f>666.63+7071.2+5333.38+13316.37+23091.24+4686.95+2216.53+401.4+401.4+9002.54+7650.44</f>
        <v>73838.080000000016</v>
      </c>
      <c r="M78" s="78">
        <f t="shared" ref="M78:M141" si="3">K78-L78</f>
        <v>6933.8899999999994</v>
      </c>
      <c r="N78" s="100">
        <f>2+6+1+1+2+1</f>
        <v>13</v>
      </c>
      <c r="O78" s="81">
        <f>7612.92+18804.48+9163.33+3260.98+6297.63+2609.1+642.24</f>
        <v>48390.68</v>
      </c>
      <c r="P78" s="81">
        <f>7612.92+18804.48+9163.33+3260.98+6297.63+2609.1+642.24</f>
        <v>48390.68</v>
      </c>
      <c r="Q78" s="79">
        <f t="shared" si="2"/>
        <v>0</v>
      </c>
    </row>
    <row r="79" spans="1:17" s="13" customFormat="1" x14ac:dyDescent="0.25">
      <c r="A79" s="229"/>
      <c r="B79" s="30" t="s">
        <v>54</v>
      </c>
      <c r="C79" s="181" t="s">
        <v>17</v>
      </c>
      <c r="D79" s="182"/>
      <c r="E79" s="194" t="s">
        <v>20</v>
      </c>
      <c r="F79" s="73" t="s">
        <v>356</v>
      </c>
      <c r="G79" s="74" t="s">
        <v>112</v>
      </c>
      <c r="H79" s="75"/>
      <c r="I79" s="76"/>
      <c r="J79" s="96"/>
      <c r="K79" s="77">
        <f>9075.37</f>
        <v>9075.3700000000008</v>
      </c>
      <c r="L79" s="77">
        <f>9075.37</f>
        <v>9075.3700000000008</v>
      </c>
      <c r="M79" s="78">
        <f t="shared" si="3"/>
        <v>0</v>
      </c>
      <c r="N79" s="100">
        <f>4+1+1+2+1</f>
        <v>9</v>
      </c>
      <c r="O79" s="81">
        <f>17895.28+17443.73+5473.41+2994.97</f>
        <v>43807.39</v>
      </c>
      <c r="P79" s="81">
        <f>17895.28+17443.73+5473.41+2994.97</f>
        <v>43807.39</v>
      </c>
      <c r="Q79" s="79">
        <f t="shared" si="2"/>
        <v>0</v>
      </c>
    </row>
    <row r="80" spans="1:17" s="13" customFormat="1" ht="30" x14ac:dyDescent="0.25">
      <c r="A80" s="229"/>
      <c r="B80" s="27" t="s">
        <v>55</v>
      </c>
      <c r="C80" s="181" t="s">
        <v>304</v>
      </c>
      <c r="D80" s="182" t="s">
        <v>387</v>
      </c>
      <c r="E80" s="183" t="s">
        <v>20</v>
      </c>
      <c r="F80" s="73" t="s">
        <v>357</v>
      </c>
      <c r="G80" s="74" t="s">
        <v>112</v>
      </c>
      <c r="H80" s="75">
        <v>34</v>
      </c>
      <c r="I80" s="76">
        <v>26</v>
      </c>
      <c r="J80" s="98">
        <f>3+1+1+2+1+1+1+3+3+1+3+1+3+3+3+1</f>
        <v>31</v>
      </c>
      <c r="K80" s="77">
        <f>1267.86+6667.8+5756.15+1180.38+4780.37+4352.43+2850.42+2493.42+1404.9+10097.91+883.08+8774.66+2561.63+8797.67+1858.48+3871.8</f>
        <v>67598.960000000006</v>
      </c>
      <c r="L80" s="77">
        <f>1267.86+6667.8+5756.15+1180.38+4780.37+4352.43+2850.42+2493.42+1404.9+10097.91+883.08+8774.66+2561.63+8797.67</f>
        <v>61868.68</v>
      </c>
      <c r="M80" s="78">
        <f t="shared" si="3"/>
        <v>5730.2800000000061</v>
      </c>
      <c r="N80" s="100">
        <f>2+1+2+2+2+1+2+1+1+1</f>
        <v>15</v>
      </c>
      <c r="O80" s="81">
        <f>34854.19+2113.1+6430.67+5463.42+39145.22+2535.72+5132.44+12985.86+3492.63</f>
        <v>112153.25000000001</v>
      </c>
      <c r="P80" s="81">
        <f>34854.19+2113.1+6430.67+5463.42+39145.22+2535.72+5132.44+12985.86+3492.63</f>
        <v>112153.25000000001</v>
      </c>
      <c r="Q80" s="232">
        <f t="shared" si="2"/>
        <v>0</v>
      </c>
    </row>
    <row r="81" spans="1:17" s="13" customFormat="1" ht="30" x14ac:dyDescent="0.25">
      <c r="A81" s="229"/>
      <c r="B81" s="62" t="s">
        <v>56</v>
      </c>
      <c r="C81" s="181" t="s">
        <v>17</v>
      </c>
      <c r="D81" s="182" t="s">
        <v>386</v>
      </c>
      <c r="E81" s="183" t="s">
        <v>18</v>
      </c>
      <c r="F81" s="73" t="s">
        <v>358</v>
      </c>
      <c r="G81" s="74" t="s">
        <v>112</v>
      </c>
      <c r="H81" s="75">
        <v>14</v>
      </c>
      <c r="I81" s="76">
        <v>12</v>
      </c>
      <c r="J81" s="96">
        <f>1+1+2+2+5+1</f>
        <v>12</v>
      </c>
      <c r="K81" s="77">
        <f>678.11+678.11+4865.7+5265.72+4915.15+2243.02</f>
        <v>18645.810000000001</v>
      </c>
      <c r="L81" s="77">
        <f>678.11+678.11+4865.7+5265.72+4915.15+2243.02</f>
        <v>18645.810000000001</v>
      </c>
      <c r="M81" s="78">
        <f t="shared" si="3"/>
        <v>0</v>
      </c>
      <c r="N81" s="100">
        <f>1</f>
        <v>1</v>
      </c>
      <c r="O81" s="81">
        <f>4395.5</f>
        <v>4395.5</v>
      </c>
      <c r="P81" s="81">
        <f>4395.5</f>
        <v>4395.5</v>
      </c>
      <c r="Q81" s="79">
        <f t="shared" si="2"/>
        <v>0</v>
      </c>
    </row>
    <row r="82" spans="1:17" s="13" customFormat="1" ht="30" x14ac:dyDescent="0.25">
      <c r="A82" s="229"/>
      <c r="B82" s="62" t="s">
        <v>56</v>
      </c>
      <c r="C82" s="181" t="s">
        <v>304</v>
      </c>
      <c r="D82" s="182" t="s">
        <v>386</v>
      </c>
      <c r="E82" s="183" t="s">
        <v>18</v>
      </c>
      <c r="F82" s="73" t="s">
        <v>476</v>
      </c>
      <c r="G82" s="230" t="s">
        <v>113</v>
      </c>
      <c r="H82" s="181">
        <v>14</v>
      </c>
      <c r="I82" s="234">
        <v>11</v>
      </c>
      <c r="J82" s="98">
        <v>13</v>
      </c>
      <c r="K82" s="77">
        <v>20460</v>
      </c>
      <c r="L82" s="77">
        <v>20460</v>
      </c>
      <c r="M82" s="78">
        <f t="shared" si="3"/>
        <v>0</v>
      </c>
      <c r="N82" s="100"/>
      <c r="O82" s="224">
        <v>7612</v>
      </c>
      <c r="P82" s="224">
        <v>7612</v>
      </c>
      <c r="Q82" s="232">
        <f t="shared" ref="Q82:Q147" si="4">O82-P82</f>
        <v>0</v>
      </c>
    </row>
    <row r="83" spans="1:17" s="13" customFormat="1" x14ac:dyDescent="0.25">
      <c r="A83" s="229"/>
      <c r="B83" s="62" t="s">
        <v>156</v>
      </c>
      <c r="C83" s="181" t="s">
        <v>304</v>
      </c>
      <c r="D83" s="182"/>
      <c r="E83" s="183" t="s">
        <v>20</v>
      </c>
      <c r="F83" s="73" t="s">
        <v>359</v>
      </c>
      <c r="G83" s="74" t="s">
        <v>112</v>
      </c>
      <c r="H83" s="75">
        <v>5</v>
      </c>
      <c r="I83" s="76">
        <v>2</v>
      </c>
      <c r="J83" s="96">
        <f>2</f>
        <v>2</v>
      </c>
      <c r="K83" s="77">
        <f>1690.48+993.47</f>
        <v>2683.95</v>
      </c>
      <c r="L83" s="77">
        <f>1690.48+993.47</f>
        <v>2683.95</v>
      </c>
      <c r="M83" s="78">
        <f t="shared" si="3"/>
        <v>0</v>
      </c>
      <c r="N83" s="100">
        <f>3+1+1</f>
        <v>5</v>
      </c>
      <c r="O83" s="81">
        <f>5488.54+2398.37+422.62+1605.6</f>
        <v>9915.130000000001</v>
      </c>
      <c r="P83" s="81">
        <f>5488.54+2398.37+422.62+1605.6</f>
        <v>9915.130000000001</v>
      </c>
      <c r="Q83" s="79">
        <f t="shared" si="4"/>
        <v>0</v>
      </c>
    </row>
    <row r="84" spans="1:17" s="15" customFormat="1" x14ac:dyDescent="0.25">
      <c r="A84" s="229"/>
      <c r="B84" s="62" t="s">
        <v>57</v>
      </c>
      <c r="C84" s="181" t="s">
        <v>17</v>
      </c>
      <c r="D84" s="182"/>
      <c r="E84" s="183" t="s">
        <v>20</v>
      </c>
      <c r="F84" s="73" t="s">
        <v>360</v>
      </c>
      <c r="G84" s="74" t="s">
        <v>112</v>
      </c>
      <c r="H84" s="75">
        <v>9</v>
      </c>
      <c r="I84" s="76">
        <v>8</v>
      </c>
      <c r="J84" s="96">
        <f>2+1+1+2+2+1</f>
        <v>9</v>
      </c>
      <c r="K84" s="77">
        <f>806.82+1728.9+422.62+2958.34+863.01</f>
        <v>6779.6900000000005</v>
      </c>
      <c r="L84" s="77">
        <f>806.82+1728.9+422.62+2958.34+863.01</f>
        <v>6779.6900000000005</v>
      </c>
      <c r="M84" s="78">
        <f t="shared" si="3"/>
        <v>0</v>
      </c>
      <c r="N84" s="100">
        <f>2+1+1</f>
        <v>4</v>
      </c>
      <c r="O84" s="81">
        <f>2745.3</f>
        <v>2745.3</v>
      </c>
      <c r="P84" s="81">
        <f>2745.3</f>
        <v>2745.3</v>
      </c>
      <c r="Q84" s="232">
        <f t="shared" si="4"/>
        <v>0</v>
      </c>
    </row>
    <row r="85" spans="1:17" s="15" customFormat="1" x14ac:dyDescent="0.25">
      <c r="A85" s="229"/>
      <c r="B85" s="62" t="s">
        <v>57</v>
      </c>
      <c r="C85" s="181" t="s">
        <v>17</v>
      </c>
      <c r="D85" s="182"/>
      <c r="E85" s="183" t="s">
        <v>20</v>
      </c>
      <c r="F85" s="73" t="s">
        <v>458</v>
      </c>
      <c r="G85" s="230" t="s">
        <v>114</v>
      </c>
      <c r="H85" s="181">
        <v>41</v>
      </c>
      <c r="I85" s="231">
        <v>19</v>
      </c>
      <c r="J85" s="190">
        <v>19</v>
      </c>
      <c r="K85" s="77">
        <v>50821.97</v>
      </c>
      <c r="L85" s="77">
        <v>50821.97</v>
      </c>
      <c r="M85" s="78">
        <f t="shared" si="3"/>
        <v>0</v>
      </c>
      <c r="N85" s="100">
        <v>20</v>
      </c>
      <c r="O85" s="224">
        <v>42687.199999999997</v>
      </c>
      <c r="P85" s="224">
        <v>42687.199999999997</v>
      </c>
      <c r="Q85" s="232">
        <f t="shared" si="4"/>
        <v>0</v>
      </c>
    </row>
    <row r="86" spans="1:17" s="13" customFormat="1" x14ac:dyDescent="0.25">
      <c r="A86" s="229"/>
      <c r="B86" s="62" t="s">
        <v>58</v>
      </c>
      <c r="C86" s="181" t="s">
        <v>17</v>
      </c>
      <c r="D86" s="182"/>
      <c r="E86" s="183" t="s">
        <v>20</v>
      </c>
      <c r="F86" s="73" t="s">
        <v>361</v>
      </c>
      <c r="G86" s="74" t="s">
        <v>112</v>
      </c>
      <c r="H86" s="75">
        <v>12</v>
      </c>
      <c r="I86" s="76">
        <v>9</v>
      </c>
      <c r="J86" s="96">
        <f>1+2+1+1+1+1+2</f>
        <v>9</v>
      </c>
      <c r="K86" s="77">
        <f>1892.47+3118.94+422.62+1324.62+12755.56</f>
        <v>19514.21</v>
      </c>
      <c r="L86" s="77">
        <f>1892.47+3118.94+422.62+1324.62+12755.56</f>
        <v>19514.21</v>
      </c>
      <c r="M86" s="78">
        <f t="shared" si="3"/>
        <v>0</v>
      </c>
      <c r="N86" s="100">
        <f>1+1+3+1</f>
        <v>6</v>
      </c>
      <c r="O86" s="81">
        <f>9196.24+2480.78+2954.11+15214.32</f>
        <v>29845.45</v>
      </c>
      <c r="P86" s="81">
        <f>9196.24+2480.78+2954.11+15214.32</f>
        <v>29845.45</v>
      </c>
      <c r="Q86" s="232">
        <f t="shared" si="4"/>
        <v>0</v>
      </c>
    </row>
    <row r="87" spans="1:17" s="13" customFormat="1" x14ac:dyDescent="0.25">
      <c r="A87" s="229"/>
      <c r="B87" s="62" t="s">
        <v>58</v>
      </c>
      <c r="C87" s="181" t="s">
        <v>17</v>
      </c>
      <c r="D87" s="182"/>
      <c r="E87" s="183" t="s">
        <v>20</v>
      </c>
      <c r="F87" s="73" t="s">
        <v>478</v>
      </c>
      <c r="G87" s="230" t="s">
        <v>114</v>
      </c>
      <c r="H87" s="181">
        <v>15</v>
      </c>
      <c r="I87" s="231">
        <v>3</v>
      </c>
      <c r="J87" s="190">
        <v>3</v>
      </c>
      <c r="K87" s="77">
        <v>3765.16</v>
      </c>
      <c r="L87" s="77">
        <v>3765.16</v>
      </c>
      <c r="M87" s="78">
        <f t="shared" si="3"/>
        <v>0</v>
      </c>
      <c r="N87" s="100">
        <v>21</v>
      </c>
      <c r="O87" s="224">
        <v>54215.77</v>
      </c>
      <c r="P87" s="224">
        <v>54215.77</v>
      </c>
      <c r="Q87" s="232">
        <f t="shared" si="4"/>
        <v>0</v>
      </c>
    </row>
    <row r="88" spans="1:17" s="13" customFormat="1" x14ac:dyDescent="0.25">
      <c r="A88" s="229"/>
      <c r="B88" s="62" t="s">
        <v>59</v>
      </c>
      <c r="C88" s="181" t="s">
        <v>17</v>
      </c>
      <c r="D88" s="182"/>
      <c r="E88" s="183" t="s">
        <v>20</v>
      </c>
      <c r="F88" s="73" t="s">
        <v>362</v>
      </c>
      <c r="G88" s="74" t="s">
        <v>112</v>
      </c>
      <c r="H88" s="75">
        <v>16</v>
      </c>
      <c r="I88" s="76">
        <v>11</v>
      </c>
      <c r="J88" s="96">
        <f>1+1+1+3+1+1+2+1+1</f>
        <v>12</v>
      </c>
      <c r="K88" s="77">
        <f>403.41+1431.16+845.24+998.92+3059.87+5898.13+2379.46</f>
        <v>15016.189999999999</v>
      </c>
      <c r="L88" s="77">
        <f>403.41+1431.16+845.24+998.92+3059.87+5898.13+2379.46</f>
        <v>15016.189999999999</v>
      </c>
      <c r="M88" s="78">
        <f t="shared" si="3"/>
        <v>0</v>
      </c>
      <c r="N88" s="100">
        <f>1+2+2+1+1+1+1+1</f>
        <v>10</v>
      </c>
      <c r="O88" s="81">
        <f>6646.05+1267.86+979.71</f>
        <v>8893.619999999999</v>
      </c>
      <c r="P88" s="81">
        <f>2353.23+5561.68+978.71</f>
        <v>8893.619999999999</v>
      </c>
      <c r="Q88" s="232">
        <f t="shared" si="4"/>
        <v>0</v>
      </c>
    </row>
    <row r="89" spans="1:17" s="13" customFormat="1" x14ac:dyDescent="0.25">
      <c r="A89" s="229"/>
      <c r="B89" s="62" t="s">
        <v>59</v>
      </c>
      <c r="C89" s="181" t="s">
        <v>17</v>
      </c>
      <c r="D89" s="182"/>
      <c r="E89" s="183" t="s">
        <v>20</v>
      </c>
      <c r="F89" s="73" t="s">
        <v>128</v>
      </c>
      <c r="G89" s="230" t="s">
        <v>114</v>
      </c>
      <c r="H89" s="181"/>
      <c r="I89" s="231"/>
      <c r="J89" s="190"/>
      <c r="K89" s="77"/>
      <c r="L89" s="77"/>
      <c r="M89" s="78">
        <f t="shared" si="3"/>
        <v>0</v>
      </c>
      <c r="N89" s="100"/>
      <c r="O89" s="224"/>
      <c r="P89" s="224"/>
      <c r="Q89" s="232">
        <f t="shared" si="4"/>
        <v>0</v>
      </c>
    </row>
    <row r="90" spans="1:17" s="13" customFormat="1" x14ac:dyDescent="0.25">
      <c r="A90" s="229"/>
      <c r="B90" s="27" t="s">
        <v>60</v>
      </c>
      <c r="C90" s="181" t="s">
        <v>17</v>
      </c>
      <c r="D90" s="182"/>
      <c r="E90" s="183" t="s">
        <v>20</v>
      </c>
      <c r="F90" s="73" t="s">
        <v>364</v>
      </c>
      <c r="G90" s="74" t="s">
        <v>112</v>
      </c>
      <c r="H90" s="75">
        <v>22</v>
      </c>
      <c r="I90" s="76">
        <v>12</v>
      </c>
      <c r="J90" s="96">
        <f>1+1+1+4+4+2+2</f>
        <v>15</v>
      </c>
      <c r="K90" s="77">
        <f>634.93+893.27+2930.22+8503.46+16092.98</f>
        <v>29054.86</v>
      </c>
      <c r="L90" s="77">
        <f>634.93+893.27+2930.22+8503.46+16092.98</f>
        <v>29054.86</v>
      </c>
      <c r="M90" s="78">
        <f t="shared" si="3"/>
        <v>0</v>
      </c>
      <c r="N90" s="100">
        <f>4+1+3+1+1+2+2</f>
        <v>14</v>
      </c>
      <c r="O90" s="81">
        <f>15124.53+2065.75+8492.52+5828.3+7183.28</f>
        <v>38694.379999999997</v>
      </c>
      <c r="P90" s="81">
        <f>15124.53+2065.75+8492.52+5828.3+7183.28</f>
        <v>38694.379999999997</v>
      </c>
      <c r="Q90" s="232">
        <f t="shared" si="4"/>
        <v>0</v>
      </c>
    </row>
    <row r="91" spans="1:17" s="13" customFormat="1" x14ac:dyDescent="0.25">
      <c r="A91" s="229"/>
      <c r="B91" s="27" t="s">
        <v>60</v>
      </c>
      <c r="C91" s="181" t="s">
        <v>17</v>
      </c>
      <c r="D91" s="182"/>
      <c r="E91" s="183" t="s">
        <v>20</v>
      </c>
      <c r="F91" s="73" t="s">
        <v>479</v>
      </c>
      <c r="G91" s="230" t="s">
        <v>114</v>
      </c>
      <c r="H91" s="181">
        <v>22</v>
      </c>
      <c r="I91" s="231">
        <v>4</v>
      </c>
      <c r="J91" s="190">
        <v>4</v>
      </c>
      <c r="K91" s="77">
        <v>8197.2000000000007</v>
      </c>
      <c r="L91" s="77">
        <v>8197.2000000000007</v>
      </c>
      <c r="M91" s="78">
        <f t="shared" si="3"/>
        <v>0</v>
      </c>
      <c r="N91" s="100">
        <v>14</v>
      </c>
      <c r="O91" s="224">
        <v>44683.68</v>
      </c>
      <c r="P91" s="224">
        <v>44683.68</v>
      </c>
      <c r="Q91" s="232">
        <f t="shared" si="4"/>
        <v>0</v>
      </c>
    </row>
    <row r="92" spans="1:17" s="13" customFormat="1" x14ac:dyDescent="0.25">
      <c r="A92" s="229"/>
      <c r="B92" s="27" t="s">
        <v>493</v>
      </c>
      <c r="C92" s="181" t="s">
        <v>17</v>
      </c>
      <c r="D92" s="182"/>
      <c r="E92" s="183" t="s">
        <v>20</v>
      </c>
      <c r="F92" s="73" t="s">
        <v>496</v>
      </c>
      <c r="G92" s="230" t="s">
        <v>112</v>
      </c>
      <c r="H92" s="181">
        <v>17</v>
      </c>
      <c r="I92" s="231">
        <v>14</v>
      </c>
      <c r="J92" s="190">
        <f>3+2+1+3+1+2+1+3+3+1+1</f>
        <v>21</v>
      </c>
      <c r="K92" s="77">
        <f>3387.04+3467.41+1267.86+2218.74+8089.94+1924.71+5638.36+4883.04+2510.56+993.47+2561.63</f>
        <v>36942.759999999995</v>
      </c>
      <c r="L92" s="77">
        <f>3387.04+3467.41+1267.86+2218.74+8089.94+1924.71+5638.36+4883.04+2510.56+993.47</f>
        <v>34381.129999999997</v>
      </c>
      <c r="M92" s="78">
        <f t="shared" si="3"/>
        <v>2561.6299999999974</v>
      </c>
      <c r="N92" s="100"/>
      <c r="O92" s="224"/>
      <c r="P92" s="224"/>
      <c r="Q92" s="232">
        <f t="shared" si="4"/>
        <v>0</v>
      </c>
    </row>
    <row r="93" spans="1:17" s="15" customFormat="1" x14ac:dyDescent="0.25">
      <c r="A93" s="229"/>
      <c r="B93" s="27" t="s">
        <v>61</v>
      </c>
      <c r="C93" s="181" t="s">
        <v>17</v>
      </c>
      <c r="D93" s="182"/>
      <c r="E93" s="183" t="s">
        <v>20</v>
      </c>
      <c r="F93" s="73" t="s">
        <v>363</v>
      </c>
      <c r="G93" s="74" t="s">
        <v>112</v>
      </c>
      <c r="H93" s="75"/>
      <c r="I93" s="76"/>
      <c r="J93" s="96"/>
      <c r="K93" s="77"/>
      <c r="L93" s="77"/>
      <c r="M93" s="78">
        <f t="shared" si="3"/>
        <v>0</v>
      </c>
      <c r="N93" s="100"/>
      <c r="O93" s="81"/>
      <c r="P93" s="81"/>
      <c r="Q93" s="232">
        <f t="shared" si="4"/>
        <v>0</v>
      </c>
    </row>
    <row r="94" spans="1:17" s="15" customFormat="1" x14ac:dyDescent="0.25">
      <c r="A94" s="229"/>
      <c r="B94" s="236" t="s">
        <v>306</v>
      </c>
      <c r="C94" s="181" t="s">
        <v>17</v>
      </c>
      <c r="D94" s="182"/>
      <c r="E94" s="183" t="s">
        <v>35</v>
      </c>
      <c r="F94" s="73" t="s">
        <v>365</v>
      </c>
      <c r="G94" s="230" t="s">
        <v>112</v>
      </c>
      <c r="H94" s="181">
        <v>44</v>
      </c>
      <c r="I94" s="231">
        <v>32</v>
      </c>
      <c r="J94" s="190">
        <f>1+2+1+3+3+2+3+1+2+1+3+4+3+6</f>
        <v>35</v>
      </c>
      <c r="K94" s="77">
        <f>1045.98+2658.7+35696.14+4892.46+1024.04+2384.53+10793.24+5320.79+2075.24+1324.62+1192.16+2649.24+3973.86</f>
        <v>75031</v>
      </c>
      <c r="L94" s="77">
        <f>1045.98+2658.7+35696.14+4892.46+1024.04+2384.53+10793.24+5320.79+2075.24+1324.62+1192.16+2649.24+3973.86</f>
        <v>75031</v>
      </c>
      <c r="M94" s="78">
        <f t="shared" si="3"/>
        <v>0</v>
      </c>
      <c r="N94" s="114">
        <f>7+2+2+2+1+1+1</f>
        <v>16</v>
      </c>
      <c r="O94" s="224">
        <f>2313.84+6162.57+2330.32+1690.48+3706.14+3107.65+4960.7</f>
        <v>24271.7</v>
      </c>
      <c r="P94" s="224">
        <f>2313.84+6162.57+2330.32+1690.48+3706.14+3107.65+4960.7</f>
        <v>24271.7</v>
      </c>
      <c r="Q94" s="232">
        <f t="shared" si="4"/>
        <v>0</v>
      </c>
    </row>
    <row r="95" spans="1:17" s="13" customFormat="1" x14ac:dyDescent="0.25">
      <c r="A95" s="229"/>
      <c r="B95" s="62" t="s">
        <v>306</v>
      </c>
      <c r="C95" s="181" t="s">
        <v>17</v>
      </c>
      <c r="D95" s="182"/>
      <c r="E95" s="183" t="s">
        <v>27</v>
      </c>
      <c r="F95" s="73" t="s">
        <v>421</v>
      </c>
      <c r="G95" s="230" t="s">
        <v>117</v>
      </c>
      <c r="H95" s="181">
        <v>6</v>
      </c>
      <c r="I95" s="231"/>
      <c r="J95" s="96"/>
      <c r="K95" s="77"/>
      <c r="L95" s="77"/>
      <c r="M95" s="78">
        <f t="shared" si="3"/>
        <v>0</v>
      </c>
      <c r="N95" s="100"/>
      <c r="O95" s="77"/>
      <c r="P95" s="77"/>
      <c r="Q95" s="79">
        <f>O95-P95</f>
        <v>0</v>
      </c>
    </row>
    <row r="96" spans="1:17" s="13" customFormat="1" x14ac:dyDescent="0.25">
      <c r="A96" s="229"/>
      <c r="B96" s="27" t="s">
        <v>62</v>
      </c>
      <c r="C96" s="181" t="s">
        <v>17</v>
      </c>
      <c r="D96" s="182"/>
      <c r="E96" s="183" t="s">
        <v>35</v>
      </c>
      <c r="F96" s="73" t="s">
        <v>366</v>
      </c>
      <c r="G96" s="74" t="s">
        <v>112</v>
      </c>
      <c r="H96" s="75">
        <v>40</v>
      </c>
      <c r="I96" s="76">
        <v>27</v>
      </c>
      <c r="J96" s="96">
        <f>1+3+1+1+2+4+4+3+3+4+2</f>
        <v>28</v>
      </c>
      <c r="K96" s="77">
        <f>3613.4+1872.01+1394.65+3518.32+15902.72+5370.89+2686.97+19155.26+5281.5+2557.29</f>
        <v>61353.01</v>
      </c>
      <c r="L96" s="77">
        <f>3613.4+1872.01+1394.65+3518.32+15902.72+5370.89+2686.97+19155.26+5281.5+2557.29</f>
        <v>61353.01</v>
      </c>
      <c r="M96" s="78">
        <f t="shared" si="3"/>
        <v>0</v>
      </c>
      <c r="N96" s="100">
        <f>6+2+1+2+1+3+1+1</f>
        <v>17</v>
      </c>
      <c r="O96" s="81">
        <f>19511.33+1270.93+3979.74+2500.85+8530.18+845.24+12787.47+17476.07</f>
        <v>66901.81</v>
      </c>
      <c r="P96" s="81">
        <f>19511.33+1270.93+3979.74+2500.85+8530.18+845.24+12787.47+17476.07</f>
        <v>66901.81</v>
      </c>
      <c r="Q96" s="79">
        <f t="shared" si="4"/>
        <v>0</v>
      </c>
    </row>
    <row r="97" spans="1:17" s="13" customFormat="1" x14ac:dyDescent="0.25">
      <c r="A97" s="229"/>
      <c r="B97" s="27" t="s">
        <v>62</v>
      </c>
      <c r="C97" s="181" t="s">
        <v>17</v>
      </c>
      <c r="D97" s="182"/>
      <c r="E97" s="183" t="s">
        <v>35</v>
      </c>
      <c r="F97" s="73" t="s">
        <v>428</v>
      </c>
      <c r="G97" s="230" t="s">
        <v>117</v>
      </c>
      <c r="H97" s="181">
        <v>6</v>
      </c>
      <c r="I97" s="231"/>
      <c r="J97" s="96"/>
      <c r="K97" s="77"/>
      <c r="L97" s="77"/>
      <c r="M97" s="78">
        <f t="shared" si="3"/>
        <v>0</v>
      </c>
      <c r="N97" s="100">
        <v>10</v>
      </c>
      <c r="O97" s="224">
        <v>35030.800000000003</v>
      </c>
      <c r="P97" s="224">
        <v>35030.800000000003</v>
      </c>
      <c r="Q97" s="232">
        <f t="shared" si="4"/>
        <v>0</v>
      </c>
    </row>
    <row r="98" spans="1:17" s="13" customFormat="1" x14ac:dyDescent="0.25">
      <c r="A98" s="229"/>
      <c r="B98" s="27" t="s">
        <v>155</v>
      </c>
      <c r="C98" s="181" t="s">
        <v>17</v>
      </c>
      <c r="D98" s="182"/>
      <c r="E98" s="183" t="s">
        <v>20</v>
      </c>
      <c r="F98" s="73" t="s">
        <v>367</v>
      </c>
      <c r="G98" s="74" t="s">
        <v>112</v>
      </c>
      <c r="H98" s="75">
        <v>14</v>
      </c>
      <c r="I98" s="82">
        <v>10</v>
      </c>
      <c r="J98" s="96">
        <f>1+2+3+1+2+2+1+1</f>
        <v>13</v>
      </c>
      <c r="K98" s="77">
        <f>3117.56+2266.78+5307.72+3606.94+1494.21+6905.68+2817.8+364.27</f>
        <v>25880.960000000003</v>
      </c>
      <c r="L98" s="77">
        <f>3117.56+2266.78+5307.72+3606.94+1494.21+6905.68+2817.8+364.27</f>
        <v>25880.960000000003</v>
      </c>
      <c r="M98" s="78">
        <f t="shared" si="3"/>
        <v>0</v>
      </c>
      <c r="N98" s="100">
        <f>1+1+1+1+1</f>
        <v>5</v>
      </c>
      <c r="O98" s="81">
        <f>1798.06+2123.67+2959.73</f>
        <v>6881.46</v>
      </c>
      <c r="P98" s="81">
        <f>1798.06+2123.67+2959.73</f>
        <v>6881.46</v>
      </c>
      <c r="Q98" s="232">
        <f t="shared" si="4"/>
        <v>0</v>
      </c>
    </row>
    <row r="99" spans="1:17" s="13" customFormat="1" ht="15.75" x14ac:dyDescent="0.25">
      <c r="A99" s="229"/>
      <c r="B99" s="27" t="s">
        <v>155</v>
      </c>
      <c r="C99" s="181" t="s">
        <v>17</v>
      </c>
      <c r="D99" s="182"/>
      <c r="E99" s="183" t="s">
        <v>20</v>
      </c>
      <c r="F99" s="73" t="s">
        <v>459</v>
      </c>
      <c r="G99" s="230" t="s">
        <v>114</v>
      </c>
      <c r="H99" s="1">
        <v>18</v>
      </c>
      <c r="I99" s="231">
        <v>4</v>
      </c>
      <c r="J99" s="190">
        <v>4</v>
      </c>
      <c r="K99" s="77">
        <v>8816.51</v>
      </c>
      <c r="L99" s="77">
        <v>8816.51</v>
      </c>
      <c r="M99" s="78">
        <f t="shared" si="3"/>
        <v>0</v>
      </c>
      <c r="N99" s="100">
        <v>16</v>
      </c>
      <c r="O99" s="224">
        <v>36413.46</v>
      </c>
      <c r="P99" s="224">
        <v>36413.46</v>
      </c>
      <c r="Q99" s="232">
        <f t="shared" si="4"/>
        <v>0</v>
      </c>
    </row>
    <row r="100" spans="1:17" s="13" customFormat="1" x14ac:dyDescent="0.25">
      <c r="A100" s="229"/>
      <c r="B100" s="30" t="s">
        <v>66</v>
      </c>
      <c r="C100" s="181" t="s">
        <v>17</v>
      </c>
      <c r="D100" s="182"/>
      <c r="E100" s="183" t="s">
        <v>21</v>
      </c>
      <c r="F100" s="73" t="s">
        <v>368</v>
      </c>
      <c r="G100" s="74" t="s">
        <v>112</v>
      </c>
      <c r="H100" s="75">
        <v>41</v>
      </c>
      <c r="I100" s="76">
        <v>34</v>
      </c>
      <c r="J100" s="96">
        <f>1+3+2+3+2+1+2+1+3+7+4+3+2+3+4+5+7+1</f>
        <v>54</v>
      </c>
      <c r="K100" s="77">
        <f>1045.98+4309.04+3820.12+1872.01+4253.49+3044.79+1191.19+4942.84+9299.2+9796.16+4139.27+2886.87+11269.91+12820.57+18537.23+2815.43</f>
        <v>96044.099999999991</v>
      </c>
      <c r="L100" s="77">
        <f>1045.98+4309.04+3820.12+1872.01+4253.49+3044.79+1191.19+4942.84+9299.2+9796.16+4139.27+2886.87+11269.91+12820.57+18537.23</f>
        <v>93228.67</v>
      </c>
      <c r="M100" s="78">
        <f t="shared" si="3"/>
        <v>2815.429999999993</v>
      </c>
      <c r="N100" s="100">
        <f>6+3+8+7+1+1+1+2+1+1+1+1+1+1+1</f>
        <v>36</v>
      </c>
      <c r="O100" s="81">
        <f>11911.17+23136+18060.17+1977.84+2091.97+19535.65+19124.11+3199.71+4430.07+5418.9+2717.24+5690.21</f>
        <v>117293.04000000001</v>
      </c>
      <c r="P100" s="81">
        <f>11911.17+23136+18060.17+1977.84+2091.97+19535.65+19124.11+3199.71+4430.07+5418.9+2717.24+5690.21</f>
        <v>117293.04000000001</v>
      </c>
      <c r="Q100" s="232">
        <f t="shared" si="4"/>
        <v>0</v>
      </c>
    </row>
    <row r="101" spans="1:17" s="13" customFormat="1" x14ac:dyDescent="0.25">
      <c r="A101" s="229"/>
      <c r="B101" s="30" t="s">
        <v>66</v>
      </c>
      <c r="C101" s="181" t="s">
        <v>17</v>
      </c>
      <c r="D101" s="182"/>
      <c r="E101" s="183" t="s">
        <v>21</v>
      </c>
      <c r="F101" s="73" t="s">
        <v>439</v>
      </c>
      <c r="G101" s="230" t="s">
        <v>118</v>
      </c>
      <c r="H101" s="181">
        <v>9</v>
      </c>
      <c r="I101" s="231">
        <v>4</v>
      </c>
      <c r="J101" s="96">
        <v>4</v>
      </c>
      <c r="K101" s="77">
        <v>7173.6</v>
      </c>
      <c r="L101" s="77">
        <v>7173.6</v>
      </c>
      <c r="M101" s="78">
        <f t="shared" si="3"/>
        <v>0</v>
      </c>
      <c r="N101" s="100">
        <v>24</v>
      </c>
      <c r="O101" s="224">
        <v>81462.58</v>
      </c>
      <c r="P101" s="224">
        <v>81462.58</v>
      </c>
      <c r="Q101" s="79">
        <f t="shared" si="4"/>
        <v>0</v>
      </c>
    </row>
    <row r="102" spans="1:17" s="13" customFormat="1" x14ac:dyDescent="0.25">
      <c r="A102" s="229"/>
      <c r="B102" s="62" t="s">
        <v>137</v>
      </c>
      <c r="C102" s="181" t="s">
        <v>17</v>
      </c>
      <c r="D102" s="182"/>
      <c r="E102" s="194" t="s">
        <v>35</v>
      </c>
      <c r="F102" s="73" t="s">
        <v>369</v>
      </c>
      <c r="G102" s="74" t="s">
        <v>112</v>
      </c>
      <c r="H102" s="75">
        <v>43</v>
      </c>
      <c r="I102" s="76">
        <v>32</v>
      </c>
      <c r="J102" s="96">
        <f>3+3+1+4+1+3+2+3+6+2+3+1+2</f>
        <v>34</v>
      </c>
      <c r="K102" s="77">
        <f>504.26+845.24+3380.96+422.62+2535.72+6256.62+883.08+2649.24+4395.33+2649.24+2863.99</f>
        <v>27386.299999999996</v>
      </c>
      <c r="L102" s="77">
        <f>504.26+845.24+3380.96+422.62+2535.72+6256.62+883.08+2649.24+4395.33+2649.24+2863.99</f>
        <v>27386.299999999996</v>
      </c>
      <c r="M102" s="78">
        <f t="shared" si="3"/>
        <v>0</v>
      </c>
      <c r="N102" s="100">
        <f>5+1+1+2+1</f>
        <v>10</v>
      </c>
      <c r="O102" s="81">
        <f>2617.36+422.62+3852.18+3380.96+422.62</f>
        <v>10695.74</v>
      </c>
      <c r="P102" s="81">
        <f>2617.36+422.62+3852.18+3380.96+422.62</f>
        <v>10695.74</v>
      </c>
      <c r="Q102" s="232">
        <f t="shared" si="4"/>
        <v>0</v>
      </c>
    </row>
    <row r="103" spans="1:17" s="13" customFormat="1" x14ac:dyDescent="0.25">
      <c r="A103" s="229"/>
      <c r="B103" s="62" t="s">
        <v>137</v>
      </c>
      <c r="C103" s="181" t="s">
        <v>17</v>
      </c>
      <c r="D103" s="182"/>
      <c r="E103" s="194" t="s">
        <v>35</v>
      </c>
      <c r="F103" s="73" t="s">
        <v>429</v>
      </c>
      <c r="G103" s="230" t="s">
        <v>117</v>
      </c>
      <c r="H103" s="181">
        <v>13</v>
      </c>
      <c r="I103" s="231">
        <v>5</v>
      </c>
      <c r="J103" s="190">
        <v>6</v>
      </c>
      <c r="K103" s="193">
        <v>11675.02</v>
      </c>
      <c r="L103" s="193">
        <v>11675.02</v>
      </c>
      <c r="M103" s="78">
        <f t="shared" si="3"/>
        <v>0</v>
      </c>
      <c r="N103" s="114">
        <v>2</v>
      </c>
      <c r="O103" s="224">
        <v>10565.5</v>
      </c>
      <c r="P103" s="224">
        <v>10565.5</v>
      </c>
      <c r="Q103" s="79">
        <f t="shared" si="4"/>
        <v>0</v>
      </c>
    </row>
    <row r="104" spans="1:17" s="13" customFormat="1" x14ac:dyDescent="0.25">
      <c r="A104" s="229"/>
      <c r="B104" s="30" t="s">
        <v>67</v>
      </c>
      <c r="C104" s="181" t="s">
        <v>17</v>
      </c>
      <c r="D104" s="182"/>
      <c r="E104" s="194" t="s">
        <v>21</v>
      </c>
      <c r="F104" s="73" t="s">
        <v>370</v>
      </c>
      <c r="G104" s="74" t="s">
        <v>112</v>
      </c>
      <c r="H104" s="75">
        <v>42</v>
      </c>
      <c r="I104" s="76">
        <v>33</v>
      </c>
      <c r="J104" s="96">
        <f>2+1+1+2+1+1+2+2+1+2+5+5+2+5+3+2+1+2+3</f>
        <v>43</v>
      </c>
      <c r="K104" s="77">
        <f>3319.85+1198.9+864.45+7235.32+1947.89+5377.75+8701.73+3581.7+8737.54+7647.65+16410.46+4594.78</f>
        <v>69618.02</v>
      </c>
      <c r="L104" s="77">
        <f>3319.85+1198.9+864.45+7235.32+1947.89+5377.75+8701.73+3581.7+8737.54+7647.65+16410.46+4594.78</f>
        <v>69618.02</v>
      </c>
      <c r="M104" s="78">
        <f t="shared" si="3"/>
        <v>0</v>
      </c>
      <c r="N104" s="100">
        <f>4+9+4+4+1+3+1+3+1+1+1+1+1+1+3+2</f>
        <v>40</v>
      </c>
      <c r="O104" s="81">
        <f>29696.65+38129.03+13567.9+20687.05+2022.79+8145.77+17250.05+1233.28+5568.04+11106.62+7079.38</f>
        <v>154486.56</v>
      </c>
      <c r="P104" s="81">
        <f>29696.65+38129.03+13567.9+20687.05+2022.79+8145.77+17250.05+1233.28+5568.04+11106.62+7079.38</f>
        <v>154486.56</v>
      </c>
      <c r="Q104" s="232">
        <f t="shared" si="4"/>
        <v>0</v>
      </c>
    </row>
    <row r="105" spans="1:17" s="13" customFormat="1" x14ac:dyDescent="0.25">
      <c r="A105" s="229"/>
      <c r="B105" s="30" t="s">
        <v>67</v>
      </c>
      <c r="C105" s="181" t="s">
        <v>17</v>
      </c>
      <c r="D105" s="182"/>
      <c r="E105" s="194" t="s">
        <v>21</v>
      </c>
      <c r="F105" s="73" t="s">
        <v>440</v>
      </c>
      <c r="G105" s="230" t="s">
        <v>118</v>
      </c>
      <c r="H105" s="181">
        <v>17</v>
      </c>
      <c r="I105" s="231">
        <v>3</v>
      </c>
      <c r="J105" s="96">
        <v>3</v>
      </c>
      <c r="K105" s="77">
        <v>12778.52</v>
      </c>
      <c r="L105" s="77">
        <v>12778.52</v>
      </c>
      <c r="M105" s="78">
        <f t="shared" si="3"/>
        <v>0</v>
      </c>
      <c r="N105" s="100">
        <v>22</v>
      </c>
      <c r="O105" s="224">
        <v>74857.98</v>
      </c>
      <c r="P105" s="224">
        <v>74857.98</v>
      </c>
      <c r="Q105" s="79">
        <f t="shared" si="4"/>
        <v>0</v>
      </c>
    </row>
    <row r="106" spans="1:17" s="13" customFormat="1" x14ac:dyDescent="0.25">
      <c r="A106" s="229"/>
      <c r="B106" s="30" t="s">
        <v>68</v>
      </c>
      <c r="C106" s="181" t="s">
        <v>17</v>
      </c>
      <c r="D106" s="182"/>
      <c r="E106" s="194" t="s">
        <v>32</v>
      </c>
      <c r="F106" s="73" t="s">
        <v>371</v>
      </c>
      <c r="G106" s="74" t="s">
        <v>112</v>
      </c>
      <c r="H106" s="75">
        <v>24</v>
      </c>
      <c r="I106" s="76">
        <v>21</v>
      </c>
      <c r="J106" s="96">
        <f>2+1+2+5+5+3+1+2+2+1+3</f>
        <v>27</v>
      </c>
      <c r="K106" s="77">
        <f>1128.59+422.62+1152.6+4557.81+10981.59+5362.88+4996.85+4352.15+3073.96+3697.9+1003.5+581.63+6475.68</f>
        <v>47787.76</v>
      </c>
      <c r="L106" s="77">
        <f>1128.59+422.62+1152.6+4557.81+10981.59+5362.88+4996.85+4352.15+3073.96+3697.9+1003.5+581.63</f>
        <v>41312.080000000002</v>
      </c>
      <c r="M106" s="78">
        <f t="shared" si="3"/>
        <v>6475.68</v>
      </c>
      <c r="N106" s="100">
        <f>6+5+1+4+2+2+1+1+1</f>
        <v>23</v>
      </c>
      <c r="O106" s="81">
        <f>7813.73+8523.5+1452.28+12582.19+18077.76+4987.46+2373.79+1831.3</f>
        <v>57642.009999999995</v>
      </c>
      <c r="P106" s="81">
        <f>7813.73+8523.5+1452.28+12582.19+18077.76+4987.46+2373.79+1831.3</f>
        <v>57642.009999999995</v>
      </c>
      <c r="Q106" s="232">
        <f t="shared" si="4"/>
        <v>0</v>
      </c>
    </row>
    <row r="107" spans="1:17" s="13" customFormat="1" x14ac:dyDescent="0.25">
      <c r="A107" s="229"/>
      <c r="B107" s="30" t="s">
        <v>68</v>
      </c>
      <c r="C107" s="181" t="s">
        <v>17</v>
      </c>
      <c r="D107" s="182"/>
      <c r="E107" s="194" t="s">
        <v>32</v>
      </c>
      <c r="F107" s="73" t="s">
        <v>430</v>
      </c>
      <c r="G107" s="235" t="s">
        <v>117</v>
      </c>
      <c r="H107" s="181">
        <v>5</v>
      </c>
      <c r="I107" s="231">
        <v>2</v>
      </c>
      <c r="J107" s="96">
        <v>2</v>
      </c>
      <c r="K107" s="77">
        <v>3010.5</v>
      </c>
      <c r="L107" s="77">
        <v>3010.5</v>
      </c>
      <c r="M107" s="78">
        <f t="shared" si="3"/>
        <v>0</v>
      </c>
      <c r="N107" s="100"/>
      <c r="O107" s="77"/>
      <c r="P107" s="77"/>
      <c r="Q107" s="79">
        <f t="shared" si="4"/>
        <v>0</v>
      </c>
    </row>
    <row r="108" spans="1:17" s="15" customFormat="1" x14ac:dyDescent="0.25">
      <c r="A108" s="229"/>
      <c r="B108" s="27" t="s">
        <v>69</v>
      </c>
      <c r="C108" s="181" t="s">
        <v>17</v>
      </c>
      <c r="D108" s="182"/>
      <c r="E108" s="183" t="s">
        <v>20</v>
      </c>
      <c r="F108" s="73" t="s">
        <v>372</v>
      </c>
      <c r="G108" s="74" t="s">
        <v>112</v>
      </c>
      <c r="H108" s="75">
        <v>11</v>
      </c>
      <c r="I108" s="76">
        <v>7</v>
      </c>
      <c r="J108" s="96">
        <f>1+1+1+1+3+1+2</f>
        <v>10</v>
      </c>
      <c r="K108" s="77">
        <f>422.62+17390.69+3114.71+475.45+2326.92+1707.76</f>
        <v>25438.149999999998</v>
      </c>
      <c r="L108" s="77">
        <f>422.62+17390.69+3114.71+475.45+2326.92+1707.76</f>
        <v>25438.149999999998</v>
      </c>
      <c r="M108" s="78">
        <f t="shared" si="3"/>
        <v>0</v>
      </c>
      <c r="N108" s="100">
        <f>3+2+1+1+1+1</f>
        <v>9</v>
      </c>
      <c r="O108" s="77">
        <f>7210.31+3647.96+1306.28+1267.86+2697.06</f>
        <v>16129.470000000001</v>
      </c>
      <c r="P108" s="77">
        <f>7210.31+3647.96+1306.28+1267.86+2697.06</f>
        <v>16129.470000000001</v>
      </c>
      <c r="Q108" s="232">
        <f t="shared" si="4"/>
        <v>0</v>
      </c>
    </row>
    <row r="109" spans="1:17" s="15" customFormat="1" x14ac:dyDescent="0.25">
      <c r="A109" s="229"/>
      <c r="B109" s="236" t="s">
        <v>502</v>
      </c>
      <c r="C109" s="181" t="s">
        <v>17</v>
      </c>
      <c r="D109" s="182"/>
      <c r="E109" s="183" t="s">
        <v>20</v>
      </c>
      <c r="F109" s="73" t="s">
        <v>508</v>
      </c>
      <c r="G109" s="74" t="s">
        <v>112</v>
      </c>
      <c r="H109" s="75">
        <v>19</v>
      </c>
      <c r="I109" s="76">
        <v>14</v>
      </c>
      <c r="J109" s="96">
        <f>4+1+4+1+2+2+2</f>
        <v>16</v>
      </c>
      <c r="K109" s="77">
        <f>6145.3+993.47+5403.3+2759.63+2599.77+1043.64</f>
        <v>18945.11</v>
      </c>
      <c r="L109" s="77">
        <f>6145.3+993.47+5403.3+2759.63+2599.77</f>
        <v>17901.47</v>
      </c>
      <c r="M109" s="78">
        <f t="shared" si="3"/>
        <v>1043.6399999999994</v>
      </c>
      <c r="N109" s="100"/>
      <c r="O109" s="77"/>
      <c r="P109" s="77"/>
      <c r="Q109" s="232">
        <f t="shared" si="4"/>
        <v>0</v>
      </c>
    </row>
    <row r="110" spans="1:17" s="15" customFormat="1" x14ac:dyDescent="0.25">
      <c r="A110" s="229"/>
      <c r="B110" s="236" t="s">
        <v>502</v>
      </c>
      <c r="C110" s="181" t="s">
        <v>17</v>
      </c>
      <c r="D110" s="182"/>
      <c r="E110" s="183" t="s">
        <v>32</v>
      </c>
      <c r="F110" s="73" t="s">
        <v>511</v>
      </c>
      <c r="G110" s="235" t="s">
        <v>117</v>
      </c>
      <c r="H110" s="75">
        <v>10</v>
      </c>
      <c r="I110" s="76">
        <v>1</v>
      </c>
      <c r="J110" s="96">
        <v>1</v>
      </c>
      <c r="K110" s="77">
        <v>1806.3</v>
      </c>
      <c r="L110" s="77"/>
      <c r="M110" s="78">
        <f t="shared" si="3"/>
        <v>1806.3</v>
      </c>
      <c r="N110" s="100"/>
      <c r="O110" s="77"/>
      <c r="P110" s="77"/>
      <c r="Q110" s="232">
        <f t="shared" si="4"/>
        <v>0</v>
      </c>
    </row>
    <row r="111" spans="1:17" s="13" customFormat="1" x14ac:dyDescent="0.25">
      <c r="A111" s="229"/>
      <c r="B111" s="62" t="s">
        <v>70</v>
      </c>
      <c r="C111" s="181" t="s">
        <v>17</v>
      </c>
      <c r="D111" s="182"/>
      <c r="E111" s="183" t="s">
        <v>20</v>
      </c>
      <c r="F111" s="73" t="s">
        <v>373</v>
      </c>
      <c r="G111" s="74" t="s">
        <v>112</v>
      </c>
      <c r="H111" s="75">
        <v>19</v>
      </c>
      <c r="I111" s="76">
        <v>15</v>
      </c>
      <c r="J111" s="96">
        <f>2+2+2+3+1+2+1+1+3</f>
        <v>17</v>
      </c>
      <c r="K111" s="77">
        <f>19498+3011.17+8156.45+4593.85+883.08+4500.96</f>
        <v>40643.51</v>
      </c>
      <c r="L111" s="77">
        <f>19498+3011.17+8156.45+4593.85+883.08+4500.96</f>
        <v>40643.51</v>
      </c>
      <c r="M111" s="78">
        <f t="shared" si="3"/>
        <v>0</v>
      </c>
      <c r="N111" s="100">
        <f>2+3+4+2+1+1</f>
        <v>13</v>
      </c>
      <c r="O111" s="81">
        <f>7606.2+16795.84+3492.18</f>
        <v>27894.22</v>
      </c>
      <c r="P111" s="81">
        <f>7606.2+16795.84+3492.18</f>
        <v>27894.22</v>
      </c>
      <c r="Q111" s="79">
        <f t="shared" si="4"/>
        <v>0</v>
      </c>
    </row>
    <row r="112" spans="1:17" s="13" customFormat="1" x14ac:dyDescent="0.25">
      <c r="A112" s="229"/>
      <c r="B112" s="62" t="s">
        <v>70</v>
      </c>
      <c r="C112" s="181" t="s">
        <v>17</v>
      </c>
      <c r="D112" s="182"/>
      <c r="E112" s="183" t="s">
        <v>20</v>
      </c>
      <c r="F112" s="73" t="s">
        <v>460</v>
      </c>
      <c r="G112" s="230" t="s">
        <v>114</v>
      </c>
      <c r="H112" s="181">
        <v>44</v>
      </c>
      <c r="I112" s="231">
        <v>22</v>
      </c>
      <c r="J112" s="190">
        <v>22</v>
      </c>
      <c r="K112" s="77">
        <v>62930.74</v>
      </c>
      <c r="L112" s="77">
        <v>62930.74</v>
      </c>
      <c r="M112" s="78">
        <f t="shared" si="3"/>
        <v>0</v>
      </c>
      <c r="N112" s="100">
        <v>33</v>
      </c>
      <c r="O112" s="224">
        <v>79611.08</v>
      </c>
      <c r="P112" s="224">
        <v>79611.08</v>
      </c>
      <c r="Q112" s="232">
        <f t="shared" si="4"/>
        <v>0</v>
      </c>
    </row>
    <row r="113" spans="1:17" s="15" customFormat="1" x14ac:dyDescent="0.25">
      <c r="A113" s="229"/>
      <c r="B113" s="62" t="s">
        <v>71</v>
      </c>
      <c r="C113" s="181" t="s">
        <v>17</v>
      </c>
      <c r="D113" s="182"/>
      <c r="E113" s="183" t="s">
        <v>32</v>
      </c>
      <c r="F113" s="73" t="s">
        <v>374</v>
      </c>
      <c r="G113" s="74" t="s">
        <v>112</v>
      </c>
      <c r="H113" s="75">
        <v>28</v>
      </c>
      <c r="I113" s="76">
        <v>23</v>
      </c>
      <c r="J113" s="96">
        <f>3+1+2+1+1+3+3+1+3+4+1+2+3</f>
        <v>28</v>
      </c>
      <c r="K113" s="77">
        <f>1536.8+461.04+1748.88+633.93+3169.65+2435.83+13203.17+728.54+3984.13+1479.16+1118.9</f>
        <v>30500.030000000006</v>
      </c>
      <c r="L113" s="77">
        <f>1536.8+461.04+1748.88+633.93+3169.65+2435.83+13203.17+728.54+3984.13+1479.16</f>
        <v>29381.130000000005</v>
      </c>
      <c r="M113" s="78">
        <f t="shared" si="3"/>
        <v>1118.9000000000015</v>
      </c>
      <c r="N113" s="100">
        <f>3+2+1+1+2+1+1</f>
        <v>11</v>
      </c>
      <c r="O113" s="81">
        <f>9567.93+3616.67+403.41+14275.52+10922.18+12907.41+5701.38</f>
        <v>57394.499999999993</v>
      </c>
      <c r="P113" s="81">
        <f>9567.93+3616.67+403.41+14275.52+10922.18+12907.41+5701.38</f>
        <v>57394.499999999993</v>
      </c>
      <c r="Q113" s="79">
        <f t="shared" si="4"/>
        <v>0</v>
      </c>
    </row>
    <row r="114" spans="1:17" s="15" customFormat="1" x14ac:dyDescent="0.25">
      <c r="A114" s="229"/>
      <c r="B114" s="62" t="s">
        <v>71</v>
      </c>
      <c r="C114" s="181" t="s">
        <v>17</v>
      </c>
      <c r="D114" s="182"/>
      <c r="E114" s="183" t="s">
        <v>32</v>
      </c>
      <c r="F114" s="73" t="s">
        <v>431</v>
      </c>
      <c r="G114" s="230" t="s">
        <v>115</v>
      </c>
      <c r="H114" s="181">
        <v>9</v>
      </c>
      <c r="I114" s="231">
        <v>7</v>
      </c>
      <c r="J114" s="96">
        <v>7</v>
      </c>
      <c r="K114" s="237">
        <v>13651.95</v>
      </c>
      <c r="L114" s="237">
        <v>13651.95</v>
      </c>
      <c r="M114" s="78">
        <f t="shared" si="3"/>
        <v>0</v>
      </c>
      <c r="N114" s="114">
        <f>5</f>
        <v>5</v>
      </c>
      <c r="O114" s="77">
        <v>6595.5</v>
      </c>
      <c r="P114" s="77">
        <v>6595.5</v>
      </c>
      <c r="Q114" s="232">
        <f t="shared" si="4"/>
        <v>0</v>
      </c>
    </row>
    <row r="115" spans="1:17" s="13" customFormat="1" x14ac:dyDescent="0.25">
      <c r="A115" s="229"/>
      <c r="B115" s="62" t="s">
        <v>319</v>
      </c>
      <c r="C115" s="181" t="s">
        <v>17</v>
      </c>
      <c r="D115" s="182"/>
      <c r="E115" s="183" t="s">
        <v>20</v>
      </c>
      <c r="F115" s="73" t="s">
        <v>375</v>
      </c>
      <c r="G115" s="74" t="s">
        <v>112</v>
      </c>
      <c r="H115" s="75">
        <v>48</v>
      </c>
      <c r="I115" s="76">
        <v>38</v>
      </c>
      <c r="J115" s="96">
        <f>2+1+4+3+6+2+7+1+2+1+1+7+1+6+3</f>
        <v>47</v>
      </c>
      <c r="K115" s="77">
        <f>710.77+1523.35+6753.23+7215.52+1437.48+28056.52+6091.99+2561.63+3510.24+1726.58+441.54+15673.73+993.47+7206.74+1390.85</f>
        <v>85293.64</v>
      </c>
      <c r="L115" s="77">
        <f>710.77+1523.35+6753.23+7215.52+1437.48+28056.52+6091.99+2561.63+3510.24+1726.58+441.54+15673.73+993.47+7206.74</f>
        <v>83902.79</v>
      </c>
      <c r="M115" s="78">
        <f t="shared" si="3"/>
        <v>1390.8500000000058</v>
      </c>
      <c r="N115" s="100">
        <f>3+1+2+1+2+1</f>
        <v>10</v>
      </c>
      <c r="O115" s="77">
        <f>13419.94+726.71+2846.77+3770.56+4653.31+2237.23</f>
        <v>27654.520000000004</v>
      </c>
      <c r="P115" s="77">
        <f>13419.94+726.71+2846.77+3770.56+4653.31+2237.23</f>
        <v>27654.520000000004</v>
      </c>
      <c r="Q115" s="79">
        <f>O115-P115</f>
        <v>0</v>
      </c>
    </row>
    <row r="116" spans="1:17" s="15" customFormat="1" x14ac:dyDescent="0.25">
      <c r="A116" s="229"/>
      <c r="B116" s="62" t="s">
        <v>150</v>
      </c>
      <c r="C116" s="181" t="s">
        <v>17</v>
      </c>
      <c r="D116" s="182"/>
      <c r="E116" s="183" t="s">
        <v>35</v>
      </c>
      <c r="F116" s="73" t="s">
        <v>376</v>
      </c>
      <c r="G116" s="74" t="s">
        <v>112</v>
      </c>
      <c r="H116" s="75">
        <v>40</v>
      </c>
      <c r="I116" s="76">
        <v>24</v>
      </c>
      <c r="J116" s="96">
        <f>1+1+2+2+1+3+1+4+4+1+3+1+1+1</f>
        <v>26</v>
      </c>
      <c r="K116" s="77">
        <f>1343.65+384.2+1690.4+4889.84+2417.43+2791.74+5298.48+5960.79+1192.16+3814.3+5575.23</f>
        <v>35358.22</v>
      </c>
      <c r="L116" s="77">
        <f>1343.65+384.2+1690.4+4889.84+2417.43+2791.74+5298.48+5960.79+1192.16+3814.3</f>
        <v>29782.989999999998</v>
      </c>
      <c r="M116" s="78">
        <f t="shared" si="3"/>
        <v>5575.2300000000032</v>
      </c>
      <c r="N116" s="114">
        <f>8+1+1+2+3+1+1+1+1+1</f>
        <v>20</v>
      </c>
      <c r="O116" s="77">
        <f>5997.32+3719.39+3054.34+13138.17+6578.46+6198.68+2649.24+1516.77</f>
        <v>42852.369999999995</v>
      </c>
      <c r="P116" s="77">
        <f>5997.32+3719.39+3054.34+13138.17+6578.46+6198.68+2649.24</f>
        <v>41335.599999999999</v>
      </c>
      <c r="Q116" s="79">
        <f t="shared" si="4"/>
        <v>1516.7699999999968</v>
      </c>
    </row>
    <row r="117" spans="1:17" s="15" customFormat="1" x14ac:dyDescent="0.25">
      <c r="A117" s="229"/>
      <c r="B117" s="233" t="s">
        <v>150</v>
      </c>
      <c r="C117" s="181" t="s">
        <v>17</v>
      </c>
      <c r="D117" s="182"/>
      <c r="E117" s="183" t="s">
        <v>32</v>
      </c>
      <c r="F117" s="73" t="s">
        <v>487</v>
      </c>
      <c r="G117" s="230" t="s">
        <v>117</v>
      </c>
      <c r="H117" s="181">
        <v>6</v>
      </c>
      <c r="I117" s="231">
        <v>4</v>
      </c>
      <c r="J117" s="96">
        <v>6</v>
      </c>
      <c r="K117" s="77">
        <v>21694.2</v>
      </c>
      <c r="L117" s="77">
        <v>21694.2</v>
      </c>
      <c r="M117" s="78">
        <f t="shared" si="3"/>
        <v>0</v>
      </c>
      <c r="N117" s="100">
        <v>3</v>
      </c>
      <c r="O117" s="77">
        <v>9645.1</v>
      </c>
      <c r="P117" s="77">
        <v>9645.1</v>
      </c>
      <c r="Q117" s="232">
        <f t="shared" si="4"/>
        <v>0</v>
      </c>
    </row>
    <row r="118" spans="1:17" s="13" customFormat="1" x14ac:dyDescent="0.25">
      <c r="A118" s="229"/>
      <c r="B118" s="30" t="s">
        <v>72</v>
      </c>
      <c r="C118" s="181" t="s">
        <v>17</v>
      </c>
      <c r="D118" s="182"/>
      <c r="E118" s="183" t="s">
        <v>21</v>
      </c>
      <c r="F118" s="73" t="s">
        <v>377</v>
      </c>
      <c r="G118" s="74" t="s">
        <v>112</v>
      </c>
      <c r="H118" s="75">
        <v>30</v>
      </c>
      <c r="I118" s="76">
        <v>19</v>
      </c>
      <c r="J118" s="96">
        <f>1+1+1+1+6+2+1+2+3+1+1+4+1</f>
        <v>25</v>
      </c>
      <c r="K118" s="77">
        <f>633.93+1415.78+1610.18+1394.65+18140.86+2440.63+4140.81+3166.55+2165.55+10853.72+7398.8</f>
        <v>53361.460000000014</v>
      </c>
      <c r="L118" s="77">
        <f>633.93+1415.78+1610.18+1394.65+18140.86+2440.63+4140.81+3166.55+2165.55+10853.72</f>
        <v>45962.660000000011</v>
      </c>
      <c r="M118" s="78">
        <f t="shared" si="3"/>
        <v>7398.8000000000029</v>
      </c>
      <c r="N118" s="100">
        <f>1+3+1+1+1+3+1+3+1+1+2+1+1+1</f>
        <v>21</v>
      </c>
      <c r="O118" s="81">
        <f>1950.74+10237.13+6595.95+3861.21+1348.53+10328.94+50451.86-19567+15859.78+3744.76+5149.77+2230.17</f>
        <v>92191.84</v>
      </c>
      <c r="P118" s="81">
        <f>1950.74+10237.13+6595.95+3861.21+1348.53+10328.94+50451.86-19567+15859.78+3744.76+5149.77</f>
        <v>89961.67</v>
      </c>
      <c r="Q118" s="79">
        <f t="shared" si="4"/>
        <v>2230.1699999999983</v>
      </c>
    </row>
    <row r="119" spans="1:17" s="13" customFormat="1" x14ac:dyDescent="0.25">
      <c r="A119" s="229"/>
      <c r="B119" s="30" t="s">
        <v>72</v>
      </c>
      <c r="C119" s="181" t="s">
        <v>17</v>
      </c>
      <c r="D119" s="182"/>
      <c r="E119" s="183" t="s">
        <v>21</v>
      </c>
      <c r="F119" s="73" t="s">
        <v>441</v>
      </c>
      <c r="G119" s="230" t="s">
        <v>118</v>
      </c>
      <c r="H119" s="181">
        <v>17</v>
      </c>
      <c r="I119" s="231">
        <v>4</v>
      </c>
      <c r="J119" s="96">
        <v>4</v>
      </c>
      <c r="K119" s="77">
        <v>3735.9</v>
      </c>
      <c r="L119" s="77">
        <v>1728.9</v>
      </c>
      <c r="M119" s="78">
        <f t="shared" si="3"/>
        <v>2007</v>
      </c>
      <c r="N119" s="100">
        <v>21</v>
      </c>
      <c r="O119" s="224">
        <v>63010.7</v>
      </c>
      <c r="P119" s="224">
        <v>63010.7</v>
      </c>
      <c r="Q119" s="232">
        <f t="shared" si="4"/>
        <v>0</v>
      </c>
    </row>
    <row r="120" spans="1:17" s="15" customFormat="1" x14ac:dyDescent="0.25">
      <c r="A120" s="229"/>
      <c r="B120" s="30" t="s">
        <v>73</v>
      </c>
      <c r="C120" s="181" t="s">
        <v>17</v>
      </c>
      <c r="D120" s="182"/>
      <c r="E120" s="183" t="s">
        <v>74</v>
      </c>
      <c r="F120" s="73" t="s">
        <v>378</v>
      </c>
      <c r="G120" s="74" t="s">
        <v>112</v>
      </c>
      <c r="H120" s="75">
        <v>41</v>
      </c>
      <c r="I120" s="76">
        <v>35</v>
      </c>
      <c r="J120" s="96">
        <f>9+8+2+2+10+1+6+5+9+4</f>
        <v>56</v>
      </c>
      <c r="K120" s="77">
        <f>6305.33+12574.83+14899.84+13657.06+15923.24+7697.06+2858.97+10093.97</f>
        <v>84010.3</v>
      </c>
      <c r="L120" s="77">
        <f>6305.33+12574.83+14899.84+13657.06+15923.24+7697.06+2858.97+10093.97</f>
        <v>84010.3</v>
      </c>
      <c r="M120" s="78">
        <f t="shared" si="3"/>
        <v>0</v>
      </c>
      <c r="N120" s="100">
        <f>5+3+3+1+1+2+2</f>
        <v>17</v>
      </c>
      <c r="O120" s="81">
        <f>5416.39+9506.99+12269.39+7610.68+1915.68+16508.04+12449.36</f>
        <v>65676.53</v>
      </c>
      <c r="P120" s="81">
        <f>5416.39+9506.99+12269.39+7610.68+1915.68+16508.04+12449.36</f>
        <v>65676.53</v>
      </c>
      <c r="Q120" s="79">
        <f t="shared" si="4"/>
        <v>0</v>
      </c>
    </row>
    <row r="121" spans="1:17" s="15" customFormat="1" x14ac:dyDescent="0.25">
      <c r="A121" s="229"/>
      <c r="B121" s="30" t="s">
        <v>73</v>
      </c>
      <c r="C121" s="181" t="s">
        <v>17</v>
      </c>
      <c r="D121" s="182"/>
      <c r="E121" s="183" t="s">
        <v>74</v>
      </c>
      <c r="F121" s="73" t="s">
        <v>282</v>
      </c>
      <c r="G121" s="230" t="s">
        <v>114</v>
      </c>
      <c r="H121" s="181"/>
      <c r="I121" s="231"/>
      <c r="J121" s="190"/>
      <c r="K121" s="77"/>
      <c r="L121" s="77"/>
      <c r="M121" s="78">
        <f t="shared" si="3"/>
        <v>0</v>
      </c>
      <c r="N121" s="100">
        <v>1</v>
      </c>
      <c r="O121" s="224">
        <v>1728.9</v>
      </c>
      <c r="P121" s="224">
        <v>1728.9</v>
      </c>
      <c r="Q121" s="232">
        <f t="shared" si="4"/>
        <v>0</v>
      </c>
    </row>
    <row r="122" spans="1:17" s="13" customFormat="1" x14ac:dyDescent="0.25">
      <c r="A122" s="229"/>
      <c r="B122" s="30" t="s">
        <v>135</v>
      </c>
      <c r="C122" s="181" t="s">
        <v>17</v>
      </c>
      <c r="D122" s="182"/>
      <c r="E122" s="194" t="s">
        <v>35</v>
      </c>
      <c r="F122" s="73" t="s">
        <v>379</v>
      </c>
      <c r="G122" s="74" t="s">
        <v>112</v>
      </c>
      <c r="H122" s="75">
        <v>43</v>
      </c>
      <c r="I122" s="76">
        <v>37</v>
      </c>
      <c r="J122" s="96">
        <f>1+6+5+3+3+5+1+5+4+4+1</f>
        <v>38</v>
      </c>
      <c r="K122" s="77">
        <f>697.32+4374.12+5747.44+4426.94+15712.05+4176.57+2649.24+4106.34+2207.7+441.54</f>
        <v>44539.26</v>
      </c>
      <c r="L122" s="77">
        <f>697.32+4374.12+5747.44+4426.94+15712.05+4176.57+2649.24+4106.34+2207.7</f>
        <v>44097.72</v>
      </c>
      <c r="M122" s="78">
        <f t="shared" si="3"/>
        <v>441.54000000000087</v>
      </c>
      <c r="N122" s="100">
        <f>2+5+1+2+2+2</f>
        <v>14</v>
      </c>
      <c r="O122" s="81">
        <f>6432.89+2283.68+4932.13+377</f>
        <v>14025.7</v>
      </c>
      <c r="P122" s="81">
        <f>6432.89+2283.68+4932.13+377</f>
        <v>14025.7</v>
      </c>
      <c r="Q122" s="232">
        <f t="shared" si="4"/>
        <v>0</v>
      </c>
    </row>
    <row r="123" spans="1:17" s="13" customFormat="1" x14ac:dyDescent="0.25">
      <c r="A123" s="229"/>
      <c r="B123" s="30" t="s">
        <v>135</v>
      </c>
      <c r="C123" s="181" t="s">
        <v>17</v>
      </c>
      <c r="D123" s="182"/>
      <c r="E123" s="194" t="s">
        <v>35</v>
      </c>
      <c r="F123" s="73" t="s">
        <v>432</v>
      </c>
      <c r="G123" s="230" t="s">
        <v>115</v>
      </c>
      <c r="H123" s="181">
        <v>2</v>
      </c>
      <c r="I123" s="231"/>
      <c r="J123" s="96"/>
      <c r="K123" s="77"/>
      <c r="L123" s="77"/>
      <c r="M123" s="78">
        <f t="shared" si="3"/>
        <v>0</v>
      </c>
      <c r="N123" s="100">
        <v>1</v>
      </c>
      <c r="O123" s="224">
        <v>2689.4</v>
      </c>
      <c r="P123" s="224">
        <v>2689.4</v>
      </c>
      <c r="Q123" s="79">
        <f t="shared" si="4"/>
        <v>0</v>
      </c>
    </row>
    <row r="124" spans="1:17" s="13" customFormat="1" x14ac:dyDescent="0.25">
      <c r="A124" s="229"/>
      <c r="B124" s="30" t="s">
        <v>145</v>
      </c>
      <c r="C124" s="181" t="s">
        <v>17</v>
      </c>
      <c r="D124" s="182"/>
      <c r="E124" s="194" t="s">
        <v>20</v>
      </c>
      <c r="F124" s="73" t="s">
        <v>380</v>
      </c>
      <c r="G124" s="74" t="s">
        <v>112</v>
      </c>
      <c r="H124" s="75">
        <v>19</v>
      </c>
      <c r="I124" s="82">
        <v>16</v>
      </c>
      <c r="J124" s="96">
        <f>2+1+1+2+2+5+3+2+3+1+1+2+2</f>
        <v>27</v>
      </c>
      <c r="K124" s="77">
        <f>5169.72+1100+538.84+4293.82+3949.22+3361.76+5643.1+4037.33+4704.3+6285.32+5025.28</f>
        <v>44108.69</v>
      </c>
      <c r="L124" s="77">
        <f>5169.72+1100+538.84+4293.82+3949.22+3361.76+5643.1+4037.33+4704.3+6285.32+5025.28</f>
        <v>44108.69</v>
      </c>
      <c r="M124" s="78">
        <f t="shared" si="3"/>
        <v>0</v>
      </c>
      <c r="N124" s="100">
        <f>1+1+2+1+2+1</f>
        <v>8</v>
      </c>
      <c r="O124" s="81">
        <f>5120.23+3915.15+1114.12+14002.49+7111.04</f>
        <v>31263.03</v>
      </c>
      <c r="P124" s="81">
        <f>5120.23+3915.15+1114.12+14002.49+7111.04</f>
        <v>31263.03</v>
      </c>
      <c r="Q124" s="232">
        <f t="shared" si="4"/>
        <v>0</v>
      </c>
    </row>
    <row r="125" spans="1:17" s="13" customFormat="1" x14ac:dyDescent="0.25">
      <c r="A125" s="229"/>
      <c r="B125" s="30" t="s">
        <v>145</v>
      </c>
      <c r="C125" s="181" t="s">
        <v>17</v>
      </c>
      <c r="D125" s="182"/>
      <c r="E125" s="194" t="s">
        <v>20</v>
      </c>
      <c r="F125" s="73" t="s">
        <v>461</v>
      </c>
      <c r="G125" s="230" t="s">
        <v>114</v>
      </c>
      <c r="H125" s="181">
        <v>7</v>
      </c>
      <c r="I125" s="231">
        <v>5</v>
      </c>
      <c r="J125" s="190">
        <v>5</v>
      </c>
      <c r="K125" s="77">
        <v>6135.7</v>
      </c>
      <c r="L125" s="77">
        <v>6135.7</v>
      </c>
      <c r="M125" s="78">
        <f t="shared" si="3"/>
        <v>0</v>
      </c>
      <c r="N125" s="100">
        <v>11</v>
      </c>
      <c r="O125" s="224">
        <v>24338.15</v>
      </c>
      <c r="P125" s="224">
        <v>24338.15</v>
      </c>
      <c r="Q125" s="232">
        <f t="shared" si="4"/>
        <v>0</v>
      </c>
    </row>
    <row r="126" spans="1:17" s="13" customFormat="1" x14ac:dyDescent="0.25">
      <c r="A126" s="229"/>
      <c r="B126" s="62" t="s">
        <v>76</v>
      </c>
      <c r="C126" s="181" t="s">
        <v>17</v>
      </c>
      <c r="D126" s="182"/>
      <c r="E126" s="183" t="s">
        <v>20</v>
      </c>
      <c r="F126" s="73" t="s">
        <v>381</v>
      </c>
      <c r="G126" s="74" t="s">
        <v>112</v>
      </c>
      <c r="H126" s="75">
        <v>32</v>
      </c>
      <c r="I126" s="76">
        <v>23</v>
      </c>
      <c r="J126" s="96">
        <f>1+6+3+1+3+1+2+2+2+1+1+6+1</f>
        <v>30</v>
      </c>
      <c r="K126" s="77">
        <f>6556.06+2806.39+2697.06+1267.86+11775.51+1557.35+2113.1+4117.36+1673.84+1724.01+1457.08+3514.26+14440.84+3761.12</f>
        <v>59461.840000000004</v>
      </c>
      <c r="L126" s="77">
        <f>6556.06+2806.39+2697.06+1267.86+11775.51+1557.35+2113.1+4117.36+1673.84+1724.01+1457.08+3514.26+14440.84</f>
        <v>55700.72</v>
      </c>
      <c r="M126" s="78">
        <f t="shared" si="3"/>
        <v>3761.1200000000026</v>
      </c>
      <c r="N126" s="100">
        <f>5+6+2+1+1+1+1+2+2+1+1</f>
        <v>23</v>
      </c>
      <c r="O126" s="81">
        <f>11527.9+19846.52+1011.91+9641+2451.87+10072.83+11307.66+2243.83+6181.56+5655.45+1404.9</f>
        <v>81345.429999999993</v>
      </c>
      <c r="P126" s="81">
        <f>11527.9+19846.52+1011.91+9641+2451.87+10072.83+11307.66+2243.83+6181.56+5655.45+1404.9</f>
        <v>81345.429999999993</v>
      </c>
      <c r="Q126" s="232">
        <f t="shared" si="4"/>
        <v>0</v>
      </c>
    </row>
    <row r="127" spans="1:17" s="13" customFormat="1" x14ac:dyDescent="0.25">
      <c r="A127" s="229"/>
      <c r="B127" s="62" t="s">
        <v>76</v>
      </c>
      <c r="C127" s="181" t="s">
        <v>17</v>
      </c>
      <c r="D127" s="182"/>
      <c r="E127" s="183" t="s">
        <v>20</v>
      </c>
      <c r="F127" s="73" t="s">
        <v>462</v>
      </c>
      <c r="G127" s="230" t="s">
        <v>114</v>
      </c>
      <c r="H127" s="181">
        <v>15</v>
      </c>
      <c r="I127" s="231">
        <v>6</v>
      </c>
      <c r="J127" s="190">
        <v>6</v>
      </c>
      <c r="K127" s="77">
        <v>11144.6</v>
      </c>
      <c r="L127" s="77">
        <v>11144.6</v>
      </c>
      <c r="M127" s="78">
        <f t="shared" si="3"/>
        <v>0</v>
      </c>
      <c r="N127" s="100">
        <v>9</v>
      </c>
      <c r="O127" s="224">
        <v>30007.39</v>
      </c>
      <c r="P127" s="224">
        <v>30007.39</v>
      </c>
      <c r="Q127" s="232">
        <f t="shared" si="4"/>
        <v>0</v>
      </c>
    </row>
    <row r="128" spans="1:17" s="13" customFormat="1" x14ac:dyDescent="0.25">
      <c r="A128" s="229"/>
      <c r="B128" s="30" t="s">
        <v>77</v>
      </c>
      <c r="C128" s="181" t="s">
        <v>17</v>
      </c>
      <c r="D128" s="182"/>
      <c r="E128" s="183" t="s">
        <v>32</v>
      </c>
      <c r="F128" s="73" t="s">
        <v>388</v>
      </c>
      <c r="G128" s="74" t="s">
        <v>112</v>
      </c>
      <c r="H128" s="75">
        <v>24</v>
      </c>
      <c r="I128" s="76">
        <v>19</v>
      </c>
      <c r="J128" s="96">
        <f>2+2+2+6+1+1+1+7+3+1+3</f>
        <v>29</v>
      </c>
      <c r="K128" s="77">
        <f>2440.63+1507.02+2101.48+13625.7+1324.62+2083.47+13864.31+3415.51</f>
        <v>40362.740000000005</v>
      </c>
      <c r="L128" s="77">
        <f>2440.63+1507.02+2101.48+13625.7+1324.62+2083.47+13864.31</f>
        <v>36947.230000000003</v>
      </c>
      <c r="M128" s="78">
        <f t="shared" si="3"/>
        <v>3415.510000000002</v>
      </c>
      <c r="N128" s="100">
        <f>5+2+3+3+1+1</f>
        <v>15</v>
      </c>
      <c r="O128" s="81">
        <f>11716.73+6848.82+4046.18+11166.34+8845.95</f>
        <v>42624.020000000004</v>
      </c>
      <c r="P128" s="81">
        <f>11716.73+6848.82+4046.18+11166.34+8845.95</f>
        <v>42624.020000000004</v>
      </c>
      <c r="Q128" s="232">
        <f t="shared" si="4"/>
        <v>0</v>
      </c>
    </row>
    <row r="129" spans="1:17" s="13" customFormat="1" x14ac:dyDescent="0.25">
      <c r="A129" s="229"/>
      <c r="B129" s="30" t="s">
        <v>77</v>
      </c>
      <c r="C129" s="181" t="s">
        <v>17</v>
      </c>
      <c r="D129" s="182"/>
      <c r="E129" s="183" t="s">
        <v>32</v>
      </c>
      <c r="F129" s="73" t="s">
        <v>433</v>
      </c>
      <c r="G129" s="230" t="s">
        <v>117</v>
      </c>
      <c r="H129" s="181">
        <v>6</v>
      </c>
      <c r="I129" s="231">
        <v>2</v>
      </c>
      <c r="J129" s="96">
        <v>2</v>
      </c>
      <c r="K129" s="77">
        <v>4530.1000000000004</v>
      </c>
      <c r="L129" s="77">
        <v>4530.1000000000004</v>
      </c>
      <c r="M129" s="78">
        <f t="shared" si="3"/>
        <v>0</v>
      </c>
      <c r="N129" s="100">
        <v>7</v>
      </c>
      <c r="O129" s="224">
        <v>18164.11</v>
      </c>
      <c r="P129" s="224">
        <v>18164.11</v>
      </c>
      <c r="Q129" s="79">
        <f t="shared" si="4"/>
        <v>0</v>
      </c>
    </row>
    <row r="130" spans="1:17" s="13" customFormat="1" x14ac:dyDescent="0.25">
      <c r="A130" s="229"/>
      <c r="B130" s="30" t="s">
        <v>321</v>
      </c>
      <c r="C130" s="181" t="s">
        <v>17</v>
      </c>
      <c r="D130" s="182"/>
      <c r="E130" s="183" t="s">
        <v>21</v>
      </c>
      <c r="F130" s="73" t="s">
        <v>489</v>
      </c>
      <c r="G130" s="230" t="s">
        <v>112</v>
      </c>
      <c r="H130" s="181">
        <v>6</v>
      </c>
      <c r="I130" s="231">
        <v>2</v>
      </c>
      <c r="J130" s="96">
        <f>1+1</f>
        <v>2</v>
      </c>
      <c r="K130" s="77">
        <f>2547.89+1766.16</f>
        <v>4314.05</v>
      </c>
      <c r="L130" s="77">
        <f>2547.89+1766.16</f>
        <v>4314.05</v>
      </c>
      <c r="M130" s="78">
        <f t="shared" si="3"/>
        <v>0</v>
      </c>
      <c r="N130" s="100"/>
      <c r="O130" s="224"/>
      <c r="P130" s="224"/>
      <c r="Q130" s="79">
        <f t="shared" si="4"/>
        <v>0</v>
      </c>
    </row>
    <row r="131" spans="1:17" s="13" customFormat="1" ht="30" x14ac:dyDescent="0.25">
      <c r="A131" s="229"/>
      <c r="B131" s="62" t="s">
        <v>79</v>
      </c>
      <c r="C131" s="181" t="s">
        <v>304</v>
      </c>
      <c r="D131" s="182" t="s">
        <v>385</v>
      </c>
      <c r="E131" s="183" t="s">
        <v>18</v>
      </c>
      <c r="F131" s="73" t="s">
        <v>389</v>
      </c>
      <c r="G131" s="74" t="s">
        <v>112</v>
      </c>
      <c r="H131" s="75">
        <v>25</v>
      </c>
      <c r="I131" s="76">
        <v>20</v>
      </c>
      <c r="J131" s="98">
        <f>2+5+2+3+2+2+5+2+2</f>
        <v>25</v>
      </c>
      <c r="K131" s="77">
        <f>2091.97+3190.2+5703.08+6368.88+4029.68+4560.06+5101.32+1108.47</f>
        <v>32153.660000000003</v>
      </c>
      <c r="L131" s="77">
        <f>2091.97+3190.2+5703.08+6368.88+4029.68+4560.06+5101.32</f>
        <v>31045.190000000002</v>
      </c>
      <c r="M131" s="78">
        <f t="shared" si="3"/>
        <v>1108.4700000000012</v>
      </c>
      <c r="N131" s="100">
        <f>2+2+1+2+1+1+3+1+2</f>
        <v>15</v>
      </c>
      <c r="O131" s="81">
        <f>1547.4+4166.12+7835.61+1675.01+4717.63+6039.62+18829.39+23135.63+18613.81</f>
        <v>86560.22</v>
      </c>
      <c r="P131" s="81">
        <f>1547.4+4166.12+7835.61+1675.01+4717.63+6039.62+18829.39+23135.63+18613.81</f>
        <v>86560.22</v>
      </c>
      <c r="Q131" s="232">
        <f t="shared" si="4"/>
        <v>0</v>
      </c>
    </row>
    <row r="132" spans="1:17" s="13" customFormat="1" ht="30" x14ac:dyDescent="0.25">
      <c r="A132" s="229"/>
      <c r="B132" s="62" t="s">
        <v>79</v>
      </c>
      <c r="C132" s="181" t="s">
        <v>304</v>
      </c>
      <c r="D132" s="182" t="s">
        <v>475</v>
      </c>
      <c r="E132" s="183" t="s">
        <v>18</v>
      </c>
      <c r="F132" s="73" t="s">
        <v>329</v>
      </c>
      <c r="G132" s="271" t="s">
        <v>116</v>
      </c>
      <c r="H132" s="181">
        <v>48</v>
      </c>
      <c r="I132" s="234">
        <v>36</v>
      </c>
      <c r="J132" s="98">
        <v>42</v>
      </c>
      <c r="K132" s="224">
        <v>82168</v>
      </c>
      <c r="L132" s="224">
        <v>82168</v>
      </c>
      <c r="M132" s="78">
        <f t="shared" si="3"/>
        <v>0</v>
      </c>
      <c r="N132" s="100">
        <v>18</v>
      </c>
      <c r="O132" s="224">
        <v>56311</v>
      </c>
      <c r="P132" s="224">
        <v>56311</v>
      </c>
      <c r="Q132" s="79">
        <f t="shared" si="4"/>
        <v>0</v>
      </c>
    </row>
    <row r="133" spans="1:17" s="13" customFormat="1" x14ac:dyDescent="0.25">
      <c r="A133" s="229"/>
      <c r="B133" s="62" t="s">
        <v>151</v>
      </c>
      <c r="C133" s="181" t="s">
        <v>17</v>
      </c>
      <c r="D133" s="182"/>
      <c r="E133" s="183" t="s">
        <v>32</v>
      </c>
      <c r="F133" s="73" t="s">
        <v>390</v>
      </c>
      <c r="G133" s="74" t="s">
        <v>112</v>
      </c>
      <c r="H133" s="75">
        <v>76</v>
      </c>
      <c r="I133" s="82">
        <v>65</v>
      </c>
      <c r="J133" s="96">
        <f>1+3+3+5+3+9+4+6+3+2+6+5+3+8+4+5+2+7+6+3</f>
        <v>88</v>
      </c>
      <c r="K133" s="81">
        <f>2317+4640.19+5864.19+10765+12519.53+4514.35+14486.46+3421.94+27163.56+5180.87+3460.57+13888.56+16894.73+15998.7</f>
        <v>141115.65</v>
      </c>
      <c r="L133" s="81">
        <f>2317+4640.19+5864.19+10765+12519.53+4514.35+14486.46+3421.94+27163.56+5180.87+3460.57+13888.56+16894.73</f>
        <v>125116.95</v>
      </c>
      <c r="M133" s="78">
        <f t="shared" si="3"/>
        <v>15998.699999999997</v>
      </c>
      <c r="N133" s="100">
        <f>9+3+5+1+4+4+1+2+1+1</f>
        <v>31</v>
      </c>
      <c r="O133" s="81">
        <f>10726.94+18822.65+5703.53+12846.53+1320.36+4050.1+22728.38+3733.09</f>
        <v>79931.58</v>
      </c>
      <c r="P133" s="81">
        <f>10726.94+18822.65+5703.53+12846.53+1320.36+4050.1+22728.38+3733.09</f>
        <v>79931.58</v>
      </c>
      <c r="Q133" s="232">
        <f t="shared" si="4"/>
        <v>0</v>
      </c>
    </row>
    <row r="134" spans="1:17" s="13" customFormat="1" x14ac:dyDescent="0.25">
      <c r="A134" s="229"/>
      <c r="B134" s="62" t="s">
        <v>151</v>
      </c>
      <c r="C134" s="181" t="s">
        <v>17</v>
      </c>
      <c r="D134" s="182"/>
      <c r="E134" s="183" t="s">
        <v>32</v>
      </c>
      <c r="F134" s="73" t="s">
        <v>434</v>
      </c>
      <c r="G134" s="230" t="s">
        <v>117</v>
      </c>
      <c r="H134" s="181">
        <v>15</v>
      </c>
      <c r="I134" s="231">
        <v>6</v>
      </c>
      <c r="J134" s="96">
        <v>6</v>
      </c>
      <c r="K134" s="77">
        <v>5920.65</v>
      </c>
      <c r="L134" s="77">
        <v>5920.65</v>
      </c>
      <c r="M134" s="78">
        <f t="shared" si="3"/>
        <v>0</v>
      </c>
      <c r="N134" s="100">
        <v>14</v>
      </c>
      <c r="O134" s="224">
        <v>24537.7</v>
      </c>
      <c r="P134" s="224">
        <v>24537.7</v>
      </c>
      <c r="Q134" s="79">
        <f t="shared" si="4"/>
        <v>0</v>
      </c>
    </row>
    <row r="135" spans="1:17" s="13" customFormat="1" x14ac:dyDescent="0.25">
      <c r="A135" s="229"/>
      <c r="B135" s="62" t="s">
        <v>80</v>
      </c>
      <c r="C135" s="181" t="s">
        <v>17</v>
      </c>
      <c r="D135" s="182"/>
      <c r="E135" s="183" t="s">
        <v>81</v>
      </c>
      <c r="F135" s="73" t="s">
        <v>417</v>
      </c>
      <c r="G135" s="74" t="s">
        <v>112</v>
      </c>
      <c r="H135" s="75"/>
      <c r="I135" s="76"/>
      <c r="J135" s="96"/>
      <c r="K135" s="77">
        <f>749.19+8649.27</f>
        <v>9398.4600000000009</v>
      </c>
      <c r="L135" s="77">
        <f>749.19+8649.27</f>
        <v>9398.4600000000009</v>
      </c>
      <c r="M135" s="78">
        <f t="shared" si="3"/>
        <v>0</v>
      </c>
      <c r="N135" s="100">
        <f>2+2+1</f>
        <v>5</v>
      </c>
      <c r="O135" s="81">
        <f>3040.94+9398.46</f>
        <v>12439.4</v>
      </c>
      <c r="P135" s="81">
        <f>3040.94+9398.46</f>
        <v>12439.4</v>
      </c>
      <c r="Q135" s="232">
        <f t="shared" si="4"/>
        <v>0</v>
      </c>
    </row>
    <row r="136" spans="1:17" s="13" customFormat="1" x14ac:dyDescent="0.25">
      <c r="A136" s="229"/>
      <c r="B136" s="62" t="s">
        <v>80</v>
      </c>
      <c r="C136" s="181" t="s">
        <v>17</v>
      </c>
      <c r="D136" s="182"/>
      <c r="E136" s="183" t="s">
        <v>81</v>
      </c>
      <c r="F136" s="73" t="s">
        <v>285</v>
      </c>
      <c r="G136" s="230" t="s">
        <v>114</v>
      </c>
      <c r="H136" s="181"/>
      <c r="I136" s="231"/>
      <c r="J136" s="190"/>
      <c r="K136" s="77"/>
      <c r="L136" s="77"/>
      <c r="M136" s="78">
        <f t="shared" si="3"/>
        <v>0</v>
      </c>
      <c r="N136" s="100">
        <v>27</v>
      </c>
      <c r="O136" s="224">
        <v>62268.31</v>
      </c>
      <c r="P136" s="224">
        <v>62268.31</v>
      </c>
      <c r="Q136" s="232">
        <f t="shared" si="4"/>
        <v>0</v>
      </c>
    </row>
    <row r="137" spans="1:17" s="13" customFormat="1" x14ac:dyDescent="0.25">
      <c r="A137" s="229"/>
      <c r="B137" s="30" t="s">
        <v>82</v>
      </c>
      <c r="C137" s="181" t="s">
        <v>17</v>
      </c>
      <c r="D137" s="182"/>
      <c r="E137" s="183" t="s">
        <v>20</v>
      </c>
      <c r="F137" s="73" t="s">
        <v>394</v>
      </c>
      <c r="G137" s="74" t="s">
        <v>112</v>
      </c>
      <c r="H137" s="75">
        <v>20</v>
      </c>
      <c r="I137" s="76">
        <v>17</v>
      </c>
      <c r="J137" s="96">
        <f>4+3+2+2+1+1+1+1+1+2+1</f>
        <v>19</v>
      </c>
      <c r="K137" s="77">
        <f>20254+3953.39+602.1+1457.08+1445.04</f>
        <v>27711.61</v>
      </c>
      <c r="L137" s="77">
        <f>20254+3953.39+602.1+1457.08</f>
        <v>26266.57</v>
      </c>
      <c r="M137" s="78">
        <f t="shared" si="3"/>
        <v>1445.0400000000009</v>
      </c>
      <c r="N137" s="100">
        <f>3+5+1+1+1</f>
        <v>11</v>
      </c>
      <c r="O137" s="81">
        <f>5975.84+23579.15+1426.34+3500</f>
        <v>34481.33</v>
      </c>
      <c r="P137" s="81">
        <f>5975.84+23579.15+1426.34+3500</f>
        <v>34481.33</v>
      </c>
      <c r="Q137" s="232">
        <f t="shared" si="4"/>
        <v>0</v>
      </c>
    </row>
    <row r="138" spans="1:17" s="13" customFormat="1" x14ac:dyDescent="0.25">
      <c r="A138" s="229"/>
      <c r="B138" s="30" t="s">
        <v>82</v>
      </c>
      <c r="C138" s="181" t="s">
        <v>17</v>
      </c>
      <c r="D138" s="182"/>
      <c r="E138" s="183" t="s">
        <v>20</v>
      </c>
      <c r="F138" s="73" t="s">
        <v>463</v>
      </c>
      <c r="G138" s="230" t="s">
        <v>114</v>
      </c>
      <c r="H138" s="181">
        <v>31</v>
      </c>
      <c r="I138" s="231">
        <v>9</v>
      </c>
      <c r="J138" s="190">
        <v>9</v>
      </c>
      <c r="K138" s="77">
        <v>16086.18</v>
      </c>
      <c r="L138" s="77">
        <v>16086.18</v>
      </c>
      <c r="M138" s="78">
        <f t="shared" si="3"/>
        <v>0</v>
      </c>
      <c r="N138" s="100">
        <v>14</v>
      </c>
      <c r="O138" s="224">
        <v>48620.71</v>
      </c>
      <c r="P138" s="224">
        <v>48620.71</v>
      </c>
      <c r="Q138" s="232">
        <f t="shared" si="4"/>
        <v>0</v>
      </c>
    </row>
    <row r="139" spans="1:17" s="13" customFormat="1" x14ac:dyDescent="0.25">
      <c r="A139" s="229"/>
      <c r="B139" s="30" t="s">
        <v>309</v>
      </c>
      <c r="C139" s="181" t="s">
        <v>17</v>
      </c>
      <c r="D139" s="182"/>
      <c r="E139" s="183" t="s">
        <v>20</v>
      </c>
      <c r="F139" s="73" t="s">
        <v>391</v>
      </c>
      <c r="G139" s="230" t="s">
        <v>112</v>
      </c>
      <c r="H139" s="181">
        <v>22</v>
      </c>
      <c r="I139" s="231">
        <v>15</v>
      </c>
      <c r="J139" s="190">
        <f>1+5+2+1+1+1+2+1+1+1</f>
        <v>16</v>
      </c>
      <c r="K139" s="77">
        <f>3606.1+3402.77+2649.24+993.47+441.54+8488+4287.75+3090.78</f>
        <v>26959.65</v>
      </c>
      <c r="L139" s="77">
        <f>3606.1+3402.77+2649.24+993.47+441.54+8488+4287.75+3090.78</f>
        <v>26959.65</v>
      </c>
      <c r="M139" s="78">
        <f t="shared" si="3"/>
        <v>0</v>
      </c>
      <c r="N139" s="100">
        <f>1+5+1+3</f>
        <v>10</v>
      </c>
      <c r="O139" s="224">
        <f>3088.97+13147.65+1267.86+5955.71</f>
        <v>23460.19</v>
      </c>
      <c r="P139" s="224">
        <f>3088.97+13147.65+1267.86+5955.71</f>
        <v>23460.19</v>
      </c>
      <c r="Q139" s="232">
        <f t="shared" si="4"/>
        <v>0</v>
      </c>
    </row>
    <row r="140" spans="1:17" s="13" customFormat="1" x14ac:dyDescent="0.25">
      <c r="A140" s="229"/>
      <c r="B140" s="30" t="s">
        <v>152</v>
      </c>
      <c r="C140" s="181" t="s">
        <v>17</v>
      </c>
      <c r="D140" s="182"/>
      <c r="E140" s="183" t="s">
        <v>35</v>
      </c>
      <c r="F140" s="73" t="s">
        <v>392</v>
      </c>
      <c r="G140" s="74" t="s">
        <v>112</v>
      </c>
      <c r="H140" s="75">
        <v>7</v>
      </c>
      <c r="I140" s="76">
        <v>6</v>
      </c>
      <c r="J140" s="96">
        <f>1+1+2+1+1+1+2</f>
        <v>9</v>
      </c>
      <c r="K140" s="77">
        <f>403.41+845.24+2113.1+2649.24</f>
        <v>6010.99</v>
      </c>
      <c r="L140" s="77">
        <f>403.41+845.24+2113.1+2649.24</f>
        <v>6010.99</v>
      </c>
      <c r="M140" s="78">
        <f t="shared" si="3"/>
        <v>0</v>
      </c>
      <c r="N140" s="100">
        <f>2+2+2+1+1+1+2</f>
        <v>11</v>
      </c>
      <c r="O140" s="81">
        <f>1690.48+3050.26+3661.61+4648.82+1267.86+1690.48+9282.42+4052.53</f>
        <v>29344.46</v>
      </c>
      <c r="P140" s="81">
        <f>1690.48+3050.26+3661.61+4648.82+1267.86+1690.48+9282.42+4052.53</f>
        <v>29344.46</v>
      </c>
      <c r="Q140" s="232">
        <f t="shared" si="4"/>
        <v>0</v>
      </c>
    </row>
    <row r="141" spans="1:17" s="13" customFormat="1" x14ac:dyDescent="0.25">
      <c r="A141" s="229"/>
      <c r="B141" s="30" t="s">
        <v>83</v>
      </c>
      <c r="C141" s="181" t="s">
        <v>17</v>
      </c>
      <c r="D141" s="182"/>
      <c r="E141" s="183" t="s">
        <v>20</v>
      </c>
      <c r="F141" s="73" t="s">
        <v>393</v>
      </c>
      <c r="G141" s="74" t="s">
        <v>112</v>
      </c>
      <c r="H141" s="75">
        <v>16</v>
      </c>
      <c r="I141" s="76">
        <v>11</v>
      </c>
      <c r="J141" s="96">
        <f>1+1+2+1+1+1+1+1+1+1+1</f>
        <v>12</v>
      </c>
      <c r="K141" s="77">
        <f>768.4+2535.72+845.24+14407.5+883.08+883.08+2185.62</f>
        <v>22508.640000000003</v>
      </c>
      <c r="L141" s="77">
        <f>768.4+2535.72+845.24+14407.5+883.08+883.08</f>
        <v>20323.020000000004</v>
      </c>
      <c r="M141" s="78">
        <f t="shared" si="3"/>
        <v>2185.619999999999</v>
      </c>
      <c r="N141" s="100">
        <f>1+2+1+1+1+2</f>
        <v>8</v>
      </c>
      <c r="O141" s="81">
        <f>5837.09+1922.92+4288.54+1686.25</f>
        <v>13734.8</v>
      </c>
      <c r="P141" s="81">
        <f>5837.09+1922.92+4288.54+1686.25</f>
        <v>13734.8</v>
      </c>
      <c r="Q141" s="232">
        <f t="shared" si="4"/>
        <v>0</v>
      </c>
    </row>
    <row r="142" spans="1:17" s="13" customFormat="1" x14ac:dyDescent="0.25">
      <c r="A142" s="229"/>
      <c r="B142" s="30" t="s">
        <v>83</v>
      </c>
      <c r="C142" s="181" t="s">
        <v>17</v>
      </c>
      <c r="D142" s="182"/>
      <c r="E142" s="183" t="s">
        <v>20</v>
      </c>
      <c r="F142" s="73" t="s">
        <v>464</v>
      </c>
      <c r="G142" s="230" t="s">
        <v>114</v>
      </c>
      <c r="H142" s="181">
        <v>37</v>
      </c>
      <c r="I142" s="231">
        <v>23</v>
      </c>
      <c r="J142" s="190">
        <v>23</v>
      </c>
      <c r="K142" s="77">
        <v>60040.41</v>
      </c>
      <c r="L142" s="77">
        <v>60040.41</v>
      </c>
      <c r="M142" s="78">
        <f t="shared" ref="M142:M195" si="5">K142-L142</f>
        <v>0</v>
      </c>
      <c r="N142" s="100">
        <v>31</v>
      </c>
      <c r="O142" s="224">
        <v>114176.52</v>
      </c>
      <c r="P142" s="224">
        <v>114176.52</v>
      </c>
      <c r="Q142" s="232">
        <f t="shared" si="4"/>
        <v>0</v>
      </c>
    </row>
    <row r="143" spans="1:17" s="13" customFormat="1" ht="45" x14ac:dyDescent="0.25">
      <c r="A143" s="229"/>
      <c r="B143" s="30" t="s">
        <v>85</v>
      </c>
      <c r="C143" s="181" t="s">
        <v>304</v>
      </c>
      <c r="D143" s="182" t="s">
        <v>415</v>
      </c>
      <c r="E143" s="183" t="s">
        <v>20</v>
      </c>
      <c r="F143" s="73" t="s">
        <v>395</v>
      </c>
      <c r="G143" s="74" t="s">
        <v>112</v>
      </c>
      <c r="H143" s="75">
        <v>21</v>
      </c>
      <c r="I143" s="76">
        <v>12</v>
      </c>
      <c r="J143" s="98">
        <f>2+1+1+1+3</f>
        <v>8</v>
      </c>
      <c r="K143" s="77">
        <f>4800.58+2591.84+7239.38+3534.03+9709.14</f>
        <v>27874.969999999998</v>
      </c>
      <c r="L143" s="77">
        <f>4800.58+2591.84+7239.38+3534.03</f>
        <v>18165.829999999998</v>
      </c>
      <c r="M143" s="78">
        <f t="shared" si="5"/>
        <v>9709.14</v>
      </c>
      <c r="N143" s="100">
        <f>2+1+2+1</f>
        <v>6</v>
      </c>
      <c r="O143" s="81">
        <f>3917.73+8936.21+5669.37+31185.72+18292.46</f>
        <v>68001.489999999991</v>
      </c>
      <c r="P143" s="81">
        <f>3917.73+8936.21+5669.37+31185.72+18292.46</f>
        <v>68001.489999999991</v>
      </c>
      <c r="Q143" s="79">
        <f t="shared" si="4"/>
        <v>0</v>
      </c>
    </row>
    <row r="144" spans="1:17" s="13" customFormat="1" x14ac:dyDescent="0.25">
      <c r="A144" s="229"/>
      <c r="B144" s="27" t="s">
        <v>86</v>
      </c>
      <c r="C144" s="181" t="s">
        <v>17</v>
      </c>
      <c r="D144" s="182"/>
      <c r="E144" s="194" t="s">
        <v>20</v>
      </c>
      <c r="F144" s="73" t="s">
        <v>396</v>
      </c>
      <c r="G144" s="74" t="s">
        <v>112</v>
      </c>
      <c r="H144" s="75">
        <v>28</v>
      </c>
      <c r="I144" s="76">
        <v>20</v>
      </c>
      <c r="J144" s="96">
        <f>1+3+1+7+2+2+5+5+1+3</f>
        <v>30</v>
      </c>
      <c r="K144" s="77">
        <f>950.9+5134.06+2091.97+528.03+8954.46+5719.74+9578.1+2631.85+7667.14</f>
        <v>43256.249999999993</v>
      </c>
      <c r="L144" s="77">
        <f>950.9+5134.06+2091.97+528.03+8954.46+5719.74+9578.1+2631.85+7667.14</f>
        <v>43256.249999999993</v>
      </c>
      <c r="M144" s="78">
        <f t="shared" si="5"/>
        <v>0</v>
      </c>
      <c r="N144" s="100">
        <f>15+4+2+1+2+2</f>
        <v>26</v>
      </c>
      <c r="O144" s="81">
        <f>30236.61+18366.75+8887.09+1077.68+8961.95</f>
        <v>67530.080000000002</v>
      </c>
      <c r="P144" s="81">
        <f>30236.61+18366.75+8887.09+1077.68+8961.95</f>
        <v>67530.080000000002</v>
      </c>
      <c r="Q144" s="232">
        <f t="shared" si="4"/>
        <v>0</v>
      </c>
    </row>
    <row r="145" spans="1:17" s="13" customFormat="1" x14ac:dyDescent="0.25">
      <c r="A145" s="229"/>
      <c r="B145" s="27" t="s">
        <v>86</v>
      </c>
      <c r="C145" s="181" t="s">
        <v>17</v>
      </c>
      <c r="D145" s="182"/>
      <c r="E145" s="194" t="s">
        <v>20</v>
      </c>
      <c r="F145" s="73" t="s">
        <v>465</v>
      </c>
      <c r="G145" s="230" t="s">
        <v>114</v>
      </c>
      <c r="H145" s="181">
        <v>9</v>
      </c>
      <c r="I145" s="231">
        <v>4</v>
      </c>
      <c r="J145" s="190">
        <v>4</v>
      </c>
      <c r="K145" s="77">
        <v>8549.82</v>
      </c>
      <c r="L145" s="77">
        <v>8549.82</v>
      </c>
      <c r="M145" s="78">
        <f t="shared" si="5"/>
        <v>0</v>
      </c>
      <c r="N145" s="100">
        <v>10</v>
      </c>
      <c r="O145" s="224">
        <v>22234.03</v>
      </c>
      <c r="P145" s="224">
        <v>22234.03</v>
      </c>
      <c r="Q145" s="232">
        <f t="shared" si="4"/>
        <v>0</v>
      </c>
    </row>
    <row r="146" spans="1:17" s="13" customFormat="1" x14ac:dyDescent="0.25">
      <c r="A146" s="229"/>
      <c r="B146" s="27" t="s">
        <v>87</v>
      </c>
      <c r="C146" s="181" t="s">
        <v>17</v>
      </c>
      <c r="D146" s="182"/>
      <c r="E146" s="194" t="s">
        <v>20</v>
      </c>
      <c r="F146" s="73" t="s">
        <v>520</v>
      </c>
      <c r="G146" s="294" t="s">
        <v>112</v>
      </c>
      <c r="H146" s="181">
        <v>4</v>
      </c>
      <c r="I146" s="231">
        <v>3</v>
      </c>
      <c r="J146" s="190">
        <f>2+2</f>
        <v>4</v>
      </c>
      <c r="K146" s="77">
        <f>2595.26</f>
        <v>2595.2600000000002</v>
      </c>
      <c r="L146" s="77"/>
      <c r="M146" s="78"/>
      <c r="N146" s="100"/>
      <c r="O146" s="224"/>
      <c r="P146" s="224"/>
      <c r="Q146" s="232"/>
    </row>
    <row r="147" spans="1:17" s="13" customFormat="1" x14ac:dyDescent="0.25">
      <c r="A147" s="229"/>
      <c r="B147" s="62" t="s">
        <v>312</v>
      </c>
      <c r="C147" s="181" t="s">
        <v>17</v>
      </c>
      <c r="D147" s="182"/>
      <c r="E147" s="194" t="s">
        <v>20</v>
      </c>
      <c r="F147" s="73" t="s">
        <v>320</v>
      </c>
      <c r="G147" s="74" t="s">
        <v>112</v>
      </c>
      <c r="H147" s="75">
        <v>24</v>
      </c>
      <c r="I147" s="76">
        <v>21</v>
      </c>
      <c r="J147" s="96">
        <f>1+1+1+2+3+4+4+3+1</f>
        <v>20</v>
      </c>
      <c r="K147" s="77">
        <f>3319.49+845.24+4965.79+4415.4+3090.78+9754.02</f>
        <v>26390.720000000001</v>
      </c>
      <c r="L147" s="77">
        <f>3319.49+845.24+4965.79+4415.4+3090.78</f>
        <v>16636.7</v>
      </c>
      <c r="M147" s="78">
        <f t="shared" si="5"/>
        <v>9754.02</v>
      </c>
      <c r="N147" s="100">
        <f>5+6+1+1+1</f>
        <v>14</v>
      </c>
      <c r="O147" s="81">
        <f>4226.2+6627.45+4360.59+6336.1+2649.24</f>
        <v>24199.58</v>
      </c>
      <c r="P147" s="81">
        <f>4226.2+6627.45+4360.59+6336.1</f>
        <v>21550.34</v>
      </c>
      <c r="Q147" s="232">
        <f t="shared" si="4"/>
        <v>2649.2400000000016</v>
      </c>
    </row>
    <row r="148" spans="1:17" s="13" customFormat="1" x14ac:dyDescent="0.25">
      <c r="A148" s="229"/>
      <c r="B148" s="62" t="s">
        <v>312</v>
      </c>
      <c r="C148" s="181"/>
      <c r="D148" s="182"/>
      <c r="E148" s="194"/>
      <c r="F148" s="73"/>
      <c r="G148" s="74" t="s">
        <v>114</v>
      </c>
      <c r="H148" s="75">
        <v>2</v>
      </c>
      <c r="I148" s="76"/>
      <c r="J148" s="96"/>
      <c r="K148" s="77"/>
      <c r="L148" s="77"/>
      <c r="M148" s="78"/>
      <c r="N148" s="100"/>
      <c r="O148" s="81"/>
      <c r="P148" s="81"/>
      <c r="Q148" s="232"/>
    </row>
    <row r="149" spans="1:17" s="13" customFormat="1" x14ac:dyDescent="0.25">
      <c r="A149" s="229"/>
      <c r="B149" s="62" t="s">
        <v>494</v>
      </c>
      <c r="C149" s="181" t="s">
        <v>17</v>
      </c>
      <c r="D149" s="182"/>
      <c r="E149" s="194" t="s">
        <v>20</v>
      </c>
      <c r="F149" s="73" t="s">
        <v>497</v>
      </c>
      <c r="G149" s="74" t="s">
        <v>112</v>
      </c>
      <c r="H149" s="75">
        <v>18</v>
      </c>
      <c r="I149" s="76">
        <v>11</v>
      </c>
      <c r="J149" s="96">
        <f>1+1+1+1+2+1+2+2</f>
        <v>11</v>
      </c>
      <c r="K149" s="77">
        <f>3379+5494.06+576.3+2417.43+3057.66+2384.32+1986.93</f>
        <v>19295.7</v>
      </c>
      <c r="L149" s="77">
        <f>3379+5494.06+576.3+2417.43+3057.66+2384.32+1986.93</f>
        <v>19295.7</v>
      </c>
      <c r="M149" s="78">
        <f t="shared" si="5"/>
        <v>0</v>
      </c>
      <c r="N149" s="100"/>
      <c r="O149" s="81"/>
      <c r="P149" s="81"/>
      <c r="Q149" s="232">
        <f t="shared" ref="Q149:Q196" si="6">O149-P149</f>
        <v>0</v>
      </c>
    </row>
    <row r="150" spans="1:17" s="13" customFormat="1" x14ac:dyDescent="0.25">
      <c r="A150" s="229"/>
      <c r="B150" s="62" t="s">
        <v>494</v>
      </c>
      <c r="C150" s="181" t="s">
        <v>17</v>
      </c>
      <c r="D150" s="182"/>
      <c r="E150" s="194" t="s">
        <v>20</v>
      </c>
      <c r="F150" s="73" t="s">
        <v>507</v>
      </c>
      <c r="G150" s="74" t="s">
        <v>114</v>
      </c>
      <c r="H150" s="75">
        <v>37</v>
      </c>
      <c r="I150" s="76">
        <v>10</v>
      </c>
      <c r="J150" s="96">
        <v>10</v>
      </c>
      <c r="K150" s="77">
        <v>24597.26</v>
      </c>
      <c r="L150" s="77">
        <v>24597.26</v>
      </c>
      <c r="M150" s="78">
        <f t="shared" si="5"/>
        <v>0</v>
      </c>
      <c r="N150" s="100"/>
      <c r="O150" s="81"/>
      <c r="P150" s="81"/>
      <c r="Q150" s="232">
        <f t="shared" si="6"/>
        <v>0</v>
      </c>
    </row>
    <row r="151" spans="1:17" s="13" customFormat="1" x14ac:dyDescent="0.25">
      <c r="A151" s="229"/>
      <c r="B151" s="62" t="s">
        <v>521</v>
      </c>
      <c r="C151" s="181"/>
      <c r="D151" s="182"/>
      <c r="E151" s="194"/>
      <c r="F151" s="73"/>
      <c r="G151" s="74" t="s">
        <v>112</v>
      </c>
      <c r="H151" s="75">
        <v>3</v>
      </c>
      <c r="I151" s="76">
        <v>1</v>
      </c>
      <c r="J151" s="96">
        <f>2</f>
        <v>2</v>
      </c>
      <c r="K151" s="77"/>
      <c r="L151" s="77"/>
      <c r="M151" s="78"/>
      <c r="N151" s="100"/>
      <c r="O151" s="81"/>
      <c r="P151" s="81"/>
      <c r="Q151" s="232"/>
    </row>
    <row r="152" spans="1:17" s="13" customFormat="1" x14ac:dyDescent="0.25">
      <c r="A152" s="229"/>
      <c r="B152" s="62" t="s">
        <v>521</v>
      </c>
      <c r="C152" s="181"/>
      <c r="D152" s="182"/>
      <c r="E152" s="194"/>
      <c r="F152" s="73"/>
      <c r="G152" s="74" t="s">
        <v>116</v>
      </c>
      <c r="H152" s="75">
        <v>2</v>
      </c>
      <c r="I152" s="76"/>
      <c r="J152" s="96"/>
      <c r="K152" s="77"/>
      <c r="L152" s="77"/>
      <c r="M152" s="78"/>
      <c r="N152" s="100"/>
      <c r="O152" s="81"/>
      <c r="P152" s="81"/>
      <c r="Q152" s="232"/>
    </row>
    <row r="153" spans="1:17" s="13" customFormat="1" x14ac:dyDescent="0.25">
      <c r="A153" s="229"/>
      <c r="B153" s="30" t="s">
        <v>88</v>
      </c>
      <c r="C153" s="181" t="s">
        <v>17</v>
      </c>
      <c r="D153" s="182"/>
      <c r="E153" s="183" t="s">
        <v>89</v>
      </c>
      <c r="F153" s="73" t="s">
        <v>397</v>
      </c>
      <c r="G153" s="74" t="s">
        <v>112</v>
      </c>
      <c r="H153" s="75">
        <v>35</v>
      </c>
      <c r="I153" s="76">
        <v>21</v>
      </c>
      <c r="J153" s="96">
        <f>1+3+1+2+4+1+2+5+2</f>
        <v>21</v>
      </c>
      <c r="K153" s="77">
        <f>4226.2+2394.91+6485.1+556.71+4126.31+9704.16+1282.67+1282.67+2185.62+3512.26</f>
        <v>35756.609999999993</v>
      </c>
      <c r="L153" s="77">
        <f>4226.2+2394.91+6485.1+556.71+4126.31+9704.16+1282.67+1282.67+2185.62</f>
        <v>32244.349999999995</v>
      </c>
      <c r="M153" s="78">
        <f t="shared" si="5"/>
        <v>3512.2599999999984</v>
      </c>
      <c r="N153" s="100">
        <f>4+1+3+1+2+2+1+1+2</f>
        <v>17</v>
      </c>
      <c r="O153" s="81">
        <f>11967.83+2831.55+10544.37+9418.99+3799.13+1798.04+2548.4-12193.52+4083.77</f>
        <v>34798.559999999998</v>
      </c>
      <c r="P153" s="81">
        <f>11967.83+2831.55+10544.37+9418.99+3799.13+1798.04+2548.4-12193.52+4083.77</f>
        <v>34798.559999999998</v>
      </c>
      <c r="Q153" s="79">
        <f t="shared" si="6"/>
        <v>0</v>
      </c>
    </row>
    <row r="154" spans="1:17" s="13" customFormat="1" x14ac:dyDescent="0.25">
      <c r="A154" s="229"/>
      <c r="B154" s="30" t="s">
        <v>88</v>
      </c>
      <c r="C154" s="181" t="s">
        <v>17</v>
      </c>
      <c r="D154" s="182"/>
      <c r="E154" s="183" t="s">
        <v>89</v>
      </c>
      <c r="F154" s="73" t="s">
        <v>442</v>
      </c>
      <c r="G154" s="230" t="s">
        <v>118</v>
      </c>
      <c r="H154" s="181">
        <v>7</v>
      </c>
      <c r="I154" s="231">
        <v>4</v>
      </c>
      <c r="J154" s="96">
        <v>4</v>
      </c>
      <c r="K154" s="77">
        <v>7937.26</v>
      </c>
      <c r="L154" s="77">
        <v>7937.26</v>
      </c>
      <c r="M154" s="78">
        <f>K154-L154</f>
        <v>0</v>
      </c>
      <c r="N154" s="100">
        <v>5</v>
      </c>
      <c r="O154" s="224">
        <v>22002.55</v>
      </c>
      <c r="P154" s="224">
        <v>22002.55</v>
      </c>
      <c r="Q154" s="232">
        <f t="shared" si="6"/>
        <v>0</v>
      </c>
    </row>
    <row r="155" spans="1:17" s="13" customFormat="1" x14ac:dyDescent="0.25">
      <c r="A155" s="229"/>
      <c r="B155" s="30" t="s">
        <v>88</v>
      </c>
      <c r="C155" s="181" t="s">
        <v>17</v>
      </c>
      <c r="D155" s="182"/>
      <c r="E155" s="194" t="s">
        <v>505</v>
      </c>
      <c r="F155" s="73" t="s">
        <v>506</v>
      </c>
      <c r="G155" s="230" t="s">
        <v>114</v>
      </c>
      <c r="H155" s="181">
        <v>11</v>
      </c>
      <c r="I155" s="231">
        <v>4</v>
      </c>
      <c r="J155" s="96">
        <v>4</v>
      </c>
      <c r="K155" s="77">
        <v>11656.54</v>
      </c>
      <c r="L155" s="77">
        <v>11656.54</v>
      </c>
      <c r="M155" s="78">
        <f t="shared" si="5"/>
        <v>0</v>
      </c>
      <c r="N155" s="100"/>
      <c r="O155" s="224"/>
      <c r="P155" s="224"/>
      <c r="Q155" s="232">
        <f t="shared" si="6"/>
        <v>0</v>
      </c>
    </row>
    <row r="156" spans="1:17" s="13" customFormat="1" x14ac:dyDescent="0.25">
      <c r="A156" s="229"/>
      <c r="B156" s="30" t="s">
        <v>90</v>
      </c>
      <c r="C156" s="181" t="s">
        <v>17</v>
      </c>
      <c r="D156" s="182"/>
      <c r="E156" s="194" t="s">
        <v>20</v>
      </c>
      <c r="F156" s="73" t="s">
        <v>398</v>
      </c>
      <c r="G156" s="74" t="s">
        <v>112</v>
      </c>
      <c r="H156" s="75">
        <v>16</v>
      </c>
      <c r="I156" s="76">
        <v>8</v>
      </c>
      <c r="J156" s="96">
        <f>1+1+1+4+1+2</f>
        <v>10</v>
      </c>
      <c r="K156" s="77">
        <f>422.62+4662.44+7580.13+2408.4+8770.77+8080.63</f>
        <v>31924.99</v>
      </c>
      <c r="L156" s="77">
        <f>422.62+4662.44+7580.13+2408.4+8770.77</f>
        <v>23844.36</v>
      </c>
      <c r="M156" s="78">
        <f t="shared" si="5"/>
        <v>8080.630000000001</v>
      </c>
      <c r="N156" s="100">
        <f>1+1+1+1+2+1</f>
        <v>7</v>
      </c>
      <c r="O156" s="81">
        <f>2122.67+787.61+15453.48+6194.26+37549.5</f>
        <v>62107.519999999997</v>
      </c>
      <c r="P156" s="81">
        <f>2122.67+787.61+15453.48+6194.26+37549.5</f>
        <v>62107.519999999997</v>
      </c>
      <c r="Q156" s="79">
        <f t="shared" si="6"/>
        <v>0</v>
      </c>
    </row>
    <row r="157" spans="1:17" s="13" customFormat="1" x14ac:dyDescent="0.25">
      <c r="A157" s="229"/>
      <c r="B157" s="30" t="s">
        <v>90</v>
      </c>
      <c r="C157" s="181" t="s">
        <v>17</v>
      </c>
      <c r="D157" s="182"/>
      <c r="E157" s="194" t="s">
        <v>20</v>
      </c>
      <c r="F157" s="73" t="s">
        <v>466</v>
      </c>
      <c r="G157" s="230" t="s">
        <v>114</v>
      </c>
      <c r="H157" s="181">
        <v>24</v>
      </c>
      <c r="I157" s="231">
        <v>12</v>
      </c>
      <c r="J157" s="190">
        <v>12</v>
      </c>
      <c r="K157" s="77">
        <v>24517.56</v>
      </c>
      <c r="L157" s="77">
        <v>24517.56</v>
      </c>
      <c r="M157" s="78">
        <f t="shared" si="5"/>
        <v>0</v>
      </c>
      <c r="N157" s="100">
        <v>31</v>
      </c>
      <c r="O157" s="224">
        <v>115855.1</v>
      </c>
      <c r="P157" s="224">
        <v>115855.1</v>
      </c>
      <c r="Q157" s="232">
        <f t="shared" si="6"/>
        <v>0</v>
      </c>
    </row>
    <row r="158" spans="1:17" s="13" customFormat="1" x14ac:dyDescent="0.25">
      <c r="A158" s="229"/>
      <c r="B158" s="30" t="s">
        <v>91</v>
      </c>
      <c r="C158" s="181" t="s">
        <v>17</v>
      </c>
      <c r="D158" s="182"/>
      <c r="E158" s="194" t="s">
        <v>20</v>
      </c>
      <c r="F158" s="73"/>
      <c r="G158" s="74" t="s">
        <v>112</v>
      </c>
      <c r="H158" s="75"/>
      <c r="I158" s="76"/>
      <c r="J158" s="96"/>
      <c r="K158" s="77"/>
      <c r="L158" s="77"/>
      <c r="M158" s="78">
        <f t="shared" si="5"/>
        <v>0</v>
      </c>
      <c r="N158" s="100"/>
      <c r="O158" s="81"/>
      <c r="P158" s="81"/>
      <c r="Q158" s="79">
        <f t="shared" si="6"/>
        <v>0</v>
      </c>
    </row>
    <row r="159" spans="1:17" s="13" customFormat="1" x14ac:dyDescent="0.25">
      <c r="A159" s="229"/>
      <c r="B159" s="62" t="s">
        <v>138</v>
      </c>
      <c r="C159" s="181" t="s">
        <v>17</v>
      </c>
      <c r="D159" s="182"/>
      <c r="E159" s="194" t="s">
        <v>20</v>
      </c>
      <c r="F159" s="73" t="s">
        <v>467</v>
      </c>
      <c r="G159" s="230" t="s">
        <v>114</v>
      </c>
      <c r="H159" s="181">
        <v>19</v>
      </c>
      <c r="I159" s="231">
        <v>3</v>
      </c>
      <c r="J159" s="190">
        <v>3</v>
      </c>
      <c r="K159" s="193">
        <v>5542.2</v>
      </c>
      <c r="L159" s="193">
        <v>5542.2</v>
      </c>
      <c r="M159" s="78">
        <f t="shared" si="5"/>
        <v>0</v>
      </c>
      <c r="N159" s="114">
        <v>8</v>
      </c>
      <c r="O159" s="224">
        <v>16429.099999999999</v>
      </c>
      <c r="P159" s="224">
        <v>16429.099999999999</v>
      </c>
      <c r="Q159" s="232">
        <f t="shared" si="6"/>
        <v>0</v>
      </c>
    </row>
    <row r="160" spans="1:17" s="13" customFormat="1" x14ac:dyDescent="0.25">
      <c r="A160" s="229"/>
      <c r="B160" s="62" t="s">
        <v>138</v>
      </c>
      <c r="C160" s="181" t="s">
        <v>17</v>
      </c>
      <c r="D160" s="182"/>
      <c r="E160" s="194" t="s">
        <v>20</v>
      </c>
      <c r="F160" s="73" t="s">
        <v>400</v>
      </c>
      <c r="G160" s="74" t="s">
        <v>112</v>
      </c>
      <c r="H160" s="75">
        <v>16</v>
      </c>
      <c r="I160" s="82">
        <v>11</v>
      </c>
      <c r="J160" s="96">
        <f>3+1+1+2+2+3</f>
        <v>12</v>
      </c>
      <c r="K160" s="77">
        <f>2224.52+9639.33+3232.07+1625.67+1324.62+2604.08</f>
        <v>20650.29</v>
      </c>
      <c r="L160" s="77">
        <f>2224.52+9639.33+3232.07+1625.67+1324.62+2604.08</f>
        <v>20650.29</v>
      </c>
      <c r="M160" s="78">
        <f t="shared" si="5"/>
        <v>0</v>
      </c>
      <c r="N160" s="100">
        <f>5+4+2</f>
        <v>11</v>
      </c>
      <c r="O160" s="81">
        <f>8995.87+8641.99+5740.02</f>
        <v>23377.88</v>
      </c>
      <c r="P160" s="81">
        <f>8995.87+8641.99+5740.02</f>
        <v>23377.88</v>
      </c>
      <c r="Q160" s="79">
        <f t="shared" si="6"/>
        <v>0</v>
      </c>
    </row>
    <row r="161" spans="1:17" s="13" customFormat="1" x14ac:dyDescent="0.25">
      <c r="A161" s="229"/>
      <c r="B161" s="62" t="s">
        <v>157</v>
      </c>
      <c r="C161" s="181" t="s">
        <v>17</v>
      </c>
      <c r="D161" s="182"/>
      <c r="E161" s="194" t="s">
        <v>20</v>
      </c>
      <c r="F161" s="73" t="s">
        <v>401</v>
      </c>
      <c r="G161" s="74" t="s">
        <v>112</v>
      </c>
      <c r="H161" s="75">
        <v>15</v>
      </c>
      <c r="I161" s="82"/>
      <c r="J161" s="96"/>
      <c r="K161" s="77"/>
      <c r="L161" s="77"/>
      <c r="M161" s="78">
        <f t="shared" si="5"/>
        <v>0</v>
      </c>
      <c r="N161" s="100"/>
      <c r="O161" s="81"/>
      <c r="P161" s="81"/>
      <c r="Q161" s="232">
        <f t="shared" si="6"/>
        <v>0</v>
      </c>
    </row>
    <row r="162" spans="1:17" s="13" customFormat="1" x14ac:dyDescent="0.25">
      <c r="A162" s="229"/>
      <c r="B162" s="62" t="s">
        <v>515</v>
      </c>
      <c r="C162" s="181" t="s">
        <v>17</v>
      </c>
      <c r="D162" s="182"/>
      <c r="E162" s="194" t="s">
        <v>20</v>
      </c>
      <c r="F162" s="73" t="s">
        <v>519</v>
      </c>
      <c r="G162" s="74" t="s">
        <v>112</v>
      </c>
      <c r="H162" s="75">
        <v>14</v>
      </c>
      <c r="I162" s="82">
        <v>3</v>
      </c>
      <c r="J162" s="96">
        <f>1+1+2</f>
        <v>4</v>
      </c>
      <c r="K162" s="77">
        <f>1091.81+1091.81+662.31+4766.43</f>
        <v>7612.3600000000006</v>
      </c>
      <c r="L162" s="77">
        <f>1091.81+1091.81+662.31</f>
        <v>2845.93</v>
      </c>
      <c r="M162" s="78">
        <f t="shared" si="5"/>
        <v>4766.43</v>
      </c>
      <c r="N162" s="100"/>
      <c r="O162" s="81"/>
      <c r="P162" s="81"/>
      <c r="Q162" s="232"/>
    </row>
    <row r="163" spans="1:17" s="15" customFormat="1" x14ac:dyDescent="0.25">
      <c r="A163" s="229"/>
      <c r="B163" s="62" t="s">
        <v>92</v>
      </c>
      <c r="C163" s="181" t="s">
        <v>17</v>
      </c>
      <c r="D163" s="182"/>
      <c r="E163" s="194" t="s">
        <v>20</v>
      </c>
      <c r="F163" s="73" t="s">
        <v>402</v>
      </c>
      <c r="G163" s="74" t="s">
        <v>112</v>
      </c>
      <c r="H163" s="75">
        <v>16</v>
      </c>
      <c r="I163" s="76">
        <v>12</v>
      </c>
      <c r="J163" s="96">
        <f>1+2+5+2+2</f>
        <v>12</v>
      </c>
      <c r="K163" s="77">
        <f>1951.74+1335.1+2996.76+883.08+842.94+868.07</f>
        <v>8877.69</v>
      </c>
      <c r="L163" s="77">
        <f>1951.74+1335.1+2996.76+883.08+842.94+868.07</f>
        <v>8877.69</v>
      </c>
      <c r="M163" s="78">
        <f t="shared" si="5"/>
        <v>0</v>
      </c>
      <c r="N163" s="100">
        <f>4+1+1</f>
        <v>6</v>
      </c>
      <c r="O163" s="81">
        <f>12624.74+2697.06+1225.93</f>
        <v>16547.73</v>
      </c>
      <c r="P163" s="81">
        <f>12624.74+2697.06+1225.93</f>
        <v>16547.73</v>
      </c>
      <c r="Q163" s="232">
        <f t="shared" si="6"/>
        <v>0</v>
      </c>
    </row>
    <row r="164" spans="1:17" s="15" customFormat="1" x14ac:dyDescent="0.25">
      <c r="A164" s="229"/>
      <c r="B164" s="62" t="s">
        <v>92</v>
      </c>
      <c r="C164" s="181" t="s">
        <v>17</v>
      </c>
      <c r="D164" s="182"/>
      <c r="E164" s="194" t="s">
        <v>20</v>
      </c>
      <c r="F164" s="73" t="s">
        <v>129</v>
      </c>
      <c r="G164" s="230" t="s">
        <v>114</v>
      </c>
      <c r="H164" s="181"/>
      <c r="I164" s="231"/>
      <c r="J164" s="190"/>
      <c r="K164" s="77"/>
      <c r="L164" s="77"/>
      <c r="M164" s="78">
        <f t="shared" si="5"/>
        <v>0</v>
      </c>
      <c r="N164" s="114"/>
      <c r="O164" s="224"/>
      <c r="P164" s="224"/>
      <c r="Q164" s="232">
        <f t="shared" si="6"/>
        <v>0</v>
      </c>
    </row>
    <row r="165" spans="1:17" s="13" customFormat="1" x14ac:dyDescent="0.25">
      <c r="A165" s="229"/>
      <c r="B165" s="30" t="s">
        <v>93</v>
      </c>
      <c r="C165" s="181" t="s">
        <v>17</v>
      </c>
      <c r="D165" s="182"/>
      <c r="E165" s="183" t="s">
        <v>94</v>
      </c>
      <c r="F165" s="73" t="s">
        <v>403</v>
      </c>
      <c r="G165" s="74" t="s">
        <v>112</v>
      </c>
      <c r="H165" s="75">
        <v>7</v>
      </c>
      <c r="I165" s="76">
        <v>2</v>
      </c>
      <c r="J165" s="96">
        <f>2</f>
        <v>2</v>
      </c>
      <c r="K165" s="77">
        <f>2336.84</f>
        <v>2336.84</v>
      </c>
      <c r="L165" s="77">
        <f>2336.84</f>
        <v>2336.84</v>
      </c>
      <c r="M165" s="78">
        <f t="shared" si="5"/>
        <v>0</v>
      </c>
      <c r="N165" s="100">
        <f>3+8</f>
        <v>11</v>
      </c>
      <c r="O165" s="81">
        <f>20117.75</f>
        <v>20117.75</v>
      </c>
      <c r="P165" s="81">
        <f>20117.75</f>
        <v>20117.75</v>
      </c>
      <c r="Q165" s="232">
        <f t="shared" si="6"/>
        <v>0</v>
      </c>
    </row>
    <row r="166" spans="1:17" s="13" customFormat="1" x14ac:dyDescent="0.25">
      <c r="A166" s="229"/>
      <c r="B166" s="30" t="s">
        <v>93</v>
      </c>
      <c r="C166" s="181" t="s">
        <v>17</v>
      </c>
      <c r="D166" s="182"/>
      <c r="E166" s="183" t="s">
        <v>94</v>
      </c>
      <c r="F166" s="73" t="s">
        <v>130</v>
      </c>
      <c r="G166" s="230" t="s">
        <v>114</v>
      </c>
      <c r="H166" s="181"/>
      <c r="I166" s="231"/>
      <c r="J166" s="190"/>
      <c r="K166" s="77"/>
      <c r="L166" s="77"/>
      <c r="M166" s="78">
        <f t="shared" si="5"/>
        <v>0</v>
      </c>
      <c r="N166" s="100"/>
      <c r="O166" s="224"/>
      <c r="P166" s="224"/>
      <c r="Q166" s="232">
        <f t="shared" si="6"/>
        <v>0</v>
      </c>
    </row>
    <row r="167" spans="1:17" s="13" customFormat="1" x14ac:dyDescent="0.25">
      <c r="A167" s="229"/>
      <c r="B167" s="30" t="s">
        <v>93</v>
      </c>
      <c r="C167" s="181" t="s">
        <v>17</v>
      </c>
      <c r="D167" s="182"/>
      <c r="E167" s="183" t="s">
        <v>94</v>
      </c>
      <c r="F167" s="73" t="s">
        <v>240</v>
      </c>
      <c r="G167" s="230" t="s">
        <v>118</v>
      </c>
      <c r="H167" s="181"/>
      <c r="I167" s="231"/>
      <c r="J167" s="96"/>
      <c r="K167" s="77"/>
      <c r="L167" s="77"/>
      <c r="M167" s="78">
        <f t="shared" si="5"/>
        <v>0</v>
      </c>
      <c r="N167" s="100"/>
      <c r="O167" s="224"/>
      <c r="P167" s="317" t="s">
        <v>305</v>
      </c>
      <c r="Q167" s="232" t="e">
        <f t="shared" si="6"/>
        <v>#VALUE!</v>
      </c>
    </row>
    <row r="168" spans="1:17" s="13" customFormat="1" x14ac:dyDescent="0.25">
      <c r="A168" s="229"/>
      <c r="B168" s="30" t="s">
        <v>95</v>
      </c>
      <c r="C168" s="181" t="s">
        <v>17</v>
      </c>
      <c r="D168" s="182"/>
      <c r="E168" s="194" t="s">
        <v>20</v>
      </c>
      <c r="F168" s="73" t="s">
        <v>404</v>
      </c>
      <c r="G168" s="74" t="s">
        <v>112</v>
      </c>
      <c r="H168" s="75">
        <v>26</v>
      </c>
      <c r="I168" s="76">
        <v>12</v>
      </c>
      <c r="J168" s="96">
        <f>1+4+4+5+2+1+1</f>
        <v>18</v>
      </c>
      <c r="K168" s="77">
        <f>1061.35+5770.05+5238.9+6606.04+6345.59+3388.62</f>
        <v>28410.55</v>
      </c>
      <c r="L168" s="77">
        <f>1061.35+5770.05+5238.9+6606.04+6345.59+3388.62</f>
        <v>28410.55</v>
      </c>
      <c r="M168" s="78">
        <f t="shared" si="5"/>
        <v>0</v>
      </c>
      <c r="N168" s="100">
        <f>1+6+1+4+1+1+1</f>
        <v>15</v>
      </c>
      <c r="O168" s="81">
        <f>11603.82+7559.28+6777.29+24757.02+4991.61</f>
        <v>55689.020000000004</v>
      </c>
      <c r="P168" s="81">
        <f>11603.82+7559.28+6777.29+24757.02+4991.61</f>
        <v>55689.020000000004</v>
      </c>
      <c r="Q168" s="79">
        <f t="shared" si="6"/>
        <v>0</v>
      </c>
    </row>
    <row r="169" spans="1:17" s="13" customFormat="1" x14ac:dyDescent="0.25">
      <c r="A169" s="229"/>
      <c r="B169" s="30" t="s">
        <v>95</v>
      </c>
      <c r="C169" s="181" t="s">
        <v>17</v>
      </c>
      <c r="D169" s="182"/>
      <c r="E169" s="194" t="s">
        <v>20</v>
      </c>
      <c r="F169" s="73" t="s">
        <v>291</v>
      </c>
      <c r="G169" s="230" t="s">
        <v>114</v>
      </c>
      <c r="H169" s="181">
        <v>13</v>
      </c>
      <c r="I169" s="231">
        <v>5</v>
      </c>
      <c r="J169" s="190">
        <v>5</v>
      </c>
      <c r="K169" s="77">
        <v>6270.46</v>
      </c>
      <c r="L169" s="77">
        <v>6270.46</v>
      </c>
      <c r="M169" s="78">
        <f t="shared" si="5"/>
        <v>0</v>
      </c>
      <c r="N169" s="100">
        <v>14</v>
      </c>
      <c r="O169" s="224">
        <v>32601.05</v>
      </c>
      <c r="P169" s="224">
        <v>32601.05</v>
      </c>
      <c r="Q169" s="232">
        <f t="shared" si="6"/>
        <v>0</v>
      </c>
    </row>
    <row r="170" spans="1:17" s="13" customFormat="1" x14ac:dyDescent="0.25">
      <c r="A170" s="229"/>
      <c r="B170" s="30" t="s">
        <v>96</v>
      </c>
      <c r="C170" s="181" t="s">
        <v>17</v>
      </c>
      <c r="D170" s="182"/>
      <c r="E170" s="194" t="s">
        <v>97</v>
      </c>
      <c r="F170" s="73" t="s">
        <v>405</v>
      </c>
      <c r="G170" s="74" t="s">
        <v>112</v>
      </c>
      <c r="H170" s="75">
        <v>1</v>
      </c>
      <c r="I170" s="76">
        <v>1</v>
      </c>
      <c r="J170" s="96">
        <f>2</f>
        <v>2</v>
      </c>
      <c r="K170" s="77">
        <f>3187.92</f>
        <v>3187.92</v>
      </c>
      <c r="L170" s="77">
        <f>3187.92</f>
        <v>3187.92</v>
      </c>
      <c r="M170" s="78">
        <f t="shared" si="5"/>
        <v>0</v>
      </c>
      <c r="N170" s="103">
        <f>1+2+1+2</f>
        <v>6</v>
      </c>
      <c r="O170" s="77">
        <f>1742.31+9358.48+3187.92</f>
        <v>14288.71</v>
      </c>
      <c r="P170" s="77">
        <f>1742.31+9358.48+3187.92</f>
        <v>14288.71</v>
      </c>
      <c r="Q170" s="79">
        <f t="shared" si="6"/>
        <v>0</v>
      </c>
    </row>
    <row r="171" spans="1:17" s="13" customFormat="1" x14ac:dyDescent="0.25">
      <c r="A171" s="229"/>
      <c r="B171" s="30" t="s">
        <v>96</v>
      </c>
      <c r="C171" s="181" t="s">
        <v>17</v>
      </c>
      <c r="D171" s="182"/>
      <c r="E171" s="194" t="s">
        <v>97</v>
      </c>
      <c r="F171" s="73" t="s">
        <v>468</v>
      </c>
      <c r="G171" s="230" t="s">
        <v>114</v>
      </c>
      <c r="H171" s="181">
        <v>1</v>
      </c>
      <c r="I171" s="231">
        <v>1</v>
      </c>
      <c r="J171" s="190">
        <v>1</v>
      </c>
      <c r="K171" s="77">
        <v>1204.2</v>
      </c>
      <c r="L171" s="77">
        <v>1204.2</v>
      </c>
      <c r="M171" s="78">
        <f t="shared" si="5"/>
        <v>0</v>
      </c>
      <c r="N171" s="100">
        <v>8</v>
      </c>
      <c r="O171" s="224">
        <v>18393.400000000001</v>
      </c>
      <c r="P171" s="224">
        <v>18393.400000000001</v>
      </c>
      <c r="Q171" s="232">
        <f t="shared" si="6"/>
        <v>0</v>
      </c>
    </row>
    <row r="172" spans="1:17" s="13" customFormat="1" x14ac:dyDescent="0.25">
      <c r="A172" s="229"/>
      <c r="B172" s="30" t="s">
        <v>98</v>
      </c>
      <c r="C172" s="181" t="s">
        <v>17</v>
      </c>
      <c r="D172" s="182"/>
      <c r="E172" s="194" t="s">
        <v>35</v>
      </c>
      <c r="F172" s="73" t="s">
        <v>406</v>
      </c>
      <c r="G172" s="74" t="s">
        <v>112</v>
      </c>
      <c r="H172" s="75">
        <v>49</v>
      </c>
      <c r="I172" s="76">
        <v>37</v>
      </c>
      <c r="J172" s="96">
        <f>1+2+1+1+4+4+1+2+1+5+5+3+3+3</f>
        <v>36</v>
      </c>
      <c r="K172" s="77">
        <f>845.24+1764.25+8353.03+1298.98+7610.68+13826.64+2752.31+9720.26+116979.76-2616.91+4851.2+993.47+3498.2+12402.65+4634.4-1014.35</f>
        <v>185899.81</v>
      </c>
      <c r="L172" s="77">
        <f>845.24+1764.25+8353.03+1298.98+7610.68+13826.64+2752.31+9720.26+116979.76-2616.91+4851.2+993.47+3498.2+12402.65</f>
        <v>182279.76</v>
      </c>
      <c r="M172" s="78">
        <f t="shared" si="5"/>
        <v>3620.0499999999884</v>
      </c>
      <c r="N172" s="100">
        <f>9+1+1+4+2+1+2+4+2+1+1+1+1+1</f>
        <v>31</v>
      </c>
      <c r="O172" s="81">
        <f>76864.27+883.08+47501.34+5480.06+4025.41</f>
        <v>134754.16</v>
      </c>
      <c r="P172" s="81">
        <f>76864.27+883.08+47501.34+5480.06+4025.41</f>
        <v>134754.16</v>
      </c>
      <c r="Q172" s="79">
        <f t="shared" si="6"/>
        <v>0</v>
      </c>
    </row>
    <row r="173" spans="1:17" s="13" customFormat="1" x14ac:dyDescent="0.25">
      <c r="A173" s="229"/>
      <c r="B173" s="30" t="s">
        <v>98</v>
      </c>
      <c r="C173" s="181" t="s">
        <v>17</v>
      </c>
      <c r="D173" s="182"/>
      <c r="E173" s="194" t="s">
        <v>35</v>
      </c>
      <c r="F173" s="73" t="s">
        <v>435</v>
      </c>
      <c r="G173" s="235" t="s">
        <v>117</v>
      </c>
      <c r="H173" s="181">
        <v>9</v>
      </c>
      <c r="I173" s="231">
        <v>2</v>
      </c>
      <c r="J173" s="96">
        <v>2</v>
      </c>
      <c r="K173" s="77">
        <v>2486.83</v>
      </c>
      <c r="L173" s="77">
        <v>2486.83</v>
      </c>
      <c r="M173" s="78">
        <f t="shared" si="5"/>
        <v>0</v>
      </c>
      <c r="N173" s="100">
        <v>5</v>
      </c>
      <c r="O173" s="77">
        <v>18950.45</v>
      </c>
      <c r="P173" s="77">
        <v>18950.45</v>
      </c>
      <c r="Q173" s="232">
        <f t="shared" si="6"/>
        <v>0</v>
      </c>
    </row>
    <row r="174" spans="1:17" s="13" customFormat="1" x14ac:dyDescent="0.25">
      <c r="A174" s="229"/>
      <c r="B174" s="30" t="s">
        <v>488</v>
      </c>
      <c r="C174" s="181" t="s">
        <v>17</v>
      </c>
      <c r="D174" s="182"/>
      <c r="E174" s="194" t="s">
        <v>97</v>
      </c>
      <c r="F174" s="73" t="s">
        <v>498</v>
      </c>
      <c r="G174" s="235" t="s">
        <v>112</v>
      </c>
      <c r="H174" s="181">
        <v>18</v>
      </c>
      <c r="I174" s="231">
        <v>13</v>
      </c>
      <c r="J174" s="96">
        <f>4+1+1+2+3+1+1</f>
        <v>13</v>
      </c>
      <c r="K174" s="77">
        <f>1535.8+576.3+802.8+4667.08+421.47+2865.59</f>
        <v>10869.04</v>
      </c>
      <c r="L174" s="77">
        <f>1535.8+576.3+802.8+4667.08+421.47</f>
        <v>8003.45</v>
      </c>
      <c r="M174" s="78">
        <f t="shared" si="5"/>
        <v>2865.5900000000011</v>
      </c>
      <c r="N174" s="100"/>
      <c r="O174" s="77"/>
      <c r="P174" s="77"/>
      <c r="Q174" s="232"/>
    </row>
    <row r="175" spans="1:17" s="15" customFormat="1" x14ac:dyDescent="0.25">
      <c r="A175" s="229"/>
      <c r="B175" s="30" t="s">
        <v>99</v>
      </c>
      <c r="C175" s="181" t="s">
        <v>17</v>
      </c>
      <c r="D175" s="182"/>
      <c r="E175" s="183" t="s">
        <v>32</v>
      </c>
      <c r="F175" s="73" t="s">
        <v>418</v>
      </c>
      <c r="G175" s="74" t="s">
        <v>112</v>
      </c>
      <c r="H175" s="75"/>
      <c r="I175" s="76"/>
      <c r="J175" s="96"/>
      <c r="K175" s="77"/>
      <c r="L175" s="77"/>
      <c r="M175" s="78">
        <f t="shared" si="5"/>
        <v>0</v>
      </c>
      <c r="N175" s="100"/>
      <c r="O175" s="81"/>
      <c r="P175" s="81"/>
      <c r="Q175" s="79">
        <f t="shared" si="6"/>
        <v>0</v>
      </c>
    </row>
    <row r="176" spans="1:17" s="15" customFormat="1" x14ac:dyDescent="0.25">
      <c r="A176" s="229"/>
      <c r="B176" s="30" t="s">
        <v>99</v>
      </c>
      <c r="C176" s="181" t="s">
        <v>17</v>
      </c>
      <c r="D176" s="182"/>
      <c r="E176" s="183" t="s">
        <v>32</v>
      </c>
      <c r="F176" s="73" t="s">
        <v>423</v>
      </c>
      <c r="G176" s="235" t="s">
        <v>117</v>
      </c>
      <c r="H176" s="181"/>
      <c r="I176" s="231"/>
      <c r="J176" s="190"/>
      <c r="K176" s="77"/>
      <c r="L176" s="77"/>
      <c r="M176" s="78">
        <f t="shared" si="5"/>
        <v>0</v>
      </c>
      <c r="N176" s="114"/>
      <c r="O176" s="77"/>
      <c r="P176" s="77"/>
      <c r="Q176" s="232">
        <f t="shared" si="6"/>
        <v>0</v>
      </c>
    </row>
    <row r="177" spans="1:17" s="15" customFormat="1" ht="30" x14ac:dyDescent="0.25">
      <c r="A177" s="229"/>
      <c r="B177" s="30" t="s">
        <v>144</v>
      </c>
      <c r="C177" s="181" t="s">
        <v>304</v>
      </c>
      <c r="D177" s="182" t="s">
        <v>313</v>
      </c>
      <c r="E177" s="194" t="s">
        <v>97</v>
      </c>
      <c r="F177" s="73" t="s">
        <v>407</v>
      </c>
      <c r="G177" s="66" t="s">
        <v>112</v>
      </c>
      <c r="H177" s="75">
        <v>24</v>
      </c>
      <c r="I177" s="76">
        <v>21</v>
      </c>
      <c r="J177" s="98">
        <f>2+2+1+3+1+1+5+2+1+4+2+4+1+1</f>
        <v>30</v>
      </c>
      <c r="K177" s="77">
        <f>950.9+1449.39+2272.32+2785.92+5112.01+6655.23+3700.19+4208.95+6370.42+4132.77</f>
        <v>37638.100000000006</v>
      </c>
      <c r="L177" s="77">
        <f>950.9+1449.39+2272.32+2785.92+5112.01+6655.23+3700.19+4208.95+6370.42</f>
        <v>33505.33</v>
      </c>
      <c r="M177" s="78">
        <f t="shared" si="5"/>
        <v>4132.7700000000041</v>
      </c>
      <c r="N177" s="100">
        <f>3+2+1+1+1+1+1+1</f>
        <v>11</v>
      </c>
      <c r="O177" s="77">
        <f>5020.57+5566.06+2694.94+845.24+2460.18</f>
        <v>16586.990000000002</v>
      </c>
      <c r="P177" s="77">
        <f>5020.57+5566.06+2694.94+845.24+2460.18</f>
        <v>16586.990000000002</v>
      </c>
      <c r="Q177" s="79">
        <f t="shared" si="6"/>
        <v>0</v>
      </c>
    </row>
    <row r="178" spans="1:17" s="15" customFormat="1" x14ac:dyDescent="0.25">
      <c r="A178" s="229"/>
      <c r="B178" s="30" t="s">
        <v>488</v>
      </c>
      <c r="C178" s="181"/>
      <c r="D178" s="182"/>
      <c r="E178" s="194"/>
      <c r="F178" s="73" t="s">
        <v>509</v>
      </c>
      <c r="G178" s="66" t="s">
        <v>114</v>
      </c>
      <c r="H178" s="75">
        <v>31</v>
      </c>
      <c r="I178" s="76">
        <v>16</v>
      </c>
      <c r="J178" s="98">
        <v>16</v>
      </c>
      <c r="K178" s="77">
        <v>36014.74</v>
      </c>
      <c r="L178" s="77">
        <v>36014.74</v>
      </c>
      <c r="M178" s="78">
        <f t="shared" si="5"/>
        <v>0</v>
      </c>
      <c r="N178" s="100"/>
      <c r="O178" s="77"/>
      <c r="P178" s="77"/>
      <c r="Q178" s="232">
        <f t="shared" si="6"/>
        <v>0</v>
      </c>
    </row>
    <row r="179" spans="1:17" s="15" customFormat="1" x14ac:dyDescent="0.25">
      <c r="A179" s="229"/>
      <c r="B179" s="30" t="s">
        <v>514</v>
      </c>
      <c r="C179" s="181"/>
      <c r="D179" s="182"/>
      <c r="E179" s="194" t="s">
        <v>18</v>
      </c>
      <c r="F179" s="73"/>
      <c r="G179" s="66" t="s">
        <v>116</v>
      </c>
      <c r="H179" s="75">
        <v>8</v>
      </c>
      <c r="I179" s="76">
        <v>2</v>
      </c>
      <c r="J179" s="98">
        <v>2</v>
      </c>
      <c r="K179" s="77">
        <v>3572</v>
      </c>
      <c r="L179" s="77">
        <v>3572</v>
      </c>
      <c r="M179" s="78">
        <f t="shared" si="5"/>
        <v>0</v>
      </c>
      <c r="N179" s="100"/>
      <c r="O179" s="77"/>
      <c r="P179" s="77"/>
      <c r="Q179" s="232"/>
    </row>
    <row r="180" spans="1:17" s="15" customFormat="1" x14ac:dyDescent="0.25">
      <c r="A180" s="229"/>
      <c r="B180" s="30" t="s">
        <v>488</v>
      </c>
      <c r="C180" s="181"/>
      <c r="D180" s="182"/>
      <c r="E180" s="194"/>
      <c r="F180" s="73" t="s">
        <v>512</v>
      </c>
      <c r="G180" s="66" t="s">
        <v>116</v>
      </c>
      <c r="H180" s="75">
        <v>14</v>
      </c>
      <c r="I180" s="76">
        <v>8</v>
      </c>
      <c r="J180" s="98">
        <v>8</v>
      </c>
      <c r="K180" s="77">
        <v>20353</v>
      </c>
      <c r="L180" s="77">
        <v>20353</v>
      </c>
      <c r="M180" s="78">
        <f t="shared" si="5"/>
        <v>0</v>
      </c>
      <c r="N180" s="100"/>
      <c r="O180" s="77"/>
      <c r="P180" s="77"/>
      <c r="Q180" s="79"/>
    </row>
    <row r="181" spans="1:17" s="15" customFormat="1" ht="30" x14ac:dyDescent="0.25">
      <c r="A181" s="229"/>
      <c r="B181" s="238" t="s">
        <v>144</v>
      </c>
      <c r="C181" s="181" t="s">
        <v>446</v>
      </c>
      <c r="D181" s="182" t="s">
        <v>313</v>
      </c>
      <c r="E181" s="183" t="s">
        <v>20</v>
      </c>
      <c r="F181" s="73" t="s">
        <v>485</v>
      </c>
      <c r="G181" s="235" t="s">
        <v>114</v>
      </c>
      <c r="H181" s="181">
        <v>47</v>
      </c>
      <c r="I181" s="234">
        <v>24</v>
      </c>
      <c r="J181" s="202">
        <v>24</v>
      </c>
      <c r="K181" s="77">
        <v>57178.03</v>
      </c>
      <c r="L181" s="77">
        <v>53164.03</v>
      </c>
      <c r="M181" s="78">
        <f t="shared" si="5"/>
        <v>4014</v>
      </c>
      <c r="N181" s="100">
        <v>22</v>
      </c>
      <c r="O181" s="224">
        <v>55283.8</v>
      </c>
      <c r="P181" s="224">
        <v>55283.8</v>
      </c>
      <c r="Q181" s="232">
        <f t="shared" ref="Q181" si="7">O181-P181</f>
        <v>0</v>
      </c>
    </row>
    <row r="182" spans="1:17" s="21" customFormat="1" ht="45" x14ac:dyDescent="0.25">
      <c r="A182" s="181"/>
      <c r="B182" s="30" t="s">
        <v>100</v>
      </c>
      <c r="C182" s="181" t="s">
        <v>304</v>
      </c>
      <c r="D182" s="182" t="s">
        <v>416</v>
      </c>
      <c r="E182" s="194" t="s">
        <v>20</v>
      </c>
      <c r="F182" s="73" t="s">
        <v>408</v>
      </c>
      <c r="G182" s="27" t="s">
        <v>112</v>
      </c>
      <c r="H182" s="75">
        <v>37</v>
      </c>
      <c r="I182" s="76">
        <v>24</v>
      </c>
      <c r="J182" s="98">
        <f>5+1+4+6+4+2+4+3+2</f>
        <v>31</v>
      </c>
      <c r="K182" s="86">
        <f>6524.55+600.31+19349.45+15377.18+2248.86+10883.06+17880.3</f>
        <v>72863.710000000006</v>
      </c>
      <c r="L182" s="86">
        <f>6524.55+600.31+19349.45+15377.18+2248.86+10883.06</f>
        <v>54983.41</v>
      </c>
      <c r="M182" s="78">
        <f t="shared" si="5"/>
        <v>17880.300000000003</v>
      </c>
      <c r="N182" s="100">
        <f>1+3+2+3+1+1+1</f>
        <v>12</v>
      </c>
      <c r="O182" s="87">
        <f>10770.58+2113.01+3508.24+19305.88+22849.19+23443.77</f>
        <v>81990.670000000013</v>
      </c>
      <c r="P182" s="87">
        <f>10770.58+2113.01+3508.24+19305.88+22849.19+23443.77</f>
        <v>81990.670000000013</v>
      </c>
      <c r="Q182" s="79">
        <f t="shared" si="6"/>
        <v>0</v>
      </c>
    </row>
    <row r="183" spans="1:17" s="21" customFormat="1" ht="60" x14ac:dyDescent="0.25">
      <c r="A183" s="181"/>
      <c r="B183" s="30" t="s">
        <v>100</v>
      </c>
      <c r="C183" s="203" t="s">
        <v>125</v>
      </c>
      <c r="D183" s="182" t="s">
        <v>126</v>
      </c>
      <c r="E183" s="194" t="s">
        <v>20</v>
      </c>
      <c r="F183" s="73" t="s">
        <v>486</v>
      </c>
      <c r="G183" s="236" t="s">
        <v>114</v>
      </c>
      <c r="H183" s="181">
        <v>13</v>
      </c>
      <c r="I183" s="234">
        <v>3</v>
      </c>
      <c r="J183" s="202">
        <v>3</v>
      </c>
      <c r="K183" s="86">
        <v>17316</v>
      </c>
      <c r="L183" s="86">
        <v>17316</v>
      </c>
      <c r="M183" s="78">
        <f t="shared" si="5"/>
        <v>0</v>
      </c>
      <c r="N183" s="100">
        <v>2</v>
      </c>
      <c r="O183" s="239">
        <v>71568.429999999993</v>
      </c>
      <c r="P183" s="239">
        <v>71568.429999999993</v>
      </c>
      <c r="Q183" s="232">
        <f t="shared" si="6"/>
        <v>0</v>
      </c>
    </row>
    <row r="184" spans="1:17" s="13" customFormat="1" x14ac:dyDescent="0.25">
      <c r="A184" s="229"/>
      <c r="B184" s="62" t="s">
        <v>101</v>
      </c>
      <c r="C184" s="181" t="s">
        <v>17</v>
      </c>
      <c r="D184" s="182"/>
      <c r="E184" s="194" t="s">
        <v>20</v>
      </c>
      <c r="F184" s="73" t="s">
        <v>409</v>
      </c>
      <c r="G184" s="74" t="s">
        <v>112</v>
      </c>
      <c r="H184" s="75">
        <v>19</v>
      </c>
      <c r="I184" s="76">
        <v>8</v>
      </c>
      <c r="J184" s="96">
        <f>1+5+1+1+2+2+1</f>
        <v>13</v>
      </c>
      <c r="K184" s="77">
        <v>9863.65</v>
      </c>
      <c r="L184" s="77">
        <v>9863.65</v>
      </c>
      <c r="M184" s="78">
        <f t="shared" si="5"/>
        <v>0</v>
      </c>
      <c r="N184" s="100">
        <f>5+2+1+1+1</f>
        <v>10</v>
      </c>
      <c r="O184" s="81">
        <v>25277.53</v>
      </c>
      <c r="P184" s="81">
        <v>25277.53</v>
      </c>
      <c r="Q184" s="79">
        <f t="shared" si="6"/>
        <v>0</v>
      </c>
    </row>
    <row r="185" spans="1:17" s="13" customFormat="1" x14ac:dyDescent="0.25">
      <c r="A185" s="229"/>
      <c r="B185" s="62" t="s">
        <v>146</v>
      </c>
      <c r="C185" s="181" t="s">
        <v>17</v>
      </c>
      <c r="D185" s="182"/>
      <c r="E185" s="194" t="s">
        <v>20</v>
      </c>
      <c r="F185" s="73" t="s">
        <v>410</v>
      </c>
      <c r="G185" s="74" t="s">
        <v>112</v>
      </c>
      <c r="H185" s="75">
        <v>23</v>
      </c>
      <c r="I185" s="76">
        <v>15</v>
      </c>
      <c r="J185" s="96">
        <f>4+1+1+2+1+2+1+1+1+1+1</f>
        <v>16</v>
      </c>
      <c r="K185" s="77">
        <f>4610.77+1568.98+1854.88+422.62+1334.13+2599.07+5262.18+1092.81+1092.81+481.68+1092.81+6709.63</f>
        <v>28122.370000000006</v>
      </c>
      <c r="L185" s="77">
        <f>4610.77+1568.98+1854.88+422.62+1334.13+2599.07+5262.18+1092.81+1092.81+481.68+1092.81</f>
        <v>21412.740000000005</v>
      </c>
      <c r="M185" s="78">
        <f t="shared" si="5"/>
        <v>6709.630000000001</v>
      </c>
      <c r="N185" s="100">
        <f>5+1+1+2+1+1+1+3</f>
        <v>15</v>
      </c>
      <c r="O185" s="81">
        <f>13579.06+1287.07+2636.18+26196.83+1204.2+14475.9</f>
        <v>59379.24</v>
      </c>
      <c r="P185" s="81">
        <f>13579.06+1287.07+2636.18+26196.83+1204.2</f>
        <v>44903.34</v>
      </c>
      <c r="Q185" s="232">
        <f t="shared" si="6"/>
        <v>14475.900000000001</v>
      </c>
    </row>
    <row r="186" spans="1:17" s="13" customFormat="1" x14ac:dyDescent="0.25">
      <c r="A186" s="229"/>
      <c r="B186" s="62" t="s">
        <v>146</v>
      </c>
      <c r="C186" s="181" t="s">
        <v>17</v>
      </c>
      <c r="D186" s="182"/>
      <c r="E186" s="183" t="s">
        <v>21</v>
      </c>
      <c r="F186" s="73" t="s">
        <v>443</v>
      </c>
      <c r="G186" s="230" t="s">
        <v>118</v>
      </c>
      <c r="H186" s="181">
        <v>19</v>
      </c>
      <c r="I186" s="234">
        <v>7</v>
      </c>
      <c r="J186" s="190">
        <v>7</v>
      </c>
      <c r="K186" s="193">
        <v>13074.18</v>
      </c>
      <c r="L186" s="193">
        <v>13074.18</v>
      </c>
      <c r="M186" s="78">
        <f t="shared" si="5"/>
        <v>0</v>
      </c>
      <c r="N186" s="114">
        <v>6</v>
      </c>
      <c r="O186" s="224">
        <v>3363.06</v>
      </c>
      <c r="P186" s="224">
        <v>3363.06</v>
      </c>
      <c r="Q186" s="79">
        <f t="shared" si="6"/>
        <v>0</v>
      </c>
    </row>
    <row r="187" spans="1:17" s="13" customFormat="1" x14ac:dyDescent="0.25">
      <c r="A187" s="229"/>
      <c r="B187" s="27" t="s">
        <v>102</v>
      </c>
      <c r="C187" s="181" t="s">
        <v>17</v>
      </c>
      <c r="D187" s="182"/>
      <c r="E187" s="194" t="s">
        <v>20</v>
      </c>
      <c r="F187" s="73" t="s">
        <v>411</v>
      </c>
      <c r="G187" s="74" t="s">
        <v>112</v>
      </c>
      <c r="H187" s="75">
        <v>17</v>
      </c>
      <c r="I187" s="76">
        <v>11</v>
      </c>
      <c r="J187" s="96">
        <f>1+1+2+1+2+1+3</f>
        <v>11</v>
      </c>
      <c r="K187" s="77">
        <f>845.24+845.24+1690.48+1394.65+2689.38+1324.62</f>
        <v>8789.61</v>
      </c>
      <c r="L187" s="77">
        <f>845.24+845.24+1690.48+1394.65+2689.38+1324.62</f>
        <v>8789.61</v>
      </c>
      <c r="M187" s="78">
        <f t="shared" si="5"/>
        <v>0</v>
      </c>
      <c r="N187" s="100">
        <f>3+1+1+1+1</f>
        <v>7</v>
      </c>
      <c r="O187" s="81">
        <f>7808.21+30833.77-12193.52+9963.17+5385.9+14660.89</f>
        <v>56458.420000000006</v>
      </c>
      <c r="P187" s="81">
        <f>7808.21+30833.77-12193.52+9963.17+5385.9+14660.89</f>
        <v>56458.420000000006</v>
      </c>
      <c r="Q187" s="232">
        <f t="shared" si="6"/>
        <v>0</v>
      </c>
    </row>
    <row r="188" spans="1:17" s="13" customFormat="1" x14ac:dyDescent="0.25">
      <c r="A188" s="229"/>
      <c r="B188" s="27" t="s">
        <v>102</v>
      </c>
      <c r="C188" s="181" t="s">
        <v>17</v>
      </c>
      <c r="D188" s="182"/>
      <c r="E188" s="194" t="s">
        <v>20</v>
      </c>
      <c r="F188" s="73" t="s">
        <v>469</v>
      </c>
      <c r="G188" s="230" t="s">
        <v>114</v>
      </c>
      <c r="H188" s="181">
        <v>12</v>
      </c>
      <c r="I188" s="231">
        <v>5</v>
      </c>
      <c r="J188" s="190">
        <v>5</v>
      </c>
      <c r="K188" s="77">
        <v>7690.26</v>
      </c>
      <c r="L188" s="77">
        <v>7690.26</v>
      </c>
      <c r="M188" s="78">
        <f t="shared" si="5"/>
        <v>0</v>
      </c>
      <c r="N188" s="100">
        <v>8</v>
      </c>
      <c r="O188" s="224">
        <v>31795.42</v>
      </c>
      <c r="P188" s="224">
        <v>31795.42</v>
      </c>
      <c r="Q188" s="232">
        <f t="shared" si="6"/>
        <v>0</v>
      </c>
    </row>
    <row r="189" spans="1:17" s="13" customFormat="1" x14ac:dyDescent="0.25">
      <c r="A189" s="229"/>
      <c r="B189" s="27" t="s">
        <v>103</v>
      </c>
      <c r="C189" s="181" t="s">
        <v>17</v>
      </c>
      <c r="D189" s="182"/>
      <c r="E189" s="183" t="s">
        <v>20</v>
      </c>
      <c r="F189" s="73" t="s">
        <v>412</v>
      </c>
      <c r="G189" s="74" t="s">
        <v>112</v>
      </c>
      <c r="H189" s="75">
        <v>19</v>
      </c>
      <c r="I189" s="76">
        <v>11</v>
      </c>
      <c r="J189" s="96">
        <f>4+1+2+3+1+1</f>
        <v>12</v>
      </c>
      <c r="K189" s="77">
        <f>16248.67+1092.81+2003.49+401.4+421.47</f>
        <v>20167.840000000004</v>
      </c>
      <c r="L189" s="77">
        <f>16248.67+1092.81+2003.49+401.4+421.47</f>
        <v>20167.840000000004</v>
      </c>
      <c r="M189" s="78">
        <f t="shared" si="5"/>
        <v>0</v>
      </c>
      <c r="N189" s="100">
        <f>7+2+1+1+2+1+1</f>
        <v>15</v>
      </c>
      <c r="O189" s="77">
        <f>20193.14+7541.5+685.38+1766.16</f>
        <v>30186.18</v>
      </c>
      <c r="P189" s="77">
        <f>20193.14+7541.5+685.38+1766.16</f>
        <v>30186.18</v>
      </c>
      <c r="Q189" s="232">
        <f t="shared" si="6"/>
        <v>0</v>
      </c>
    </row>
    <row r="190" spans="1:17" s="13" customFormat="1" x14ac:dyDescent="0.25">
      <c r="A190" s="229"/>
      <c r="B190" s="27" t="s">
        <v>103</v>
      </c>
      <c r="C190" s="181" t="s">
        <v>17</v>
      </c>
      <c r="D190" s="182"/>
      <c r="E190" s="183" t="s">
        <v>20</v>
      </c>
      <c r="F190" s="73" t="s">
        <v>470</v>
      </c>
      <c r="G190" s="230" t="s">
        <v>114</v>
      </c>
      <c r="H190" s="181">
        <v>21</v>
      </c>
      <c r="I190" s="231">
        <v>6</v>
      </c>
      <c r="J190" s="190">
        <v>6</v>
      </c>
      <c r="K190" s="77">
        <v>10158.299999999999</v>
      </c>
      <c r="L190" s="77">
        <v>10158.299999999999</v>
      </c>
      <c r="M190" s="78">
        <f t="shared" si="5"/>
        <v>0</v>
      </c>
      <c r="N190" s="100">
        <v>5</v>
      </c>
      <c r="O190" s="224">
        <v>14245.19</v>
      </c>
      <c r="P190" s="224">
        <v>14245.19</v>
      </c>
      <c r="Q190" s="232">
        <f t="shared" si="6"/>
        <v>0</v>
      </c>
    </row>
    <row r="191" spans="1:17" s="15" customFormat="1" x14ac:dyDescent="0.25">
      <c r="A191" s="229"/>
      <c r="B191" s="27" t="s">
        <v>104</v>
      </c>
      <c r="C191" s="181" t="s">
        <v>17</v>
      </c>
      <c r="D191" s="182"/>
      <c r="E191" s="183" t="s">
        <v>20</v>
      </c>
      <c r="F191" s="73" t="s">
        <v>413</v>
      </c>
      <c r="G191" s="74" t="s">
        <v>112</v>
      </c>
      <c r="H191" s="75">
        <v>20</v>
      </c>
      <c r="I191" s="76">
        <v>19</v>
      </c>
      <c r="J191" s="96">
        <f>3+1+2+4+1+1+1+5+5+1</f>
        <v>24</v>
      </c>
      <c r="K191" s="77">
        <f>5112.82+422.64+8302.14+1605.5+1092.81+1390.85+7796.86+7659.42</f>
        <v>33383.040000000001</v>
      </c>
      <c r="L191" s="77">
        <f>5112.82+422.64+8302.14+1605.5+1092.81+1390.85+7796.86</f>
        <v>25723.62</v>
      </c>
      <c r="M191" s="78">
        <f t="shared" si="5"/>
        <v>7659.4200000000019</v>
      </c>
      <c r="N191" s="100">
        <f>4+1+1+2+1+1+1</f>
        <v>11</v>
      </c>
      <c r="O191" s="81">
        <f>7087.22+3426.18+3496.22</f>
        <v>14009.619999999999</v>
      </c>
      <c r="P191" s="81">
        <f>7087.22+3426.18+3496.22</f>
        <v>14009.619999999999</v>
      </c>
      <c r="Q191" s="232">
        <f t="shared" si="6"/>
        <v>0</v>
      </c>
    </row>
    <row r="192" spans="1:17" s="15" customFormat="1" x14ac:dyDescent="0.25">
      <c r="A192" s="229"/>
      <c r="B192" s="27" t="s">
        <v>104</v>
      </c>
      <c r="C192" s="181" t="s">
        <v>17</v>
      </c>
      <c r="D192" s="182"/>
      <c r="E192" s="183" t="s">
        <v>20</v>
      </c>
      <c r="F192" s="73" t="s">
        <v>471</v>
      </c>
      <c r="G192" s="230" t="s">
        <v>114</v>
      </c>
      <c r="H192" s="181">
        <v>46</v>
      </c>
      <c r="I192" s="231">
        <v>19</v>
      </c>
      <c r="J192" s="190">
        <v>19</v>
      </c>
      <c r="K192" s="77">
        <v>41748.910000000003</v>
      </c>
      <c r="L192" s="77">
        <v>41748.910000000003</v>
      </c>
      <c r="M192" s="78">
        <f t="shared" si="5"/>
        <v>0</v>
      </c>
      <c r="N192" s="114">
        <v>20</v>
      </c>
      <c r="O192" s="224">
        <v>50922.05</v>
      </c>
      <c r="P192" s="224">
        <v>50922.05</v>
      </c>
      <c r="Q192" s="232">
        <f t="shared" si="6"/>
        <v>0</v>
      </c>
    </row>
    <row r="193" spans="1:17" s="13" customFormat="1" x14ac:dyDescent="0.25">
      <c r="A193" s="229"/>
      <c r="B193" s="30" t="s">
        <v>26</v>
      </c>
      <c r="C193" s="181" t="s">
        <v>17</v>
      </c>
      <c r="D193" s="182"/>
      <c r="E193" s="183" t="s">
        <v>32</v>
      </c>
      <c r="F193" s="73" t="s">
        <v>246</v>
      </c>
      <c r="G193" s="74" t="s">
        <v>117</v>
      </c>
      <c r="H193" s="75"/>
      <c r="I193" s="76"/>
      <c r="J193" s="96"/>
      <c r="K193" s="77"/>
      <c r="L193" s="77"/>
      <c r="M193" s="78">
        <f t="shared" si="5"/>
        <v>0</v>
      </c>
      <c r="N193" s="100">
        <v>5</v>
      </c>
      <c r="O193" s="81">
        <v>7808.15</v>
      </c>
      <c r="P193" s="81">
        <v>7808.15</v>
      </c>
      <c r="Q193" s="232">
        <f t="shared" si="6"/>
        <v>0</v>
      </c>
    </row>
    <row r="194" spans="1:17" s="13" customFormat="1" x14ac:dyDescent="0.25">
      <c r="A194" s="229"/>
      <c r="B194" s="30" t="s">
        <v>105</v>
      </c>
      <c r="C194" s="181" t="s">
        <v>17</v>
      </c>
      <c r="D194" s="182"/>
      <c r="E194" s="194" t="s">
        <v>35</v>
      </c>
      <c r="F194" s="73" t="s">
        <v>518</v>
      </c>
      <c r="G194" s="74" t="s">
        <v>112</v>
      </c>
      <c r="H194" s="75">
        <v>8</v>
      </c>
      <c r="I194" s="76"/>
      <c r="J194" s="96"/>
      <c r="K194" s="77"/>
      <c r="L194" s="77"/>
      <c r="M194" s="78"/>
      <c r="N194" s="100"/>
      <c r="O194" s="81"/>
      <c r="P194" s="81"/>
      <c r="Q194" s="232"/>
    </row>
    <row r="195" spans="1:17" s="13" customFormat="1" x14ac:dyDescent="0.25">
      <c r="A195" s="229"/>
      <c r="B195" s="62" t="s">
        <v>106</v>
      </c>
      <c r="C195" s="181" t="s">
        <v>17</v>
      </c>
      <c r="D195" s="205"/>
      <c r="E195" s="194" t="s">
        <v>20</v>
      </c>
      <c r="F195" s="73" t="s">
        <v>414</v>
      </c>
      <c r="G195" s="74" t="s">
        <v>112</v>
      </c>
      <c r="H195" s="75">
        <v>19</v>
      </c>
      <c r="I195" s="76">
        <v>11</v>
      </c>
      <c r="J195" s="96">
        <f>1+4+2+2+1+4</f>
        <v>14</v>
      </c>
      <c r="K195" s="77">
        <f>4901.5+2119.39+5027.75</f>
        <v>12048.64</v>
      </c>
      <c r="L195" s="77">
        <f>4901.5+2119.39+5027.75</f>
        <v>12048.64</v>
      </c>
      <c r="M195" s="78">
        <f t="shared" si="5"/>
        <v>0</v>
      </c>
      <c r="N195" s="100">
        <f>3+1+1+1+1</f>
        <v>7</v>
      </c>
      <c r="O195" s="81">
        <f>49473.81+3066.27+1501.24</f>
        <v>54041.319999999992</v>
      </c>
      <c r="P195" s="81">
        <f>49473.81+3066.27+1501.24</f>
        <v>54041.319999999992</v>
      </c>
      <c r="Q195" s="232">
        <f t="shared" si="6"/>
        <v>0</v>
      </c>
    </row>
    <row r="196" spans="1:17" x14ac:dyDescent="0.25">
      <c r="A196" s="319"/>
      <c r="B196" s="66"/>
      <c r="C196" s="320"/>
      <c r="D196" s="235"/>
      <c r="E196" s="235"/>
      <c r="F196" s="73"/>
      <c r="G196" s="235" t="s">
        <v>131</v>
      </c>
      <c r="H196" s="240">
        <f>SUM(H10:H195)</f>
        <v>3498</v>
      </c>
      <c r="I196" s="318">
        <f>SUM(I10:I195)</f>
        <v>2170</v>
      </c>
      <c r="J196" s="208">
        <f>SUM(J10:J195)</f>
        <v>2650</v>
      </c>
      <c r="K196" s="209">
        <f>SUM(K10:K195)</f>
        <v>4945870.4250000007</v>
      </c>
      <c r="L196" s="209">
        <f>SUM(L10:L195)</f>
        <v>4660420.2250000024</v>
      </c>
      <c r="M196" s="210">
        <f>K196-L196</f>
        <v>285450.19999999832</v>
      </c>
      <c r="N196" s="208">
        <f>SUM(N10:N195)</f>
        <v>1954</v>
      </c>
      <c r="O196" s="241">
        <f>SUM(O10:O195)</f>
        <v>6181872.2700000005</v>
      </c>
      <c r="P196" s="241">
        <f>SUM(P10:P195)</f>
        <v>6143075.5000000009</v>
      </c>
      <c r="Q196" s="79">
        <f t="shared" si="6"/>
        <v>38796.769999999553</v>
      </c>
    </row>
    <row r="197" spans="1:17" x14ac:dyDescent="0.25">
      <c r="K197" s="91" t="s">
        <v>305</v>
      </c>
    </row>
    <row r="198" spans="1:17" ht="45" x14ac:dyDescent="0.25">
      <c r="B198" s="324" t="s">
        <v>522</v>
      </c>
      <c r="F198" s="104" t="s">
        <v>317</v>
      </c>
      <c r="M198" s="142"/>
      <c r="N198" s="277"/>
      <c r="O198" s="278"/>
      <c r="P198" s="279"/>
      <c r="Q198" s="133"/>
    </row>
    <row r="199" spans="1:17" x14ac:dyDescent="0.25"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216"/>
      <c r="N199" s="6"/>
      <c r="O199" s="6"/>
      <c r="P199" s="6"/>
      <c r="Q199" s="6"/>
    </row>
    <row r="200" spans="1:17" x14ac:dyDescent="0.25">
      <c r="M200" s="216"/>
    </row>
    <row r="201" spans="1:17" x14ac:dyDescent="0.25">
      <c r="M201" s="216"/>
    </row>
    <row r="202" spans="1:17" x14ac:dyDescent="0.25">
      <c r="M202" s="216"/>
    </row>
    <row r="203" spans="1:17" x14ac:dyDescent="0.25">
      <c r="M203" s="216"/>
    </row>
  </sheetData>
  <mergeCells count="7">
    <mergeCell ref="O1:Q1"/>
    <mergeCell ref="A3:Q3"/>
    <mergeCell ref="A4:Q4"/>
    <mergeCell ref="A5:Q5"/>
    <mergeCell ref="B7:G7"/>
    <mergeCell ref="H7:M7"/>
    <mergeCell ref="N7:Q7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04"/>
  <sheetViews>
    <sheetView workbookViewId="0">
      <selection sqref="A1:XFD1048576"/>
    </sheetView>
  </sheetViews>
  <sheetFormatPr defaultRowHeight="15" x14ac:dyDescent="0.25"/>
  <cols>
    <col min="1" max="1" width="1.85546875" style="6" customWidth="1"/>
    <col min="2" max="2" width="38.28515625" style="88" customWidth="1"/>
    <col min="3" max="3" width="6.5703125" style="19" customWidth="1"/>
    <col min="4" max="4" width="17.42578125" style="19" customWidth="1"/>
    <col min="5" max="5" width="19" style="19" customWidth="1"/>
    <col min="6" max="6" width="19" style="89" customWidth="1"/>
    <col min="7" max="7" width="20.140625" style="89" customWidth="1"/>
    <col min="8" max="9" width="15.7109375" style="90" customWidth="1"/>
    <col min="10" max="10" width="15.7109375" style="349" customWidth="1"/>
    <col min="11" max="13" width="15.7109375" style="350" customWidth="1"/>
    <col min="14" max="14" width="15.7109375" style="349" customWidth="1"/>
    <col min="15" max="17" width="15.7109375" style="92" customWidth="1"/>
    <col min="18" max="18" width="11" style="6" bestFit="1" customWidth="1"/>
    <col min="19" max="16384" width="9.140625" style="6"/>
  </cols>
  <sheetData>
    <row r="1" spans="1:17" s="105" customFormat="1" x14ac:dyDescent="0.25">
      <c r="A1" s="60"/>
      <c r="B1" s="60"/>
      <c r="C1" s="225"/>
      <c r="D1" s="225"/>
      <c r="E1" s="225"/>
      <c r="F1" s="63"/>
      <c r="G1" s="63"/>
      <c r="H1" s="64"/>
      <c r="I1" s="64"/>
      <c r="J1" s="325"/>
      <c r="K1" s="326"/>
      <c r="L1" s="326"/>
      <c r="M1" s="326"/>
      <c r="N1" s="325"/>
      <c r="O1" s="362" t="s">
        <v>15</v>
      </c>
      <c r="P1" s="362"/>
      <c r="Q1" s="362"/>
    </row>
    <row r="2" spans="1:17" s="105" customFormat="1" x14ac:dyDescent="0.25">
      <c r="A2" s="322"/>
      <c r="B2" s="322"/>
      <c r="C2" s="323"/>
      <c r="D2" s="323"/>
      <c r="E2" s="323"/>
      <c r="F2" s="66"/>
      <c r="G2" s="66"/>
      <c r="H2" s="321"/>
      <c r="I2" s="321"/>
      <c r="J2" s="327"/>
      <c r="K2" s="328"/>
      <c r="L2" s="328"/>
      <c r="M2" s="328"/>
      <c r="N2" s="327"/>
      <c r="O2" s="68"/>
      <c r="P2" s="68"/>
      <c r="Q2" s="68"/>
    </row>
    <row r="3" spans="1:17" s="105" customFormat="1" x14ac:dyDescent="0.25">
      <c r="A3" s="380" t="s">
        <v>318</v>
      </c>
      <c r="B3" s="367"/>
      <c r="C3" s="380"/>
      <c r="D3" s="380"/>
      <c r="E3" s="380"/>
      <c r="F3" s="367"/>
      <c r="G3" s="367"/>
      <c r="H3" s="366"/>
      <c r="I3" s="366"/>
      <c r="J3" s="367"/>
      <c r="K3" s="367"/>
      <c r="L3" s="367"/>
      <c r="M3" s="367"/>
      <c r="N3" s="367"/>
      <c r="O3" s="367"/>
      <c r="P3" s="367"/>
      <c r="Q3" s="367"/>
    </row>
    <row r="4" spans="1:17" s="105" customFormat="1" x14ac:dyDescent="0.25">
      <c r="A4" s="381">
        <v>43815</v>
      </c>
      <c r="B4" s="373"/>
      <c r="C4" s="382"/>
      <c r="D4" s="382"/>
      <c r="E4" s="382"/>
      <c r="F4" s="373"/>
      <c r="G4" s="373"/>
      <c r="H4" s="372"/>
      <c r="I4" s="372"/>
      <c r="J4" s="373"/>
      <c r="K4" s="373"/>
      <c r="L4" s="373"/>
      <c r="M4" s="373"/>
      <c r="N4" s="373"/>
      <c r="O4" s="373"/>
      <c r="P4" s="373"/>
      <c r="Q4" s="373"/>
    </row>
    <row r="5" spans="1:17" s="105" customFormat="1" x14ac:dyDescent="0.25">
      <c r="A5" s="367" t="s">
        <v>14</v>
      </c>
      <c r="B5" s="367"/>
      <c r="C5" s="367"/>
      <c r="D5" s="367"/>
      <c r="E5" s="367"/>
      <c r="F5" s="367"/>
      <c r="G5" s="367"/>
      <c r="H5" s="366"/>
      <c r="I5" s="366"/>
      <c r="J5" s="367"/>
      <c r="K5" s="367"/>
      <c r="L5" s="367"/>
      <c r="M5" s="367"/>
      <c r="N5" s="367"/>
      <c r="O5" s="367"/>
      <c r="P5" s="367"/>
      <c r="Q5" s="367"/>
    </row>
    <row r="6" spans="1:17" s="105" customFormat="1" x14ac:dyDescent="0.25">
      <c r="A6" s="322"/>
      <c r="B6" s="322"/>
      <c r="C6" s="323"/>
      <c r="D6" s="323"/>
      <c r="E6" s="323"/>
      <c r="F6" s="66"/>
      <c r="G6" s="66"/>
      <c r="H6" s="321"/>
      <c r="I6" s="321"/>
      <c r="J6" s="327"/>
      <c r="K6" s="328"/>
      <c r="L6" s="328"/>
      <c r="M6" s="328"/>
      <c r="N6" s="327"/>
      <c r="O6" s="68"/>
      <c r="P6" s="68"/>
      <c r="Q6" s="68"/>
    </row>
    <row r="7" spans="1:17" x14ac:dyDescent="0.25">
      <c r="A7" s="227" t="s">
        <v>0</v>
      </c>
      <c r="B7" s="367" t="s">
        <v>10</v>
      </c>
      <c r="C7" s="380"/>
      <c r="D7" s="380"/>
      <c r="E7" s="380"/>
      <c r="F7" s="367"/>
      <c r="G7" s="367"/>
      <c r="H7" s="366" t="s">
        <v>472</v>
      </c>
      <c r="I7" s="366"/>
      <c r="J7" s="367"/>
      <c r="K7" s="367"/>
      <c r="L7" s="367"/>
      <c r="M7" s="367"/>
      <c r="N7" s="367" t="s">
        <v>132</v>
      </c>
      <c r="O7" s="367"/>
      <c r="P7" s="367"/>
      <c r="Q7" s="367"/>
    </row>
    <row r="8" spans="1:17" ht="195" x14ac:dyDescent="0.25">
      <c r="A8" s="227"/>
      <c r="B8" s="322" t="s">
        <v>4</v>
      </c>
      <c r="C8" s="323" t="s">
        <v>1</v>
      </c>
      <c r="D8" s="323" t="s">
        <v>3</v>
      </c>
      <c r="E8" s="323" t="s">
        <v>2</v>
      </c>
      <c r="F8" s="322" t="s">
        <v>6</v>
      </c>
      <c r="G8" s="66" t="s">
        <v>5</v>
      </c>
      <c r="H8" s="322" t="s">
        <v>7</v>
      </c>
      <c r="I8" s="322" t="s">
        <v>8</v>
      </c>
      <c r="J8" s="327" t="s">
        <v>9</v>
      </c>
      <c r="K8" s="328" t="s">
        <v>11</v>
      </c>
      <c r="L8" s="328" t="s">
        <v>12</v>
      </c>
      <c r="M8" s="328" t="s">
        <v>13</v>
      </c>
      <c r="N8" s="327" t="s">
        <v>9</v>
      </c>
      <c r="O8" s="68" t="s">
        <v>11</v>
      </c>
      <c r="P8" s="68" t="s">
        <v>12</v>
      </c>
      <c r="Q8" s="68" t="s">
        <v>13</v>
      </c>
    </row>
    <row r="9" spans="1:17" x14ac:dyDescent="0.25">
      <c r="A9" s="228">
        <v>1</v>
      </c>
      <c r="B9" s="61">
        <f>A9+1</f>
        <v>2</v>
      </c>
      <c r="C9" s="228">
        <f t="shared" ref="C9:Q9" si="0">B9+1</f>
        <v>3</v>
      </c>
      <c r="D9" s="228">
        <f t="shared" si="0"/>
        <v>4</v>
      </c>
      <c r="E9" s="228">
        <f t="shared" si="0"/>
        <v>5</v>
      </c>
      <c r="F9" s="69">
        <f t="shared" si="0"/>
        <v>6</v>
      </c>
      <c r="G9" s="69">
        <f t="shared" si="0"/>
        <v>7</v>
      </c>
      <c r="H9" s="70">
        <f t="shared" si="0"/>
        <v>8</v>
      </c>
      <c r="I9" s="70">
        <f t="shared" si="0"/>
        <v>9</v>
      </c>
      <c r="J9" s="329">
        <f t="shared" si="0"/>
        <v>10</v>
      </c>
      <c r="K9" s="330">
        <f t="shared" si="0"/>
        <v>11</v>
      </c>
      <c r="L9" s="330">
        <f t="shared" si="0"/>
        <v>12</v>
      </c>
      <c r="M9" s="330">
        <f t="shared" si="0"/>
        <v>13</v>
      </c>
      <c r="N9" s="329">
        <f t="shared" si="0"/>
        <v>14</v>
      </c>
      <c r="O9" s="72">
        <f t="shared" si="0"/>
        <v>15</v>
      </c>
      <c r="P9" s="72">
        <f t="shared" si="0"/>
        <v>16</v>
      </c>
      <c r="Q9" s="72">
        <f t="shared" si="0"/>
        <v>17</v>
      </c>
    </row>
    <row r="10" spans="1:17" s="13" customFormat="1" ht="30" x14ac:dyDescent="0.25">
      <c r="A10" s="229"/>
      <c r="B10" s="62" t="s">
        <v>16</v>
      </c>
      <c r="C10" s="181" t="s">
        <v>304</v>
      </c>
      <c r="D10" s="182" t="s">
        <v>315</v>
      </c>
      <c r="E10" s="183" t="s">
        <v>18</v>
      </c>
      <c r="F10" s="73" t="s">
        <v>322</v>
      </c>
      <c r="G10" s="74" t="s">
        <v>112</v>
      </c>
      <c r="H10" s="75">
        <v>15</v>
      </c>
      <c r="I10" s="76">
        <v>11</v>
      </c>
      <c r="J10" s="331">
        <f>2+1+3+3+1+3</f>
        <v>13</v>
      </c>
      <c r="K10" s="332">
        <f>4792.51+1138.19+504.26+11366.06+4859.68+3954.5+12023.46+3259.34+6673.56</f>
        <v>48571.56</v>
      </c>
      <c r="L10" s="332">
        <f>4792.51+1138.19+504.26+11366.06+4859.68+3954.5+12023.46+3259.34</f>
        <v>41898</v>
      </c>
      <c r="M10" s="333">
        <f>K10-L10</f>
        <v>6673.5599999999977</v>
      </c>
      <c r="N10" s="334">
        <f>2+5+1+2+1+1</f>
        <v>12</v>
      </c>
      <c r="O10" s="77">
        <f>9108.77+6924.32+22366.06+8197.52</f>
        <v>46596.67</v>
      </c>
      <c r="P10" s="77">
        <f>9108.77+6924.32+22366.06+8197.52</f>
        <v>46596.67</v>
      </c>
      <c r="Q10" s="79">
        <f>O10-P10</f>
        <v>0</v>
      </c>
    </row>
    <row r="11" spans="1:17" s="13" customFormat="1" ht="30" x14ac:dyDescent="0.25">
      <c r="A11" s="229"/>
      <c r="B11" s="62" t="s">
        <v>16</v>
      </c>
      <c r="C11" s="181" t="s">
        <v>304</v>
      </c>
      <c r="D11" s="182" t="s">
        <v>315</v>
      </c>
      <c r="E11" s="183" t="s">
        <v>18</v>
      </c>
      <c r="F11" s="73" t="s">
        <v>322</v>
      </c>
      <c r="G11" s="230" t="s">
        <v>116</v>
      </c>
      <c r="H11" s="181">
        <v>15</v>
      </c>
      <c r="I11" s="231">
        <v>11</v>
      </c>
      <c r="J11" s="335">
        <v>11</v>
      </c>
      <c r="K11" s="336">
        <v>15861</v>
      </c>
      <c r="L11" s="336">
        <v>15861</v>
      </c>
      <c r="M11" s="333">
        <f t="shared" ref="M11:M77" si="1">K11-L11</f>
        <v>0</v>
      </c>
      <c r="N11" s="334"/>
      <c r="O11" s="224">
        <v>2945</v>
      </c>
      <c r="P11" s="224">
        <v>2945</v>
      </c>
      <c r="Q11" s="232">
        <f t="shared" ref="Q11:Q81" si="2">O11-P11</f>
        <v>0</v>
      </c>
    </row>
    <row r="12" spans="1:17" s="13" customFormat="1" x14ac:dyDescent="0.25">
      <c r="A12" s="229"/>
      <c r="B12" s="62" t="s">
        <v>490</v>
      </c>
      <c r="C12" s="181" t="s">
        <v>304</v>
      </c>
      <c r="D12" s="182"/>
      <c r="E12" s="183"/>
      <c r="F12" s="189" t="s">
        <v>501</v>
      </c>
      <c r="G12" s="230" t="s">
        <v>112</v>
      </c>
      <c r="H12" s="181">
        <v>24</v>
      </c>
      <c r="I12" s="231">
        <v>19</v>
      </c>
      <c r="J12" s="335">
        <f>5+1+3+1+1+2+2+1+1+2+1</f>
        <v>20</v>
      </c>
      <c r="K12" s="336">
        <f>8352.39+384.2+1463.8+3720.67+546.41+5470.48+13100.4+2207.7+4647.18+8101.05+7814.05</f>
        <v>55808.33</v>
      </c>
      <c r="L12" s="336">
        <f>8352.39+384.2+1463.8+3720.67+546.41+5470.48+13100.4+2207.7+4647.18</f>
        <v>39893.229999999996</v>
      </c>
      <c r="M12" s="333">
        <f t="shared" si="1"/>
        <v>15915.100000000006</v>
      </c>
      <c r="N12" s="334"/>
      <c r="O12" s="224"/>
      <c r="P12" s="224"/>
      <c r="Q12" s="79">
        <f t="shared" si="2"/>
        <v>0</v>
      </c>
    </row>
    <row r="13" spans="1:17" s="15" customFormat="1" x14ac:dyDescent="0.25">
      <c r="A13" s="229"/>
      <c r="B13" s="62" t="s">
        <v>19</v>
      </c>
      <c r="C13" s="181" t="s">
        <v>17</v>
      </c>
      <c r="D13" s="182"/>
      <c r="E13" s="183" t="s">
        <v>20</v>
      </c>
      <c r="F13" s="73" t="s">
        <v>323</v>
      </c>
      <c r="G13" s="74" t="s">
        <v>112</v>
      </c>
      <c r="H13" s="75">
        <v>18</v>
      </c>
      <c r="I13" s="76">
        <v>15</v>
      </c>
      <c r="J13" s="335">
        <f>1+2+5+2+1+5+1+3+1+2+1</f>
        <v>24</v>
      </c>
      <c r="K13" s="332">
        <f>422.62+4792.51+1796.14+1373.52+5511.59+1707.76+662.31+2561.63</f>
        <v>18828.080000000002</v>
      </c>
      <c r="L13" s="332">
        <f>422.62+4792.51+1796.14+1373.52+5511.59+1707.76+662.31</f>
        <v>16266.45</v>
      </c>
      <c r="M13" s="333">
        <f>K13-L13</f>
        <v>2561.630000000001</v>
      </c>
      <c r="N13" s="334">
        <f>8+3+1+2</f>
        <v>14</v>
      </c>
      <c r="O13" s="81">
        <f>6459.36+7124.45</f>
        <v>13583.81</v>
      </c>
      <c r="P13" s="81">
        <f>6459.36+7124.45</f>
        <v>13583.81</v>
      </c>
      <c r="Q13" s="79">
        <f t="shared" si="2"/>
        <v>0</v>
      </c>
    </row>
    <row r="14" spans="1:17" s="15" customFormat="1" x14ac:dyDescent="0.25">
      <c r="A14" s="229"/>
      <c r="B14" s="62" t="s">
        <v>19</v>
      </c>
      <c r="C14" s="181" t="s">
        <v>17</v>
      </c>
      <c r="D14" s="182"/>
      <c r="E14" s="183" t="s">
        <v>20</v>
      </c>
      <c r="F14" s="73" t="s">
        <v>451</v>
      </c>
      <c r="G14" s="230" t="s">
        <v>114</v>
      </c>
      <c r="H14" s="181">
        <v>18</v>
      </c>
      <c r="I14" s="231">
        <v>7</v>
      </c>
      <c r="J14" s="337">
        <v>7</v>
      </c>
      <c r="K14" s="332">
        <v>11142.12</v>
      </c>
      <c r="L14" s="332">
        <v>11142.12</v>
      </c>
      <c r="M14" s="333">
        <f t="shared" si="1"/>
        <v>0</v>
      </c>
      <c r="N14" s="334">
        <v>10</v>
      </c>
      <c r="O14" s="224">
        <v>18093.599999999999</v>
      </c>
      <c r="P14" s="224">
        <v>18093.599999999999</v>
      </c>
      <c r="Q14" s="232">
        <f t="shared" si="2"/>
        <v>0</v>
      </c>
    </row>
    <row r="15" spans="1:17" s="15" customFormat="1" x14ac:dyDescent="0.25">
      <c r="A15" s="229"/>
      <c r="B15" s="62" t="s">
        <v>153</v>
      </c>
      <c r="C15" s="181" t="s">
        <v>17</v>
      </c>
      <c r="D15" s="182"/>
      <c r="E15" s="183" t="s">
        <v>20</v>
      </c>
      <c r="F15" s="73" t="s">
        <v>324</v>
      </c>
      <c r="G15" s="74" t="s">
        <v>112</v>
      </c>
      <c r="H15" s="75">
        <v>21</v>
      </c>
      <c r="I15" s="82">
        <v>15</v>
      </c>
      <c r="J15" s="335">
        <f>1+1+2+1+1+2+1+1+1+1+2+1+1+1</f>
        <v>17</v>
      </c>
      <c r="K15" s="332">
        <f>950.9+2451.87+3074.57+845.24+1977.86+1284.48+883.08+401.4+1357.13+421.47+6324.86+2980.4</f>
        <v>22953.26</v>
      </c>
      <c r="L15" s="332">
        <f>950.9+2451.87+3074.57+845.24+1977.86+1284.48+883.08+401.4+1357.13+421.47+6324.86</f>
        <v>19972.859999999997</v>
      </c>
      <c r="M15" s="333">
        <f t="shared" si="1"/>
        <v>2980.4000000000015</v>
      </c>
      <c r="N15" s="338">
        <f>1+2+1+2+1+1</f>
        <v>8</v>
      </c>
      <c r="O15" s="81">
        <f>422.62+945.61+2484.69+7964.81+1536.8+2498.17</f>
        <v>15852.699999999999</v>
      </c>
      <c r="P15" s="81">
        <f>422.62+945.61+2484.69+7964.81+1536.8+2498.17</f>
        <v>15852.699999999999</v>
      </c>
      <c r="Q15" s="79">
        <f t="shared" si="2"/>
        <v>0</v>
      </c>
    </row>
    <row r="16" spans="1:17" s="15" customFormat="1" x14ac:dyDescent="0.25">
      <c r="A16" s="229"/>
      <c r="B16" s="233" t="s">
        <v>153</v>
      </c>
      <c r="C16" s="181" t="s">
        <v>17</v>
      </c>
      <c r="D16" s="182"/>
      <c r="E16" s="183" t="s">
        <v>20</v>
      </c>
      <c r="F16" s="73" t="s">
        <v>452</v>
      </c>
      <c r="G16" s="230" t="s">
        <v>114</v>
      </c>
      <c r="H16" s="181">
        <v>24</v>
      </c>
      <c r="I16" s="231">
        <v>7</v>
      </c>
      <c r="J16" s="337">
        <v>7</v>
      </c>
      <c r="K16" s="332">
        <v>20595.29</v>
      </c>
      <c r="L16" s="332">
        <v>20595.29</v>
      </c>
      <c r="M16" s="333">
        <f t="shared" si="1"/>
        <v>0</v>
      </c>
      <c r="N16" s="334">
        <v>10</v>
      </c>
      <c r="O16" s="224">
        <v>28910.6</v>
      </c>
      <c r="P16" s="224">
        <v>23692.400000000001</v>
      </c>
      <c r="Q16" s="232">
        <f t="shared" si="2"/>
        <v>5218.1999999999971</v>
      </c>
    </row>
    <row r="17" spans="1:17" s="13" customFormat="1" x14ac:dyDescent="0.25">
      <c r="A17" s="229"/>
      <c r="B17" s="30" t="s">
        <v>22</v>
      </c>
      <c r="C17" s="181" t="s">
        <v>17</v>
      </c>
      <c r="D17" s="182"/>
      <c r="E17" s="183" t="s">
        <v>23</v>
      </c>
      <c r="F17" s="73" t="s">
        <v>325</v>
      </c>
      <c r="G17" s="74" t="s">
        <v>112</v>
      </c>
      <c r="H17" s="75">
        <v>58</v>
      </c>
      <c r="I17" s="76">
        <v>10</v>
      </c>
      <c r="J17" s="335">
        <f>1+2+1+9</f>
        <v>13</v>
      </c>
      <c r="K17" s="332">
        <f>2698.64+1402.33+11601.84+8586.48</f>
        <v>24289.29</v>
      </c>
      <c r="L17" s="332">
        <f>2698.64+1402.33+11601.84+8586.48</f>
        <v>24289.29</v>
      </c>
      <c r="M17" s="333">
        <f t="shared" si="1"/>
        <v>0</v>
      </c>
      <c r="N17" s="334">
        <f>14+3+7+1+1</f>
        <v>26</v>
      </c>
      <c r="O17" s="81">
        <f>22716.4+4171.06+18768.39+8172.47</f>
        <v>53828.320000000007</v>
      </c>
      <c r="P17" s="81">
        <f>22716.4+4171.06+18768.39+8172.47</f>
        <v>53828.320000000007</v>
      </c>
      <c r="Q17" s="79">
        <f t="shared" si="2"/>
        <v>0</v>
      </c>
    </row>
    <row r="18" spans="1:17" s="13" customFormat="1" x14ac:dyDescent="0.25">
      <c r="A18" s="229"/>
      <c r="B18" s="30" t="s">
        <v>154</v>
      </c>
      <c r="C18" s="181" t="s">
        <v>17</v>
      </c>
      <c r="D18" s="182"/>
      <c r="E18" s="183" t="s">
        <v>20</v>
      </c>
      <c r="F18" s="73" t="s">
        <v>453</v>
      </c>
      <c r="G18" s="230" t="s">
        <v>114</v>
      </c>
      <c r="H18" s="181">
        <v>34</v>
      </c>
      <c r="I18" s="234">
        <v>5</v>
      </c>
      <c r="J18" s="337">
        <v>5</v>
      </c>
      <c r="K18" s="339">
        <v>6550.8</v>
      </c>
      <c r="L18" s="339">
        <v>6550.8</v>
      </c>
      <c r="M18" s="333">
        <f t="shared" si="1"/>
        <v>0</v>
      </c>
      <c r="N18" s="338">
        <v>19</v>
      </c>
      <c r="O18" s="224">
        <v>50947.07</v>
      </c>
      <c r="P18" s="224">
        <v>45126.77</v>
      </c>
      <c r="Q18" s="232">
        <f t="shared" si="2"/>
        <v>5820.3000000000029</v>
      </c>
    </row>
    <row r="19" spans="1:17" s="13" customFormat="1" x14ac:dyDescent="0.25">
      <c r="A19" s="229"/>
      <c r="B19" s="30" t="s">
        <v>154</v>
      </c>
      <c r="C19" s="181" t="s">
        <v>17</v>
      </c>
      <c r="D19" s="182"/>
      <c r="E19" s="183" t="s">
        <v>20</v>
      </c>
      <c r="F19" s="73" t="s">
        <v>326</v>
      </c>
      <c r="G19" s="74" t="s">
        <v>112</v>
      </c>
      <c r="H19" s="75">
        <v>35</v>
      </c>
      <c r="I19" s="76">
        <v>29</v>
      </c>
      <c r="J19" s="335">
        <f>1+1+2+2+2+6+1+4+1+2+2+3+1+1+1+3+1+2+1+1+2+1</f>
        <v>41</v>
      </c>
      <c r="K19" s="332">
        <f>950.9+864.46+845.24+405.02+739.59+6850.57+12952.58+883.08+2185.62+1053.68+5958.27+6539.59+4664.82+441.54+1890.34</f>
        <v>47225.3</v>
      </c>
      <c r="L19" s="332">
        <f>950.9+864.46+845.24+405.02+739.59+6850.57+12952.58+883.08+2185.62+1053.68+5958.27+6539.59+4664.82+441.54+1890.34</f>
        <v>47225.3</v>
      </c>
      <c r="M19" s="333">
        <f t="shared" si="1"/>
        <v>0</v>
      </c>
      <c r="N19" s="334">
        <f>6+3+1+1+1+2+1+1</f>
        <v>16</v>
      </c>
      <c r="O19" s="81">
        <f>6681.33+7017+1523.5+9094.74+3532.32</f>
        <v>27848.89</v>
      </c>
      <c r="P19" s="81">
        <f>6681.33+7017+1523.5+9094.74+3532.32</f>
        <v>27848.89</v>
      </c>
      <c r="Q19" s="79">
        <f t="shared" si="2"/>
        <v>0</v>
      </c>
    </row>
    <row r="20" spans="1:17" s="13" customFormat="1" x14ac:dyDescent="0.25">
      <c r="A20" s="229"/>
      <c r="B20" s="62" t="s">
        <v>24</v>
      </c>
      <c r="C20" s="181" t="s">
        <v>17</v>
      </c>
      <c r="D20" s="182"/>
      <c r="E20" s="183" t="s">
        <v>20</v>
      </c>
      <c r="F20" s="73" t="s">
        <v>327</v>
      </c>
      <c r="G20" s="74" t="s">
        <v>112</v>
      </c>
      <c r="H20" s="75">
        <v>13</v>
      </c>
      <c r="I20" s="76">
        <v>6</v>
      </c>
      <c r="J20" s="335">
        <f>3+1+1+2+1</f>
        <v>8</v>
      </c>
      <c r="K20" s="332">
        <f>1191.02+5267.46</f>
        <v>6458.48</v>
      </c>
      <c r="L20" s="332">
        <f>1191.02+5267.46</f>
        <v>6458.48</v>
      </c>
      <c r="M20" s="333">
        <f t="shared" si="1"/>
        <v>0</v>
      </c>
      <c r="N20" s="334">
        <f>1+1+1</f>
        <v>3</v>
      </c>
      <c r="O20" s="81">
        <f>576.3+1810.93</f>
        <v>2387.23</v>
      </c>
      <c r="P20" s="81">
        <f>576.3+1810.93</f>
        <v>2387.23</v>
      </c>
      <c r="Q20" s="232">
        <f t="shared" si="2"/>
        <v>0</v>
      </c>
    </row>
    <row r="21" spans="1:17" s="13" customFormat="1" x14ac:dyDescent="0.25">
      <c r="A21" s="229"/>
      <c r="B21" s="62" t="s">
        <v>24</v>
      </c>
      <c r="C21" s="181" t="s">
        <v>17</v>
      </c>
      <c r="D21" s="182"/>
      <c r="E21" s="183" t="s">
        <v>20</v>
      </c>
      <c r="F21" s="73" t="s">
        <v>454</v>
      </c>
      <c r="G21" s="230" t="s">
        <v>114</v>
      </c>
      <c r="H21" s="181">
        <v>20</v>
      </c>
      <c r="I21" s="231">
        <v>6</v>
      </c>
      <c r="J21" s="337">
        <v>6</v>
      </c>
      <c r="K21" s="332">
        <v>21621.35</v>
      </c>
      <c r="L21" s="332">
        <v>14512.09</v>
      </c>
      <c r="M21" s="333">
        <f t="shared" si="1"/>
        <v>7109.2599999999984</v>
      </c>
      <c r="N21" s="334">
        <v>18</v>
      </c>
      <c r="O21" s="224">
        <v>38146.300000000003</v>
      </c>
      <c r="P21" s="224">
        <v>38146.300000000003</v>
      </c>
      <c r="Q21" s="232">
        <f t="shared" si="2"/>
        <v>0</v>
      </c>
    </row>
    <row r="22" spans="1:17" s="13" customFormat="1" x14ac:dyDescent="0.25">
      <c r="A22" s="229"/>
      <c r="B22" s="62" t="s">
        <v>25</v>
      </c>
      <c r="C22" s="181" t="s">
        <v>17</v>
      </c>
      <c r="D22" s="182"/>
      <c r="E22" s="183" t="s">
        <v>20</v>
      </c>
      <c r="F22" s="73" t="s">
        <v>328</v>
      </c>
      <c r="G22" s="74" t="s">
        <v>112</v>
      </c>
      <c r="H22" s="75">
        <v>20</v>
      </c>
      <c r="I22" s="76">
        <v>13</v>
      </c>
      <c r="J22" s="335">
        <f>1+1+1+1+1+1+1+2+1+2+1+1</f>
        <v>14</v>
      </c>
      <c r="K22" s="340">
        <f>403.41+1605.6+3697.9+1204.2+1092.81+3022.24+4486.05+4612.57+1457.08</f>
        <v>21581.86</v>
      </c>
      <c r="L22" s="340">
        <f>403.41+1605.6+3697.9+1204.2+1092.81+3022.24+4486.05+4612.57+1457.08</f>
        <v>21581.86</v>
      </c>
      <c r="M22" s="333">
        <f t="shared" si="1"/>
        <v>0</v>
      </c>
      <c r="N22" s="334">
        <f>6+1+2+2+1+2+3</f>
        <v>17</v>
      </c>
      <c r="O22" s="81">
        <f>14526.7+5595.3+2440.62+2839.24+10715.74</f>
        <v>36117.599999999999</v>
      </c>
      <c r="P22" s="81">
        <f>14526.7+5595.3+2440.62+2839.24+10715.74</f>
        <v>36117.599999999999</v>
      </c>
      <c r="Q22" s="232">
        <f t="shared" si="2"/>
        <v>0</v>
      </c>
    </row>
    <row r="23" spans="1:17" s="13" customFormat="1" x14ac:dyDescent="0.25">
      <c r="A23" s="229"/>
      <c r="B23" s="62" t="s">
        <v>25</v>
      </c>
      <c r="C23" s="181" t="s">
        <v>17</v>
      </c>
      <c r="D23" s="182"/>
      <c r="E23" s="183" t="s">
        <v>20</v>
      </c>
      <c r="F23" s="73" t="s">
        <v>455</v>
      </c>
      <c r="G23" s="230" t="s">
        <v>114</v>
      </c>
      <c r="H23" s="181">
        <v>6</v>
      </c>
      <c r="I23" s="231">
        <v>1</v>
      </c>
      <c r="J23" s="337">
        <f>1</f>
        <v>1</v>
      </c>
      <c r="K23" s="332"/>
      <c r="L23" s="332"/>
      <c r="M23" s="333">
        <f t="shared" si="1"/>
        <v>0</v>
      </c>
      <c r="N23" s="334">
        <v>3</v>
      </c>
      <c r="O23" s="224">
        <v>7219.8</v>
      </c>
      <c r="P23" s="224">
        <v>7219.8</v>
      </c>
      <c r="Q23" s="232">
        <f t="shared" si="2"/>
        <v>0</v>
      </c>
    </row>
    <row r="24" spans="1:17" s="13" customFormat="1" x14ac:dyDescent="0.25">
      <c r="A24" s="229"/>
      <c r="B24" s="62" t="s">
        <v>516</v>
      </c>
      <c r="C24" s="181" t="s">
        <v>17</v>
      </c>
      <c r="D24" s="182"/>
      <c r="E24" s="183" t="s">
        <v>20</v>
      </c>
      <c r="F24" s="73" t="s">
        <v>517</v>
      </c>
      <c r="G24" s="287" t="s">
        <v>112</v>
      </c>
      <c r="H24" s="181">
        <v>11</v>
      </c>
      <c r="I24" s="231">
        <v>5</v>
      </c>
      <c r="J24" s="337">
        <f>2+3</f>
        <v>5</v>
      </c>
      <c r="K24" s="332">
        <f>1604.6</f>
        <v>1604.6</v>
      </c>
      <c r="L24" s="332"/>
      <c r="M24" s="333"/>
      <c r="N24" s="334"/>
      <c r="O24" s="224"/>
      <c r="P24" s="224"/>
      <c r="Q24" s="232"/>
    </row>
    <row r="25" spans="1:17" s="13" customFormat="1" x14ac:dyDescent="0.25">
      <c r="A25" s="229"/>
      <c r="B25" s="62" t="s">
        <v>26</v>
      </c>
      <c r="C25" s="181" t="s">
        <v>17</v>
      </c>
      <c r="D25" s="182"/>
      <c r="E25" s="183" t="s">
        <v>27</v>
      </c>
      <c r="F25" s="73" t="s">
        <v>329</v>
      </c>
      <c r="G25" s="74" t="s">
        <v>112</v>
      </c>
      <c r="H25" s="75">
        <v>23</v>
      </c>
      <c r="I25" s="76">
        <v>18</v>
      </c>
      <c r="J25" s="335">
        <f>2+2+4+1+4+1+1+3+4+3</f>
        <v>25</v>
      </c>
      <c r="K25" s="332">
        <f>845.24+1056.55+5121.1+26225.35+422.62+16490.35+1457.08+1479.16+11270.02+6163.9</f>
        <v>70531.37</v>
      </c>
      <c r="L25" s="332">
        <f>845.24+1056.55+5121.1+26225.35+422.62+16490.35+1457.08+1479.16+11270.02</f>
        <v>64367.47</v>
      </c>
      <c r="M25" s="333">
        <f t="shared" si="1"/>
        <v>6163.8999999999942</v>
      </c>
      <c r="N25" s="334">
        <f>6+1+1+2+1+1</f>
        <v>12</v>
      </c>
      <c r="O25" s="81">
        <f>17838.53+2535.75+7238.9+9569.44</f>
        <v>37182.620000000003</v>
      </c>
      <c r="P25" s="81">
        <f>17838.53+2535.75+7238.9+9569.44</f>
        <v>37182.620000000003</v>
      </c>
      <c r="Q25" s="232">
        <f t="shared" si="2"/>
        <v>0</v>
      </c>
    </row>
    <row r="26" spans="1:17" s="15" customFormat="1" x14ac:dyDescent="0.25">
      <c r="A26" s="229"/>
      <c r="B26" s="62" t="s">
        <v>28</v>
      </c>
      <c r="C26" s="181" t="s">
        <v>17</v>
      </c>
      <c r="D26" s="182"/>
      <c r="E26" s="194" t="s">
        <v>29</v>
      </c>
      <c r="F26" s="73" t="s">
        <v>330</v>
      </c>
      <c r="G26" s="74" t="s">
        <v>112</v>
      </c>
      <c r="H26" s="75">
        <v>15</v>
      </c>
      <c r="I26" s="76">
        <v>12</v>
      </c>
      <c r="J26" s="335">
        <f>2+1+2+1+1+1+2+1+2+2+2</f>
        <v>17</v>
      </c>
      <c r="K26" s="332">
        <f>6135.14+2440.63+9722.07+968.96+2258.48+3607.78+10269+19480.76+2759.62</f>
        <v>57642.439999999995</v>
      </c>
      <c r="L26" s="332">
        <f>6135.14+2440.63+9722.07+968.96+2258.48+3607.78+10269+19480.76+2759.62</f>
        <v>57642.439999999995</v>
      </c>
      <c r="M26" s="333">
        <f t="shared" si="1"/>
        <v>0</v>
      </c>
      <c r="N26" s="334">
        <f>3+2+4+3+1+1+3+1+1</f>
        <v>19</v>
      </c>
      <c r="O26" s="81">
        <f>5310.83+4630.52+14679.01+36087.29+8956.5+10112.26+3030.29+9937.51</f>
        <v>92744.209999999977</v>
      </c>
      <c r="P26" s="81">
        <f>5310.83+4630.52+14679.01+36087.29+8956.5+10112.26+3030.29+9937.51</f>
        <v>92744.209999999977</v>
      </c>
      <c r="Q26" s="232">
        <f t="shared" si="2"/>
        <v>0</v>
      </c>
    </row>
    <row r="27" spans="1:17" s="15" customFormat="1" x14ac:dyDescent="0.25">
      <c r="A27" s="229"/>
      <c r="B27" s="62" t="s">
        <v>28</v>
      </c>
      <c r="C27" s="181" t="s">
        <v>17</v>
      </c>
      <c r="D27" s="182"/>
      <c r="E27" s="194" t="s">
        <v>29</v>
      </c>
      <c r="F27" s="73" t="s">
        <v>420</v>
      </c>
      <c r="G27" s="235" t="s">
        <v>117</v>
      </c>
      <c r="H27" s="181">
        <v>2</v>
      </c>
      <c r="I27" s="231"/>
      <c r="J27" s="335"/>
      <c r="K27" s="332"/>
      <c r="L27" s="332"/>
      <c r="M27" s="333">
        <f t="shared" si="1"/>
        <v>0</v>
      </c>
      <c r="N27" s="334">
        <v>3</v>
      </c>
      <c r="O27" s="224">
        <v>6579.54</v>
      </c>
      <c r="P27" s="224">
        <v>6579.54</v>
      </c>
      <c r="Q27" s="79">
        <f t="shared" si="2"/>
        <v>0</v>
      </c>
    </row>
    <row r="28" spans="1:17" s="15" customFormat="1" x14ac:dyDescent="0.25">
      <c r="A28" s="229"/>
      <c r="B28" s="233" t="s">
        <v>500</v>
      </c>
      <c r="C28" s="181" t="s">
        <v>17</v>
      </c>
      <c r="D28" s="182"/>
      <c r="E28" s="194"/>
      <c r="F28" s="73" t="s">
        <v>503</v>
      </c>
      <c r="G28" s="235" t="s">
        <v>112</v>
      </c>
      <c r="H28" s="181">
        <v>32</v>
      </c>
      <c r="I28" s="231">
        <v>24</v>
      </c>
      <c r="J28" s="335">
        <f>2+2+2+1+3+5+2+1+5+1+6+1+1+1</f>
        <v>33</v>
      </c>
      <c r="K28" s="332">
        <f>1202.51+3555.1+602.1+708.47+7232.25+1003.5+1938.63+15028.21+1324.62+9088.69+401.4+441</f>
        <v>42526.48</v>
      </c>
      <c r="L28" s="332">
        <f>1202.51+3555.1+602.1+708.47+7232.25+1003.5+1938.63+15028.21+1324.62+9088.69+401.4</f>
        <v>42085.48</v>
      </c>
      <c r="M28" s="333">
        <f t="shared" si="1"/>
        <v>441</v>
      </c>
      <c r="N28" s="334">
        <f>1</f>
        <v>1</v>
      </c>
      <c r="O28" s="224"/>
      <c r="P28" s="224"/>
      <c r="Q28" s="79">
        <f t="shared" si="2"/>
        <v>0</v>
      </c>
    </row>
    <row r="29" spans="1:17" s="13" customFormat="1" x14ac:dyDescent="0.25">
      <c r="A29" s="229"/>
      <c r="B29" s="27" t="s">
        <v>30</v>
      </c>
      <c r="C29" s="181" t="s">
        <v>17</v>
      </c>
      <c r="D29" s="182"/>
      <c r="E29" s="194" t="s">
        <v>21</v>
      </c>
      <c r="F29" s="73" t="s">
        <v>333</v>
      </c>
      <c r="G29" s="74" t="s">
        <v>112</v>
      </c>
      <c r="H29" s="75">
        <v>32</v>
      </c>
      <c r="I29" s="76">
        <v>19</v>
      </c>
      <c r="J29" s="335">
        <f>3+1+3+1+4+1+1+2+1+3+3+3+2</f>
        <v>28</v>
      </c>
      <c r="K29" s="332">
        <f>16637.24+1045.98+2789.73+1629.68+3146.97+1646.5+5064.97+2424.05+3009.5</f>
        <v>37394.620000000003</v>
      </c>
      <c r="L29" s="332">
        <f>16637.24+1045.98+2789.73+1629.68+3146.97+1646.5+5064.97+2424.05</f>
        <v>34385.120000000003</v>
      </c>
      <c r="M29" s="333">
        <f t="shared" si="1"/>
        <v>3009.5</v>
      </c>
      <c r="N29" s="334">
        <f>9+1+3+1+1+1+2+1+1+2+1+1+2+1+1+1</f>
        <v>29</v>
      </c>
      <c r="O29" s="81">
        <f>77047.8+15703.07+7288.94+1341.33+1730.62+7169.16+2550.18</f>
        <v>112831.09999999999</v>
      </c>
      <c r="P29" s="81">
        <f>77047.8+15703.07+7288.94+1341.33+1730.62+7169.16</f>
        <v>110280.92</v>
      </c>
      <c r="Q29" s="79">
        <f>O29-P29</f>
        <v>2550.179999999993</v>
      </c>
    </row>
    <row r="30" spans="1:17" s="13" customFormat="1" x14ac:dyDescent="0.25">
      <c r="A30" s="229"/>
      <c r="B30" s="27" t="s">
        <v>491</v>
      </c>
      <c r="C30" s="181" t="s">
        <v>17</v>
      </c>
      <c r="D30" s="182"/>
      <c r="E30" s="183" t="s">
        <v>20</v>
      </c>
      <c r="F30" s="73" t="s">
        <v>495</v>
      </c>
      <c r="G30" s="74" t="s">
        <v>112</v>
      </c>
      <c r="H30" s="75">
        <v>17</v>
      </c>
      <c r="I30" s="76">
        <v>13</v>
      </c>
      <c r="J30" s="335">
        <f>2+2+1+1+1+1+1+1+3</f>
        <v>13</v>
      </c>
      <c r="K30" s="332">
        <f>1727.9+2093.89+728.54+3535.53+2649.24+401.4+802.8+1505.25</f>
        <v>13444.55</v>
      </c>
      <c r="L30" s="332">
        <f>1727.9+2093.89+728.54+3535.53+2649.24+401.4+802.8+1505.25</f>
        <v>13444.55</v>
      </c>
      <c r="M30" s="333">
        <f t="shared" si="1"/>
        <v>0</v>
      </c>
      <c r="N30" s="334"/>
      <c r="O30" s="81"/>
      <c r="P30" s="81"/>
      <c r="Q30" s="79">
        <f t="shared" si="2"/>
        <v>0</v>
      </c>
    </row>
    <row r="31" spans="1:17" s="13" customFormat="1" x14ac:dyDescent="0.25">
      <c r="A31" s="229"/>
      <c r="B31" s="27" t="s">
        <v>491</v>
      </c>
      <c r="C31" s="181" t="s">
        <v>17</v>
      </c>
      <c r="D31" s="182"/>
      <c r="E31" s="183" t="s">
        <v>20</v>
      </c>
      <c r="F31" s="73" t="s">
        <v>504</v>
      </c>
      <c r="G31" s="74" t="s">
        <v>114</v>
      </c>
      <c r="H31" s="75">
        <v>15</v>
      </c>
      <c r="I31" s="76">
        <v>2</v>
      </c>
      <c r="J31" s="335">
        <v>2</v>
      </c>
      <c r="K31" s="332">
        <v>2672.76</v>
      </c>
      <c r="L31" s="332">
        <v>2672.76</v>
      </c>
      <c r="M31" s="333">
        <f t="shared" si="1"/>
        <v>0</v>
      </c>
      <c r="N31" s="334"/>
      <c r="O31" s="81"/>
      <c r="P31" s="81"/>
      <c r="Q31" s="232">
        <f t="shared" si="2"/>
        <v>0</v>
      </c>
    </row>
    <row r="32" spans="1:17" s="13" customFormat="1" x14ac:dyDescent="0.25">
      <c r="A32" s="229"/>
      <c r="B32" s="27" t="s">
        <v>491</v>
      </c>
      <c r="C32" s="181" t="s">
        <v>17</v>
      </c>
      <c r="D32" s="182"/>
      <c r="E32" s="183"/>
      <c r="F32" s="73" t="s">
        <v>510</v>
      </c>
      <c r="G32" s="235" t="s">
        <v>117</v>
      </c>
      <c r="H32" s="75">
        <v>1</v>
      </c>
      <c r="I32" s="76"/>
      <c r="J32" s="335"/>
      <c r="K32" s="332"/>
      <c r="L32" s="332"/>
      <c r="M32" s="333">
        <f t="shared" si="1"/>
        <v>0</v>
      </c>
      <c r="N32" s="334"/>
      <c r="O32" s="81"/>
      <c r="P32" s="81"/>
      <c r="Q32" s="232">
        <f t="shared" si="2"/>
        <v>0</v>
      </c>
    </row>
    <row r="33" spans="1:17" s="13" customFormat="1" x14ac:dyDescent="0.25">
      <c r="A33" s="229"/>
      <c r="B33" s="30" t="s">
        <v>31</v>
      </c>
      <c r="C33" s="181" t="s">
        <v>17</v>
      </c>
      <c r="D33" s="182"/>
      <c r="E33" s="183" t="s">
        <v>32</v>
      </c>
      <c r="F33" s="73" t="s">
        <v>331</v>
      </c>
      <c r="G33" s="74" t="s">
        <v>112</v>
      </c>
      <c r="H33" s="75">
        <v>27</v>
      </c>
      <c r="I33" s="76">
        <v>18</v>
      </c>
      <c r="J33" s="335">
        <f>1+2+3+1+4+3+3+3+1+3+1+1</f>
        <v>26</v>
      </c>
      <c r="K33" s="332">
        <f>633.93+1045.98+5377.62+950.9+6004.09+4598.82+8410.14+1846.04+4737.83+728.54+3120.88</f>
        <v>37454.769999999997</v>
      </c>
      <c r="L33" s="332">
        <f>633.93+1045.98+5377.62+950.9+6004.09+4598.82+8410.14+1846.04+4737.83+728.54</f>
        <v>34333.89</v>
      </c>
      <c r="M33" s="333">
        <f t="shared" si="1"/>
        <v>3120.8799999999974</v>
      </c>
      <c r="N33" s="334">
        <f>1+3+3+1+1+2+1</f>
        <v>12</v>
      </c>
      <c r="O33" s="81">
        <f>2299.8+15239.58+6152.75+2720.49+1483.38+7043.49+11175.04</f>
        <v>46114.530000000006</v>
      </c>
      <c r="P33" s="81">
        <f>2299.8+15239.58+6152.75+2720.49+1483.38+7043.49+11175.04</f>
        <v>46114.530000000006</v>
      </c>
      <c r="Q33" s="232">
        <f t="shared" si="2"/>
        <v>0</v>
      </c>
    </row>
    <row r="34" spans="1:17" s="13" customFormat="1" x14ac:dyDescent="0.25">
      <c r="A34" s="229"/>
      <c r="B34" s="30" t="s">
        <v>31</v>
      </c>
      <c r="C34" s="181" t="s">
        <v>17</v>
      </c>
      <c r="D34" s="182"/>
      <c r="E34" s="183" t="s">
        <v>32</v>
      </c>
      <c r="F34" s="73" t="s">
        <v>422</v>
      </c>
      <c r="G34" s="235" t="s">
        <v>117</v>
      </c>
      <c r="H34" s="181">
        <v>16</v>
      </c>
      <c r="I34" s="231">
        <v>8</v>
      </c>
      <c r="J34" s="335">
        <v>9</v>
      </c>
      <c r="K34" s="332">
        <v>24391.25</v>
      </c>
      <c r="L34" s="332">
        <v>18758.95</v>
      </c>
      <c r="M34" s="333">
        <f t="shared" si="1"/>
        <v>5632.2999999999993</v>
      </c>
      <c r="N34" s="334">
        <v>10</v>
      </c>
      <c r="O34" s="77">
        <v>21507.42</v>
      </c>
      <c r="P34" s="77">
        <v>21507.42</v>
      </c>
      <c r="Q34" s="232">
        <f t="shared" si="2"/>
        <v>0</v>
      </c>
    </row>
    <row r="35" spans="1:17" s="15" customFormat="1" x14ac:dyDescent="0.25">
      <c r="A35" s="229"/>
      <c r="B35" s="62" t="s">
        <v>33</v>
      </c>
      <c r="C35" s="181" t="s">
        <v>17</v>
      </c>
      <c r="D35" s="182"/>
      <c r="E35" s="183" t="s">
        <v>20</v>
      </c>
      <c r="F35" s="73" t="s">
        <v>332</v>
      </c>
      <c r="G35" s="74" t="s">
        <v>112</v>
      </c>
      <c r="H35" s="75">
        <v>15</v>
      </c>
      <c r="I35" s="76">
        <v>12</v>
      </c>
      <c r="J35" s="335">
        <f>1+1+1+1+1+2+1+1+1+1+1+1+2</f>
        <v>15</v>
      </c>
      <c r="K35" s="332">
        <f>845.245+5363.43+5912.72+845.24+12887.16+2852.15+6514.08+2058.13+5167.78+1324.62+3058.67</f>
        <v>46829.224999999999</v>
      </c>
      <c r="L35" s="332">
        <f>845.245+5363.43+5912.72+845.24+12887.16+2852.15+6514.08+2058.13+5167.78+1324.62</f>
        <v>43770.555</v>
      </c>
      <c r="M35" s="333">
        <f t="shared" si="1"/>
        <v>3058.6699999999983</v>
      </c>
      <c r="N35" s="334">
        <f>2+1+1+1+1+2+1+1+1+1</f>
        <v>12</v>
      </c>
      <c r="O35" s="81">
        <f>845.24+1613.64+3380.96+3639.33+1152.6+1518.9</f>
        <v>12150.67</v>
      </c>
      <c r="P35" s="81">
        <f>845.24+1613.64+3380.96+3639.33+1152.6+1518.9</f>
        <v>12150.67</v>
      </c>
      <c r="Q35" s="79">
        <f t="shared" si="2"/>
        <v>0</v>
      </c>
    </row>
    <row r="36" spans="1:17" s="15" customFormat="1" x14ac:dyDescent="0.25">
      <c r="A36" s="229"/>
      <c r="B36" s="62" t="s">
        <v>33</v>
      </c>
      <c r="C36" s="181" t="s">
        <v>17</v>
      </c>
      <c r="D36" s="182"/>
      <c r="E36" s="183" t="s">
        <v>20</v>
      </c>
      <c r="F36" s="73" t="s">
        <v>481</v>
      </c>
      <c r="G36" s="230" t="s">
        <v>114</v>
      </c>
      <c r="H36" s="181">
        <v>11</v>
      </c>
      <c r="I36" s="231">
        <v>1</v>
      </c>
      <c r="J36" s="337">
        <v>1</v>
      </c>
      <c r="K36" s="332">
        <v>3472.11</v>
      </c>
      <c r="L36" s="332">
        <v>3472.11</v>
      </c>
      <c r="M36" s="333">
        <f t="shared" si="1"/>
        <v>0</v>
      </c>
      <c r="N36" s="334">
        <v>16</v>
      </c>
      <c r="O36" s="224">
        <v>45328.13</v>
      </c>
      <c r="P36" s="224">
        <v>45328.13</v>
      </c>
      <c r="Q36" s="232">
        <f t="shared" si="2"/>
        <v>0</v>
      </c>
    </row>
    <row r="37" spans="1:17" s="15" customFormat="1" x14ac:dyDescent="0.25">
      <c r="A37" s="229"/>
      <c r="B37" s="62" t="s">
        <v>147</v>
      </c>
      <c r="C37" s="181" t="s">
        <v>17</v>
      </c>
      <c r="D37" s="182"/>
      <c r="E37" s="183" t="s">
        <v>29</v>
      </c>
      <c r="F37" s="73" t="s">
        <v>334</v>
      </c>
      <c r="G37" s="74" t="s">
        <v>112</v>
      </c>
      <c r="H37" s="75">
        <v>12</v>
      </c>
      <c r="I37" s="234">
        <v>11</v>
      </c>
      <c r="J37" s="335">
        <f>1+1+2+1+3+4+1+1</f>
        <v>14</v>
      </c>
      <c r="K37" s="332">
        <f>1854.88+2824.48+3058.67+5384.79+14792.98</f>
        <v>27915.8</v>
      </c>
      <c r="L37" s="332">
        <f>1854.88+2824.48+3058.67+5384.79+14792.98</f>
        <v>27915.8</v>
      </c>
      <c r="M37" s="333">
        <f t="shared" si="1"/>
        <v>0</v>
      </c>
      <c r="N37" s="338">
        <f>1+1+1</f>
        <v>3</v>
      </c>
      <c r="O37" s="81">
        <f>1394.65+2473.17+1961.49</f>
        <v>5829.31</v>
      </c>
      <c r="P37" s="81">
        <f>1394.65+2473.17+1961.49</f>
        <v>5829.31</v>
      </c>
      <c r="Q37" s="79">
        <f t="shared" si="2"/>
        <v>0</v>
      </c>
    </row>
    <row r="38" spans="1:17" s="15" customFormat="1" x14ac:dyDescent="0.25">
      <c r="A38" s="229"/>
      <c r="B38" s="233" t="s">
        <v>147</v>
      </c>
      <c r="C38" s="181" t="s">
        <v>17</v>
      </c>
      <c r="D38" s="182"/>
      <c r="E38" s="183" t="s">
        <v>29</v>
      </c>
      <c r="F38" s="73" t="s">
        <v>423</v>
      </c>
      <c r="G38" s="230" t="s">
        <v>117</v>
      </c>
      <c r="H38" s="181">
        <v>19</v>
      </c>
      <c r="I38" s="231">
        <v>6</v>
      </c>
      <c r="J38" s="335">
        <v>6</v>
      </c>
      <c r="K38" s="332">
        <v>11051.1</v>
      </c>
      <c r="L38" s="332">
        <v>6847.1</v>
      </c>
      <c r="M38" s="333">
        <f t="shared" si="1"/>
        <v>4204</v>
      </c>
      <c r="N38" s="334">
        <v>5</v>
      </c>
      <c r="O38" s="224">
        <v>9961.4500000000007</v>
      </c>
      <c r="P38" s="224">
        <v>4706.45</v>
      </c>
      <c r="Q38" s="232">
        <f t="shared" si="2"/>
        <v>5255.0000000000009</v>
      </c>
    </row>
    <row r="39" spans="1:17" s="13" customFormat="1" x14ac:dyDescent="0.25">
      <c r="A39" s="229"/>
      <c r="B39" s="62" t="s">
        <v>34</v>
      </c>
      <c r="C39" s="181" t="s">
        <v>17</v>
      </c>
      <c r="D39" s="182"/>
      <c r="E39" s="194" t="s">
        <v>35</v>
      </c>
      <c r="F39" s="73" t="s">
        <v>335</v>
      </c>
      <c r="G39" s="74" t="s">
        <v>112</v>
      </c>
      <c r="H39" s="75">
        <v>42</v>
      </c>
      <c r="I39" s="76">
        <v>28</v>
      </c>
      <c r="J39" s="335">
        <f>4+2+2+7+4+1+1+2+5+1+2</f>
        <v>31</v>
      </c>
      <c r="K39" s="332">
        <f>8288.4+1267.86+845.24+13964.6+11418.26+21175.62+1092.81+2207.7+6312.67+3928.83+708.47</f>
        <v>71210.459999999992</v>
      </c>
      <c r="L39" s="332">
        <f>8288.4+1267.86+845.24+13964.6+11418.26+21175.62+1092.81+2207.7+6312.67+3928.83</f>
        <v>70501.989999999991</v>
      </c>
      <c r="M39" s="333">
        <f t="shared" si="1"/>
        <v>708.47000000000116</v>
      </c>
      <c r="N39" s="334">
        <f>4+4+6+1+3+1+3+1+2+1+1+2</f>
        <v>29</v>
      </c>
      <c r="O39" s="81">
        <f>23915.04+21171.88+6399.1+11460.81+1501.24+2795.71+8800.35</f>
        <v>76044.13</v>
      </c>
      <c r="P39" s="81">
        <f>23915.04+21171.88+6399.1+11460.81+1501.24+2795.71+8800.35</f>
        <v>76044.13</v>
      </c>
      <c r="Q39" s="79">
        <f t="shared" si="2"/>
        <v>0</v>
      </c>
    </row>
    <row r="40" spans="1:17" s="13" customFormat="1" x14ac:dyDescent="0.25">
      <c r="A40" s="229"/>
      <c r="B40" s="62" t="s">
        <v>34</v>
      </c>
      <c r="C40" s="181" t="s">
        <v>17</v>
      </c>
      <c r="D40" s="182"/>
      <c r="E40" s="194" t="s">
        <v>35</v>
      </c>
      <c r="F40" s="73" t="s">
        <v>424</v>
      </c>
      <c r="G40" s="235" t="s">
        <v>117</v>
      </c>
      <c r="H40" s="181">
        <v>3</v>
      </c>
      <c r="I40" s="231">
        <v>1</v>
      </c>
      <c r="J40" s="335">
        <v>3</v>
      </c>
      <c r="K40" s="332">
        <v>5246.9</v>
      </c>
      <c r="L40" s="332">
        <v>5246.9</v>
      </c>
      <c r="M40" s="333">
        <f t="shared" si="1"/>
        <v>0</v>
      </c>
      <c r="N40" s="334">
        <v>3</v>
      </c>
      <c r="O40" s="224">
        <v>9220.7999999999993</v>
      </c>
      <c r="P40" s="224">
        <v>9220.7999999999993</v>
      </c>
      <c r="Q40" s="232">
        <f t="shared" si="2"/>
        <v>0</v>
      </c>
    </row>
    <row r="41" spans="1:17" s="13" customFormat="1" x14ac:dyDescent="0.25">
      <c r="A41" s="229"/>
      <c r="B41" s="27" t="s">
        <v>36</v>
      </c>
      <c r="C41" s="181" t="s">
        <v>17</v>
      </c>
      <c r="D41" s="182"/>
      <c r="E41" s="194" t="s">
        <v>32</v>
      </c>
      <c r="F41" s="73" t="s">
        <v>336</v>
      </c>
      <c r="G41" s="74" t="s">
        <v>112</v>
      </c>
      <c r="H41" s="75">
        <v>36</v>
      </c>
      <c r="I41" s="76">
        <v>29</v>
      </c>
      <c r="J41" s="335">
        <f>1+3+4+2+2+7+6+2+5+2+2+2+2</f>
        <v>40</v>
      </c>
      <c r="K41" s="332">
        <f>2091.97+4201.22+3643.94+998.92+6188.59+7556.35+3399.86+9711+5191.85+1920.7</f>
        <v>44904.399999999994</v>
      </c>
      <c r="L41" s="332">
        <f>2091.97+4201.22+3643.94+998.92+6188.59+7556.35+3399.86+9711+5191.85</f>
        <v>42983.7</v>
      </c>
      <c r="M41" s="333">
        <f t="shared" si="1"/>
        <v>1920.6999999999971</v>
      </c>
      <c r="N41" s="334">
        <f>4+2+5+1+1+4+1+1</f>
        <v>19</v>
      </c>
      <c r="O41" s="81">
        <f>26828.22+3116.2+14162+4691+13237.22+22342.31+1888.86</f>
        <v>86265.81</v>
      </c>
      <c r="P41" s="81">
        <f>26828.22+3116.2+14162+4691+13237.22+22342.31+1888.86</f>
        <v>86265.81</v>
      </c>
      <c r="Q41" s="79">
        <f t="shared" si="2"/>
        <v>0</v>
      </c>
    </row>
    <row r="42" spans="1:17" s="13" customFormat="1" x14ac:dyDescent="0.25">
      <c r="A42" s="229"/>
      <c r="B42" s="27" t="s">
        <v>38</v>
      </c>
      <c r="C42" s="181" t="s">
        <v>17</v>
      </c>
      <c r="D42" s="182"/>
      <c r="E42" s="183" t="s">
        <v>20</v>
      </c>
      <c r="F42" s="73" t="s">
        <v>338</v>
      </c>
      <c r="G42" s="74" t="s">
        <v>112</v>
      </c>
      <c r="H42" s="75">
        <v>57</v>
      </c>
      <c r="I42" s="76">
        <v>49</v>
      </c>
      <c r="J42" s="335">
        <f>5+9+3+4+4+2+3+3+11+3+4+4+1+5+7+3</f>
        <v>71</v>
      </c>
      <c r="K42" s="332">
        <f>4427.07+14262.52+23391.74+11108.38+9141.17+3923.07+23674.29+5445.61+18020.8+33401.88</f>
        <v>146796.53</v>
      </c>
      <c r="L42" s="332">
        <f>4427.07+14262.52+23391.74+11108.38+9141.17+3923.07+23674.29+5445.61+18020.8+33401.88</f>
        <v>146796.53</v>
      </c>
      <c r="M42" s="333">
        <f t="shared" si="1"/>
        <v>0</v>
      </c>
      <c r="N42" s="334">
        <f>1+14+2+2+2+3+1+1+2+1+1</f>
        <v>30</v>
      </c>
      <c r="O42" s="81">
        <f>34449.99+27363.78+23604.86+16739.26+15240.34+16003.48+4203.85+21715.1</f>
        <v>159320.66</v>
      </c>
      <c r="P42" s="81">
        <f>34449.99+27363.78+23604.86+16739.26+15240.34+16003.48+4203.85+21715.1</f>
        <v>159320.66</v>
      </c>
      <c r="Q42" s="79">
        <f t="shared" si="2"/>
        <v>0</v>
      </c>
    </row>
    <row r="43" spans="1:17" s="13" customFormat="1" x14ac:dyDescent="0.25">
      <c r="A43" s="229"/>
      <c r="B43" s="27" t="s">
        <v>38</v>
      </c>
      <c r="C43" s="181" t="s">
        <v>17</v>
      </c>
      <c r="D43" s="182"/>
      <c r="E43" s="183" t="s">
        <v>20</v>
      </c>
      <c r="F43" s="73" t="s">
        <v>268</v>
      </c>
      <c r="G43" s="230" t="s">
        <v>114</v>
      </c>
      <c r="H43" s="181"/>
      <c r="I43" s="231"/>
      <c r="J43" s="337"/>
      <c r="K43" s="332"/>
      <c r="L43" s="332"/>
      <c r="M43" s="333">
        <f t="shared" si="1"/>
        <v>0</v>
      </c>
      <c r="N43" s="334"/>
      <c r="O43" s="224"/>
      <c r="P43" s="224"/>
      <c r="Q43" s="232">
        <f t="shared" si="2"/>
        <v>0</v>
      </c>
    </row>
    <row r="44" spans="1:17" s="13" customFormat="1" x14ac:dyDescent="0.25">
      <c r="A44" s="229"/>
      <c r="B44" s="27" t="s">
        <v>38</v>
      </c>
      <c r="C44" s="181" t="s">
        <v>17</v>
      </c>
      <c r="D44" s="182"/>
      <c r="E44" s="183" t="s">
        <v>18</v>
      </c>
      <c r="F44" s="73" t="s">
        <v>324</v>
      </c>
      <c r="G44" s="230" t="s">
        <v>116</v>
      </c>
      <c r="H44" s="181">
        <v>6</v>
      </c>
      <c r="I44" s="231">
        <v>3</v>
      </c>
      <c r="J44" s="337">
        <v>3</v>
      </c>
      <c r="K44" s="332">
        <v>4098</v>
      </c>
      <c r="L44" s="332">
        <v>4098</v>
      </c>
      <c r="M44" s="333">
        <f t="shared" si="1"/>
        <v>0</v>
      </c>
      <c r="N44" s="334"/>
      <c r="O44" s="224"/>
      <c r="P44" s="224"/>
      <c r="Q44" s="232">
        <f t="shared" si="2"/>
        <v>0</v>
      </c>
    </row>
    <row r="45" spans="1:17" s="13" customFormat="1" x14ac:dyDescent="0.25">
      <c r="A45" s="229"/>
      <c r="B45" s="62" t="s">
        <v>39</v>
      </c>
      <c r="C45" s="181" t="s">
        <v>17</v>
      </c>
      <c r="D45" s="182"/>
      <c r="E45" s="183" t="s">
        <v>20</v>
      </c>
      <c r="F45" s="73" t="s">
        <v>269</v>
      </c>
      <c r="G45" s="230" t="s">
        <v>114</v>
      </c>
      <c r="H45" s="181"/>
      <c r="I45" s="231"/>
      <c r="J45" s="337"/>
      <c r="K45" s="332"/>
      <c r="L45" s="332"/>
      <c r="M45" s="333">
        <f t="shared" si="1"/>
        <v>0</v>
      </c>
      <c r="N45" s="334"/>
      <c r="O45" s="224"/>
      <c r="P45" s="224"/>
      <c r="Q45" s="232">
        <f t="shared" si="2"/>
        <v>0</v>
      </c>
    </row>
    <row r="46" spans="1:17" s="13" customFormat="1" x14ac:dyDescent="0.25">
      <c r="A46" s="229"/>
      <c r="B46" s="27" t="s">
        <v>40</v>
      </c>
      <c r="C46" s="181" t="s">
        <v>17</v>
      </c>
      <c r="D46" s="182"/>
      <c r="E46" s="194" t="s">
        <v>41</v>
      </c>
      <c r="F46" s="73" t="s">
        <v>339</v>
      </c>
      <c r="G46" s="74" t="s">
        <v>112</v>
      </c>
      <c r="H46" s="75">
        <v>34</v>
      </c>
      <c r="I46" s="76">
        <v>28</v>
      </c>
      <c r="J46" s="335">
        <f>1+1+3+9+4+4+3+2+1+1+2+3+3+5+4+1</f>
        <v>47</v>
      </c>
      <c r="K46" s="332">
        <f>1045.98+12271.86+15658.52+8166.35+6035.99+8024.36+2759.63+3460.61+3962.12+3444.02+17333.58+11032.73+15915.1</f>
        <v>109110.84999999999</v>
      </c>
      <c r="L46" s="332">
        <f>1045.98+12271.86+15658.52+8166.35+6035.99+8024.36+2759.63+3460.61+3962.12+3444.02+17333.58+11032.73</f>
        <v>93195.749999999985</v>
      </c>
      <c r="M46" s="333">
        <f t="shared" si="1"/>
        <v>15915.100000000006</v>
      </c>
      <c r="N46" s="334">
        <f>3+13+6+5+4+2+1+1+1+1+1+1</f>
        <v>39</v>
      </c>
      <c r="O46" s="81">
        <f>17269.31+39990.78+16582.12+23492.44+7068.31+4243.84+1574.64</f>
        <v>110221.43999999999</v>
      </c>
      <c r="P46" s="81">
        <f>17269.31+39990.78+16582.12+23492.44+7068.31+4243.84+1574.64</f>
        <v>110221.43999999999</v>
      </c>
      <c r="Q46" s="79">
        <f t="shared" si="2"/>
        <v>0</v>
      </c>
    </row>
    <row r="47" spans="1:17" s="13" customFormat="1" x14ac:dyDescent="0.25">
      <c r="A47" s="229"/>
      <c r="B47" s="27" t="s">
        <v>40</v>
      </c>
      <c r="C47" s="181" t="s">
        <v>17</v>
      </c>
      <c r="D47" s="182"/>
      <c r="E47" s="194" t="s">
        <v>41</v>
      </c>
      <c r="F47" s="73" t="s">
        <v>482</v>
      </c>
      <c r="G47" s="230" t="s">
        <v>114</v>
      </c>
      <c r="H47" s="181"/>
      <c r="I47" s="231"/>
      <c r="J47" s="337"/>
      <c r="K47" s="332"/>
      <c r="L47" s="332"/>
      <c r="M47" s="333">
        <f t="shared" si="1"/>
        <v>0</v>
      </c>
      <c r="N47" s="334">
        <v>1</v>
      </c>
      <c r="O47" s="224">
        <v>3073.6</v>
      </c>
      <c r="P47" s="224">
        <f>3073.6</f>
        <v>3073.6</v>
      </c>
      <c r="Q47" s="232">
        <f t="shared" si="2"/>
        <v>0</v>
      </c>
    </row>
    <row r="48" spans="1:17" s="13" customFormat="1" x14ac:dyDescent="0.25">
      <c r="A48" s="229"/>
      <c r="B48" s="27" t="s">
        <v>148</v>
      </c>
      <c r="C48" s="181" t="s">
        <v>17</v>
      </c>
      <c r="D48" s="182"/>
      <c r="E48" s="183" t="s">
        <v>20</v>
      </c>
      <c r="F48" s="73" t="s">
        <v>340</v>
      </c>
      <c r="G48" s="74" t="s">
        <v>112</v>
      </c>
      <c r="H48" s="75">
        <v>24</v>
      </c>
      <c r="I48" s="82">
        <v>17</v>
      </c>
      <c r="J48" s="335">
        <f>1+2+1+4+4+2+3+1+1</f>
        <v>19</v>
      </c>
      <c r="K48" s="332">
        <f>537.88+2110.03+6723.98+8914.21+1204.2+602.1+903.15+1324.62+602.1</f>
        <v>22922.269999999997</v>
      </c>
      <c r="L48" s="332">
        <f>537.88+2110.03+6723.98+8914.21+1204.2+602.1+903.15+1324.62</f>
        <v>22320.17</v>
      </c>
      <c r="M48" s="333">
        <f t="shared" si="1"/>
        <v>602.09999999999854</v>
      </c>
      <c r="N48" s="334">
        <f>6+5+3+1+1+1+1+1</f>
        <v>19</v>
      </c>
      <c r="O48" s="81">
        <f>9370.6+9456.38+8868.69+5367.27+11572.62+5889.04</f>
        <v>50524.600000000006</v>
      </c>
      <c r="P48" s="81">
        <f>9370.6+9456.38+8868.69+5367.27+11572.62+5889.04</f>
        <v>50524.600000000006</v>
      </c>
      <c r="Q48" s="79">
        <f t="shared" si="2"/>
        <v>0</v>
      </c>
    </row>
    <row r="49" spans="1:17" s="13" customFormat="1" x14ac:dyDescent="0.25">
      <c r="A49" s="229"/>
      <c r="B49" s="27" t="s">
        <v>148</v>
      </c>
      <c r="C49" s="181" t="s">
        <v>17</v>
      </c>
      <c r="D49" s="182"/>
      <c r="E49" s="194" t="s">
        <v>32</v>
      </c>
      <c r="F49" s="73" t="s">
        <v>425</v>
      </c>
      <c r="G49" s="230" t="s">
        <v>117</v>
      </c>
      <c r="H49" s="181">
        <v>17</v>
      </c>
      <c r="I49" s="231">
        <v>8</v>
      </c>
      <c r="J49" s="335">
        <v>8</v>
      </c>
      <c r="K49" s="332">
        <v>23166.82</v>
      </c>
      <c r="L49" s="332">
        <v>13707.82</v>
      </c>
      <c r="M49" s="333">
        <f t="shared" si="1"/>
        <v>9459</v>
      </c>
      <c r="N49" s="334">
        <v>4</v>
      </c>
      <c r="O49" s="224">
        <v>12851.49</v>
      </c>
      <c r="P49" s="224">
        <v>12851.49</v>
      </c>
      <c r="Q49" s="232">
        <f t="shared" si="2"/>
        <v>0</v>
      </c>
    </row>
    <row r="50" spans="1:17" s="13" customFormat="1" x14ac:dyDescent="0.25">
      <c r="A50" s="229"/>
      <c r="B50" s="30" t="s">
        <v>42</v>
      </c>
      <c r="C50" s="181" t="s">
        <v>17</v>
      </c>
      <c r="D50" s="182"/>
      <c r="E50" s="183" t="s">
        <v>23</v>
      </c>
      <c r="F50" s="73" t="s">
        <v>341</v>
      </c>
      <c r="G50" s="74" t="s">
        <v>112</v>
      </c>
      <c r="H50" s="75">
        <v>36</v>
      </c>
      <c r="I50" s="76">
        <v>30</v>
      </c>
      <c r="J50" s="335">
        <f>5+3+5+3+8+3+8+5</f>
        <v>40</v>
      </c>
      <c r="K50" s="332">
        <f>7156.22+3849.11+8154.25+4149.36+15912.38+18649.91</f>
        <v>57871.229999999996</v>
      </c>
      <c r="L50" s="332">
        <f>7156.22+3849.11+8154.25+4149.36+15912.38+18649.91</f>
        <v>57871.229999999996</v>
      </c>
      <c r="M50" s="333">
        <f t="shared" si="1"/>
        <v>0</v>
      </c>
      <c r="N50" s="334">
        <f>4+6+9+2+4+2+2+3+3+2</f>
        <v>37</v>
      </c>
      <c r="O50" s="81">
        <f>5364.2+26170.88+2849.25+18965.6+9565.56+9423.5+18214.56</f>
        <v>90553.549999999988</v>
      </c>
      <c r="P50" s="81">
        <f>5364.2+26170.88+2849.25+18965.6+9565.56+9423.5+18214.56</f>
        <v>90553.549999999988</v>
      </c>
      <c r="Q50" s="79">
        <f t="shared" si="2"/>
        <v>0</v>
      </c>
    </row>
    <row r="51" spans="1:17" s="13" customFormat="1" x14ac:dyDescent="0.25">
      <c r="A51" s="229"/>
      <c r="B51" s="30" t="s">
        <v>42</v>
      </c>
      <c r="C51" s="181" t="s">
        <v>17</v>
      </c>
      <c r="D51" s="182"/>
      <c r="E51" s="183" t="s">
        <v>23</v>
      </c>
      <c r="F51" s="73" t="s">
        <v>437</v>
      </c>
      <c r="G51" s="230" t="s">
        <v>118</v>
      </c>
      <c r="H51" s="181">
        <v>2</v>
      </c>
      <c r="I51" s="231"/>
      <c r="J51" s="335"/>
      <c r="K51" s="332"/>
      <c r="L51" s="332"/>
      <c r="M51" s="333">
        <f t="shared" si="1"/>
        <v>0</v>
      </c>
      <c r="N51" s="334">
        <v>1</v>
      </c>
      <c r="O51" s="224">
        <v>7766.4</v>
      </c>
      <c r="P51" s="224">
        <v>7766.4</v>
      </c>
      <c r="Q51" s="232">
        <f t="shared" si="2"/>
        <v>0</v>
      </c>
    </row>
    <row r="52" spans="1:17" s="13" customFormat="1" x14ac:dyDescent="0.25">
      <c r="A52" s="229"/>
      <c r="B52" s="30" t="s">
        <v>173</v>
      </c>
      <c r="C52" s="181" t="s">
        <v>17</v>
      </c>
      <c r="D52" s="182"/>
      <c r="E52" s="230" t="s">
        <v>118</v>
      </c>
      <c r="F52" s="73" t="s">
        <v>342</v>
      </c>
      <c r="G52" s="74" t="s">
        <v>112</v>
      </c>
      <c r="H52" s="75">
        <v>4</v>
      </c>
      <c r="I52" s="76">
        <v>4</v>
      </c>
      <c r="J52" s="335">
        <f>1+2+1</f>
        <v>4</v>
      </c>
      <c r="K52" s="332">
        <f>6833.76+696.36</f>
        <v>7530.12</v>
      </c>
      <c r="L52" s="332">
        <f>6833.76+696.36</f>
        <v>7530.12</v>
      </c>
      <c r="M52" s="333">
        <f t="shared" si="1"/>
        <v>0</v>
      </c>
      <c r="N52" s="334">
        <f>4+2</f>
        <v>6</v>
      </c>
      <c r="O52" s="81">
        <f>5931.9+4183.92+3158.95</f>
        <v>13274.77</v>
      </c>
      <c r="P52" s="81">
        <f>5931.9+4183.92+3158.95</f>
        <v>13274.77</v>
      </c>
      <c r="Q52" s="79">
        <f t="shared" si="2"/>
        <v>0</v>
      </c>
    </row>
    <row r="53" spans="1:17" s="13" customFormat="1" x14ac:dyDescent="0.25">
      <c r="A53" s="229"/>
      <c r="B53" s="62" t="s">
        <v>143</v>
      </c>
      <c r="C53" s="181" t="s">
        <v>64</v>
      </c>
      <c r="D53" s="182" t="s">
        <v>444</v>
      </c>
      <c r="E53" s="183" t="s">
        <v>20</v>
      </c>
      <c r="F53" s="73" t="s">
        <v>445</v>
      </c>
      <c r="G53" s="230" t="s">
        <v>114</v>
      </c>
      <c r="H53" s="181">
        <v>43</v>
      </c>
      <c r="I53" s="234">
        <v>20</v>
      </c>
      <c r="J53" s="337">
        <v>20</v>
      </c>
      <c r="K53" s="339">
        <v>43336.800000000003</v>
      </c>
      <c r="L53" s="339">
        <v>40928.400000000001</v>
      </c>
      <c r="M53" s="333">
        <f t="shared" si="1"/>
        <v>2408.4000000000015</v>
      </c>
      <c r="N53" s="338">
        <v>18</v>
      </c>
      <c r="O53" s="224">
        <v>27390.400000000001</v>
      </c>
      <c r="P53" s="224">
        <v>27390.400000000001</v>
      </c>
      <c r="Q53" s="232">
        <f t="shared" si="2"/>
        <v>0</v>
      </c>
    </row>
    <row r="54" spans="1:17" s="13" customFormat="1" x14ac:dyDescent="0.25">
      <c r="A54" s="229"/>
      <c r="B54" s="30" t="s">
        <v>158</v>
      </c>
      <c r="C54" s="181" t="s">
        <v>17</v>
      </c>
      <c r="D54" s="182"/>
      <c r="E54" s="194" t="s">
        <v>32</v>
      </c>
      <c r="F54" s="73" t="s">
        <v>426</v>
      </c>
      <c r="G54" s="230" t="s">
        <v>117</v>
      </c>
      <c r="H54" s="181">
        <v>13</v>
      </c>
      <c r="I54" s="234">
        <v>8</v>
      </c>
      <c r="J54" s="337">
        <v>9</v>
      </c>
      <c r="K54" s="339">
        <v>20263.34</v>
      </c>
      <c r="L54" s="339">
        <v>12275.74</v>
      </c>
      <c r="M54" s="333">
        <f t="shared" si="1"/>
        <v>7987.6</v>
      </c>
      <c r="N54" s="338">
        <v>5</v>
      </c>
      <c r="O54" s="224">
        <v>16813.7</v>
      </c>
      <c r="P54" s="224">
        <v>16813.7</v>
      </c>
      <c r="Q54" s="232">
        <f t="shared" si="2"/>
        <v>0</v>
      </c>
    </row>
    <row r="55" spans="1:17" s="15" customFormat="1" x14ac:dyDescent="0.25">
      <c r="A55" s="229"/>
      <c r="B55" s="62" t="s">
        <v>43</v>
      </c>
      <c r="C55" s="181" t="s">
        <v>17</v>
      </c>
      <c r="D55" s="182"/>
      <c r="E55" s="183" t="s">
        <v>18</v>
      </c>
      <c r="F55" s="73" t="s">
        <v>344</v>
      </c>
      <c r="G55" s="74" t="s">
        <v>112</v>
      </c>
      <c r="H55" s="75">
        <v>40</v>
      </c>
      <c r="I55" s="76">
        <v>32</v>
      </c>
      <c r="J55" s="335">
        <f>1+2+2+5+2+3+2+3+3+3+5+2+4</f>
        <v>37</v>
      </c>
      <c r="K55" s="332">
        <f>1776.93+926.88+3328.29+3172.19+9832.29+3539.2+3058.67+13375.29+3775.58+5775.23</f>
        <v>48560.55</v>
      </c>
      <c r="L55" s="332">
        <f>1776.93+926.88+3328.29+3172.19+9832.29+3539.2+3058.67+13375.29+3775.58</f>
        <v>42785.320000000007</v>
      </c>
      <c r="M55" s="333">
        <f t="shared" si="1"/>
        <v>5775.2299999999959</v>
      </c>
      <c r="N55" s="334">
        <f>1+5+4+1+1+1+1+1+2+1</f>
        <v>18</v>
      </c>
      <c r="O55" s="81">
        <f>1223.8+3810.29+4959.02+10043.87+2769.48+2146.91+11926.24-1465.64+1516.77</f>
        <v>36930.74</v>
      </c>
      <c r="P55" s="81">
        <f>1223.8+3810.29+4959.02+10043.87+2769.48+2146.91+11926.24-1465.64</f>
        <v>35413.97</v>
      </c>
      <c r="Q55" s="79">
        <f t="shared" si="2"/>
        <v>1516.7699999999968</v>
      </c>
    </row>
    <row r="56" spans="1:17" s="15" customFormat="1" ht="30" x14ac:dyDescent="0.25">
      <c r="A56" s="229"/>
      <c r="B56" s="62" t="s">
        <v>43</v>
      </c>
      <c r="C56" s="181" t="s">
        <v>304</v>
      </c>
      <c r="D56" s="182" t="s">
        <v>473</v>
      </c>
      <c r="E56" s="183" t="s">
        <v>18</v>
      </c>
      <c r="F56" s="73" t="s">
        <v>323</v>
      </c>
      <c r="G56" s="271" t="s">
        <v>116</v>
      </c>
      <c r="H56" s="181">
        <v>34</v>
      </c>
      <c r="I56" s="234">
        <v>27</v>
      </c>
      <c r="J56" s="331">
        <v>30</v>
      </c>
      <c r="K56" s="332">
        <v>38009</v>
      </c>
      <c r="L56" s="332">
        <v>38009</v>
      </c>
      <c r="M56" s="333">
        <f t="shared" si="1"/>
        <v>0</v>
      </c>
      <c r="N56" s="338">
        <v>22</v>
      </c>
      <c r="O56" s="224">
        <v>69226</v>
      </c>
      <c r="P56" s="224">
        <v>69226</v>
      </c>
      <c r="Q56" s="232">
        <f t="shared" si="2"/>
        <v>0</v>
      </c>
    </row>
    <row r="57" spans="1:17" s="13" customFormat="1" x14ac:dyDescent="0.25">
      <c r="A57" s="229"/>
      <c r="B57" s="30" t="s">
        <v>44</v>
      </c>
      <c r="C57" s="181" t="s">
        <v>17</v>
      </c>
      <c r="D57" s="182"/>
      <c r="E57" s="183" t="s">
        <v>20</v>
      </c>
      <c r="F57" s="73" t="s">
        <v>345</v>
      </c>
      <c r="G57" s="74" t="s">
        <v>112</v>
      </c>
      <c r="H57" s="75">
        <v>22</v>
      </c>
      <c r="I57" s="76">
        <v>16</v>
      </c>
      <c r="J57" s="335">
        <f>1+1+1+4+2+1+1+1+3+4</f>
        <v>19</v>
      </c>
      <c r="K57" s="332">
        <f>2422.38+1267.86+15410.58+1534.35+708.47+883.08+3910.61+496.73+12652.53</f>
        <v>39286.590000000004</v>
      </c>
      <c r="L57" s="332">
        <f>2422.38+1267.86+15410.58+1534.35+708.47+883.08+3910.61+496.73</f>
        <v>26634.06</v>
      </c>
      <c r="M57" s="333">
        <f t="shared" si="1"/>
        <v>12652.530000000002</v>
      </c>
      <c r="N57" s="334">
        <f>1+11</f>
        <v>12</v>
      </c>
      <c r="O57" s="81">
        <f>421.62+4603.39+10559.77+72902.04+3435.31</f>
        <v>91922.12999999999</v>
      </c>
      <c r="P57" s="81">
        <f>421.62+4603.39+10559.77+72902.04+3435.31</f>
        <v>91922.12999999999</v>
      </c>
      <c r="Q57" s="79">
        <f t="shared" si="2"/>
        <v>0</v>
      </c>
    </row>
    <row r="58" spans="1:17" s="13" customFormat="1" x14ac:dyDescent="0.25">
      <c r="A58" s="229"/>
      <c r="B58" s="30" t="s">
        <v>44</v>
      </c>
      <c r="C58" s="181" t="s">
        <v>17</v>
      </c>
      <c r="D58" s="182"/>
      <c r="E58" s="183" t="s">
        <v>20</v>
      </c>
      <c r="F58" s="73" t="s">
        <v>483</v>
      </c>
      <c r="G58" s="230" t="s">
        <v>114</v>
      </c>
      <c r="H58" s="181"/>
      <c r="I58" s="231"/>
      <c r="J58" s="337"/>
      <c r="K58" s="332"/>
      <c r="L58" s="332"/>
      <c r="M58" s="333">
        <f t="shared" si="1"/>
        <v>0</v>
      </c>
      <c r="N58" s="334">
        <v>3</v>
      </c>
      <c r="O58" s="224">
        <v>12543.8</v>
      </c>
      <c r="P58" s="224">
        <v>12543.8</v>
      </c>
      <c r="Q58" s="232">
        <f t="shared" si="2"/>
        <v>0</v>
      </c>
    </row>
    <row r="59" spans="1:17" s="13" customFormat="1" x14ac:dyDescent="0.25">
      <c r="A59" s="229"/>
      <c r="B59" s="30" t="s">
        <v>492</v>
      </c>
      <c r="C59" s="181" t="s">
        <v>17</v>
      </c>
      <c r="D59" s="182"/>
      <c r="E59" s="183" t="s">
        <v>20</v>
      </c>
      <c r="F59" s="73" t="s">
        <v>499</v>
      </c>
      <c r="G59" s="230" t="s">
        <v>112</v>
      </c>
      <c r="H59" s="181">
        <v>10</v>
      </c>
      <c r="I59" s="231">
        <v>8</v>
      </c>
      <c r="J59" s="337">
        <f>1+8</f>
        <v>9</v>
      </c>
      <c r="K59" s="332">
        <f>1044.98+2096.62</f>
        <v>3141.6</v>
      </c>
      <c r="L59" s="332">
        <f>1044.98+2096.62</f>
        <v>3141.6</v>
      </c>
      <c r="M59" s="333">
        <f t="shared" si="1"/>
        <v>0</v>
      </c>
      <c r="N59" s="334"/>
      <c r="O59" s="224"/>
      <c r="P59" s="224"/>
      <c r="Q59" s="79">
        <f t="shared" si="2"/>
        <v>0</v>
      </c>
    </row>
    <row r="60" spans="1:17" s="13" customFormat="1" x14ac:dyDescent="0.25">
      <c r="A60" s="229"/>
      <c r="B60" s="27" t="s">
        <v>45</v>
      </c>
      <c r="C60" s="181" t="s">
        <v>17</v>
      </c>
      <c r="D60" s="182"/>
      <c r="E60" s="183" t="s">
        <v>20</v>
      </c>
      <c r="F60" s="73" t="s">
        <v>346</v>
      </c>
      <c r="G60" s="74" t="s">
        <v>112</v>
      </c>
      <c r="H60" s="75"/>
      <c r="I60" s="76"/>
      <c r="J60" s="335"/>
      <c r="K60" s="332"/>
      <c r="L60" s="332"/>
      <c r="M60" s="333">
        <f t="shared" si="1"/>
        <v>0</v>
      </c>
      <c r="N60" s="334">
        <f>1</f>
        <v>1</v>
      </c>
      <c r="O60" s="81">
        <f>17995.91+2729.8</f>
        <v>20725.71</v>
      </c>
      <c r="P60" s="81">
        <f>17995.91+2729.8</f>
        <v>20725.71</v>
      </c>
      <c r="Q60" s="79">
        <f t="shared" si="2"/>
        <v>0</v>
      </c>
    </row>
    <row r="61" spans="1:17" s="13" customFormat="1" x14ac:dyDescent="0.25">
      <c r="A61" s="229"/>
      <c r="B61" s="27" t="s">
        <v>45</v>
      </c>
      <c r="C61" s="181" t="s">
        <v>17</v>
      </c>
      <c r="D61" s="182"/>
      <c r="E61" s="183" t="s">
        <v>20</v>
      </c>
      <c r="F61" s="73" t="s">
        <v>484</v>
      </c>
      <c r="G61" s="230" t="s">
        <v>114</v>
      </c>
      <c r="H61" s="181"/>
      <c r="I61" s="231"/>
      <c r="J61" s="337"/>
      <c r="K61" s="332"/>
      <c r="L61" s="332"/>
      <c r="M61" s="333">
        <f t="shared" si="1"/>
        <v>0</v>
      </c>
      <c r="N61" s="334"/>
      <c r="O61" s="224"/>
      <c r="P61" s="224"/>
      <c r="Q61" s="232">
        <f t="shared" si="2"/>
        <v>0</v>
      </c>
    </row>
    <row r="62" spans="1:17" s="15" customFormat="1" x14ac:dyDescent="0.25">
      <c r="A62" s="229"/>
      <c r="B62" s="27" t="s">
        <v>46</v>
      </c>
      <c r="C62" s="181" t="s">
        <v>17</v>
      </c>
      <c r="D62" s="182"/>
      <c r="E62" s="183" t="s">
        <v>20</v>
      </c>
      <c r="F62" s="73" t="s">
        <v>347</v>
      </c>
      <c r="G62" s="74" t="s">
        <v>112</v>
      </c>
      <c r="H62" s="75">
        <v>23</v>
      </c>
      <c r="I62" s="76">
        <v>20</v>
      </c>
      <c r="J62" s="335">
        <f>1+2+3+2+4+1+4+2+1+5+1+1+4+1+4</f>
        <v>36</v>
      </c>
      <c r="K62" s="332">
        <f>1045.98+1068.08+8157.32+1778.85+9152.67+11156.63+11271.63+1490.2+9025.41+10714.36+1457.08+12068.04+1457.08</f>
        <v>79843.33</v>
      </c>
      <c r="L62" s="332">
        <f>1045.98+1068.08+8157.32+1778.85+9152.67+11156.63+11271.63+1490.2+9025.41+10714.36+1457.08+12068.04+1457.08</f>
        <v>79843.33</v>
      </c>
      <c r="M62" s="333">
        <f t="shared" si="1"/>
        <v>0</v>
      </c>
      <c r="N62" s="334">
        <f>4+4+1+1+1+2</f>
        <v>13</v>
      </c>
      <c r="O62" s="81">
        <f>10759.2+10685.34+7362.04+22509.72</f>
        <v>51316.3</v>
      </c>
      <c r="P62" s="81">
        <f>10759.2+10685.34+7362.04+22509.72</f>
        <v>51316.3</v>
      </c>
      <c r="Q62" s="79">
        <f t="shared" si="2"/>
        <v>0</v>
      </c>
    </row>
    <row r="63" spans="1:17" s="15" customFormat="1" x14ac:dyDescent="0.25">
      <c r="A63" s="229"/>
      <c r="B63" s="27" t="s">
        <v>46</v>
      </c>
      <c r="C63" s="181" t="s">
        <v>17</v>
      </c>
      <c r="D63" s="182"/>
      <c r="E63" s="183" t="s">
        <v>20</v>
      </c>
      <c r="F63" s="73" t="s">
        <v>273</v>
      </c>
      <c r="G63" s="230" t="s">
        <v>114</v>
      </c>
      <c r="H63" s="181">
        <v>6</v>
      </c>
      <c r="I63" s="231">
        <v>2</v>
      </c>
      <c r="J63" s="337">
        <v>2</v>
      </c>
      <c r="K63" s="332">
        <v>576.29999999999995</v>
      </c>
      <c r="L63" s="332">
        <v>576.29999999999995</v>
      </c>
      <c r="M63" s="333">
        <f t="shared" si="1"/>
        <v>0</v>
      </c>
      <c r="N63" s="334">
        <v>3</v>
      </c>
      <c r="O63" s="224">
        <v>9356.9</v>
      </c>
      <c r="P63" s="224">
        <v>9356.9</v>
      </c>
      <c r="Q63" s="232">
        <f t="shared" si="2"/>
        <v>0</v>
      </c>
    </row>
    <row r="64" spans="1:17" s="13" customFormat="1" ht="45" x14ac:dyDescent="0.25">
      <c r="A64" s="229"/>
      <c r="B64" s="30" t="s">
        <v>47</v>
      </c>
      <c r="C64" s="181" t="s">
        <v>304</v>
      </c>
      <c r="D64" s="182" t="s">
        <v>474</v>
      </c>
      <c r="E64" s="183" t="s">
        <v>18</v>
      </c>
      <c r="F64" s="73" t="s">
        <v>348</v>
      </c>
      <c r="G64" s="74" t="s">
        <v>112</v>
      </c>
      <c r="H64" s="75">
        <v>69</v>
      </c>
      <c r="I64" s="76">
        <v>54</v>
      </c>
      <c r="J64" s="331">
        <f>1+1+3+21+7+2+5+2+7+15+14+7+2+5+5+5</f>
        <v>102</v>
      </c>
      <c r="K64" s="332">
        <f>30728.27+19236.99+22614.7+52735.68+23845.61+7108.96+19683.78</f>
        <v>175953.99</v>
      </c>
      <c r="L64" s="332">
        <f>30728.27+19236.99+22614.7+52735.68+23845.61+7108.96</f>
        <v>156270.21</v>
      </c>
      <c r="M64" s="333">
        <f t="shared" si="1"/>
        <v>19683.78</v>
      </c>
      <c r="N64" s="334">
        <f>7+3+4+10+6+1+2+1+3+2+5+1+2</f>
        <v>47</v>
      </c>
      <c r="O64" s="81">
        <f>8477.51+15159.83+14079.46+15414.2+17995.91+2065.56+1859.53+9543.86+1728.53+14526.84+19728.1+2207.7</f>
        <v>122787.02999999998</v>
      </c>
      <c r="P64" s="81">
        <f>8477.51+15159.83+14079.46+15414.2+17995.91+2065.56+1859.53+9543.86+1728.53+14526.84+19728.1+2207.7</f>
        <v>122787.02999999998</v>
      </c>
      <c r="Q64" s="79">
        <f t="shared" si="2"/>
        <v>0</v>
      </c>
    </row>
    <row r="65" spans="1:17" s="13" customFormat="1" ht="45" x14ac:dyDescent="0.25">
      <c r="A65" s="229">
        <v>22</v>
      </c>
      <c r="B65" s="62" t="s">
        <v>120</v>
      </c>
      <c r="C65" s="181" t="s">
        <v>304</v>
      </c>
      <c r="D65" s="182" t="s">
        <v>474</v>
      </c>
      <c r="E65" s="183" t="s">
        <v>18</v>
      </c>
      <c r="F65" s="73" t="s">
        <v>334</v>
      </c>
      <c r="G65" s="230" t="s">
        <v>116</v>
      </c>
      <c r="H65" s="181">
        <v>36</v>
      </c>
      <c r="I65" s="234">
        <v>27</v>
      </c>
      <c r="J65" s="331">
        <v>29</v>
      </c>
      <c r="K65" s="332">
        <v>44680</v>
      </c>
      <c r="L65" s="332">
        <v>44680</v>
      </c>
      <c r="M65" s="333">
        <f t="shared" si="1"/>
        <v>0</v>
      </c>
      <c r="N65" s="334">
        <v>15</v>
      </c>
      <c r="O65" s="224">
        <v>60831</v>
      </c>
      <c r="P65" s="224">
        <v>60831</v>
      </c>
      <c r="Q65" s="232">
        <f t="shared" si="2"/>
        <v>0</v>
      </c>
    </row>
    <row r="66" spans="1:17" s="13" customFormat="1" x14ac:dyDescent="0.25">
      <c r="A66" s="229"/>
      <c r="B66" s="30" t="s">
        <v>134</v>
      </c>
      <c r="C66" s="181" t="s">
        <v>17</v>
      </c>
      <c r="D66" s="182"/>
      <c r="E66" s="183" t="s">
        <v>20</v>
      </c>
      <c r="F66" s="73" t="s">
        <v>349</v>
      </c>
      <c r="G66" s="74" t="s">
        <v>112</v>
      </c>
      <c r="H66" s="75">
        <v>24</v>
      </c>
      <c r="I66" s="76">
        <v>23</v>
      </c>
      <c r="J66" s="335">
        <f>1+4+1+1+2+1+1+7+1+1+2+1</f>
        <v>23</v>
      </c>
      <c r="K66" s="332">
        <f>7301.48+1473.89+1911.09+1690.48+845.24+6268.51+441.51+1983.45+3361.83+883.11+2668.51+2972.45+3953.39+2549.89+1534.35+1092.81</f>
        <v>40931.99</v>
      </c>
      <c r="L66" s="332">
        <f>7301.48+1473.89+1911.09+1690.48+845.24+6268.51+441.51+1983.45+3361.83+883.11+2668.51+2972.45+3953.39+2549.89+1534.35</f>
        <v>39839.18</v>
      </c>
      <c r="M66" s="333">
        <f t="shared" si="1"/>
        <v>1092.8099999999977</v>
      </c>
      <c r="N66" s="334">
        <f>4+1+1+1+1+1</f>
        <v>9</v>
      </c>
      <c r="O66" s="81">
        <f>5020.05+3215.31+12312.39+4648.82+32425.98+7889.42+3294.46</f>
        <v>68806.430000000008</v>
      </c>
      <c r="P66" s="81">
        <f>5020.05+3215.31+12312.39+4648.82+32425.98+7889.42+3294.46</f>
        <v>68806.430000000008</v>
      </c>
      <c r="Q66" s="79">
        <f t="shared" si="2"/>
        <v>0</v>
      </c>
    </row>
    <row r="67" spans="1:17" s="13" customFormat="1" x14ac:dyDescent="0.25">
      <c r="A67" s="229"/>
      <c r="B67" s="30" t="s">
        <v>134</v>
      </c>
      <c r="C67" s="181" t="s">
        <v>17</v>
      </c>
      <c r="D67" s="182"/>
      <c r="E67" s="183" t="s">
        <v>20</v>
      </c>
      <c r="F67" s="73" t="s">
        <v>456</v>
      </c>
      <c r="G67" s="230" t="s">
        <v>114</v>
      </c>
      <c r="H67" s="181">
        <v>30</v>
      </c>
      <c r="I67" s="231">
        <v>12</v>
      </c>
      <c r="J67" s="337">
        <v>12</v>
      </c>
      <c r="K67" s="332">
        <v>18987.419999999998</v>
      </c>
      <c r="L67" s="332">
        <v>18987.419999999998</v>
      </c>
      <c r="M67" s="333">
        <f t="shared" si="1"/>
        <v>0</v>
      </c>
      <c r="N67" s="334">
        <v>27</v>
      </c>
      <c r="O67" s="224">
        <v>61494.8</v>
      </c>
      <c r="P67" s="224">
        <v>61494.8</v>
      </c>
      <c r="Q67" s="232">
        <f t="shared" si="2"/>
        <v>0</v>
      </c>
    </row>
    <row r="68" spans="1:17" s="13" customFormat="1" x14ac:dyDescent="0.25">
      <c r="A68" s="229"/>
      <c r="B68" s="62" t="s">
        <v>48</v>
      </c>
      <c r="C68" s="181" t="s">
        <v>17</v>
      </c>
      <c r="D68" s="182"/>
      <c r="E68" s="183" t="s">
        <v>20</v>
      </c>
      <c r="F68" s="73" t="s">
        <v>350</v>
      </c>
      <c r="G68" s="74" t="s">
        <v>112</v>
      </c>
      <c r="H68" s="75">
        <v>24</v>
      </c>
      <c r="I68" s="76">
        <v>14</v>
      </c>
      <c r="J68" s="335">
        <f>1+1+2+1+3+2+6+3+2</f>
        <v>21</v>
      </c>
      <c r="K68" s="332">
        <f>4805.96+2585.78+3065.92+2588.55+14407.5+9289.05+3030.73+11469.98+21400.25</f>
        <v>72643.72</v>
      </c>
      <c r="L68" s="332">
        <f>4805.96+2585.78+3065.92+2588.55+14407.5+9289.05+3030.73+11469.98+21400.25</f>
        <v>72643.72</v>
      </c>
      <c r="M68" s="333">
        <f t="shared" si="1"/>
        <v>0</v>
      </c>
      <c r="N68" s="334">
        <f>2+1+2+1+3+2</f>
        <v>11</v>
      </c>
      <c r="O68" s="81">
        <f>23174.33+2535.72+11633.02+6993.42+20756.4+5079.09</f>
        <v>70171.98000000001</v>
      </c>
      <c r="P68" s="81">
        <f>23174.33+2535.72+11633.02+6993.42+20756.4+5079.09</f>
        <v>70171.98000000001</v>
      </c>
      <c r="Q68" s="79">
        <f t="shared" si="2"/>
        <v>0</v>
      </c>
    </row>
    <row r="69" spans="1:17" s="13" customFormat="1" x14ac:dyDescent="0.25">
      <c r="A69" s="229"/>
      <c r="B69" s="62" t="s">
        <v>49</v>
      </c>
      <c r="C69" s="181" t="s">
        <v>17</v>
      </c>
      <c r="D69" s="182"/>
      <c r="E69" s="183" t="s">
        <v>50</v>
      </c>
      <c r="F69" s="73" t="s">
        <v>351</v>
      </c>
      <c r="G69" s="74" t="s">
        <v>112</v>
      </c>
      <c r="H69" s="75">
        <v>31</v>
      </c>
      <c r="I69" s="76">
        <v>29</v>
      </c>
      <c r="J69" s="335">
        <f>1+4+8+6+5+1+2+2+5+3</f>
        <v>37</v>
      </c>
      <c r="K69" s="332">
        <f>525.65+1267.86+6544.72+13939.57+2896.54+9712.48+14471.86+991.75+8615.66+5704.78</f>
        <v>64670.869999999995</v>
      </c>
      <c r="L69" s="332">
        <f>525.65+1267.86+6544.72+13939.57+2896.54+9712.48+14471.86+991.75+8615.66+5704.78</f>
        <v>64670.869999999995</v>
      </c>
      <c r="M69" s="333">
        <f t="shared" si="1"/>
        <v>0</v>
      </c>
      <c r="N69" s="334">
        <f>5+1+3+1+1+1+1+1</f>
        <v>14</v>
      </c>
      <c r="O69" s="81">
        <f>7374+1806.93+7275.53+4666.9+2684.03+6682.03+10412.84+2217.14</f>
        <v>43119.399999999994</v>
      </c>
      <c r="P69" s="81">
        <f>7374+1806.93+7275.53+4666.9+2684.03+6682.03+10412.84</f>
        <v>40902.259999999995</v>
      </c>
      <c r="Q69" s="232">
        <f t="shared" si="2"/>
        <v>2217.1399999999994</v>
      </c>
    </row>
    <row r="70" spans="1:17" s="13" customFormat="1" x14ac:dyDescent="0.25">
      <c r="A70" s="229"/>
      <c r="B70" s="62" t="s">
        <v>49</v>
      </c>
      <c r="C70" s="181" t="s">
        <v>17</v>
      </c>
      <c r="D70" s="182"/>
      <c r="E70" s="183" t="s">
        <v>50</v>
      </c>
      <c r="F70" s="73" t="s">
        <v>427</v>
      </c>
      <c r="G70" s="230" t="s">
        <v>115</v>
      </c>
      <c r="H70" s="181">
        <v>20</v>
      </c>
      <c r="I70" s="231">
        <v>8</v>
      </c>
      <c r="J70" s="335">
        <v>8</v>
      </c>
      <c r="K70" s="332">
        <v>16546.13</v>
      </c>
      <c r="L70" s="332">
        <v>14739.83</v>
      </c>
      <c r="M70" s="333">
        <f t="shared" si="1"/>
        <v>1806.3000000000011</v>
      </c>
      <c r="N70" s="334">
        <v>12</v>
      </c>
      <c r="O70" s="224">
        <v>26290.400000000001</v>
      </c>
      <c r="P70" s="224">
        <v>25688.3</v>
      </c>
      <c r="Q70" s="79">
        <f t="shared" si="2"/>
        <v>602.10000000000218</v>
      </c>
    </row>
    <row r="71" spans="1:17" s="13" customFormat="1" x14ac:dyDescent="0.25">
      <c r="A71" s="229"/>
      <c r="B71" s="27" t="s">
        <v>51</v>
      </c>
      <c r="C71" s="181" t="s">
        <v>17</v>
      </c>
      <c r="D71" s="182"/>
      <c r="E71" s="183" t="s">
        <v>20</v>
      </c>
      <c r="F71" s="73" t="s">
        <v>186</v>
      </c>
      <c r="G71" s="74" t="s">
        <v>112</v>
      </c>
      <c r="H71" s="75"/>
      <c r="I71" s="76"/>
      <c r="J71" s="335"/>
      <c r="K71" s="332"/>
      <c r="L71" s="332"/>
      <c r="M71" s="333">
        <f t="shared" si="1"/>
        <v>0</v>
      </c>
      <c r="N71" s="334">
        <f>1</f>
        <v>1</v>
      </c>
      <c r="O71" s="81">
        <v>2451.87</v>
      </c>
      <c r="P71" s="81">
        <v>2451.87</v>
      </c>
      <c r="Q71" s="232">
        <f t="shared" si="2"/>
        <v>0</v>
      </c>
    </row>
    <row r="72" spans="1:17" s="13" customFormat="1" x14ac:dyDescent="0.25">
      <c r="A72" s="229"/>
      <c r="B72" s="27" t="s">
        <v>51</v>
      </c>
      <c r="C72" s="181" t="s">
        <v>17</v>
      </c>
      <c r="D72" s="182"/>
      <c r="E72" s="183" t="s">
        <v>20</v>
      </c>
      <c r="F72" s="73" t="s">
        <v>276</v>
      </c>
      <c r="G72" s="230" t="s">
        <v>114</v>
      </c>
      <c r="H72" s="181"/>
      <c r="I72" s="231"/>
      <c r="J72" s="337"/>
      <c r="K72" s="332"/>
      <c r="L72" s="332"/>
      <c r="M72" s="333">
        <f t="shared" si="1"/>
        <v>0</v>
      </c>
      <c r="N72" s="334">
        <v>3</v>
      </c>
      <c r="O72" s="224">
        <v>6763.6</v>
      </c>
      <c r="P72" s="224">
        <v>6763.6</v>
      </c>
      <c r="Q72" s="232">
        <f t="shared" si="2"/>
        <v>0</v>
      </c>
    </row>
    <row r="73" spans="1:17" s="13" customFormat="1" x14ac:dyDescent="0.25">
      <c r="A73" s="229"/>
      <c r="B73" s="62" t="s">
        <v>52</v>
      </c>
      <c r="C73" s="181" t="s">
        <v>17</v>
      </c>
      <c r="D73" s="182"/>
      <c r="E73" s="183" t="s">
        <v>20</v>
      </c>
      <c r="F73" s="73" t="s">
        <v>352</v>
      </c>
      <c r="G73" s="74" t="s">
        <v>112</v>
      </c>
      <c r="H73" s="75">
        <v>16</v>
      </c>
      <c r="I73" s="76">
        <v>13</v>
      </c>
      <c r="J73" s="335">
        <f>1+1+1+1+2+3+1+1+1+2+1+1</f>
        <v>16</v>
      </c>
      <c r="K73" s="332">
        <f>10714.2+2747.14+2138.07+6709.4+7033.21+883.08+708.47+8516.02+1766.16</f>
        <v>41215.75</v>
      </c>
      <c r="L73" s="332">
        <f>10714.2+2747.14+2138.07+6709.4+7033.21+883.08+708.47+8516.02+1766.16</f>
        <v>41215.75</v>
      </c>
      <c r="M73" s="333">
        <f t="shared" si="1"/>
        <v>0</v>
      </c>
      <c r="N73" s="334">
        <f>4+3+1+1+2+3+1+1+2+1</f>
        <v>19</v>
      </c>
      <c r="O73" s="81">
        <f>5977.15+48296.91+7596.86+1061.83+8902.9+6856.31+2935.36+8136.06+17654.09</f>
        <v>107417.47</v>
      </c>
      <c r="P73" s="81">
        <f>5977.15+48296.91+7596.86+1061.83+8902.9+6856.31+2935.36+8136.06+17654.09</f>
        <v>107417.47</v>
      </c>
      <c r="Q73" s="232">
        <f t="shared" si="2"/>
        <v>0</v>
      </c>
    </row>
    <row r="74" spans="1:17" s="13" customFormat="1" x14ac:dyDescent="0.25">
      <c r="A74" s="229"/>
      <c r="B74" s="62" t="s">
        <v>52</v>
      </c>
      <c r="C74" s="181" t="s">
        <v>17</v>
      </c>
      <c r="D74" s="182"/>
      <c r="E74" s="183" t="s">
        <v>20</v>
      </c>
      <c r="F74" s="73" t="s">
        <v>457</v>
      </c>
      <c r="G74" s="230" t="s">
        <v>114</v>
      </c>
      <c r="H74" s="181">
        <v>20</v>
      </c>
      <c r="I74" s="231">
        <v>6</v>
      </c>
      <c r="J74" s="337">
        <v>6</v>
      </c>
      <c r="K74" s="332">
        <v>19270.099999999999</v>
      </c>
      <c r="L74" s="332">
        <v>19270.099999999999</v>
      </c>
      <c r="M74" s="333">
        <f t="shared" si="1"/>
        <v>0</v>
      </c>
      <c r="N74" s="334">
        <v>23</v>
      </c>
      <c r="O74" s="264">
        <v>66614.92</v>
      </c>
      <c r="P74" s="264">
        <v>66614.92</v>
      </c>
      <c r="Q74" s="232">
        <f t="shared" si="2"/>
        <v>0</v>
      </c>
    </row>
    <row r="75" spans="1:17" s="13" customFormat="1" x14ac:dyDescent="0.25">
      <c r="A75" s="229"/>
      <c r="B75" s="27" t="s">
        <v>53</v>
      </c>
      <c r="C75" s="181" t="s">
        <v>17</v>
      </c>
      <c r="D75" s="182"/>
      <c r="E75" s="183" t="s">
        <v>20</v>
      </c>
      <c r="F75" s="73" t="s">
        <v>353</v>
      </c>
      <c r="G75" s="74" t="s">
        <v>112</v>
      </c>
      <c r="H75" s="75">
        <v>19</v>
      </c>
      <c r="I75" s="76">
        <v>12</v>
      </c>
      <c r="J75" s="335">
        <f>2+2+2+1+2+1+1+3+2</f>
        <v>16</v>
      </c>
      <c r="K75" s="332">
        <f>3655.66+6862.24+2535.72+3550.85+401.4+441.54+3534.2+10803.69</f>
        <v>31785.300000000003</v>
      </c>
      <c r="L75" s="332">
        <f>3655.66+6862.24+2535.72+3550.85+401.4+441.54+3534.2+10803.69</f>
        <v>31785.300000000003</v>
      </c>
      <c r="M75" s="333">
        <f t="shared" si="1"/>
        <v>0</v>
      </c>
      <c r="N75" s="334">
        <f>1+2+2+1+1+1+1</f>
        <v>9</v>
      </c>
      <c r="O75" s="81">
        <f>1743.3+3921.71+422.62+5626.45+37901.04</f>
        <v>49615.12</v>
      </c>
      <c r="P75" s="81">
        <f>1743.3+3921.71+422.62+5626.45+37901.04</f>
        <v>49615.12</v>
      </c>
      <c r="Q75" s="232">
        <f t="shared" si="2"/>
        <v>0</v>
      </c>
    </row>
    <row r="76" spans="1:17" s="13" customFormat="1" x14ac:dyDescent="0.25">
      <c r="A76" s="229"/>
      <c r="B76" s="27" t="s">
        <v>149</v>
      </c>
      <c r="C76" s="181" t="s">
        <v>17</v>
      </c>
      <c r="D76" s="182"/>
      <c r="E76" s="183" t="s">
        <v>383</v>
      </c>
      <c r="F76" s="73" t="s">
        <v>354</v>
      </c>
      <c r="G76" s="74" t="s">
        <v>112</v>
      </c>
      <c r="H76" s="75">
        <v>46</v>
      </c>
      <c r="I76" s="76">
        <v>33</v>
      </c>
      <c r="J76" s="335">
        <f>7+3+3+7+4+6</f>
        <v>30</v>
      </c>
      <c r="K76" s="332">
        <f>7743.07+4386.1+10376.2+18444.03+9897.12+13372.35</f>
        <v>64218.87</v>
      </c>
      <c r="L76" s="332">
        <f>7743.07+4386.1+10376.2+18444.03+9897.12</f>
        <v>50846.520000000004</v>
      </c>
      <c r="M76" s="333">
        <f t="shared" si="1"/>
        <v>13372.349999999999</v>
      </c>
      <c r="N76" s="334">
        <f>2+2+2+1+8</f>
        <v>15</v>
      </c>
      <c r="O76" s="81">
        <f>3676.8+3431.65+6320.35+4068.03</f>
        <v>17496.830000000002</v>
      </c>
      <c r="P76" s="81">
        <f>3676.8+3431.65+6320.35+4068.03</f>
        <v>17496.830000000002</v>
      </c>
      <c r="Q76" s="79">
        <f t="shared" si="2"/>
        <v>0</v>
      </c>
    </row>
    <row r="77" spans="1:17" s="13" customFormat="1" x14ac:dyDescent="0.25">
      <c r="A77" s="229"/>
      <c r="B77" s="27" t="s">
        <v>149</v>
      </c>
      <c r="C77" s="181" t="s">
        <v>17</v>
      </c>
      <c r="D77" s="182"/>
      <c r="E77" s="183" t="s">
        <v>383</v>
      </c>
      <c r="F77" s="73" t="s">
        <v>438</v>
      </c>
      <c r="G77" s="230" t="s">
        <v>118</v>
      </c>
      <c r="H77" s="181">
        <v>22</v>
      </c>
      <c r="I77" s="234">
        <v>3</v>
      </c>
      <c r="J77" s="337">
        <v>3</v>
      </c>
      <c r="K77" s="339">
        <v>3988.2</v>
      </c>
      <c r="L77" s="339">
        <v>3988.2</v>
      </c>
      <c r="M77" s="333">
        <f t="shared" si="1"/>
        <v>0</v>
      </c>
      <c r="N77" s="338">
        <v>10</v>
      </c>
      <c r="O77" s="224">
        <v>9835.52</v>
      </c>
      <c r="P77" s="224">
        <v>9835.52</v>
      </c>
      <c r="Q77" s="232">
        <f t="shared" si="2"/>
        <v>0</v>
      </c>
    </row>
    <row r="78" spans="1:17" s="13" customFormat="1" x14ac:dyDescent="0.25">
      <c r="A78" s="229"/>
      <c r="B78" s="62" t="s">
        <v>107</v>
      </c>
      <c r="C78" s="181" t="s">
        <v>17</v>
      </c>
      <c r="D78" s="182"/>
      <c r="E78" s="194" t="s">
        <v>20</v>
      </c>
      <c r="F78" s="73" t="s">
        <v>355</v>
      </c>
      <c r="G78" s="74" t="s">
        <v>112</v>
      </c>
      <c r="H78" s="75">
        <v>24</v>
      </c>
      <c r="I78" s="76">
        <v>18</v>
      </c>
      <c r="J78" s="335">
        <f>1+3+3+2+1+2+1+1+6+3</f>
        <v>23</v>
      </c>
      <c r="K78" s="332">
        <f>666.63+7071.2+5333.38+13316.37+23091.24+4686.95+2216.53+401.4+401.4+9002.54+7650.44+6933.89</f>
        <v>80771.970000000016</v>
      </c>
      <c r="L78" s="332">
        <f>666.63+7071.2+5333.38+13316.37+23091.24+4686.95+2216.53+401.4+401.4+9002.54+7650.44</f>
        <v>73838.080000000016</v>
      </c>
      <c r="M78" s="333">
        <f t="shared" ref="M78:M142" si="3">K78-L78</f>
        <v>6933.8899999999994</v>
      </c>
      <c r="N78" s="334">
        <f>2+6+1+1+2+1</f>
        <v>13</v>
      </c>
      <c r="O78" s="81">
        <f>7612.92+18804.48+9163.33+3260.98+6297.63+2609.1+642.24</f>
        <v>48390.68</v>
      </c>
      <c r="P78" s="81">
        <f>7612.92+18804.48+9163.33+3260.98+6297.63+2609.1+642.24</f>
        <v>48390.68</v>
      </c>
      <c r="Q78" s="79">
        <f t="shared" si="2"/>
        <v>0</v>
      </c>
    </row>
    <row r="79" spans="1:17" s="13" customFormat="1" x14ac:dyDescent="0.25">
      <c r="A79" s="229"/>
      <c r="B79" s="30" t="s">
        <v>54</v>
      </c>
      <c r="C79" s="181" t="s">
        <v>17</v>
      </c>
      <c r="D79" s="182"/>
      <c r="E79" s="194" t="s">
        <v>20</v>
      </c>
      <c r="F79" s="73" t="s">
        <v>356</v>
      </c>
      <c r="G79" s="74" t="s">
        <v>112</v>
      </c>
      <c r="H79" s="75"/>
      <c r="I79" s="76"/>
      <c r="J79" s="335"/>
      <c r="K79" s="332">
        <f>9075.37</f>
        <v>9075.3700000000008</v>
      </c>
      <c r="L79" s="332">
        <f>9075.37</f>
        <v>9075.3700000000008</v>
      </c>
      <c r="M79" s="333">
        <f t="shared" si="3"/>
        <v>0</v>
      </c>
      <c r="N79" s="334">
        <f>4+1+1+2+1</f>
        <v>9</v>
      </c>
      <c r="O79" s="81">
        <f>17895.28+17443.73+5473.41+2994.97</f>
        <v>43807.39</v>
      </c>
      <c r="P79" s="81">
        <f>17895.28+17443.73+5473.41+2994.97</f>
        <v>43807.39</v>
      </c>
      <c r="Q79" s="79">
        <f t="shared" si="2"/>
        <v>0</v>
      </c>
    </row>
    <row r="80" spans="1:17" s="13" customFormat="1" ht="30" x14ac:dyDescent="0.25">
      <c r="A80" s="229"/>
      <c r="B80" s="27" t="s">
        <v>55</v>
      </c>
      <c r="C80" s="181" t="s">
        <v>304</v>
      </c>
      <c r="D80" s="182" t="s">
        <v>387</v>
      </c>
      <c r="E80" s="183" t="s">
        <v>20</v>
      </c>
      <c r="F80" s="73" t="s">
        <v>357</v>
      </c>
      <c r="G80" s="74" t="s">
        <v>112</v>
      </c>
      <c r="H80" s="75">
        <v>34</v>
      </c>
      <c r="I80" s="76">
        <v>28</v>
      </c>
      <c r="J80" s="331">
        <f>3+1+1+2+1+1+1+3+3+1+3+1+3+3+3+1+3</f>
        <v>34</v>
      </c>
      <c r="K80" s="332">
        <f>1267.86+6667.8+5756.15+1180.38+4780.37+4352.43+2850.42+2493.42+1404.9+10097.91+883.08+8774.66+2561.63+8797.67+1858.48+3871.8</f>
        <v>67598.960000000006</v>
      </c>
      <c r="L80" s="332">
        <f>1267.86+6667.8+5756.15+1180.38+4780.37+4352.43+2850.42+2493.42+1404.9+10097.91+883.08+8774.66+2561.63+8797.67</f>
        <v>61868.68</v>
      </c>
      <c r="M80" s="333">
        <f t="shared" si="3"/>
        <v>5730.2800000000061</v>
      </c>
      <c r="N80" s="334">
        <f>2+1+2+2+2+1+2+1+1+1+1</f>
        <v>16</v>
      </c>
      <c r="O80" s="81">
        <f>34854.19+2113.1+6430.67+5463.42+39145.22+2535.72+5132.44+12985.86+3492.63</f>
        <v>112153.25000000001</v>
      </c>
      <c r="P80" s="81">
        <f>34854.19+2113.1+6430.67+5463.42+39145.22+2535.72+5132.44+12985.86+3492.63</f>
        <v>112153.25000000001</v>
      </c>
      <c r="Q80" s="232">
        <f t="shared" si="2"/>
        <v>0</v>
      </c>
    </row>
    <row r="81" spans="1:17" s="13" customFormat="1" ht="30" x14ac:dyDescent="0.25">
      <c r="A81" s="229"/>
      <c r="B81" s="62" t="s">
        <v>56</v>
      </c>
      <c r="C81" s="181" t="s">
        <v>17</v>
      </c>
      <c r="D81" s="182" t="s">
        <v>386</v>
      </c>
      <c r="E81" s="183" t="s">
        <v>18</v>
      </c>
      <c r="F81" s="73" t="s">
        <v>358</v>
      </c>
      <c r="G81" s="74" t="s">
        <v>112</v>
      </c>
      <c r="H81" s="75">
        <v>14</v>
      </c>
      <c r="I81" s="76">
        <v>12</v>
      </c>
      <c r="J81" s="335">
        <f>1+1+2+2+5+1</f>
        <v>12</v>
      </c>
      <c r="K81" s="332">
        <f>678.11+678.11+4865.7+5265.72+4915.15+2243.02</f>
        <v>18645.810000000001</v>
      </c>
      <c r="L81" s="332">
        <f>678.11+678.11+4865.7+5265.72+4915.15+2243.02</f>
        <v>18645.810000000001</v>
      </c>
      <c r="M81" s="333">
        <f t="shared" si="3"/>
        <v>0</v>
      </c>
      <c r="N81" s="334">
        <f>1</f>
        <v>1</v>
      </c>
      <c r="O81" s="81">
        <f>4395.5</f>
        <v>4395.5</v>
      </c>
      <c r="P81" s="81">
        <f>4395.5</f>
        <v>4395.5</v>
      </c>
      <c r="Q81" s="79">
        <f t="shared" si="2"/>
        <v>0</v>
      </c>
    </row>
    <row r="82" spans="1:17" s="13" customFormat="1" ht="30" x14ac:dyDescent="0.25">
      <c r="A82" s="229"/>
      <c r="B82" s="62" t="s">
        <v>56</v>
      </c>
      <c r="C82" s="181" t="s">
        <v>304</v>
      </c>
      <c r="D82" s="182" t="s">
        <v>386</v>
      </c>
      <c r="E82" s="183" t="s">
        <v>18</v>
      </c>
      <c r="F82" s="73" t="s">
        <v>476</v>
      </c>
      <c r="G82" s="230" t="s">
        <v>113</v>
      </c>
      <c r="H82" s="181">
        <v>14</v>
      </c>
      <c r="I82" s="234">
        <v>11</v>
      </c>
      <c r="J82" s="331">
        <v>13</v>
      </c>
      <c r="K82" s="332">
        <v>20460</v>
      </c>
      <c r="L82" s="332">
        <v>20460</v>
      </c>
      <c r="M82" s="333">
        <f t="shared" si="3"/>
        <v>0</v>
      </c>
      <c r="N82" s="334"/>
      <c r="O82" s="224">
        <v>7612</v>
      </c>
      <c r="P82" s="224">
        <v>7612</v>
      </c>
      <c r="Q82" s="232">
        <f t="shared" ref="Q82:Q148" si="4">O82-P82</f>
        <v>0</v>
      </c>
    </row>
    <row r="83" spans="1:17" s="13" customFormat="1" x14ac:dyDescent="0.25">
      <c r="A83" s="229"/>
      <c r="B83" s="62" t="s">
        <v>156</v>
      </c>
      <c r="C83" s="181" t="s">
        <v>304</v>
      </c>
      <c r="D83" s="182"/>
      <c r="E83" s="183" t="s">
        <v>20</v>
      </c>
      <c r="F83" s="73" t="s">
        <v>359</v>
      </c>
      <c r="G83" s="74" t="s">
        <v>112</v>
      </c>
      <c r="H83" s="75">
        <v>5</v>
      </c>
      <c r="I83" s="76">
        <v>2</v>
      </c>
      <c r="J83" s="335">
        <f>2</f>
        <v>2</v>
      </c>
      <c r="K83" s="332">
        <f>1690.48+993.47</f>
        <v>2683.95</v>
      </c>
      <c r="L83" s="332">
        <f>1690.48+993.47</f>
        <v>2683.95</v>
      </c>
      <c r="M83" s="333">
        <f t="shared" si="3"/>
        <v>0</v>
      </c>
      <c r="N83" s="334">
        <f>3+1+1</f>
        <v>5</v>
      </c>
      <c r="O83" s="81">
        <f>5488.54+2398.37+422.62+1605.6</f>
        <v>9915.130000000001</v>
      </c>
      <c r="P83" s="81">
        <f>5488.54+2398.37+422.62+1605.6</f>
        <v>9915.130000000001</v>
      </c>
      <c r="Q83" s="79">
        <f t="shared" si="4"/>
        <v>0</v>
      </c>
    </row>
    <row r="84" spans="1:17" s="15" customFormat="1" x14ac:dyDescent="0.25">
      <c r="A84" s="229"/>
      <c r="B84" s="62" t="s">
        <v>57</v>
      </c>
      <c r="C84" s="181" t="s">
        <v>17</v>
      </c>
      <c r="D84" s="182"/>
      <c r="E84" s="183" t="s">
        <v>20</v>
      </c>
      <c r="F84" s="73" t="s">
        <v>360</v>
      </c>
      <c r="G84" s="74" t="s">
        <v>112</v>
      </c>
      <c r="H84" s="75">
        <v>9</v>
      </c>
      <c r="I84" s="76">
        <v>8</v>
      </c>
      <c r="J84" s="335">
        <f>2+1+1+2+2+1</f>
        <v>9</v>
      </c>
      <c r="K84" s="332">
        <f>806.82+1728.9+422.62+2958.34+863.01</f>
        <v>6779.6900000000005</v>
      </c>
      <c r="L84" s="332">
        <f>806.82+1728.9+422.62+2958.34+863.01</f>
        <v>6779.6900000000005</v>
      </c>
      <c r="M84" s="333">
        <f t="shared" si="3"/>
        <v>0</v>
      </c>
      <c r="N84" s="334">
        <f>2+1+1</f>
        <v>4</v>
      </c>
      <c r="O84" s="81">
        <f>2745.3</f>
        <v>2745.3</v>
      </c>
      <c r="P84" s="81">
        <f>2745.3</f>
        <v>2745.3</v>
      </c>
      <c r="Q84" s="232">
        <f t="shared" si="4"/>
        <v>0</v>
      </c>
    </row>
    <row r="85" spans="1:17" s="15" customFormat="1" x14ac:dyDescent="0.25">
      <c r="A85" s="229"/>
      <c r="B85" s="62" t="s">
        <v>57</v>
      </c>
      <c r="C85" s="181" t="s">
        <v>17</v>
      </c>
      <c r="D85" s="182"/>
      <c r="E85" s="183" t="s">
        <v>20</v>
      </c>
      <c r="F85" s="73" t="s">
        <v>458</v>
      </c>
      <c r="G85" s="230" t="s">
        <v>114</v>
      </c>
      <c r="H85" s="181">
        <v>45</v>
      </c>
      <c r="I85" s="231">
        <v>19</v>
      </c>
      <c r="J85" s="337">
        <v>19</v>
      </c>
      <c r="K85" s="332">
        <v>50821.97</v>
      </c>
      <c r="L85" s="332">
        <v>50821.97</v>
      </c>
      <c r="M85" s="333">
        <f t="shared" si="3"/>
        <v>0</v>
      </c>
      <c r="N85" s="334">
        <v>20</v>
      </c>
      <c r="O85" s="224">
        <v>42687.199999999997</v>
      </c>
      <c r="P85" s="224">
        <v>42687.199999999997</v>
      </c>
      <c r="Q85" s="232">
        <f t="shared" si="4"/>
        <v>0</v>
      </c>
    </row>
    <row r="86" spans="1:17" s="13" customFormat="1" x14ac:dyDescent="0.25">
      <c r="A86" s="229"/>
      <c r="B86" s="62" t="s">
        <v>58</v>
      </c>
      <c r="C86" s="181" t="s">
        <v>17</v>
      </c>
      <c r="D86" s="182"/>
      <c r="E86" s="183" t="s">
        <v>20</v>
      </c>
      <c r="F86" s="73" t="s">
        <v>361</v>
      </c>
      <c r="G86" s="74" t="s">
        <v>112</v>
      </c>
      <c r="H86" s="75">
        <v>13</v>
      </c>
      <c r="I86" s="76">
        <v>9</v>
      </c>
      <c r="J86" s="335">
        <f>1+2+1+1+1+1+2</f>
        <v>9</v>
      </c>
      <c r="K86" s="332">
        <f>1892.47+3118.94+422.62+1324.62+12755.56</f>
        <v>19514.21</v>
      </c>
      <c r="L86" s="332">
        <f>1892.47+3118.94+422.62+1324.62+12755.56</f>
        <v>19514.21</v>
      </c>
      <c r="M86" s="333">
        <f t="shared" si="3"/>
        <v>0</v>
      </c>
      <c r="N86" s="334">
        <f>1+1+3+1</f>
        <v>6</v>
      </c>
      <c r="O86" s="81">
        <f>9196.24+2480.78+2954.11+15214.32</f>
        <v>29845.45</v>
      </c>
      <c r="P86" s="81">
        <f>9196.24+2480.78+2954.11+15214.32</f>
        <v>29845.45</v>
      </c>
      <c r="Q86" s="232">
        <f t="shared" si="4"/>
        <v>0</v>
      </c>
    </row>
    <row r="87" spans="1:17" s="13" customFormat="1" x14ac:dyDescent="0.25">
      <c r="A87" s="229"/>
      <c r="B87" s="62" t="s">
        <v>58</v>
      </c>
      <c r="C87" s="181" t="s">
        <v>17</v>
      </c>
      <c r="D87" s="182"/>
      <c r="E87" s="183" t="s">
        <v>20</v>
      </c>
      <c r="F87" s="73" t="s">
        <v>478</v>
      </c>
      <c r="G87" s="230" t="s">
        <v>114</v>
      </c>
      <c r="H87" s="181">
        <v>15</v>
      </c>
      <c r="I87" s="231">
        <v>3</v>
      </c>
      <c r="J87" s="337">
        <v>3</v>
      </c>
      <c r="K87" s="332">
        <v>3765.16</v>
      </c>
      <c r="L87" s="332">
        <v>3765.16</v>
      </c>
      <c r="M87" s="333">
        <f t="shared" si="3"/>
        <v>0</v>
      </c>
      <c r="N87" s="334">
        <v>21</v>
      </c>
      <c r="O87" s="224">
        <v>54215.77</v>
      </c>
      <c r="P87" s="224">
        <v>54215.77</v>
      </c>
      <c r="Q87" s="232">
        <f t="shared" si="4"/>
        <v>0</v>
      </c>
    </row>
    <row r="88" spans="1:17" s="13" customFormat="1" x14ac:dyDescent="0.25">
      <c r="A88" s="229"/>
      <c r="B88" s="62" t="s">
        <v>59</v>
      </c>
      <c r="C88" s="181" t="s">
        <v>17</v>
      </c>
      <c r="D88" s="182"/>
      <c r="E88" s="183" t="s">
        <v>20</v>
      </c>
      <c r="F88" s="73" t="s">
        <v>362</v>
      </c>
      <c r="G88" s="74" t="s">
        <v>112</v>
      </c>
      <c r="H88" s="75">
        <v>16</v>
      </c>
      <c r="I88" s="76">
        <v>11</v>
      </c>
      <c r="J88" s="335">
        <f>1+1+1+3+1+1+2+1+1</f>
        <v>12</v>
      </c>
      <c r="K88" s="332">
        <f>403.41+1431.16+845.24+998.92+3059.87+5898.13+2379.46</f>
        <v>15016.189999999999</v>
      </c>
      <c r="L88" s="332">
        <f>403.41+1431.16+845.24+998.92+3059.87+5898.13+2379.46</f>
        <v>15016.189999999999</v>
      </c>
      <c r="M88" s="333">
        <f t="shared" si="3"/>
        <v>0</v>
      </c>
      <c r="N88" s="334">
        <f>1+2+2+1+1+1+1+1</f>
        <v>10</v>
      </c>
      <c r="O88" s="81">
        <f>6646.05+1267.86+979.71</f>
        <v>8893.619999999999</v>
      </c>
      <c r="P88" s="81">
        <f>2353.23+5561.68+978.71</f>
        <v>8893.619999999999</v>
      </c>
      <c r="Q88" s="232">
        <f t="shared" si="4"/>
        <v>0</v>
      </c>
    </row>
    <row r="89" spans="1:17" s="13" customFormat="1" x14ac:dyDescent="0.25">
      <c r="A89" s="229"/>
      <c r="B89" s="62" t="s">
        <v>59</v>
      </c>
      <c r="C89" s="181" t="s">
        <v>17</v>
      </c>
      <c r="D89" s="182"/>
      <c r="E89" s="183" t="s">
        <v>20</v>
      </c>
      <c r="F89" s="73" t="s">
        <v>128</v>
      </c>
      <c r="G89" s="230" t="s">
        <v>114</v>
      </c>
      <c r="H89" s="181"/>
      <c r="I89" s="231"/>
      <c r="J89" s="337"/>
      <c r="K89" s="332"/>
      <c r="L89" s="332"/>
      <c r="M89" s="333">
        <f t="shared" si="3"/>
        <v>0</v>
      </c>
      <c r="N89" s="334"/>
      <c r="O89" s="224"/>
      <c r="P89" s="224"/>
      <c r="Q89" s="232">
        <f t="shared" si="4"/>
        <v>0</v>
      </c>
    </row>
    <row r="90" spans="1:17" s="13" customFormat="1" x14ac:dyDescent="0.25">
      <c r="A90" s="229"/>
      <c r="B90" s="27" t="s">
        <v>60</v>
      </c>
      <c r="C90" s="181" t="s">
        <v>17</v>
      </c>
      <c r="D90" s="182"/>
      <c r="E90" s="183" t="s">
        <v>20</v>
      </c>
      <c r="F90" s="73" t="s">
        <v>364</v>
      </c>
      <c r="G90" s="74" t="s">
        <v>112</v>
      </c>
      <c r="H90" s="75">
        <v>22</v>
      </c>
      <c r="I90" s="76">
        <v>12</v>
      </c>
      <c r="J90" s="335">
        <f>1+1+1+4+4+2+2</f>
        <v>15</v>
      </c>
      <c r="K90" s="332">
        <f>634.93+893.27+2930.22+8503.46+16092.98</f>
        <v>29054.86</v>
      </c>
      <c r="L90" s="332">
        <f>634.93+893.27+2930.22+8503.46+16092.98</f>
        <v>29054.86</v>
      </c>
      <c r="M90" s="333">
        <f t="shared" si="3"/>
        <v>0</v>
      </c>
      <c r="N90" s="334">
        <f>4+1+3+1+1+2+2</f>
        <v>14</v>
      </c>
      <c r="O90" s="81">
        <f>15124.53+2065.75+8492.52+5828.3+7183.28</f>
        <v>38694.379999999997</v>
      </c>
      <c r="P90" s="81">
        <f>15124.53+2065.75+8492.52+5828.3+7183.28</f>
        <v>38694.379999999997</v>
      </c>
      <c r="Q90" s="232">
        <f t="shared" si="4"/>
        <v>0</v>
      </c>
    </row>
    <row r="91" spans="1:17" s="13" customFormat="1" x14ac:dyDescent="0.25">
      <c r="A91" s="229"/>
      <c r="B91" s="27" t="s">
        <v>60</v>
      </c>
      <c r="C91" s="181" t="s">
        <v>17</v>
      </c>
      <c r="D91" s="182"/>
      <c r="E91" s="183" t="s">
        <v>20</v>
      </c>
      <c r="F91" s="73" t="s">
        <v>479</v>
      </c>
      <c r="G91" s="230" t="s">
        <v>114</v>
      </c>
      <c r="H91" s="181">
        <v>17</v>
      </c>
      <c r="I91" s="231">
        <v>4</v>
      </c>
      <c r="J91" s="337">
        <v>4</v>
      </c>
      <c r="K91" s="332">
        <v>8197.2000000000007</v>
      </c>
      <c r="L91" s="332">
        <v>8197.2000000000007</v>
      </c>
      <c r="M91" s="333">
        <f t="shared" si="3"/>
        <v>0</v>
      </c>
      <c r="N91" s="334">
        <v>14</v>
      </c>
      <c r="O91" s="224">
        <v>44683.68</v>
      </c>
      <c r="P91" s="224">
        <v>44683.68</v>
      </c>
      <c r="Q91" s="232">
        <f t="shared" si="4"/>
        <v>0</v>
      </c>
    </row>
    <row r="92" spans="1:17" s="13" customFormat="1" x14ac:dyDescent="0.25">
      <c r="A92" s="229"/>
      <c r="B92" s="27" t="s">
        <v>493</v>
      </c>
      <c r="C92" s="181" t="s">
        <v>17</v>
      </c>
      <c r="D92" s="182"/>
      <c r="E92" s="183" t="s">
        <v>20</v>
      </c>
      <c r="F92" s="73" t="s">
        <v>496</v>
      </c>
      <c r="G92" s="230" t="s">
        <v>112</v>
      </c>
      <c r="H92" s="181">
        <v>18</v>
      </c>
      <c r="I92" s="231">
        <v>15</v>
      </c>
      <c r="J92" s="337">
        <f>3+2+1+3+1+2+1+3+3+1+1+1</f>
        <v>22</v>
      </c>
      <c r="K92" s="332">
        <f>3387.04+3467.41+1267.86+2218.74+8089.94+1924.71+5638.36+4883.04+2510.56+993.47+2561.63</f>
        <v>36942.759999999995</v>
      </c>
      <c r="L92" s="332">
        <f>3387.04+3467.41+1267.86+2218.74+8089.94+1924.71+5638.36+4883.04+2510.56+993.47</f>
        <v>34381.129999999997</v>
      </c>
      <c r="M92" s="333">
        <f t="shared" si="3"/>
        <v>2561.6299999999974</v>
      </c>
      <c r="N92" s="334"/>
      <c r="O92" s="224"/>
      <c r="P92" s="224"/>
      <c r="Q92" s="232">
        <f t="shared" si="4"/>
        <v>0</v>
      </c>
    </row>
    <row r="93" spans="1:17" s="15" customFormat="1" x14ac:dyDescent="0.25">
      <c r="A93" s="229"/>
      <c r="B93" s="27" t="s">
        <v>61</v>
      </c>
      <c r="C93" s="181" t="s">
        <v>17</v>
      </c>
      <c r="D93" s="182"/>
      <c r="E93" s="183" t="s">
        <v>20</v>
      </c>
      <c r="F93" s="73" t="s">
        <v>363</v>
      </c>
      <c r="G93" s="74" t="s">
        <v>112</v>
      </c>
      <c r="H93" s="75"/>
      <c r="I93" s="76"/>
      <c r="J93" s="335"/>
      <c r="K93" s="332"/>
      <c r="L93" s="332"/>
      <c r="M93" s="333">
        <f t="shared" si="3"/>
        <v>0</v>
      </c>
      <c r="N93" s="334"/>
      <c r="O93" s="81"/>
      <c r="P93" s="81"/>
      <c r="Q93" s="232">
        <f t="shared" si="4"/>
        <v>0</v>
      </c>
    </row>
    <row r="94" spans="1:17" s="15" customFormat="1" x14ac:dyDescent="0.25">
      <c r="A94" s="229"/>
      <c r="B94" s="236" t="s">
        <v>306</v>
      </c>
      <c r="C94" s="181" t="s">
        <v>17</v>
      </c>
      <c r="D94" s="182"/>
      <c r="E94" s="183" t="s">
        <v>35</v>
      </c>
      <c r="F94" s="73" t="s">
        <v>365</v>
      </c>
      <c r="G94" s="230" t="s">
        <v>112</v>
      </c>
      <c r="H94" s="181">
        <v>45</v>
      </c>
      <c r="I94" s="231">
        <v>34</v>
      </c>
      <c r="J94" s="337">
        <f>1+2+1+3+3+2+3+1+2+1+3+4+3+6+2</f>
        <v>37</v>
      </c>
      <c r="K94" s="332">
        <f>1045.98+2658.7+35696.14+4892.46+1024.04+2384.53+10793.24+5320.79+2075.24+1324.62+1192.16+2649.24+3973.86</f>
        <v>75031</v>
      </c>
      <c r="L94" s="332">
        <f>1045.98+2658.7+35696.14+4892.46+1024.04+2384.53+10793.24+5320.79+2075.24+1324.62+1192.16+2649.24+3973.86</f>
        <v>75031</v>
      </c>
      <c r="M94" s="333">
        <f t="shared" si="3"/>
        <v>0</v>
      </c>
      <c r="N94" s="338">
        <f>7+2+2+2+1+1+1+1</f>
        <v>17</v>
      </c>
      <c r="O94" s="224">
        <f>2313.84+6162.57+2330.32+1690.48+3706.14+3107.65+4960.7</f>
        <v>24271.7</v>
      </c>
      <c r="P94" s="224">
        <f>2313.84+6162.57+2330.32+1690.48+3706.14+3107.65+4960.7</f>
        <v>24271.7</v>
      </c>
      <c r="Q94" s="232">
        <f t="shared" si="4"/>
        <v>0</v>
      </c>
    </row>
    <row r="95" spans="1:17" s="13" customFormat="1" x14ac:dyDescent="0.25">
      <c r="A95" s="229"/>
      <c r="B95" s="62" t="s">
        <v>306</v>
      </c>
      <c r="C95" s="181" t="s">
        <v>17</v>
      </c>
      <c r="D95" s="182"/>
      <c r="E95" s="183" t="s">
        <v>27</v>
      </c>
      <c r="F95" s="73" t="s">
        <v>421</v>
      </c>
      <c r="G95" s="230" t="s">
        <v>117</v>
      </c>
      <c r="H95" s="181">
        <v>6</v>
      </c>
      <c r="I95" s="231">
        <v>2</v>
      </c>
      <c r="J95" s="335">
        <v>2</v>
      </c>
      <c r="K95" s="332">
        <v>5465.2</v>
      </c>
      <c r="L95" s="332"/>
      <c r="M95" s="333">
        <f t="shared" si="3"/>
        <v>5465.2</v>
      </c>
      <c r="N95" s="334"/>
      <c r="O95" s="77"/>
      <c r="P95" s="77"/>
      <c r="Q95" s="79">
        <f>O95-P95</f>
        <v>0</v>
      </c>
    </row>
    <row r="96" spans="1:17" s="13" customFormat="1" x14ac:dyDescent="0.25">
      <c r="A96" s="229"/>
      <c r="B96" s="27" t="s">
        <v>62</v>
      </c>
      <c r="C96" s="181" t="s">
        <v>17</v>
      </c>
      <c r="D96" s="182"/>
      <c r="E96" s="183" t="s">
        <v>35</v>
      </c>
      <c r="F96" s="73" t="s">
        <v>366</v>
      </c>
      <c r="G96" s="74" t="s">
        <v>112</v>
      </c>
      <c r="H96" s="75">
        <v>43</v>
      </c>
      <c r="I96" s="76">
        <v>34</v>
      </c>
      <c r="J96" s="335">
        <f>1+3+1+1+2+4+4+3+3+4+2+9</f>
        <v>37</v>
      </c>
      <c r="K96" s="332">
        <f>3613.4+1872.01+1394.65+3518.32+15902.72+5370.89+2686.97+19155.26+5281.5+2557.29</f>
        <v>61353.01</v>
      </c>
      <c r="L96" s="332">
        <f>3613.4+1872.01+1394.65+3518.32+15902.72+5370.89+2686.97+19155.26+5281.5+2557.29</f>
        <v>61353.01</v>
      </c>
      <c r="M96" s="333">
        <f t="shared" si="3"/>
        <v>0</v>
      </c>
      <c r="N96" s="334">
        <f>6+2+1+2+1+3+1+1</f>
        <v>17</v>
      </c>
      <c r="O96" s="81">
        <f>19511.33+1270.93+3979.74+2500.85+8530.18+845.24+12787.47+17476.07</f>
        <v>66901.81</v>
      </c>
      <c r="P96" s="81">
        <f>19511.33+1270.93+3979.74+2500.85+8530.18+845.24+12787.47+17476.07</f>
        <v>66901.81</v>
      </c>
      <c r="Q96" s="79">
        <f t="shared" si="4"/>
        <v>0</v>
      </c>
    </row>
    <row r="97" spans="1:17" s="13" customFormat="1" x14ac:dyDescent="0.25">
      <c r="A97" s="229"/>
      <c r="B97" s="27" t="s">
        <v>62</v>
      </c>
      <c r="C97" s="181" t="s">
        <v>17</v>
      </c>
      <c r="D97" s="182"/>
      <c r="E97" s="183" t="s">
        <v>35</v>
      </c>
      <c r="F97" s="73" t="s">
        <v>428</v>
      </c>
      <c r="G97" s="230" t="s">
        <v>117</v>
      </c>
      <c r="H97" s="181">
        <v>6</v>
      </c>
      <c r="I97" s="231"/>
      <c r="J97" s="335"/>
      <c r="K97" s="332"/>
      <c r="L97" s="332"/>
      <c r="M97" s="333">
        <f t="shared" si="3"/>
        <v>0</v>
      </c>
      <c r="N97" s="334">
        <v>10</v>
      </c>
      <c r="O97" s="224">
        <v>35030.800000000003</v>
      </c>
      <c r="P97" s="224">
        <v>35030.800000000003</v>
      </c>
      <c r="Q97" s="232">
        <f t="shared" si="4"/>
        <v>0</v>
      </c>
    </row>
    <row r="98" spans="1:17" s="13" customFormat="1" x14ac:dyDescent="0.25">
      <c r="A98" s="229"/>
      <c r="B98" s="27" t="s">
        <v>155</v>
      </c>
      <c r="C98" s="181" t="s">
        <v>17</v>
      </c>
      <c r="D98" s="182"/>
      <c r="E98" s="183" t="s">
        <v>20</v>
      </c>
      <c r="F98" s="73" t="s">
        <v>367</v>
      </c>
      <c r="G98" s="74" t="s">
        <v>112</v>
      </c>
      <c r="H98" s="75">
        <v>16</v>
      </c>
      <c r="I98" s="82">
        <v>10</v>
      </c>
      <c r="J98" s="335">
        <f>1+2+3+1+2+2+1+1+1</f>
        <v>14</v>
      </c>
      <c r="K98" s="332">
        <f>3117.56+2266.78+5307.72+3606.94+1494.21+6905.68+2817.8+364.27</f>
        <v>25880.960000000003</v>
      </c>
      <c r="L98" s="332">
        <f>3117.56+2266.78+5307.72+3606.94+1494.21+6905.68+2817.8+364.27</f>
        <v>25880.960000000003</v>
      </c>
      <c r="M98" s="333">
        <f t="shared" si="3"/>
        <v>0</v>
      </c>
      <c r="N98" s="334">
        <f>1+1+1+1+1</f>
        <v>5</v>
      </c>
      <c r="O98" s="81">
        <f>1798.06+2123.67+2959.73</f>
        <v>6881.46</v>
      </c>
      <c r="P98" s="81">
        <f>1798.06+2123.67+2959.73</f>
        <v>6881.46</v>
      </c>
      <c r="Q98" s="232">
        <f t="shared" si="4"/>
        <v>0</v>
      </c>
    </row>
    <row r="99" spans="1:17" s="13" customFormat="1" x14ac:dyDescent="0.25">
      <c r="A99" s="229"/>
      <c r="B99" s="27" t="s">
        <v>523</v>
      </c>
      <c r="C99" s="181"/>
      <c r="D99" s="182"/>
      <c r="E99" s="183"/>
      <c r="F99" s="73"/>
      <c r="G99" s="74" t="s">
        <v>114</v>
      </c>
      <c r="H99" s="75">
        <v>5</v>
      </c>
      <c r="I99" s="82"/>
      <c r="J99" s="335"/>
      <c r="K99" s="332"/>
      <c r="L99" s="332"/>
      <c r="M99" s="333"/>
      <c r="N99" s="334"/>
      <c r="O99" s="81"/>
      <c r="P99" s="81"/>
      <c r="Q99" s="232"/>
    </row>
    <row r="100" spans="1:17" s="13" customFormat="1" ht="15.75" x14ac:dyDescent="0.25">
      <c r="A100" s="229"/>
      <c r="B100" s="27" t="s">
        <v>155</v>
      </c>
      <c r="C100" s="181" t="s">
        <v>17</v>
      </c>
      <c r="D100" s="182"/>
      <c r="E100" s="183" t="s">
        <v>20</v>
      </c>
      <c r="F100" s="73" t="s">
        <v>459</v>
      </c>
      <c r="G100" s="230" t="s">
        <v>114</v>
      </c>
      <c r="H100" s="1">
        <v>18</v>
      </c>
      <c r="I100" s="231">
        <v>4</v>
      </c>
      <c r="J100" s="337">
        <v>4</v>
      </c>
      <c r="K100" s="332">
        <v>8816.51</v>
      </c>
      <c r="L100" s="332">
        <v>8816.51</v>
      </c>
      <c r="M100" s="333">
        <f t="shared" si="3"/>
        <v>0</v>
      </c>
      <c r="N100" s="334">
        <v>16</v>
      </c>
      <c r="O100" s="224">
        <v>36413.46</v>
      </c>
      <c r="P100" s="224">
        <v>36413.46</v>
      </c>
      <c r="Q100" s="232">
        <f t="shared" si="4"/>
        <v>0</v>
      </c>
    </row>
    <row r="101" spans="1:17" s="13" customFormat="1" x14ac:dyDescent="0.25">
      <c r="A101" s="229"/>
      <c r="B101" s="30" t="s">
        <v>66</v>
      </c>
      <c r="C101" s="181" t="s">
        <v>17</v>
      </c>
      <c r="D101" s="182"/>
      <c r="E101" s="183" t="s">
        <v>21</v>
      </c>
      <c r="F101" s="73" t="s">
        <v>368</v>
      </c>
      <c r="G101" s="74" t="s">
        <v>112</v>
      </c>
      <c r="H101" s="75">
        <v>41</v>
      </c>
      <c r="I101" s="76">
        <v>34</v>
      </c>
      <c r="J101" s="335">
        <f>1+3+2+3+2+1+2+1+3+7+4+3+2+3+4+5+7+1</f>
        <v>54</v>
      </c>
      <c r="K101" s="332">
        <f>1045.98+4309.04+3820.12+1872.01+4253.49+3044.79+1191.19+4942.84+9299.2+9796.16+4139.27+2886.87+11269.91+12820.57+18537.23+2815.43</f>
        <v>96044.099999999991</v>
      </c>
      <c r="L101" s="332">
        <f>1045.98+4309.04+3820.12+1872.01+4253.49+3044.79+1191.19+4942.84+9299.2+9796.16+4139.27+2886.87+11269.91+12820.57+18537.23</f>
        <v>93228.67</v>
      </c>
      <c r="M101" s="333">
        <f t="shared" si="3"/>
        <v>2815.429999999993</v>
      </c>
      <c r="N101" s="334">
        <f>6+3+8+7+1+1+1+2+1+1+1+1+1+1+1</f>
        <v>36</v>
      </c>
      <c r="O101" s="81">
        <f>11911.17+23136+18060.17+1977.84+2091.97+19535.65+19124.11+3199.71+4430.07+5418.9+2717.24+5690.21</f>
        <v>117293.04000000001</v>
      </c>
      <c r="P101" s="81">
        <f>11911.17+23136+18060.17+1977.84+2091.97+19535.65+19124.11+3199.71+4430.07+5418.9+2717.24+5690.21</f>
        <v>117293.04000000001</v>
      </c>
      <c r="Q101" s="232">
        <f t="shared" si="4"/>
        <v>0</v>
      </c>
    </row>
    <row r="102" spans="1:17" s="13" customFormat="1" x14ac:dyDescent="0.25">
      <c r="A102" s="229"/>
      <c r="B102" s="30" t="s">
        <v>66</v>
      </c>
      <c r="C102" s="181" t="s">
        <v>17</v>
      </c>
      <c r="D102" s="182"/>
      <c r="E102" s="183" t="s">
        <v>21</v>
      </c>
      <c r="F102" s="73" t="s">
        <v>439</v>
      </c>
      <c r="G102" s="230" t="s">
        <v>118</v>
      </c>
      <c r="H102" s="181">
        <v>11</v>
      </c>
      <c r="I102" s="231">
        <v>4</v>
      </c>
      <c r="J102" s="335">
        <v>4</v>
      </c>
      <c r="K102" s="332">
        <v>7173.6</v>
      </c>
      <c r="L102" s="332">
        <v>7173.6</v>
      </c>
      <c r="M102" s="333">
        <f t="shared" si="3"/>
        <v>0</v>
      </c>
      <c r="N102" s="334">
        <v>24</v>
      </c>
      <c r="O102" s="224">
        <v>81462.58</v>
      </c>
      <c r="P102" s="224">
        <v>81462.58</v>
      </c>
      <c r="Q102" s="79">
        <f t="shared" si="4"/>
        <v>0</v>
      </c>
    </row>
    <row r="103" spans="1:17" s="13" customFormat="1" x14ac:dyDescent="0.25">
      <c r="A103" s="229"/>
      <c r="B103" s="62" t="s">
        <v>137</v>
      </c>
      <c r="C103" s="181" t="s">
        <v>17</v>
      </c>
      <c r="D103" s="182"/>
      <c r="E103" s="194" t="s">
        <v>35</v>
      </c>
      <c r="F103" s="73" t="s">
        <v>369</v>
      </c>
      <c r="G103" s="74" t="s">
        <v>112</v>
      </c>
      <c r="H103" s="75">
        <v>44</v>
      </c>
      <c r="I103" s="76">
        <v>32</v>
      </c>
      <c r="J103" s="335">
        <f>3+3+1+4+1+3+2+3+6+2+3+1+2</f>
        <v>34</v>
      </c>
      <c r="K103" s="332">
        <f>504.26+845.24+3380.96+422.62+2535.72+6256.62+883.08+2649.24+4395.33+2649.24+2863.99</f>
        <v>27386.299999999996</v>
      </c>
      <c r="L103" s="332">
        <f>504.26+845.24+3380.96+422.62+2535.72+6256.62+883.08+2649.24+4395.33+2649.24+2863.99</f>
        <v>27386.299999999996</v>
      </c>
      <c r="M103" s="333">
        <f t="shared" si="3"/>
        <v>0</v>
      </c>
      <c r="N103" s="334">
        <f>5+1+1+2+1</f>
        <v>10</v>
      </c>
      <c r="O103" s="81">
        <f>2617.36+422.62+3852.18+3380.96+422.62</f>
        <v>10695.74</v>
      </c>
      <c r="P103" s="81">
        <f>2617.36+422.62+3852.18+3380.96+422.62</f>
        <v>10695.74</v>
      </c>
      <c r="Q103" s="232">
        <f t="shared" si="4"/>
        <v>0</v>
      </c>
    </row>
    <row r="104" spans="1:17" s="13" customFormat="1" x14ac:dyDescent="0.25">
      <c r="A104" s="229"/>
      <c r="B104" s="62" t="s">
        <v>137</v>
      </c>
      <c r="C104" s="181" t="s">
        <v>17</v>
      </c>
      <c r="D104" s="182"/>
      <c r="E104" s="194" t="s">
        <v>35</v>
      </c>
      <c r="F104" s="73" t="s">
        <v>429</v>
      </c>
      <c r="G104" s="230" t="s">
        <v>117</v>
      </c>
      <c r="H104" s="181">
        <v>13</v>
      </c>
      <c r="I104" s="231">
        <v>8</v>
      </c>
      <c r="J104" s="337">
        <v>9</v>
      </c>
      <c r="K104" s="339">
        <v>16572.68</v>
      </c>
      <c r="L104" s="339">
        <v>11675.02</v>
      </c>
      <c r="M104" s="333">
        <f t="shared" si="3"/>
        <v>4897.66</v>
      </c>
      <c r="N104" s="338">
        <v>2</v>
      </c>
      <c r="O104" s="224">
        <v>10565.5</v>
      </c>
      <c r="P104" s="224">
        <v>10565.5</v>
      </c>
      <c r="Q104" s="79">
        <f t="shared" si="4"/>
        <v>0</v>
      </c>
    </row>
    <row r="105" spans="1:17" s="13" customFormat="1" x14ac:dyDescent="0.25">
      <c r="A105" s="229"/>
      <c r="B105" s="30" t="s">
        <v>67</v>
      </c>
      <c r="C105" s="181" t="s">
        <v>17</v>
      </c>
      <c r="D105" s="182"/>
      <c r="E105" s="194" t="s">
        <v>21</v>
      </c>
      <c r="F105" s="73" t="s">
        <v>370</v>
      </c>
      <c r="G105" s="74" t="s">
        <v>112</v>
      </c>
      <c r="H105" s="75">
        <v>42</v>
      </c>
      <c r="I105" s="76">
        <v>34</v>
      </c>
      <c r="J105" s="335">
        <f>2+1+1+2+1+1+2+2+1+2+5+5+2+5+3+2+1+2+3+3</f>
        <v>46</v>
      </c>
      <c r="K105" s="332">
        <f>3319.85+1198.9+864.45+7235.32+1947.89+5377.75+8701.73+3581.7+8737.54+7647.65+16410.46+4594.78</f>
        <v>69618.02</v>
      </c>
      <c r="L105" s="332">
        <f>3319.85+1198.9+864.45+7235.32+1947.89+5377.75+8701.73+3581.7+8737.54+7647.65+16410.46+4594.78</f>
        <v>69618.02</v>
      </c>
      <c r="M105" s="333">
        <f t="shared" si="3"/>
        <v>0</v>
      </c>
      <c r="N105" s="334">
        <f>4+9+4+4+1+3+1+3+1+1+1+1+1+1+3+2</f>
        <v>40</v>
      </c>
      <c r="O105" s="81">
        <f>29696.65+38129.03+13567.9+20687.05+2022.79+8145.77+17250.05+1233.28+5568.04+11106.62+7079.38</f>
        <v>154486.56</v>
      </c>
      <c r="P105" s="81">
        <f>29696.65+38129.03+13567.9+20687.05+2022.79+8145.77+17250.05+1233.28+5568.04+11106.62+7079.38</f>
        <v>154486.56</v>
      </c>
      <c r="Q105" s="232">
        <f t="shared" si="4"/>
        <v>0</v>
      </c>
    </row>
    <row r="106" spans="1:17" s="13" customFormat="1" x14ac:dyDescent="0.25">
      <c r="A106" s="229"/>
      <c r="B106" s="30" t="s">
        <v>67</v>
      </c>
      <c r="C106" s="181" t="s">
        <v>17</v>
      </c>
      <c r="D106" s="182"/>
      <c r="E106" s="194" t="s">
        <v>21</v>
      </c>
      <c r="F106" s="73" t="s">
        <v>440</v>
      </c>
      <c r="G106" s="230" t="s">
        <v>118</v>
      </c>
      <c r="H106" s="181">
        <v>17</v>
      </c>
      <c r="I106" s="231">
        <v>3</v>
      </c>
      <c r="J106" s="335">
        <v>3</v>
      </c>
      <c r="K106" s="332">
        <v>12778.52</v>
      </c>
      <c r="L106" s="332">
        <v>12778.52</v>
      </c>
      <c r="M106" s="333">
        <f t="shared" si="3"/>
        <v>0</v>
      </c>
      <c r="N106" s="334">
        <v>22</v>
      </c>
      <c r="O106" s="224">
        <v>74857.98</v>
      </c>
      <c r="P106" s="224">
        <v>74857.98</v>
      </c>
      <c r="Q106" s="79">
        <f t="shared" si="4"/>
        <v>0</v>
      </c>
    </row>
    <row r="107" spans="1:17" s="13" customFormat="1" x14ac:dyDescent="0.25">
      <c r="A107" s="229"/>
      <c r="B107" s="30" t="s">
        <v>68</v>
      </c>
      <c r="C107" s="181" t="s">
        <v>17</v>
      </c>
      <c r="D107" s="182"/>
      <c r="E107" s="194" t="s">
        <v>32</v>
      </c>
      <c r="F107" s="73" t="s">
        <v>371</v>
      </c>
      <c r="G107" s="74" t="s">
        <v>112</v>
      </c>
      <c r="H107" s="75">
        <v>24</v>
      </c>
      <c r="I107" s="76">
        <v>21</v>
      </c>
      <c r="J107" s="335">
        <f>2+1+2+5+5+3+1+2+2+1+3</f>
        <v>27</v>
      </c>
      <c r="K107" s="332">
        <f>1128.59+422.62+1152.6+4557.81+10981.59+5362.88+4996.85+4352.15+3073.96+3697.9+1003.5+581.63+6475.68</f>
        <v>47787.76</v>
      </c>
      <c r="L107" s="332">
        <f>1128.59+422.62+1152.6+4557.81+10981.59+5362.88+4996.85+4352.15+3073.96+3697.9+1003.5+581.63</f>
        <v>41312.080000000002</v>
      </c>
      <c r="M107" s="333">
        <f t="shared" si="3"/>
        <v>6475.68</v>
      </c>
      <c r="N107" s="334">
        <f>6+5+1+4+2+2+1+1+1</f>
        <v>23</v>
      </c>
      <c r="O107" s="81">
        <f>7813.73+8523.5+1452.28+12582.19+18077.76+4987.46+2373.79+1831.3</f>
        <v>57642.009999999995</v>
      </c>
      <c r="P107" s="81">
        <f>7813.73+8523.5+1452.28+12582.19+18077.76+4987.46+2373.79+1831.3</f>
        <v>57642.009999999995</v>
      </c>
      <c r="Q107" s="232">
        <f t="shared" si="4"/>
        <v>0</v>
      </c>
    </row>
    <row r="108" spans="1:17" s="13" customFormat="1" x14ac:dyDescent="0.25">
      <c r="A108" s="229"/>
      <c r="B108" s="30" t="s">
        <v>68</v>
      </c>
      <c r="C108" s="181" t="s">
        <v>17</v>
      </c>
      <c r="D108" s="182"/>
      <c r="E108" s="194" t="s">
        <v>32</v>
      </c>
      <c r="F108" s="73" t="s">
        <v>430</v>
      </c>
      <c r="G108" s="235" t="s">
        <v>117</v>
      </c>
      <c r="H108" s="181">
        <v>5</v>
      </c>
      <c r="I108" s="231">
        <v>2</v>
      </c>
      <c r="J108" s="335">
        <v>2</v>
      </c>
      <c r="K108" s="332">
        <v>3010.5</v>
      </c>
      <c r="L108" s="332">
        <v>3010.5</v>
      </c>
      <c r="M108" s="333">
        <f t="shared" si="3"/>
        <v>0</v>
      </c>
      <c r="N108" s="334"/>
      <c r="O108" s="77"/>
      <c r="P108" s="77"/>
      <c r="Q108" s="79">
        <f t="shared" si="4"/>
        <v>0</v>
      </c>
    </row>
    <row r="109" spans="1:17" s="15" customFormat="1" x14ac:dyDescent="0.25">
      <c r="A109" s="229"/>
      <c r="B109" s="27" t="s">
        <v>69</v>
      </c>
      <c r="C109" s="181" t="s">
        <v>17</v>
      </c>
      <c r="D109" s="182"/>
      <c r="E109" s="183" t="s">
        <v>20</v>
      </c>
      <c r="F109" s="73" t="s">
        <v>372</v>
      </c>
      <c r="G109" s="74" t="s">
        <v>112</v>
      </c>
      <c r="H109" s="75">
        <v>11</v>
      </c>
      <c r="I109" s="76">
        <v>7</v>
      </c>
      <c r="J109" s="335">
        <f>1+1+1+1+3+1+2</f>
        <v>10</v>
      </c>
      <c r="K109" s="332">
        <f>422.62+17390.69+3114.71+475.45+2326.92+1707.76</f>
        <v>25438.149999999998</v>
      </c>
      <c r="L109" s="332">
        <f>422.62+17390.69+3114.71+475.45+2326.92+1707.76</f>
        <v>25438.149999999998</v>
      </c>
      <c r="M109" s="333">
        <f t="shared" si="3"/>
        <v>0</v>
      </c>
      <c r="N109" s="334">
        <f>3+2+1+1+1+1</f>
        <v>9</v>
      </c>
      <c r="O109" s="77">
        <f>7210.31+3647.96+1306.28+1267.86+2697.06</f>
        <v>16129.470000000001</v>
      </c>
      <c r="P109" s="77">
        <f>7210.31+3647.96+1306.28+1267.86+2697.06</f>
        <v>16129.470000000001</v>
      </c>
      <c r="Q109" s="232">
        <f t="shared" si="4"/>
        <v>0</v>
      </c>
    </row>
    <row r="110" spans="1:17" s="15" customFormat="1" x14ac:dyDescent="0.25">
      <c r="A110" s="229"/>
      <c r="B110" s="236" t="s">
        <v>502</v>
      </c>
      <c r="C110" s="181" t="s">
        <v>17</v>
      </c>
      <c r="D110" s="182"/>
      <c r="E110" s="183" t="s">
        <v>20</v>
      </c>
      <c r="F110" s="73" t="s">
        <v>508</v>
      </c>
      <c r="G110" s="74" t="s">
        <v>112</v>
      </c>
      <c r="H110" s="75">
        <v>20</v>
      </c>
      <c r="I110" s="76">
        <v>14</v>
      </c>
      <c r="J110" s="335">
        <f>4+1+4+1+2+2+2+2</f>
        <v>18</v>
      </c>
      <c r="K110" s="332">
        <f>6145.3+993.47+5403.3+2759.63+2599.77+1043.64</f>
        <v>18945.11</v>
      </c>
      <c r="L110" s="332">
        <f>6145.3+993.47+5403.3+2759.63+2599.77</f>
        <v>17901.47</v>
      </c>
      <c r="M110" s="333">
        <f t="shared" si="3"/>
        <v>1043.6399999999994</v>
      </c>
      <c r="N110" s="334"/>
      <c r="O110" s="77"/>
      <c r="P110" s="77"/>
      <c r="Q110" s="232">
        <f t="shared" si="4"/>
        <v>0</v>
      </c>
    </row>
    <row r="111" spans="1:17" s="15" customFormat="1" x14ac:dyDescent="0.25">
      <c r="A111" s="229"/>
      <c r="B111" s="236" t="s">
        <v>502</v>
      </c>
      <c r="C111" s="181" t="s">
        <v>17</v>
      </c>
      <c r="D111" s="182"/>
      <c r="E111" s="183" t="s">
        <v>32</v>
      </c>
      <c r="F111" s="73" t="s">
        <v>511</v>
      </c>
      <c r="G111" s="235" t="s">
        <v>117</v>
      </c>
      <c r="H111" s="75">
        <v>10</v>
      </c>
      <c r="I111" s="76">
        <v>3</v>
      </c>
      <c r="J111" s="335">
        <v>3</v>
      </c>
      <c r="K111" s="332">
        <v>1806.3</v>
      </c>
      <c r="L111" s="332"/>
      <c r="M111" s="333">
        <f t="shared" si="3"/>
        <v>1806.3</v>
      </c>
      <c r="N111" s="334"/>
      <c r="O111" s="77"/>
      <c r="P111" s="77"/>
      <c r="Q111" s="232">
        <f t="shared" si="4"/>
        <v>0</v>
      </c>
    </row>
    <row r="112" spans="1:17" s="13" customFormat="1" x14ac:dyDescent="0.25">
      <c r="A112" s="229"/>
      <c r="B112" s="62" t="s">
        <v>70</v>
      </c>
      <c r="C112" s="181" t="s">
        <v>17</v>
      </c>
      <c r="D112" s="182"/>
      <c r="E112" s="183" t="s">
        <v>20</v>
      </c>
      <c r="F112" s="73" t="s">
        <v>373</v>
      </c>
      <c r="G112" s="74" t="s">
        <v>112</v>
      </c>
      <c r="H112" s="75">
        <v>19</v>
      </c>
      <c r="I112" s="76">
        <v>17</v>
      </c>
      <c r="J112" s="335">
        <f>2+2+2+3+1+2+1+1+3+2</f>
        <v>19</v>
      </c>
      <c r="K112" s="332">
        <f>19498+3011.17+8156.45+4593.85+883.08+4500.96</f>
        <v>40643.51</v>
      </c>
      <c r="L112" s="332">
        <f>19498+3011.17+8156.45+4593.85+883.08+4500.96</f>
        <v>40643.51</v>
      </c>
      <c r="M112" s="333">
        <f t="shared" si="3"/>
        <v>0</v>
      </c>
      <c r="N112" s="334">
        <f>2+3+4+2+1+1</f>
        <v>13</v>
      </c>
      <c r="O112" s="81">
        <f>7606.2+16795.84+3492.18</f>
        <v>27894.22</v>
      </c>
      <c r="P112" s="81">
        <f>7606.2+16795.84+3492.18</f>
        <v>27894.22</v>
      </c>
      <c r="Q112" s="79">
        <f t="shared" si="4"/>
        <v>0</v>
      </c>
    </row>
    <row r="113" spans="1:17" s="13" customFormat="1" x14ac:dyDescent="0.25">
      <c r="A113" s="229"/>
      <c r="B113" s="62" t="s">
        <v>70</v>
      </c>
      <c r="C113" s="181" t="s">
        <v>17</v>
      </c>
      <c r="D113" s="182"/>
      <c r="E113" s="183" t="s">
        <v>20</v>
      </c>
      <c r="F113" s="73" t="s">
        <v>460</v>
      </c>
      <c r="G113" s="230" t="s">
        <v>114</v>
      </c>
      <c r="H113" s="181">
        <v>48</v>
      </c>
      <c r="I113" s="231">
        <v>22</v>
      </c>
      <c r="J113" s="337">
        <v>22</v>
      </c>
      <c r="K113" s="332">
        <v>62930.74</v>
      </c>
      <c r="L113" s="332">
        <v>62930.74</v>
      </c>
      <c r="M113" s="333">
        <f t="shared" si="3"/>
        <v>0</v>
      </c>
      <c r="N113" s="334">
        <v>33</v>
      </c>
      <c r="O113" s="224">
        <v>79611.08</v>
      </c>
      <c r="P113" s="224">
        <v>79611.08</v>
      </c>
      <c r="Q113" s="232">
        <f t="shared" si="4"/>
        <v>0</v>
      </c>
    </row>
    <row r="114" spans="1:17" s="15" customFormat="1" x14ac:dyDescent="0.25">
      <c r="A114" s="229"/>
      <c r="B114" s="62" t="s">
        <v>71</v>
      </c>
      <c r="C114" s="181" t="s">
        <v>17</v>
      </c>
      <c r="D114" s="182"/>
      <c r="E114" s="183" t="s">
        <v>32</v>
      </c>
      <c r="F114" s="73" t="s">
        <v>374</v>
      </c>
      <c r="G114" s="74" t="s">
        <v>112</v>
      </c>
      <c r="H114" s="75">
        <v>29</v>
      </c>
      <c r="I114" s="76">
        <v>24</v>
      </c>
      <c r="J114" s="335">
        <f>3+1+2+1+1+3+3+1+3+4+1+2+3+1</f>
        <v>29</v>
      </c>
      <c r="K114" s="332">
        <f>1536.8+461.04+1748.88+633.93+3169.65+2435.83+13203.17+728.54+3984.13+1479.16+1118.9</f>
        <v>30500.030000000006</v>
      </c>
      <c r="L114" s="332">
        <f>1536.8+461.04+1748.88+633.93+3169.65+2435.83+13203.17+728.54+3984.13+1479.16</f>
        <v>29381.130000000005</v>
      </c>
      <c r="M114" s="333">
        <f t="shared" si="3"/>
        <v>1118.9000000000015</v>
      </c>
      <c r="N114" s="334">
        <f>3+2+1+1+2+1+1</f>
        <v>11</v>
      </c>
      <c r="O114" s="81">
        <f>9567.93+3616.67+403.41+14275.52+10922.18+12907.41+5701.38</f>
        <v>57394.499999999993</v>
      </c>
      <c r="P114" s="81">
        <f>9567.93+3616.67+403.41+14275.52+10922.18+12907.41+5701.38</f>
        <v>57394.499999999993</v>
      </c>
      <c r="Q114" s="79">
        <f t="shared" si="4"/>
        <v>0</v>
      </c>
    </row>
    <row r="115" spans="1:17" s="15" customFormat="1" x14ac:dyDescent="0.25">
      <c r="A115" s="229"/>
      <c r="B115" s="62" t="s">
        <v>71</v>
      </c>
      <c r="C115" s="181" t="s">
        <v>17</v>
      </c>
      <c r="D115" s="182"/>
      <c r="E115" s="183" t="s">
        <v>32</v>
      </c>
      <c r="F115" s="73" t="s">
        <v>431</v>
      </c>
      <c r="G115" s="230" t="s">
        <v>115</v>
      </c>
      <c r="H115" s="181">
        <v>11</v>
      </c>
      <c r="I115" s="231">
        <v>7</v>
      </c>
      <c r="J115" s="335">
        <v>7</v>
      </c>
      <c r="K115" s="341">
        <v>13651.95</v>
      </c>
      <c r="L115" s="341">
        <v>13651.95</v>
      </c>
      <c r="M115" s="333">
        <f t="shared" si="3"/>
        <v>0</v>
      </c>
      <c r="N115" s="338">
        <f>5</f>
        <v>5</v>
      </c>
      <c r="O115" s="77">
        <v>6595.5</v>
      </c>
      <c r="P115" s="77">
        <v>6595.5</v>
      </c>
      <c r="Q115" s="232">
        <f t="shared" si="4"/>
        <v>0</v>
      </c>
    </row>
    <row r="116" spans="1:17" s="13" customFormat="1" x14ac:dyDescent="0.25">
      <c r="A116" s="229"/>
      <c r="B116" s="62" t="s">
        <v>319</v>
      </c>
      <c r="C116" s="181" t="s">
        <v>17</v>
      </c>
      <c r="D116" s="182"/>
      <c r="E116" s="183" t="s">
        <v>20</v>
      </c>
      <c r="F116" s="73" t="s">
        <v>375</v>
      </c>
      <c r="G116" s="74" t="s">
        <v>112</v>
      </c>
      <c r="H116" s="75">
        <v>48</v>
      </c>
      <c r="I116" s="76">
        <v>38</v>
      </c>
      <c r="J116" s="335">
        <f>2+1+4+3+6+2+7+1+2+1+1+7+1+6+3</f>
        <v>47</v>
      </c>
      <c r="K116" s="332">
        <f>710.77+1523.35+6753.23+7215.52+1437.48+28056.52+6091.99+2561.63+3510.24+1726.58+441.54+15673.73+993.47+7206.74+1390.85</f>
        <v>85293.64</v>
      </c>
      <c r="L116" s="332">
        <f>710.77+1523.35+6753.23+7215.52+1437.48+28056.52+6091.99+2561.63+3510.24+1726.58+441.54+15673.73+993.47+7206.74</f>
        <v>83902.79</v>
      </c>
      <c r="M116" s="333">
        <f t="shared" si="3"/>
        <v>1390.8500000000058</v>
      </c>
      <c r="N116" s="334">
        <f>3+1+2+1+2+1</f>
        <v>10</v>
      </c>
      <c r="O116" s="77">
        <f>13419.94+726.71+2846.77+3770.56+4653.31+2237.23</f>
        <v>27654.520000000004</v>
      </c>
      <c r="P116" s="77">
        <f>13419.94+726.71+2846.77+3770.56+4653.31+2237.23</f>
        <v>27654.520000000004</v>
      </c>
      <c r="Q116" s="79">
        <f>O116-P116</f>
        <v>0</v>
      </c>
    </row>
    <row r="117" spans="1:17" s="15" customFormat="1" x14ac:dyDescent="0.25">
      <c r="A117" s="229"/>
      <c r="B117" s="62" t="s">
        <v>150</v>
      </c>
      <c r="C117" s="181" t="s">
        <v>17</v>
      </c>
      <c r="D117" s="182"/>
      <c r="E117" s="183" t="s">
        <v>35</v>
      </c>
      <c r="F117" s="73" t="s">
        <v>376</v>
      </c>
      <c r="G117" s="74" t="s">
        <v>112</v>
      </c>
      <c r="H117" s="75">
        <v>40</v>
      </c>
      <c r="I117" s="76">
        <v>25</v>
      </c>
      <c r="J117" s="335">
        <f>1+1+2+2+1+3+1+4+4+1+3+1+1+1+1</f>
        <v>27</v>
      </c>
      <c r="K117" s="332">
        <f>1343.65+384.2+1690.4+4889.84+2417.43+2791.74+5298.48+5960.79+1192.16+3814.3+5575.23</f>
        <v>35358.22</v>
      </c>
      <c r="L117" s="332">
        <f>1343.65+384.2+1690.4+4889.84+2417.43+2791.74+5298.48+5960.79+1192.16+3814.3</f>
        <v>29782.989999999998</v>
      </c>
      <c r="M117" s="333">
        <f t="shared" si="3"/>
        <v>5575.2300000000032</v>
      </c>
      <c r="N117" s="338">
        <f>8+1+1+2+3+1+1+1+1+1</f>
        <v>20</v>
      </c>
      <c r="O117" s="77">
        <f>5997.32+3719.39+3054.34+13138.17+6578.46+6198.68+2649.24+1516.77</f>
        <v>42852.369999999995</v>
      </c>
      <c r="P117" s="77">
        <f>5997.32+3719.39+3054.34+13138.17+6578.46+6198.68+2649.24</f>
        <v>41335.599999999999</v>
      </c>
      <c r="Q117" s="79">
        <f t="shared" si="4"/>
        <v>1516.7699999999968</v>
      </c>
    </row>
    <row r="118" spans="1:17" s="15" customFormat="1" x14ac:dyDescent="0.25">
      <c r="A118" s="229"/>
      <c r="B118" s="233" t="s">
        <v>150</v>
      </c>
      <c r="C118" s="181" t="s">
        <v>17</v>
      </c>
      <c r="D118" s="182"/>
      <c r="E118" s="183" t="s">
        <v>32</v>
      </c>
      <c r="F118" s="73" t="s">
        <v>487</v>
      </c>
      <c r="G118" s="230" t="s">
        <v>117</v>
      </c>
      <c r="H118" s="181">
        <v>6</v>
      </c>
      <c r="I118" s="231">
        <v>4</v>
      </c>
      <c r="J118" s="335">
        <v>6</v>
      </c>
      <c r="K118" s="332">
        <v>21694.2</v>
      </c>
      <c r="L118" s="332">
        <v>21694.2</v>
      </c>
      <c r="M118" s="333">
        <f t="shared" si="3"/>
        <v>0</v>
      </c>
      <c r="N118" s="334">
        <v>3</v>
      </c>
      <c r="O118" s="77">
        <v>9645.1</v>
      </c>
      <c r="P118" s="77">
        <v>9645.1</v>
      </c>
      <c r="Q118" s="232">
        <f t="shared" si="4"/>
        <v>0</v>
      </c>
    </row>
    <row r="119" spans="1:17" s="13" customFormat="1" x14ac:dyDescent="0.25">
      <c r="A119" s="229"/>
      <c r="B119" s="30" t="s">
        <v>72</v>
      </c>
      <c r="C119" s="181" t="s">
        <v>17</v>
      </c>
      <c r="D119" s="182"/>
      <c r="E119" s="183" t="s">
        <v>21</v>
      </c>
      <c r="F119" s="73" t="s">
        <v>377</v>
      </c>
      <c r="G119" s="74" t="s">
        <v>112</v>
      </c>
      <c r="H119" s="75">
        <v>32</v>
      </c>
      <c r="I119" s="76">
        <v>22</v>
      </c>
      <c r="J119" s="335">
        <f>1+1+1+1+6+2+1+2+3+1+1+4+1+3</f>
        <v>28</v>
      </c>
      <c r="K119" s="332">
        <f>633.93+1415.78+1610.18+1394.65+18140.86+2440.63+4140.81+3166.55+2165.55+10853.72+7398.8</f>
        <v>53361.460000000014</v>
      </c>
      <c r="L119" s="332">
        <f>633.93+1415.78+1610.18+1394.65+18140.86+2440.63+4140.81+3166.55+2165.55+10853.72</f>
        <v>45962.660000000011</v>
      </c>
      <c r="M119" s="333">
        <f t="shared" si="3"/>
        <v>7398.8000000000029</v>
      </c>
      <c r="N119" s="334">
        <f>1+3+1+1+1+3+1+3+1+1+2+1+1+1</f>
        <v>21</v>
      </c>
      <c r="O119" s="81">
        <f>1950.74+10237.13+6595.95+3861.21+1348.53+10328.94+50451.86-19567+15859.78+3744.76+5149.77+2230.17</f>
        <v>92191.84</v>
      </c>
      <c r="P119" s="81">
        <f>1950.74+10237.13+6595.95+3861.21+1348.53+10328.94+50451.86-19567+15859.78+3744.76+5149.77</f>
        <v>89961.67</v>
      </c>
      <c r="Q119" s="79">
        <f t="shared" si="4"/>
        <v>2230.1699999999983</v>
      </c>
    </row>
    <row r="120" spans="1:17" s="13" customFormat="1" x14ac:dyDescent="0.25">
      <c r="A120" s="229"/>
      <c r="B120" s="30" t="s">
        <v>72</v>
      </c>
      <c r="C120" s="181" t="s">
        <v>17</v>
      </c>
      <c r="D120" s="182"/>
      <c r="E120" s="183" t="s">
        <v>21</v>
      </c>
      <c r="F120" s="73" t="s">
        <v>441</v>
      </c>
      <c r="G120" s="230" t="s">
        <v>118</v>
      </c>
      <c r="H120" s="181">
        <v>17</v>
      </c>
      <c r="I120" s="231">
        <v>4</v>
      </c>
      <c r="J120" s="335">
        <v>4</v>
      </c>
      <c r="K120" s="332">
        <v>5140.8</v>
      </c>
      <c r="L120" s="332">
        <v>1728.9</v>
      </c>
      <c r="M120" s="333">
        <f t="shared" si="3"/>
        <v>3411.9</v>
      </c>
      <c r="N120" s="334">
        <v>22</v>
      </c>
      <c r="O120" s="224">
        <v>65743.3</v>
      </c>
      <c r="P120" s="224">
        <v>63010.7</v>
      </c>
      <c r="Q120" s="232">
        <f t="shared" si="4"/>
        <v>2732.6000000000058</v>
      </c>
    </row>
    <row r="121" spans="1:17" s="15" customFormat="1" x14ac:dyDescent="0.25">
      <c r="A121" s="229"/>
      <c r="B121" s="30" t="s">
        <v>73</v>
      </c>
      <c r="C121" s="181" t="s">
        <v>17</v>
      </c>
      <c r="D121" s="182"/>
      <c r="E121" s="183" t="s">
        <v>74</v>
      </c>
      <c r="F121" s="73" t="s">
        <v>378</v>
      </c>
      <c r="G121" s="74" t="s">
        <v>112</v>
      </c>
      <c r="H121" s="75">
        <v>42</v>
      </c>
      <c r="I121" s="76">
        <v>35</v>
      </c>
      <c r="J121" s="335">
        <f>9+8+2+2+10+1+6+5+9+4</f>
        <v>56</v>
      </c>
      <c r="K121" s="332">
        <f>6305.33+12574.83+14899.84+13657.06+15923.24+7697.06+2858.97+10093.97</f>
        <v>84010.3</v>
      </c>
      <c r="L121" s="332">
        <f>6305.33+12574.83+14899.84+13657.06+15923.24+7697.06+2858.97+10093.97</f>
        <v>84010.3</v>
      </c>
      <c r="M121" s="333">
        <f t="shared" si="3"/>
        <v>0</v>
      </c>
      <c r="N121" s="334">
        <f>5+3+3+1+1+2+2</f>
        <v>17</v>
      </c>
      <c r="O121" s="81">
        <f>5416.39+9506.99+12269.39+7610.68+1915.68+16508.04+12449.36</f>
        <v>65676.53</v>
      </c>
      <c r="P121" s="81">
        <f>5416.39+9506.99+12269.39+7610.68+1915.68+16508.04+12449.36</f>
        <v>65676.53</v>
      </c>
      <c r="Q121" s="79">
        <f t="shared" si="4"/>
        <v>0</v>
      </c>
    </row>
    <row r="122" spans="1:17" s="15" customFormat="1" x14ac:dyDescent="0.25">
      <c r="A122" s="229"/>
      <c r="B122" s="30" t="s">
        <v>73</v>
      </c>
      <c r="C122" s="181" t="s">
        <v>17</v>
      </c>
      <c r="D122" s="182"/>
      <c r="E122" s="183" t="s">
        <v>74</v>
      </c>
      <c r="F122" s="73" t="s">
        <v>282</v>
      </c>
      <c r="G122" s="230" t="s">
        <v>114</v>
      </c>
      <c r="H122" s="181"/>
      <c r="I122" s="231"/>
      <c r="J122" s="337"/>
      <c r="K122" s="332"/>
      <c r="L122" s="332"/>
      <c r="M122" s="333">
        <f t="shared" si="3"/>
        <v>0</v>
      </c>
      <c r="N122" s="334">
        <v>1</v>
      </c>
      <c r="O122" s="224">
        <v>1728.9</v>
      </c>
      <c r="P122" s="224">
        <v>1728.9</v>
      </c>
      <c r="Q122" s="232">
        <f t="shared" si="4"/>
        <v>0</v>
      </c>
    </row>
    <row r="123" spans="1:17" s="13" customFormat="1" x14ac:dyDescent="0.25">
      <c r="A123" s="229"/>
      <c r="B123" s="30" t="s">
        <v>135</v>
      </c>
      <c r="C123" s="181" t="s">
        <v>17</v>
      </c>
      <c r="D123" s="182"/>
      <c r="E123" s="194" t="s">
        <v>35</v>
      </c>
      <c r="F123" s="73" t="s">
        <v>379</v>
      </c>
      <c r="G123" s="74" t="s">
        <v>112</v>
      </c>
      <c r="H123" s="75">
        <v>43</v>
      </c>
      <c r="I123" s="76">
        <v>40</v>
      </c>
      <c r="J123" s="335">
        <f>1+6+5+3+3+5+1+5+4+4+1+4</f>
        <v>42</v>
      </c>
      <c r="K123" s="332">
        <f>697.32+4374.12+5747.44+4426.94+15712.05+4176.57+2649.24+4106.34+2207.7+441.54</f>
        <v>44539.26</v>
      </c>
      <c r="L123" s="332">
        <f>697.32+4374.12+5747.44+4426.94+15712.05+4176.57+2649.24+4106.34+2207.7</f>
        <v>44097.72</v>
      </c>
      <c r="M123" s="333">
        <f t="shared" si="3"/>
        <v>441.54000000000087</v>
      </c>
      <c r="N123" s="334">
        <f>2+5+1+2+2+2+1</f>
        <v>15</v>
      </c>
      <c r="O123" s="81">
        <f>6432.89+2283.68+4932.13+377</f>
        <v>14025.7</v>
      </c>
      <c r="P123" s="81">
        <f>6432.89+2283.68+4932.13+377</f>
        <v>14025.7</v>
      </c>
      <c r="Q123" s="232">
        <f t="shared" si="4"/>
        <v>0</v>
      </c>
    </row>
    <row r="124" spans="1:17" s="13" customFormat="1" x14ac:dyDescent="0.25">
      <c r="A124" s="229"/>
      <c r="B124" s="30" t="s">
        <v>135</v>
      </c>
      <c r="C124" s="181" t="s">
        <v>17</v>
      </c>
      <c r="D124" s="182"/>
      <c r="E124" s="194" t="s">
        <v>35</v>
      </c>
      <c r="F124" s="73" t="s">
        <v>432</v>
      </c>
      <c r="G124" s="230" t="s">
        <v>115</v>
      </c>
      <c r="H124" s="181">
        <v>2</v>
      </c>
      <c r="I124" s="231"/>
      <c r="J124" s="335"/>
      <c r="K124" s="332"/>
      <c r="L124" s="332"/>
      <c r="M124" s="333">
        <f t="shared" si="3"/>
        <v>0</v>
      </c>
      <c r="N124" s="334">
        <v>1</v>
      </c>
      <c r="O124" s="224">
        <v>2689.4</v>
      </c>
      <c r="P124" s="224">
        <v>2689.4</v>
      </c>
      <c r="Q124" s="79">
        <f t="shared" si="4"/>
        <v>0</v>
      </c>
    </row>
    <row r="125" spans="1:17" s="13" customFormat="1" x14ac:dyDescent="0.25">
      <c r="A125" s="229"/>
      <c r="B125" s="30" t="s">
        <v>145</v>
      </c>
      <c r="C125" s="181" t="s">
        <v>17</v>
      </c>
      <c r="D125" s="182"/>
      <c r="E125" s="194" t="s">
        <v>20</v>
      </c>
      <c r="F125" s="73" t="s">
        <v>380</v>
      </c>
      <c r="G125" s="74" t="s">
        <v>112</v>
      </c>
      <c r="H125" s="75">
        <v>19</v>
      </c>
      <c r="I125" s="82">
        <v>16</v>
      </c>
      <c r="J125" s="335">
        <f>2+1+1+2+2+5+3+2+3+1+1+2+2+1</f>
        <v>28</v>
      </c>
      <c r="K125" s="332">
        <f>5169.72+1100+538.84+4293.82+3949.22+3361.76+5643.1+4037.33+4704.3+6285.32+5025.28</f>
        <v>44108.69</v>
      </c>
      <c r="L125" s="332">
        <f>5169.72+1100+538.84+4293.82+3949.22+3361.76+5643.1+4037.33+4704.3+6285.32+5025.28</f>
        <v>44108.69</v>
      </c>
      <c r="M125" s="333">
        <f t="shared" si="3"/>
        <v>0</v>
      </c>
      <c r="N125" s="334">
        <f>1+1+2+1+2+1</f>
        <v>8</v>
      </c>
      <c r="O125" s="81">
        <f>5120.23+3915.15+1114.12+14002.49+7111.04</f>
        <v>31263.03</v>
      </c>
      <c r="P125" s="81">
        <f>5120.23+3915.15+1114.12+14002.49+7111.04</f>
        <v>31263.03</v>
      </c>
      <c r="Q125" s="232">
        <f t="shared" si="4"/>
        <v>0</v>
      </c>
    </row>
    <row r="126" spans="1:17" s="13" customFormat="1" x14ac:dyDescent="0.25">
      <c r="A126" s="229"/>
      <c r="B126" s="30" t="s">
        <v>145</v>
      </c>
      <c r="C126" s="181" t="s">
        <v>17</v>
      </c>
      <c r="D126" s="182"/>
      <c r="E126" s="194" t="s">
        <v>20</v>
      </c>
      <c r="F126" s="73" t="s">
        <v>461</v>
      </c>
      <c r="G126" s="230" t="s">
        <v>114</v>
      </c>
      <c r="H126" s="181">
        <v>8</v>
      </c>
      <c r="I126" s="231">
        <v>5</v>
      </c>
      <c r="J126" s="337">
        <v>5</v>
      </c>
      <c r="K126" s="332">
        <v>6135.7</v>
      </c>
      <c r="L126" s="332">
        <v>6135.7</v>
      </c>
      <c r="M126" s="333">
        <f t="shared" si="3"/>
        <v>0</v>
      </c>
      <c r="N126" s="334">
        <v>11</v>
      </c>
      <c r="O126" s="224">
        <v>24338.15</v>
      </c>
      <c r="P126" s="224">
        <v>24338.15</v>
      </c>
      <c r="Q126" s="232">
        <f t="shared" si="4"/>
        <v>0</v>
      </c>
    </row>
    <row r="127" spans="1:17" s="13" customFormat="1" x14ac:dyDescent="0.25">
      <c r="A127" s="229"/>
      <c r="B127" s="62" t="s">
        <v>76</v>
      </c>
      <c r="C127" s="181" t="s">
        <v>17</v>
      </c>
      <c r="D127" s="182"/>
      <c r="E127" s="183" t="s">
        <v>20</v>
      </c>
      <c r="F127" s="73" t="s">
        <v>381</v>
      </c>
      <c r="G127" s="74" t="s">
        <v>112</v>
      </c>
      <c r="H127" s="75">
        <v>33</v>
      </c>
      <c r="I127" s="76">
        <v>24</v>
      </c>
      <c r="J127" s="335">
        <f>1+6+3+1+3+1+2+2+2+1+1+6+1+1</f>
        <v>31</v>
      </c>
      <c r="K127" s="332">
        <f>6556.06+2806.39+2697.06+1267.86+11775.51+1557.35+2113.1+4117.36+1673.84+1724.01+1457.08+3514.26+14440.84+3761.12</f>
        <v>59461.840000000004</v>
      </c>
      <c r="L127" s="332">
        <f>6556.06+2806.39+2697.06+1267.86+11775.51+1557.35+2113.1+4117.36+1673.84+1724.01+1457.08+3514.26+14440.84</f>
        <v>55700.72</v>
      </c>
      <c r="M127" s="333">
        <f t="shared" si="3"/>
        <v>3761.1200000000026</v>
      </c>
      <c r="N127" s="334">
        <f>5+6+2+1+1+1+1+2+2+1+1</f>
        <v>23</v>
      </c>
      <c r="O127" s="81">
        <f>11527.9+19846.52+1011.91+9641+2451.87+10072.83+11307.66+2243.83+6181.56+5655.45+1404.9</f>
        <v>81345.429999999993</v>
      </c>
      <c r="P127" s="81">
        <f>11527.9+19846.52+1011.91+9641+2451.87+10072.83+11307.66+2243.83+6181.56+5655.45+1404.9</f>
        <v>81345.429999999993</v>
      </c>
      <c r="Q127" s="232">
        <f t="shared" si="4"/>
        <v>0</v>
      </c>
    </row>
    <row r="128" spans="1:17" s="13" customFormat="1" x14ac:dyDescent="0.25">
      <c r="A128" s="229"/>
      <c r="B128" s="62" t="s">
        <v>76</v>
      </c>
      <c r="C128" s="181" t="s">
        <v>17</v>
      </c>
      <c r="D128" s="182"/>
      <c r="E128" s="183" t="s">
        <v>20</v>
      </c>
      <c r="F128" s="73" t="s">
        <v>462</v>
      </c>
      <c r="G128" s="230" t="s">
        <v>114</v>
      </c>
      <c r="H128" s="181">
        <v>18</v>
      </c>
      <c r="I128" s="231">
        <v>6</v>
      </c>
      <c r="J128" s="337">
        <v>6</v>
      </c>
      <c r="K128" s="332">
        <v>11144.6</v>
      </c>
      <c r="L128" s="332">
        <v>11144.6</v>
      </c>
      <c r="M128" s="333">
        <f t="shared" si="3"/>
        <v>0</v>
      </c>
      <c r="N128" s="334">
        <v>9</v>
      </c>
      <c r="O128" s="224">
        <v>30007.39</v>
      </c>
      <c r="P128" s="224">
        <v>30007.39</v>
      </c>
      <c r="Q128" s="232">
        <f t="shared" si="4"/>
        <v>0</v>
      </c>
    </row>
    <row r="129" spans="1:17" s="13" customFormat="1" x14ac:dyDescent="0.25">
      <c r="A129" s="229"/>
      <c r="B129" s="30" t="s">
        <v>77</v>
      </c>
      <c r="C129" s="181" t="s">
        <v>17</v>
      </c>
      <c r="D129" s="182"/>
      <c r="E129" s="183" t="s">
        <v>32</v>
      </c>
      <c r="F129" s="73" t="s">
        <v>388</v>
      </c>
      <c r="G129" s="74" t="s">
        <v>112</v>
      </c>
      <c r="H129" s="75">
        <v>35</v>
      </c>
      <c r="I129" s="76">
        <v>21</v>
      </c>
      <c r="J129" s="335">
        <f>2+2+2+6+1+1+1+7+3+1+3+2</f>
        <v>31</v>
      </c>
      <c r="K129" s="332">
        <f>2440.63+1507.02+2101.48+13625.7+1324.62+2083.47+13864.31+3415.51</f>
        <v>40362.740000000005</v>
      </c>
      <c r="L129" s="332">
        <f>2440.63+1507.02+2101.48+13625.7+1324.62+2083.47+13864.31</f>
        <v>36947.230000000003</v>
      </c>
      <c r="M129" s="333">
        <f t="shared" si="3"/>
        <v>3415.510000000002</v>
      </c>
      <c r="N129" s="334">
        <f>5+2+3+3+1+1</f>
        <v>15</v>
      </c>
      <c r="O129" s="81">
        <f>11716.73+6848.82+4046.18+11166.34+8845.95</f>
        <v>42624.020000000004</v>
      </c>
      <c r="P129" s="81">
        <f>11716.73+6848.82+4046.18+11166.34+8845.95</f>
        <v>42624.020000000004</v>
      </c>
      <c r="Q129" s="232">
        <f t="shared" si="4"/>
        <v>0</v>
      </c>
    </row>
    <row r="130" spans="1:17" s="13" customFormat="1" x14ac:dyDescent="0.25">
      <c r="A130" s="229"/>
      <c r="B130" s="30" t="s">
        <v>77</v>
      </c>
      <c r="C130" s="181" t="s">
        <v>17</v>
      </c>
      <c r="D130" s="182"/>
      <c r="E130" s="183" t="s">
        <v>32</v>
      </c>
      <c r="F130" s="73" t="s">
        <v>433</v>
      </c>
      <c r="G130" s="230" t="s">
        <v>117</v>
      </c>
      <c r="H130" s="181">
        <v>6</v>
      </c>
      <c r="I130" s="231">
        <v>2</v>
      </c>
      <c r="J130" s="335">
        <v>3</v>
      </c>
      <c r="K130" s="332">
        <v>7262.7</v>
      </c>
      <c r="L130" s="332">
        <v>4530.1000000000004</v>
      </c>
      <c r="M130" s="333">
        <f t="shared" si="3"/>
        <v>2732.5999999999995</v>
      </c>
      <c r="N130" s="334">
        <v>7</v>
      </c>
      <c r="O130" s="224">
        <v>18164.11</v>
      </c>
      <c r="P130" s="224">
        <v>18164.11</v>
      </c>
      <c r="Q130" s="79">
        <f t="shared" si="4"/>
        <v>0</v>
      </c>
    </row>
    <row r="131" spans="1:17" s="13" customFormat="1" x14ac:dyDescent="0.25">
      <c r="A131" s="229"/>
      <c r="B131" s="30" t="s">
        <v>321</v>
      </c>
      <c r="C131" s="181" t="s">
        <v>17</v>
      </c>
      <c r="D131" s="182"/>
      <c r="E131" s="183" t="s">
        <v>21</v>
      </c>
      <c r="F131" s="73" t="s">
        <v>489</v>
      </c>
      <c r="G131" s="230" t="s">
        <v>112</v>
      </c>
      <c r="H131" s="181">
        <v>7</v>
      </c>
      <c r="I131" s="231">
        <v>2</v>
      </c>
      <c r="J131" s="335">
        <f>1+1</f>
        <v>2</v>
      </c>
      <c r="K131" s="332">
        <f>2547.89+1766.16</f>
        <v>4314.05</v>
      </c>
      <c r="L131" s="332">
        <f>2547.89+1766.16</f>
        <v>4314.05</v>
      </c>
      <c r="M131" s="333">
        <f t="shared" si="3"/>
        <v>0</v>
      </c>
      <c r="N131" s="334"/>
      <c r="O131" s="224"/>
      <c r="P131" s="224"/>
      <c r="Q131" s="79">
        <f t="shared" si="4"/>
        <v>0</v>
      </c>
    </row>
    <row r="132" spans="1:17" s="13" customFormat="1" ht="30" x14ac:dyDescent="0.25">
      <c r="A132" s="229"/>
      <c r="B132" s="62" t="s">
        <v>79</v>
      </c>
      <c r="C132" s="181" t="s">
        <v>304</v>
      </c>
      <c r="D132" s="182" t="s">
        <v>385</v>
      </c>
      <c r="E132" s="183" t="s">
        <v>18</v>
      </c>
      <c r="F132" s="73" t="s">
        <v>389</v>
      </c>
      <c r="G132" s="74" t="s">
        <v>112</v>
      </c>
      <c r="H132" s="75">
        <v>25</v>
      </c>
      <c r="I132" s="76">
        <v>20</v>
      </c>
      <c r="J132" s="331">
        <f>2+5+2+3+2+2+5+2+2</f>
        <v>25</v>
      </c>
      <c r="K132" s="332">
        <f>2091.97+3190.2+5703.08+6368.88+4029.68+4560.06+5101.32+1108.47</f>
        <v>32153.660000000003</v>
      </c>
      <c r="L132" s="332">
        <f>2091.97+3190.2+5703.08+6368.88+4029.68+4560.06+5101.32</f>
        <v>31045.190000000002</v>
      </c>
      <c r="M132" s="333">
        <f t="shared" si="3"/>
        <v>1108.4700000000012</v>
      </c>
      <c r="N132" s="334">
        <f>2+2+1+2+1+1+3+1+2</f>
        <v>15</v>
      </c>
      <c r="O132" s="81">
        <f>1547.4+4166.12+7835.61+1675.01+4717.63+6039.62+18829.39+23135.63+18613.81</f>
        <v>86560.22</v>
      </c>
      <c r="P132" s="81">
        <f>1547.4+4166.12+7835.61+1675.01+4717.63+6039.62+18829.39+23135.63+18613.81</f>
        <v>86560.22</v>
      </c>
      <c r="Q132" s="232">
        <f t="shared" si="4"/>
        <v>0</v>
      </c>
    </row>
    <row r="133" spans="1:17" s="13" customFormat="1" ht="30" x14ac:dyDescent="0.25">
      <c r="A133" s="229"/>
      <c r="B133" s="62" t="s">
        <v>79</v>
      </c>
      <c r="C133" s="181" t="s">
        <v>304</v>
      </c>
      <c r="D133" s="182" t="s">
        <v>475</v>
      </c>
      <c r="E133" s="183" t="s">
        <v>18</v>
      </c>
      <c r="F133" s="73" t="s">
        <v>329</v>
      </c>
      <c r="G133" s="271" t="s">
        <v>116</v>
      </c>
      <c r="H133" s="181">
        <v>48</v>
      </c>
      <c r="I133" s="234">
        <v>37</v>
      </c>
      <c r="J133" s="331">
        <v>43</v>
      </c>
      <c r="K133" s="336">
        <v>82168</v>
      </c>
      <c r="L133" s="336">
        <v>82168</v>
      </c>
      <c r="M133" s="333">
        <f t="shared" si="3"/>
        <v>0</v>
      </c>
      <c r="N133" s="334">
        <v>18</v>
      </c>
      <c r="O133" s="224">
        <v>56311</v>
      </c>
      <c r="P133" s="224">
        <v>56311</v>
      </c>
      <c r="Q133" s="79">
        <f t="shared" si="4"/>
        <v>0</v>
      </c>
    </row>
    <row r="134" spans="1:17" s="13" customFormat="1" x14ac:dyDescent="0.25">
      <c r="A134" s="229"/>
      <c r="B134" s="62" t="s">
        <v>151</v>
      </c>
      <c r="C134" s="181" t="s">
        <v>17</v>
      </c>
      <c r="D134" s="182"/>
      <c r="E134" s="183" t="s">
        <v>32</v>
      </c>
      <c r="F134" s="73" t="s">
        <v>390</v>
      </c>
      <c r="G134" s="74" t="s">
        <v>112</v>
      </c>
      <c r="H134" s="75">
        <v>77</v>
      </c>
      <c r="I134" s="82">
        <v>68</v>
      </c>
      <c r="J134" s="335">
        <f>1+3+3+5+3+9+4+6+3+2+6+5+3+8+4+5+2+7+6+3+5</f>
        <v>93</v>
      </c>
      <c r="K134" s="342">
        <f>2317+4640.19+5864.19+10765+12519.53+4514.35+14486.46+3421.94+27163.56+5180.87+3460.57+13888.56+16894.73+15998.7</f>
        <v>141115.65</v>
      </c>
      <c r="L134" s="342">
        <f>2317+4640.19+5864.19+10765+12519.53+4514.35+14486.46+3421.94+27163.56+5180.87+3460.57+13888.56+16894.73</f>
        <v>125116.95</v>
      </c>
      <c r="M134" s="333">
        <f t="shared" si="3"/>
        <v>15998.699999999997</v>
      </c>
      <c r="N134" s="334">
        <f>9+3+5+1+4+4+1+2+1+1</f>
        <v>31</v>
      </c>
      <c r="O134" s="81">
        <f>10726.94+18822.65+5703.53+12846.53+1320.36+4050.1+22728.38+3733.09</f>
        <v>79931.58</v>
      </c>
      <c r="P134" s="81">
        <f>10726.94+18822.65+5703.53+12846.53+1320.36+4050.1+22728.38+3733.09</f>
        <v>79931.58</v>
      </c>
      <c r="Q134" s="232">
        <f t="shared" si="4"/>
        <v>0</v>
      </c>
    </row>
    <row r="135" spans="1:17" s="13" customFormat="1" x14ac:dyDescent="0.25">
      <c r="A135" s="229"/>
      <c r="B135" s="62" t="s">
        <v>151</v>
      </c>
      <c r="C135" s="181" t="s">
        <v>17</v>
      </c>
      <c r="D135" s="182"/>
      <c r="E135" s="183" t="s">
        <v>32</v>
      </c>
      <c r="F135" s="73" t="s">
        <v>434</v>
      </c>
      <c r="G135" s="230" t="s">
        <v>117</v>
      </c>
      <c r="H135" s="181">
        <v>16</v>
      </c>
      <c r="I135" s="231">
        <v>6</v>
      </c>
      <c r="J135" s="335">
        <v>6</v>
      </c>
      <c r="K135" s="332">
        <v>7392.05</v>
      </c>
      <c r="L135" s="332">
        <v>5920.65</v>
      </c>
      <c r="M135" s="333">
        <f t="shared" si="3"/>
        <v>1471.4000000000005</v>
      </c>
      <c r="N135" s="334">
        <v>14</v>
      </c>
      <c r="O135" s="224">
        <v>27060.1</v>
      </c>
      <c r="P135" s="224">
        <v>24537.7</v>
      </c>
      <c r="Q135" s="79">
        <f t="shared" si="4"/>
        <v>2522.3999999999978</v>
      </c>
    </row>
    <row r="136" spans="1:17" s="13" customFormat="1" x14ac:dyDescent="0.25">
      <c r="A136" s="229"/>
      <c r="B136" s="62" t="s">
        <v>80</v>
      </c>
      <c r="C136" s="181" t="s">
        <v>17</v>
      </c>
      <c r="D136" s="182"/>
      <c r="E136" s="183" t="s">
        <v>81</v>
      </c>
      <c r="F136" s="73" t="s">
        <v>417</v>
      </c>
      <c r="G136" s="74" t="s">
        <v>112</v>
      </c>
      <c r="H136" s="75"/>
      <c r="I136" s="76"/>
      <c r="J136" s="335"/>
      <c r="K136" s="332">
        <f>749.19+8649.27</f>
        <v>9398.4600000000009</v>
      </c>
      <c r="L136" s="332">
        <f>749.19+8649.27</f>
        <v>9398.4600000000009</v>
      </c>
      <c r="M136" s="333">
        <f t="shared" si="3"/>
        <v>0</v>
      </c>
      <c r="N136" s="334">
        <f>2+2+1</f>
        <v>5</v>
      </c>
      <c r="O136" s="81">
        <f>3040.94+9398.46</f>
        <v>12439.4</v>
      </c>
      <c r="P136" s="81">
        <f>3040.94+9398.46</f>
        <v>12439.4</v>
      </c>
      <c r="Q136" s="232">
        <f t="shared" si="4"/>
        <v>0</v>
      </c>
    </row>
    <row r="137" spans="1:17" s="13" customFormat="1" x14ac:dyDescent="0.25">
      <c r="A137" s="229"/>
      <c r="B137" s="62" t="s">
        <v>80</v>
      </c>
      <c r="C137" s="181" t="s">
        <v>17</v>
      </c>
      <c r="D137" s="182"/>
      <c r="E137" s="183" t="s">
        <v>81</v>
      </c>
      <c r="F137" s="73" t="s">
        <v>285</v>
      </c>
      <c r="G137" s="230" t="s">
        <v>114</v>
      </c>
      <c r="H137" s="181"/>
      <c r="I137" s="231"/>
      <c r="J137" s="337"/>
      <c r="K137" s="332"/>
      <c r="L137" s="332"/>
      <c r="M137" s="333">
        <f t="shared" si="3"/>
        <v>0</v>
      </c>
      <c r="N137" s="334">
        <v>27</v>
      </c>
      <c r="O137" s="224">
        <v>62268.31</v>
      </c>
      <c r="P137" s="224">
        <v>62268.31</v>
      </c>
      <c r="Q137" s="232">
        <f t="shared" si="4"/>
        <v>0</v>
      </c>
    </row>
    <row r="138" spans="1:17" s="13" customFormat="1" x14ac:dyDescent="0.25">
      <c r="A138" s="229"/>
      <c r="B138" s="30" t="s">
        <v>82</v>
      </c>
      <c r="C138" s="181" t="s">
        <v>17</v>
      </c>
      <c r="D138" s="182"/>
      <c r="E138" s="183" t="s">
        <v>20</v>
      </c>
      <c r="F138" s="73" t="s">
        <v>394</v>
      </c>
      <c r="G138" s="74" t="s">
        <v>112</v>
      </c>
      <c r="H138" s="75">
        <v>20</v>
      </c>
      <c r="I138" s="76">
        <v>17</v>
      </c>
      <c r="J138" s="335">
        <f>4+3+2+2+1+1+1+1+1+2+1</f>
        <v>19</v>
      </c>
      <c r="K138" s="332">
        <f>20254+3953.39+602.1+1457.08+1445.04</f>
        <v>27711.61</v>
      </c>
      <c r="L138" s="332">
        <f>20254+3953.39+602.1+1457.08</f>
        <v>26266.57</v>
      </c>
      <c r="M138" s="333">
        <f t="shared" si="3"/>
        <v>1445.0400000000009</v>
      </c>
      <c r="N138" s="334">
        <f>3+5+1+1+1</f>
        <v>11</v>
      </c>
      <c r="O138" s="81">
        <f>5975.84+23579.15+1426.34+3500</f>
        <v>34481.33</v>
      </c>
      <c r="P138" s="81">
        <f>5975.84+23579.15+1426.34+3500</f>
        <v>34481.33</v>
      </c>
      <c r="Q138" s="232">
        <f t="shared" si="4"/>
        <v>0</v>
      </c>
    </row>
    <row r="139" spans="1:17" s="13" customFormat="1" x14ac:dyDescent="0.25">
      <c r="A139" s="229"/>
      <c r="B139" s="30" t="s">
        <v>82</v>
      </c>
      <c r="C139" s="181" t="s">
        <v>17</v>
      </c>
      <c r="D139" s="182"/>
      <c r="E139" s="183" t="s">
        <v>20</v>
      </c>
      <c r="F139" s="73" t="s">
        <v>463</v>
      </c>
      <c r="G139" s="230" t="s">
        <v>114</v>
      </c>
      <c r="H139" s="181">
        <v>34</v>
      </c>
      <c r="I139" s="231">
        <v>9</v>
      </c>
      <c r="J139" s="337">
        <v>9</v>
      </c>
      <c r="K139" s="332">
        <v>16086.18</v>
      </c>
      <c r="L139" s="332">
        <v>16086.18</v>
      </c>
      <c r="M139" s="333">
        <f t="shared" si="3"/>
        <v>0</v>
      </c>
      <c r="N139" s="334">
        <v>14</v>
      </c>
      <c r="O139" s="224">
        <v>48620.71</v>
      </c>
      <c r="P139" s="224">
        <v>48620.71</v>
      </c>
      <c r="Q139" s="232">
        <f t="shared" si="4"/>
        <v>0</v>
      </c>
    </row>
    <row r="140" spans="1:17" s="13" customFormat="1" x14ac:dyDescent="0.25">
      <c r="A140" s="229"/>
      <c r="B140" s="30" t="s">
        <v>309</v>
      </c>
      <c r="C140" s="181" t="s">
        <v>17</v>
      </c>
      <c r="D140" s="182"/>
      <c r="E140" s="183" t="s">
        <v>20</v>
      </c>
      <c r="F140" s="73" t="s">
        <v>391</v>
      </c>
      <c r="G140" s="230" t="s">
        <v>112</v>
      </c>
      <c r="H140" s="181">
        <v>23</v>
      </c>
      <c r="I140" s="231">
        <v>16</v>
      </c>
      <c r="J140" s="337">
        <f>1+5+2+1+1+1+2+1+1+1+1</f>
        <v>17</v>
      </c>
      <c r="K140" s="332">
        <f>3606.1+3402.77+2649.24+993.47+441.54+8488+4287.75+3090.78</f>
        <v>26959.65</v>
      </c>
      <c r="L140" s="332">
        <f>3606.1+3402.77+2649.24+993.47+441.54+8488+4287.75+3090.78</f>
        <v>26959.65</v>
      </c>
      <c r="M140" s="333">
        <f t="shared" si="3"/>
        <v>0</v>
      </c>
      <c r="N140" s="334">
        <f>1+5+1+3</f>
        <v>10</v>
      </c>
      <c r="O140" s="224">
        <f>3088.97+13147.65+1267.86+5955.71</f>
        <v>23460.19</v>
      </c>
      <c r="P140" s="224">
        <f>3088.97+13147.65+1267.86+5955.71</f>
        <v>23460.19</v>
      </c>
      <c r="Q140" s="232">
        <f t="shared" si="4"/>
        <v>0</v>
      </c>
    </row>
    <row r="141" spans="1:17" s="13" customFormat="1" x14ac:dyDescent="0.25">
      <c r="A141" s="229"/>
      <c r="B141" s="30" t="s">
        <v>152</v>
      </c>
      <c r="C141" s="181" t="s">
        <v>17</v>
      </c>
      <c r="D141" s="182"/>
      <c r="E141" s="183" t="s">
        <v>35</v>
      </c>
      <c r="F141" s="73" t="s">
        <v>392</v>
      </c>
      <c r="G141" s="74" t="s">
        <v>112</v>
      </c>
      <c r="H141" s="75">
        <v>7</v>
      </c>
      <c r="I141" s="76">
        <v>6</v>
      </c>
      <c r="J141" s="335">
        <f>1+1+2+1+1+1+2</f>
        <v>9</v>
      </c>
      <c r="K141" s="332">
        <f>403.41+845.24+2113.1+2649.24</f>
        <v>6010.99</v>
      </c>
      <c r="L141" s="332">
        <f>403.41+845.24+2113.1+2649.24</f>
        <v>6010.99</v>
      </c>
      <c r="M141" s="333">
        <f t="shared" si="3"/>
        <v>0</v>
      </c>
      <c r="N141" s="334">
        <f>2+2+2+1+1+1+2</f>
        <v>11</v>
      </c>
      <c r="O141" s="81">
        <f>1690.48+3050.26+3661.61+4648.82+1267.86+1690.48+9282.42+4052.53</f>
        <v>29344.46</v>
      </c>
      <c r="P141" s="81">
        <f>1690.48+3050.26+3661.61+4648.82+1267.86+1690.48+9282.42+4052.53</f>
        <v>29344.46</v>
      </c>
      <c r="Q141" s="232">
        <f t="shared" si="4"/>
        <v>0</v>
      </c>
    </row>
    <row r="142" spans="1:17" s="13" customFormat="1" x14ac:dyDescent="0.25">
      <c r="A142" s="229"/>
      <c r="B142" s="30" t="s">
        <v>83</v>
      </c>
      <c r="C142" s="181" t="s">
        <v>17</v>
      </c>
      <c r="D142" s="182"/>
      <c r="E142" s="183" t="s">
        <v>20</v>
      </c>
      <c r="F142" s="73" t="s">
        <v>393</v>
      </c>
      <c r="G142" s="74" t="s">
        <v>112</v>
      </c>
      <c r="H142" s="75">
        <v>17</v>
      </c>
      <c r="I142" s="76">
        <v>11</v>
      </c>
      <c r="J142" s="335">
        <f>1+1+2+1+1+1+1+1+1+1+1</f>
        <v>12</v>
      </c>
      <c r="K142" s="332">
        <f>768.4+2535.72+845.24+14407.5+883.08+883.08+2185.62</f>
        <v>22508.640000000003</v>
      </c>
      <c r="L142" s="332">
        <f>768.4+2535.72+845.24+14407.5+883.08+883.08</f>
        <v>20323.020000000004</v>
      </c>
      <c r="M142" s="333">
        <f t="shared" si="3"/>
        <v>2185.619999999999</v>
      </c>
      <c r="N142" s="334">
        <f>1+2+1+1+1+2</f>
        <v>8</v>
      </c>
      <c r="O142" s="81">
        <f>5837.09+1922.92+4288.54+1686.25</f>
        <v>13734.8</v>
      </c>
      <c r="P142" s="81">
        <f>5837.09+1922.92+4288.54+1686.25</f>
        <v>13734.8</v>
      </c>
      <c r="Q142" s="232">
        <f t="shared" si="4"/>
        <v>0</v>
      </c>
    </row>
    <row r="143" spans="1:17" s="13" customFormat="1" x14ac:dyDescent="0.25">
      <c r="A143" s="229"/>
      <c r="B143" s="30" t="s">
        <v>83</v>
      </c>
      <c r="C143" s="181" t="s">
        <v>17</v>
      </c>
      <c r="D143" s="182"/>
      <c r="E143" s="183" t="s">
        <v>20</v>
      </c>
      <c r="F143" s="73" t="s">
        <v>464</v>
      </c>
      <c r="G143" s="230" t="s">
        <v>114</v>
      </c>
      <c r="H143" s="181">
        <v>39</v>
      </c>
      <c r="I143" s="231">
        <v>23</v>
      </c>
      <c r="J143" s="337">
        <v>23</v>
      </c>
      <c r="K143" s="332">
        <v>60040.41</v>
      </c>
      <c r="L143" s="332">
        <v>60040.41</v>
      </c>
      <c r="M143" s="333">
        <f t="shared" ref="M143:M196" si="5">K143-L143</f>
        <v>0</v>
      </c>
      <c r="N143" s="334">
        <v>31</v>
      </c>
      <c r="O143" s="224">
        <v>114176.52</v>
      </c>
      <c r="P143" s="224">
        <v>114176.52</v>
      </c>
      <c r="Q143" s="232">
        <f t="shared" si="4"/>
        <v>0</v>
      </c>
    </row>
    <row r="144" spans="1:17" s="13" customFormat="1" ht="45" x14ac:dyDescent="0.25">
      <c r="A144" s="229"/>
      <c r="B144" s="30" t="s">
        <v>85</v>
      </c>
      <c r="C144" s="181" t="s">
        <v>304</v>
      </c>
      <c r="D144" s="182" t="s">
        <v>415</v>
      </c>
      <c r="E144" s="183" t="s">
        <v>20</v>
      </c>
      <c r="F144" s="73" t="s">
        <v>395</v>
      </c>
      <c r="G144" s="74" t="s">
        <v>112</v>
      </c>
      <c r="H144" s="75">
        <v>21</v>
      </c>
      <c r="I144" s="76">
        <v>12</v>
      </c>
      <c r="J144" s="331">
        <f>2+1+1+1+3</f>
        <v>8</v>
      </c>
      <c r="K144" s="332">
        <f>4800.58+2591.84+7239.38+3534.03+9709.14</f>
        <v>27874.969999999998</v>
      </c>
      <c r="L144" s="332">
        <f>4800.58+2591.84+7239.38+3534.03</f>
        <v>18165.829999999998</v>
      </c>
      <c r="M144" s="333">
        <f t="shared" si="5"/>
        <v>9709.14</v>
      </c>
      <c r="N144" s="334">
        <f>2+1+2+1</f>
        <v>6</v>
      </c>
      <c r="O144" s="81">
        <f>3917.73+8936.21+5669.37+31185.72+18292.46</f>
        <v>68001.489999999991</v>
      </c>
      <c r="P144" s="81">
        <f>3917.73+8936.21+5669.37+31185.72+18292.46</f>
        <v>68001.489999999991</v>
      </c>
      <c r="Q144" s="79">
        <f t="shared" si="4"/>
        <v>0</v>
      </c>
    </row>
    <row r="145" spans="1:17" s="13" customFormat="1" x14ac:dyDescent="0.25">
      <c r="A145" s="229"/>
      <c r="B145" s="27" t="s">
        <v>86</v>
      </c>
      <c r="C145" s="181" t="s">
        <v>17</v>
      </c>
      <c r="D145" s="182"/>
      <c r="E145" s="194" t="s">
        <v>20</v>
      </c>
      <c r="F145" s="73" t="s">
        <v>396</v>
      </c>
      <c r="G145" s="74" t="s">
        <v>112</v>
      </c>
      <c r="H145" s="75">
        <v>29</v>
      </c>
      <c r="I145" s="76">
        <v>23</v>
      </c>
      <c r="J145" s="335">
        <f>1+3+1+7+2+2+5+5+1+3+6</f>
        <v>36</v>
      </c>
      <c r="K145" s="332">
        <f>950.9+5134.06+2091.97+528.03+8954.46+5719.74+9578.1+2631.85+7667.14</f>
        <v>43256.249999999993</v>
      </c>
      <c r="L145" s="332">
        <f>950.9+5134.06+2091.97+528.03+8954.46+5719.74+9578.1+2631.85+7667.14</f>
        <v>43256.249999999993</v>
      </c>
      <c r="M145" s="333">
        <f t="shared" si="5"/>
        <v>0</v>
      </c>
      <c r="N145" s="334">
        <f>15+4+2+1+2+2+1</f>
        <v>27</v>
      </c>
      <c r="O145" s="81">
        <f>30236.61+18366.75+8887.09+1077.68+8961.95</f>
        <v>67530.080000000002</v>
      </c>
      <c r="P145" s="81">
        <f>30236.61+18366.75+8887.09+1077.68+8961.95</f>
        <v>67530.080000000002</v>
      </c>
      <c r="Q145" s="232">
        <f t="shared" si="4"/>
        <v>0</v>
      </c>
    </row>
    <row r="146" spans="1:17" s="13" customFormat="1" x14ac:dyDescent="0.25">
      <c r="A146" s="229"/>
      <c r="B146" s="27" t="s">
        <v>86</v>
      </c>
      <c r="C146" s="181" t="s">
        <v>17</v>
      </c>
      <c r="D146" s="182"/>
      <c r="E146" s="194" t="s">
        <v>20</v>
      </c>
      <c r="F146" s="73" t="s">
        <v>465</v>
      </c>
      <c r="G146" s="230" t="s">
        <v>114</v>
      </c>
      <c r="H146" s="181">
        <v>9</v>
      </c>
      <c r="I146" s="231">
        <v>4</v>
      </c>
      <c r="J146" s="337">
        <v>4</v>
      </c>
      <c r="K146" s="332">
        <v>8549.82</v>
      </c>
      <c r="L146" s="332">
        <v>8549.82</v>
      </c>
      <c r="M146" s="333">
        <f t="shared" si="5"/>
        <v>0</v>
      </c>
      <c r="N146" s="334">
        <v>10</v>
      </c>
      <c r="O146" s="224">
        <v>22234.03</v>
      </c>
      <c r="P146" s="224">
        <v>22234.03</v>
      </c>
      <c r="Q146" s="232">
        <f t="shared" si="4"/>
        <v>0</v>
      </c>
    </row>
    <row r="147" spans="1:17" s="13" customFormat="1" x14ac:dyDescent="0.25">
      <c r="A147" s="229"/>
      <c r="B147" s="27" t="s">
        <v>87</v>
      </c>
      <c r="C147" s="181" t="s">
        <v>17</v>
      </c>
      <c r="D147" s="182"/>
      <c r="E147" s="194" t="s">
        <v>20</v>
      </c>
      <c r="F147" s="73" t="s">
        <v>520</v>
      </c>
      <c r="G147" s="294" t="s">
        <v>112</v>
      </c>
      <c r="H147" s="181">
        <v>4</v>
      </c>
      <c r="I147" s="231">
        <v>3</v>
      </c>
      <c r="J147" s="337">
        <f>2+2</f>
        <v>4</v>
      </c>
      <c r="K147" s="332">
        <f>2595.26</f>
        <v>2595.2600000000002</v>
      </c>
      <c r="L147" s="332"/>
      <c r="M147" s="333"/>
      <c r="N147" s="334"/>
      <c r="O147" s="224"/>
      <c r="P147" s="224"/>
      <c r="Q147" s="232"/>
    </row>
    <row r="148" spans="1:17" s="13" customFormat="1" x14ac:dyDescent="0.25">
      <c r="A148" s="229"/>
      <c r="B148" s="62" t="s">
        <v>312</v>
      </c>
      <c r="C148" s="181" t="s">
        <v>17</v>
      </c>
      <c r="D148" s="182"/>
      <c r="E148" s="194" t="s">
        <v>20</v>
      </c>
      <c r="F148" s="73" t="s">
        <v>320</v>
      </c>
      <c r="G148" s="74" t="s">
        <v>112</v>
      </c>
      <c r="H148" s="75">
        <v>25</v>
      </c>
      <c r="I148" s="76">
        <v>21</v>
      </c>
      <c r="J148" s="335">
        <f>1+1+1+2+3+4+4+3+1</f>
        <v>20</v>
      </c>
      <c r="K148" s="332">
        <f>3319.49+845.24+4965.79+4415.4+3090.78+9754.02</f>
        <v>26390.720000000001</v>
      </c>
      <c r="L148" s="332">
        <f>3319.49+845.24+4965.79+4415.4+3090.78</f>
        <v>16636.7</v>
      </c>
      <c r="M148" s="333">
        <f t="shared" si="5"/>
        <v>9754.02</v>
      </c>
      <c r="N148" s="334">
        <f>5+6+1+1+1</f>
        <v>14</v>
      </c>
      <c r="O148" s="81">
        <f>4226.2+6627.45+4360.59+6336.1+2649.24</f>
        <v>24199.58</v>
      </c>
      <c r="P148" s="81">
        <f>4226.2+6627.45+4360.59+6336.1</f>
        <v>21550.34</v>
      </c>
      <c r="Q148" s="232">
        <f t="shared" si="4"/>
        <v>2649.2400000000016</v>
      </c>
    </row>
    <row r="149" spans="1:17" s="13" customFormat="1" x14ac:dyDescent="0.25">
      <c r="A149" s="229"/>
      <c r="B149" s="62" t="s">
        <v>312</v>
      </c>
      <c r="C149" s="181"/>
      <c r="D149" s="182"/>
      <c r="E149" s="194"/>
      <c r="F149" s="73"/>
      <c r="G149" s="74" t="s">
        <v>114</v>
      </c>
      <c r="H149" s="75">
        <v>2</v>
      </c>
      <c r="I149" s="76"/>
      <c r="J149" s="335"/>
      <c r="K149" s="332"/>
      <c r="L149" s="332"/>
      <c r="M149" s="333"/>
      <c r="N149" s="334"/>
      <c r="O149" s="81"/>
      <c r="P149" s="81"/>
      <c r="Q149" s="232"/>
    </row>
    <row r="150" spans="1:17" s="13" customFormat="1" x14ac:dyDescent="0.25">
      <c r="A150" s="229"/>
      <c r="B150" s="62" t="s">
        <v>494</v>
      </c>
      <c r="C150" s="181" t="s">
        <v>17</v>
      </c>
      <c r="D150" s="182"/>
      <c r="E150" s="194" t="s">
        <v>20</v>
      </c>
      <c r="F150" s="73" t="s">
        <v>497</v>
      </c>
      <c r="G150" s="74" t="s">
        <v>112</v>
      </c>
      <c r="H150" s="75">
        <v>18</v>
      </c>
      <c r="I150" s="76">
        <v>13</v>
      </c>
      <c r="J150" s="335">
        <f>1+1+1+1+2+1+2+2+3</f>
        <v>14</v>
      </c>
      <c r="K150" s="332">
        <f>3379+5494.06+576.3+2417.43+3057.66+2384.32+1986.93</f>
        <v>19295.7</v>
      </c>
      <c r="L150" s="332">
        <f>3379+5494.06+576.3+2417.43+3057.66+2384.32+1986.93</f>
        <v>19295.7</v>
      </c>
      <c r="M150" s="333">
        <f t="shared" si="5"/>
        <v>0</v>
      </c>
      <c r="N150" s="334"/>
      <c r="O150" s="81"/>
      <c r="P150" s="81"/>
      <c r="Q150" s="232">
        <f t="shared" ref="Q150:Q197" si="6">O150-P150</f>
        <v>0</v>
      </c>
    </row>
    <row r="151" spans="1:17" s="13" customFormat="1" x14ac:dyDescent="0.25">
      <c r="A151" s="229"/>
      <c r="B151" s="62" t="s">
        <v>494</v>
      </c>
      <c r="C151" s="181" t="s">
        <v>17</v>
      </c>
      <c r="D151" s="182"/>
      <c r="E151" s="194" t="s">
        <v>20</v>
      </c>
      <c r="F151" s="73" t="s">
        <v>507</v>
      </c>
      <c r="G151" s="74" t="s">
        <v>114</v>
      </c>
      <c r="H151" s="75">
        <v>49</v>
      </c>
      <c r="I151" s="76">
        <v>10</v>
      </c>
      <c r="J151" s="335">
        <v>10</v>
      </c>
      <c r="K151" s="332">
        <v>24597.26</v>
      </c>
      <c r="L151" s="332">
        <v>24597.26</v>
      </c>
      <c r="M151" s="333">
        <f t="shared" si="5"/>
        <v>0</v>
      </c>
      <c r="N151" s="334"/>
      <c r="O151" s="81"/>
      <c r="P151" s="81"/>
      <c r="Q151" s="232">
        <f t="shared" si="6"/>
        <v>0</v>
      </c>
    </row>
    <row r="152" spans="1:17" s="13" customFormat="1" x14ac:dyDescent="0.25">
      <c r="A152" s="229"/>
      <c r="B152" s="62" t="s">
        <v>521</v>
      </c>
      <c r="C152" s="181"/>
      <c r="D152" s="182"/>
      <c r="E152" s="194"/>
      <c r="F152" s="73"/>
      <c r="G152" s="74" t="s">
        <v>112</v>
      </c>
      <c r="H152" s="75">
        <v>3</v>
      </c>
      <c r="I152" s="76">
        <v>1</v>
      </c>
      <c r="J152" s="335">
        <f>2</f>
        <v>2</v>
      </c>
      <c r="K152" s="332"/>
      <c r="L152" s="332"/>
      <c r="M152" s="333"/>
      <c r="N152" s="334"/>
      <c r="O152" s="81"/>
      <c r="P152" s="81"/>
      <c r="Q152" s="232"/>
    </row>
    <row r="153" spans="1:17" s="13" customFormat="1" x14ac:dyDescent="0.25">
      <c r="A153" s="229"/>
      <c r="B153" s="62" t="s">
        <v>521</v>
      </c>
      <c r="C153" s="181"/>
      <c r="D153" s="182"/>
      <c r="E153" s="194"/>
      <c r="F153" s="73"/>
      <c r="G153" s="74" t="s">
        <v>116</v>
      </c>
      <c r="H153" s="75">
        <v>2</v>
      </c>
      <c r="I153" s="76"/>
      <c r="J153" s="335"/>
      <c r="K153" s="332"/>
      <c r="L153" s="332"/>
      <c r="M153" s="333"/>
      <c r="N153" s="334"/>
      <c r="O153" s="81"/>
      <c r="P153" s="81"/>
      <c r="Q153" s="232"/>
    </row>
    <row r="154" spans="1:17" s="13" customFormat="1" x14ac:dyDescent="0.25">
      <c r="A154" s="229"/>
      <c r="B154" s="30" t="s">
        <v>88</v>
      </c>
      <c r="C154" s="181" t="s">
        <v>17</v>
      </c>
      <c r="D154" s="182"/>
      <c r="E154" s="183" t="s">
        <v>89</v>
      </c>
      <c r="F154" s="73" t="s">
        <v>397</v>
      </c>
      <c r="G154" s="74" t="s">
        <v>112</v>
      </c>
      <c r="H154" s="75">
        <v>36</v>
      </c>
      <c r="I154" s="76">
        <v>22</v>
      </c>
      <c r="J154" s="335">
        <f>1+3+1+2+4+1+2+5+2+1</f>
        <v>22</v>
      </c>
      <c r="K154" s="332">
        <f>4226.2+2394.91+6485.1+556.71+4126.31+9704.16+1282.67+1282.67+2185.62+3512.26</f>
        <v>35756.609999999993</v>
      </c>
      <c r="L154" s="332">
        <f>4226.2+2394.91+6485.1+556.71+4126.31+9704.16+1282.67+1282.67+2185.62</f>
        <v>32244.349999999995</v>
      </c>
      <c r="M154" s="333">
        <f t="shared" si="5"/>
        <v>3512.2599999999984</v>
      </c>
      <c r="N154" s="334">
        <f>4+1+3+1+2+2+1+1+2</f>
        <v>17</v>
      </c>
      <c r="O154" s="81">
        <f>11967.83+2831.55+10544.37+9418.99+3799.13+1798.04+2548.4-12193.52+4083.77</f>
        <v>34798.559999999998</v>
      </c>
      <c r="P154" s="81">
        <f>11967.83+2831.55+10544.37+9418.99+3799.13+1798.04+2548.4-12193.52+4083.77</f>
        <v>34798.559999999998</v>
      </c>
      <c r="Q154" s="79">
        <f t="shared" si="6"/>
        <v>0</v>
      </c>
    </row>
    <row r="155" spans="1:17" s="13" customFormat="1" x14ac:dyDescent="0.25">
      <c r="A155" s="229"/>
      <c r="B155" s="30" t="s">
        <v>88</v>
      </c>
      <c r="C155" s="181" t="s">
        <v>17</v>
      </c>
      <c r="D155" s="182"/>
      <c r="E155" s="183" t="s">
        <v>89</v>
      </c>
      <c r="F155" s="73" t="s">
        <v>442</v>
      </c>
      <c r="G155" s="230" t="s">
        <v>118</v>
      </c>
      <c r="H155" s="181">
        <v>7</v>
      </c>
      <c r="I155" s="231">
        <v>4</v>
      </c>
      <c r="J155" s="335">
        <v>4</v>
      </c>
      <c r="K155" s="332">
        <v>7937.26</v>
      </c>
      <c r="L155" s="332">
        <v>7937.26</v>
      </c>
      <c r="M155" s="333">
        <f>K155-L155</f>
        <v>0</v>
      </c>
      <c r="N155" s="334">
        <v>5</v>
      </c>
      <c r="O155" s="224">
        <v>22002.55</v>
      </c>
      <c r="P155" s="224">
        <v>22002.55</v>
      </c>
      <c r="Q155" s="232">
        <f t="shared" si="6"/>
        <v>0</v>
      </c>
    </row>
    <row r="156" spans="1:17" s="13" customFormat="1" x14ac:dyDescent="0.25">
      <c r="A156" s="229"/>
      <c r="B156" s="30" t="s">
        <v>88</v>
      </c>
      <c r="C156" s="181" t="s">
        <v>17</v>
      </c>
      <c r="D156" s="182"/>
      <c r="E156" s="194" t="s">
        <v>505</v>
      </c>
      <c r="F156" s="73" t="s">
        <v>506</v>
      </c>
      <c r="G156" s="230" t="s">
        <v>114</v>
      </c>
      <c r="H156" s="181">
        <v>9</v>
      </c>
      <c r="I156" s="231">
        <v>4</v>
      </c>
      <c r="J156" s="335">
        <v>4</v>
      </c>
      <c r="K156" s="332">
        <v>11656.54</v>
      </c>
      <c r="L156" s="332">
        <v>11656.54</v>
      </c>
      <c r="M156" s="333">
        <f t="shared" si="5"/>
        <v>0</v>
      </c>
      <c r="N156" s="334"/>
      <c r="O156" s="224"/>
      <c r="P156" s="224"/>
      <c r="Q156" s="232">
        <f t="shared" si="6"/>
        <v>0</v>
      </c>
    </row>
    <row r="157" spans="1:17" s="13" customFormat="1" x14ac:dyDescent="0.25">
      <c r="A157" s="229"/>
      <c r="B157" s="30" t="s">
        <v>90</v>
      </c>
      <c r="C157" s="181" t="s">
        <v>17</v>
      </c>
      <c r="D157" s="182"/>
      <c r="E157" s="194" t="s">
        <v>20</v>
      </c>
      <c r="F157" s="73" t="s">
        <v>398</v>
      </c>
      <c r="G157" s="74" t="s">
        <v>112</v>
      </c>
      <c r="H157" s="75">
        <v>17</v>
      </c>
      <c r="I157" s="76">
        <v>8</v>
      </c>
      <c r="J157" s="335">
        <f>1+1+1+4+1+2</f>
        <v>10</v>
      </c>
      <c r="K157" s="332">
        <f>422.62+4662.44+7580.13+2408.4+8770.77+8080.63</f>
        <v>31924.99</v>
      </c>
      <c r="L157" s="332">
        <f>422.62+4662.44+7580.13+2408.4+8770.77</f>
        <v>23844.36</v>
      </c>
      <c r="M157" s="333">
        <f t="shared" si="5"/>
        <v>8080.630000000001</v>
      </c>
      <c r="N157" s="334">
        <f>1+1+1+1+2+1</f>
        <v>7</v>
      </c>
      <c r="O157" s="81">
        <f>2122.67+787.61+15453.48+6194.26+37549.5</f>
        <v>62107.519999999997</v>
      </c>
      <c r="P157" s="81">
        <f>2122.67+787.61+15453.48+6194.26+37549.5</f>
        <v>62107.519999999997</v>
      </c>
      <c r="Q157" s="79">
        <f t="shared" si="6"/>
        <v>0</v>
      </c>
    </row>
    <row r="158" spans="1:17" s="13" customFormat="1" x14ac:dyDescent="0.25">
      <c r="A158" s="229"/>
      <c r="B158" s="30" t="s">
        <v>90</v>
      </c>
      <c r="C158" s="181" t="s">
        <v>17</v>
      </c>
      <c r="D158" s="182"/>
      <c r="E158" s="194" t="s">
        <v>20</v>
      </c>
      <c r="F158" s="73" t="s">
        <v>466</v>
      </c>
      <c r="G158" s="230" t="s">
        <v>114</v>
      </c>
      <c r="H158" s="181">
        <v>30</v>
      </c>
      <c r="I158" s="231">
        <v>12</v>
      </c>
      <c r="J158" s="337">
        <v>12</v>
      </c>
      <c r="K158" s="332">
        <v>24517.56</v>
      </c>
      <c r="L158" s="332">
        <v>24517.56</v>
      </c>
      <c r="M158" s="333">
        <f t="shared" si="5"/>
        <v>0</v>
      </c>
      <c r="N158" s="334">
        <v>31</v>
      </c>
      <c r="O158" s="224">
        <v>115855.1</v>
      </c>
      <c r="P158" s="224">
        <v>115855.1</v>
      </c>
      <c r="Q158" s="232">
        <f t="shared" si="6"/>
        <v>0</v>
      </c>
    </row>
    <row r="159" spans="1:17" s="13" customFormat="1" x14ac:dyDescent="0.25">
      <c r="A159" s="229"/>
      <c r="B159" s="30" t="s">
        <v>91</v>
      </c>
      <c r="C159" s="181" t="s">
        <v>17</v>
      </c>
      <c r="D159" s="182"/>
      <c r="E159" s="194" t="s">
        <v>20</v>
      </c>
      <c r="F159" s="73"/>
      <c r="G159" s="74" t="s">
        <v>112</v>
      </c>
      <c r="H159" s="75"/>
      <c r="I159" s="76"/>
      <c r="J159" s="335"/>
      <c r="K159" s="332"/>
      <c r="L159" s="332"/>
      <c r="M159" s="333">
        <f t="shared" si="5"/>
        <v>0</v>
      </c>
      <c r="N159" s="334"/>
      <c r="O159" s="81"/>
      <c r="P159" s="81"/>
      <c r="Q159" s="79">
        <f t="shared" si="6"/>
        <v>0</v>
      </c>
    </row>
    <row r="160" spans="1:17" s="13" customFormat="1" x14ac:dyDescent="0.25">
      <c r="A160" s="229"/>
      <c r="B160" s="62" t="s">
        <v>138</v>
      </c>
      <c r="C160" s="181" t="s">
        <v>17</v>
      </c>
      <c r="D160" s="182"/>
      <c r="E160" s="194" t="s">
        <v>20</v>
      </c>
      <c r="F160" s="73" t="s">
        <v>467</v>
      </c>
      <c r="G160" s="230" t="s">
        <v>114</v>
      </c>
      <c r="H160" s="181">
        <v>21</v>
      </c>
      <c r="I160" s="231">
        <v>3</v>
      </c>
      <c r="J160" s="337">
        <v>3</v>
      </c>
      <c r="K160" s="339">
        <v>5542.2</v>
      </c>
      <c r="L160" s="339">
        <v>5542.2</v>
      </c>
      <c r="M160" s="333">
        <f t="shared" si="5"/>
        <v>0</v>
      </c>
      <c r="N160" s="338">
        <v>8</v>
      </c>
      <c r="O160" s="224">
        <v>16429.099999999999</v>
      </c>
      <c r="P160" s="224">
        <v>16429.099999999999</v>
      </c>
      <c r="Q160" s="232">
        <f t="shared" si="6"/>
        <v>0</v>
      </c>
    </row>
    <row r="161" spans="1:17" s="13" customFormat="1" x14ac:dyDescent="0.25">
      <c r="A161" s="229"/>
      <c r="B161" s="62" t="s">
        <v>138</v>
      </c>
      <c r="C161" s="181" t="s">
        <v>17</v>
      </c>
      <c r="D161" s="182"/>
      <c r="E161" s="194" t="s">
        <v>20</v>
      </c>
      <c r="F161" s="73" t="s">
        <v>400</v>
      </c>
      <c r="G161" s="74" t="s">
        <v>112</v>
      </c>
      <c r="H161" s="75">
        <v>16</v>
      </c>
      <c r="I161" s="82">
        <v>12</v>
      </c>
      <c r="J161" s="335">
        <f>3+1+1+2+2+3+1</f>
        <v>13</v>
      </c>
      <c r="K161" s="332">
        <f>2224.52+9639.33+3232.07+1625.67+1324.62+2604.08</f>
        <v>20650.29</v>
      </c>
      <c r="L161" s="332">
        <f>2224.52+9639.33+3232.07+1625.67+1324.62+2604.08</f>
        <v>20650.29</v>
      </c>
      <c r="M161" s="333">
        <f t="shared" si="5"/>
        <v>0</v>
      </c>
      <c r="N161" s="334">
        <f>5+4+2</f>
        <v>11</v>
      </c>
      <c r="O161" s="81">
        <f>8995.87+8641.99+5740.02</f>
        <v>23377.88</v>
      </c>
      <c r="P161" s="81">
        <f>8995.87+8641.99+5740.02</f>
        <v>23377.88</v>
      </c>
      <c r="Q161" s="79">
        <f t="shared" si="6"/>
        <v>0</v>
      </c>
    </row>
    <row r="162" spans="1:17" s="13" customFormat="1" x14ac:dyDescent="0.25">
      <c r="A162" s="229"/>
      <c r="B162" s="62" t="s">
        <v>157</v>
      </c>
      <c r="C162" s="181" t="s">
        <v>17</v>
      </c>
      <c r="D162" s="182"/>
      <c r="E162" s="194" t="s">
        <v>20</v>
      </c>
      <c r="F162" s="73" t="s">
        <v>401</v>
      </c>
      <c r="G162" s="74" t="s">
        <v>112</v>
      </c>
      <c r="H162" s="75">
        <v>15</v>
      </c>
      <c r="I162" s="82"/>
      <c r="J162" s="335"/>
      <c r="K162" s="332"/>
      <c r="L162" s="332"/>
      <c r="M162" s="333">
        <f t="shared" si="5"/>
        <v>0</v>
      </c>
      <c r="N162" s="334"/>
      <c r="O162" s="81"/>
      <c r="P162" s="81"/>
      <c r="Q162" s="232">
        <f t="shared" si="6"/>
        <v>0</v>
      </c>
    </row>
    <row r="163" spans="1:17" s="13" customFormat="1" x14ac:dyDescent="0.25">
      <c r="A163" s="229"/>
      <c r="B163" s="62" t="s">
        <v>515</v>
      </c>
      <c r="C163" s="181" t="s">
        <v>17</v>
      </c>
      <c r="D163" s="182"/>
      <c r="E163" s="194" t="s">
        <v>20</v>
      </c>
      <c r="F163" s="73" t="s">
        <v>519</v>
      </c>
      <c r="G163" s="74" t="s">
        <v>112</v>
      </c>
      <c r="H163" s="75">
        <v>16</v>
      </c>
      <c r="I163" s="82">
        <v>6</v>
      </c>
      <c r="J163" s="335">
        <f>1+1+2+4</f>
        <v>8</v>
      </c>
      <c r="K163" s="332">
        <f>1091.81+1091.81+662.31+4766.43</f>
        <v>7612.3600000000006</v>
      </c>
      <c r="L163" s="332">
        <f>1091.81+1091.81+662.31</f>
        <v>2845.93</v>
      </c>
      <c r="M163" s="333">
        <f t="shared" si="5"/>
        <v>4766.43</v>
      </c>
      <c r="N163" s="334"/>
      <c r="O163" s="81"/>
      <c r="P163" s="81"/>
      <c r="Q163" s="232"/>
    </row>
    <row r="164" spans="1:17" s="15" customFormat="1" x14ac:dyDescent="0.25">
      <c r="A164" s="229"/>
      <c r="B164" s="62" t="s">
        <v>92</v>
      </c>
      <c r="C164" s="181" t="s">
        <v>17</v>
      </c>
      <c r="D164" s="182"/>
      <c r="E164" s="194" t="s">
        <v>20</v>
      </c>
      <c r="F164" s="73" t="s">
        <v>402</v>
      </c>
      <c r="G164" s="74" t="s">
        <v>112</v>
      </c>
      <c r="H164" s="75">
        <v>16</v>
      </c>
      <c r="I164" s="76">
        <v>12</v>
      </c>
      <c r="J164" s="335">
        <f>1+2+5+2+2</f>
        <v>12</v>
      </c>
      <c r="K164" s="332">
        <f>1951.74+1335.1+2996.76+883.08+842.94+868.07</f>
        <v>8877.69</v>
      </c>
      <c r="L164" s="332">
        <f>1951.74+1335.1+2996.76+883.08+842.94+868.07</f>
        <v>8877.69</v>
      </c>
      <c r="M164" s="333">
        <f t="shared" si="5"/>
        <v>0</v>
      </c>
      <c r="N164" s="334">
        <f>4+1+1</f>
        <v>6</v>
      </c>
      <c r="O164" s="81">
        <f>12624.74+2697.06+1225.93</f>
        <v>16547.73</v>
      </c>
      <c r="P164" s="81">
        <f>12624.74+2697.06+1225.93</f>
        <v>16547.73</v>
      </c>
      <c r="Q164" s="232">
        <f t="shared" si="6"/>
        <v>0</v>
      </c>
    </row>
    <row r="165" spans="1:17" s="15" customFormat="1" x14ac:dyDescent="0.25">
      <c r="A165" s="229"/>
      <c r="B165" s="62" t="s">
        <v>92</v>
      </c>
      <c r="C165" s="181" t="s">
        <v>17</v>
      </c>
      <c r="D165" s="182"/>
      <c r="E165" s="194" t="s">
        <v>20</v>
      </c>
      <c r="F165" s="73" t="s">
        <v>129</v>
      </c>
      <c r="G165" s="230" t="s">
        <v>114</v>
      </c>
      <c r="H165" s="181"/>
      <c r="I165" s="231"/>
      <c r="J165" s="337"/>
      <c r="K165" s="332"/>
      <c r="L165" s="332"/>
      <c r="M165" s="333">
        <f t="shared" si="5"/>
        <v>0</v>
      </c>
      <c r="N165" s="338"/>
      <c r="O165" s="224"/>
      <c r="P165" s="224"/>
      <c r="Q165" s="232">
        <f t="shared" si="6"/>
        <v>0</v>
      </c>
    </row>
    <row r="166" spans="1:17" s="13" customFormat="1" x14ac:dyDescent="0.25">
      <c r="A166" s="229"/>
      <c r="B166" s="30" t="s">
        <v>93</v>
      </c>
      <c r="C166" s="181" t="s">
        <v>17</v>
      </c>
      <c r="D166" s="182"/>
      <c r="E166" s="183" t="s">
        <v>94</v>
      </c>
      <c r="F166" s="73" t="s">
        <v>403</v>
      </c>
      <c r="G166" s="74" t="s">
        <v>112</v>
      </c>
      <c r="H166" s="75">
        <v>7</v>
      </c>
      <c r="I166" s="76">
        <v>2</v>
      </c>
      <c r="J166" s="335">
        <f>2</f>
        <v>2</v>
      </c>
      <c r="K166" s="332">
        <f>2336.84</f>
        <v>2336.84</v>
      </c>
      <c r="L166" s="332">
        <f>2336.84</f>
        <v>2336.84</v>
      </c>
      <c r="M166" s="333">
        <f t="shared" si="5"/>
        <v>0</v>
      </c>
      <c r="N166" s="334">
        <f>3+8</f>
        <v>11</v>
      </c>
      <c r="O166" s="81">
        <f>20117.75</f>
        <v>20117.75</v>
      </c>
      <c r="P166" s="81">
        <f>20117.75</f>
        <v>20117.75</v>
      </c>
      <c r="Q166" s="232">
        <f t="shared" si="6"/>
        <v>0</v>
      </c>
    </row>
    <row r="167" spans="1:17" s="13" customFormat="1" x14ac:dyDescent="0.25">
      <c r="A167" s="229"/>
      <c r="B167" s="30" t="s">
        <v>93</v>
      </c>
      <c r="C167" s="181" t="s">
        <v>17</v>
      </c>
      <c r="D167" s="182"/>
      <c r="E167" s="183" t="s">
        <v>94</v>
      </c>
      <c r="F167" s="73" t="s">
        <v>130</v>
      </c>
      <c r="G167" s="230" t="s">
        <v>114</v>
      </c>
      <c r="H167" s="181"/>
      <c r="I167" s="231"/>
      <c r="J167" s="337"/>
      <c r="K167" s="332"/>
      <c r="L167" s="332"/>
      <c r="M167" s="333">
        <f t="shared" si="5"/>
        <v>0</v>
      </c>
      <c r="N167" s="334"/>
      <c r="O167" s="224"/>
      <c r="P167" s="224"/>
      <c r="Q167" s="232">
        <f t="shared" si="6"/>
        <v>0</v>
      </c>
    </row>
    <row r="168" spans="1:17" s="13" customFormat="1" x14ac:dyDescent="0.25">
      <c r="A168" s="229"/>
      <c r="B168" s="30" t="s">
        <v>93</v>
      </c>
      <c r="C168" s="181" t="s">
        <v>17</v>
      </c>
      <c r="D168" s="182"/>
      <c r="E168" s="183" t="s">
        <v>94</v>
      </c>
      <c r="F168" s="73" t="s">
        <v>240</v>
      </c>
      <c r="G168" s="230" t="s">
        <v>118</v>
      </c>
      <c r="H168" s="181"/>
      <c r="I168" s="231"/>
      <c r="J168" s="335"/>
      <c r="K168" s="332"/>
      <c r="L168" s="332"/>
      <c r="M168" s="333">
        <f t="shared" si="5"/>
        <v>0</v>
      </c>
      <c r="N168" s="334"/>
      <c r="O168" s="224"/>
      <c r="P168" s="317" t="s">
        <v>305</v>
      </c>
      <c r="Q168" s="232" t="e">
        <f t="shared" si="6"/>
        <v>#VALUE!</v>
      </c>
    </row>
    <row r="169" spans="1:17" s="13" customFormat="1" x14ac:dyDescent="0.25">
      <c r="A169" s="229"/>
      <c r="B169" s="30" t="s">
        <v>95</v>
      </c>
      <c r="C169" s="181" t="s">
        <v>17</v>
      </c>
      <c r="D169" s="182"/>
      <c r="E169" s="194" t="s">
        <v>20</v>
      </c>
      <c r="F169" s="73" t="s">
        <v>404</v>
      </c>
      <c r="G169" s="74" t="s">
        <v>112</v>
      </c>
      <c r="H169" s="75">
        <v>27</v>
      </c>
      <c r="I169" s="76">
        <v>19</v>
      </c>
      <c r="J169" s="335">
        <f>1+4+4+5+2+1+1+9</f>
        <v>27</v>
      </c>
      <c r="K169" s="332">
        <f>1061.35+5770.05+5238.9+6606.04+6345.59+3388.62</f>
        <v>28410.55</v>
      </c>
      <c r="L169" s="332">
        <f>1061.35+5770.05+5238.9+6606.04+6345.59+3388.62</f>
        <v>28410.55</v>
      </c>
      <c r="M169" s="333">
        <f t="shared" si="5"/>
        <v>0</v>
      </c>
      <c r="N169" s="334">
        <f>1+6+1+4+1+1+1+1</f>
        <v>16</v>
      </c>
      <c r="O169" s="81">
        <f>11603.82+7559.28+6777.29+24757.02+4991.61</f>
        <v>55689.020000000004</v>
      </c>
      <c r="P169" s="81">
        <f>11603.82+7559.28+6777.29+24757.02+4991.61</f>
        <v>55689.020000000004</v>
      </c>
      <c r="Q169" s="79">
        <f t="shared" si="6"/>
        <v>0</v>
      </c>
    </row>
    <row r="170" spans="1:17" s="13" customFormat="1" x14ac:dyDescent="0.25">
      <c r="A170" s="229"/>
      <c r="B170" s="30" t="s">
        <v>95</v>
      </c>
      <c r="C170" s="181" t="s">
        <v>17</v>
      </c>
      <c r="D170" s="182"/>
      <c r="E170" s="194" t="s">
        <v>20</v>
      </c>
      <c r="F170" s="73" t="s">
        <v>291</v>
      </c>
      <c r="G170" s="230" t="s">
        <v>114</v>
      </c>
      <c r="H170" s="181">
        <v>14</v>
      </c>
      <c r="I170" s="231">
        <v>5</v>
      </c>
      <c r="J170" s="337">
        <v>5</v>
      </c>
      <c r="K170" s="332">
        <v>6270.46</v>
      </c>
      <c r="L170" s="332">
        <v>6270.46</v>
      </c>
      <c r="M170" s="333">
        <f t="shared" si="5"/>
        <v>0</v>
      </c>
      <c r="N170" s="334">
        <v>14</v>
      </c>
      <c r="O170" s="224">
        <v>32601.05</v>
      </c>
      <c r="P170" s="224">
        <v>32601.05</v>
      </c>
      <c r="Q170" s="232">
        <f t="shared" si="6"/>
        <v>0</v>
      </c>
    </row>
    <row r="171" spans="1:17" s="13" customFormat="1" x14ac:dyDescent="0.25">
      <c r="A171" s="229"/>
      <c r="B171" s="30" t="s">
        <v>96</v>
      </c>
      <c r="C171" s="181" t="s">
        <v>17</v>
      </c>
      <c r="D171" s="182"/>
      <c r="E171" s="194" t="s">
        <v>97</v>
      </c>
      <c r="F171" s="73" t="s">
        <v>405</v>
      </c>
      <c r="G171" s="74" t="s">
        <v>112</v>
      </c>
      <c r="H171" s="75">
        <v>1</v>
      </c>
      <c r="I171" s="76">
        <v>1</v>
      </c>
      <c r="J171" s="335">
        <f>2</f>
        <v>2</v>
      </c>
      <c r="K171" s="332">
        <f>3187.92</f>
        <v>3187.92</v>
      </c>
      <c r="L171" s="332">
        <f>3187.92</f>
        <v>3187.92</v>
      </c>
      <c r="M171" s="333">
        <f t="shared" si="5"/>
        <v>0</v>
      </c>
      <c r="N171" s="343">
        <f>1+2+1+2</f>
        <v>6</v>
      </c>
      <c r="O171" s="77">
        <f>1742.31+9358.48+3187.92</f>
        <v>14288.71</v>
      </c>
      <c r="P171" s="77">
        <f>1742.31+9358.48+3187.92</f>
        <v>14288.71</v>
      </c>
      <c r="Q171" s="79">
        <f t="shared" si="6"/>
        <v>0</v>
      </c>
    </row>
    <row r="172" spans="1:17" s="13" customFormat="1" x14ac:dyDescent="0.25">
      <c r="A172" s="229"/>
      <c r="B172" s="30" t="s">
        <v>96</v>
      </c>
      <c r="C172" s="181" t="s">
        <v>17</v>
      </c>
      <c r="D172" s="182"/>
      <c r="E172" s="194" t="s">
        <v>97</v>
      </c>
      <c r="F172" s="73" t="s">
        <v>468</v>
      </c>
      <c r="G172" s="230" t="s">
        <v>114</v>
      </c>
      <c r="H172" s="181">
        <v>1</v>
      </c>
      <c r="I172" s="231">
        <v>1</v>
      </c>
      <c r="J172" s="337">
        <v>1</v>
      </c>
      <c r="K172" s="332">
        <v>1204.2</v>
      </c>
      <c r="L172" s="332">
        <v>1204.2</v>
      </c>
      <c r="M172" s="333">
        <f t="shared" si="5"/>
        <v>0</v>
      </c>
      <c r="N172" s="334">
        <v>8</v>
      </c>
      <c r="O172" s="224">
        <v>18393.400000000001</v>
      </c>
      <c r="P172" s="224">
        <v>18393.400000000001</v>
      </c>
      <c r="Q172" s="232">
        <f t="shared" si="6"/>
        <v>0</v>
      </c>
    </row>
    <row r="173" spans="1:17" s="13" customFormat="1" x14ac:dyDescent="0.25">
      <c r="A173" s="229"/>
      <c r="B173" s="30" t="s">
        <v>98</v>
      </c>
      <c r="C173" s="181" t="s">
        <v>17</v>
      </c>
      <c r="D173" s="182"/>
      <c r="E173" s="194" t="s">
        <v>35</v>
      </c>
      <c r="F173" s="73" t="s">
        <v>406</v>
      </c>
      <c r="G173" s="74" t="s">
        <v>112</v>
      </c>
      <c r="H173" s="75">
        <v>50</v>
      </c>
      <c r="I173" s="76">
        <v>37</v>
      </c>
      <c r="J173" s="335">
        <f>1+2+1+1+4+4+1+2+1+5+5+3+3+3</f>
        <v>36</v>
      </c>
      <c r="K173" s="332">
        <f>845.24+1764.25+8353.03+1298.98+7610.68+13826.64+2752.31+9720.26+116979.76-2616.91+4851.2+993.47+3498.2+12402.65+4634.4-1014.35</f>
        <v>185899.81</v>
      </c>
      <c r="L173" s="332">
        <f>845.24+1764.25+8353.03+1298.98+7610.68+13826.64+2752.31+9720.26+116979.76-2616.91+4851.2+993.47+3498.2+12402.65</f>
        <v>182279.76</v>
      </c>
      <c r="M173" s="333">
        <f t="shared" si="5"/>
        <v>3620.0499999999884</v>
      </c>
      <c r="N173" s="334">
        <f>9+1+1+4+2+1+2+4+2+1+1+1+1+1</f>
        <v>31</v>
      </c>
      <c r="O173" s="81">
        <f>76864.27+883.08+47501.34+5480.06+4025.41</f>
        <v>134754.16</v>
      </c>
      <c r="P173" s="81">
        <f>76864.27+883.08+47501.34+5480.06+4025.41</f>
        <v>134754.16</v>
      </c>
      <c r="Q173" s="79">
        <f t="shared" si="6"/>
        <v>0</v>
      </c>
    </row>
    <row r="174" spans="1:17" s="13" customFormat="1" x14ac:dyDescent="0.25">
      <c r="A174" s="229"/>
      <c r="B174" s="30" t="s">
        <v>98</v>
      </c>
      <c r="C174" s="181" t="s">
        <v>17</v>
      </c>
      <c r="D174" s="182"/>
      <c r="E174" s="194" t="s">
        <v>35</v>
      </c>
      <c r="F174" s="73" t="s">
        <v>435</v>
      </c>
      <c r="G174" s="235" t="s">
        <v>117</v>
      </c>
      <c r="H174" s="181">
        <v>9</v>
      </c>
      <c r="I174" s="231">
        <v>2</v>
      </c>
      <c r="J174" s="335">
        <v>2</v>
      </c>
      <c r="K174" s="332">
        <v>2486.83</v>
      </c>
      <c r="L174" s="332">
        <v>2486.83</v>
      </c>
      <c r="M174" s="333">
        <f t="shared" si="5"/>
        <v>0</v>
      </c>
      <c r="N174" s="334">
        <v>5</v>
      </c>
      <c r="O174" s="77">
        <v>18950.45</v>
      </c>
      <c r="P174" s="77">
        <v>18950.45</v>
      </c>
      <c r="Q174" s="232">
        <f t="shared" si="6"/>
        <v>0</v>
      </c>
    </row>
    <row r="175" spans="1:17" s="13" customFormat="1" x14ac:dyDescent="0.25">
      <c r="A175" s="229"/>
      <c r="B175" s="30" t="s">
        <v>488</v>
      </c>
      <c r="C175" s="181" t="s">
        <v>17</v>
      </c>
      <c r="D175" s="182"/>
      <c r="E175" s="194" t="s">
        <v>97</v>
      </c>
      <c r="F175" s="73" t="s">
        <v>498</v>
      </c>
      <c r="G175" s="235" t="s">
        <v>112</v>
      </c>
      <c r="H175" s="181">
        <v>18</v>
      </c>
      <c r="I175" s="231">
        <v>14</v>
      </c>
      <c r="J175" s="335">
        <f>4+1+1+2+3+1+1+1</f>
        <v>14</v>
      </c>
      <c r="K175" s="332">
        <f>1535.8+576.3+802.8+4667.08+421.47+2865.59</f>
        <v>10869.04</v>
      </c>
      <c r="L175" s="332">
        <f>1535.8+576.3+802.8+4667.08+421.47</f>
        <v>8003.45</v>
      </c>
      <c r="M175" s="333">
        <f t="shared" si="5"/>
        <v>2865.5900000000011</v>
      </c>
      <c r="N175" s="334"/>
      <c r="O175" s="77"/>
      <c r="P175" s="77"/>
      <c r="Q175" s="232"/>
    </row>
    <row r="176" spans="1:17" s="15" customFormat="1" x14ac:dyDescent="0.25">
      <c r="A176" s="229"/>
      <c r="B176" s="30" t="s">
        <v>99</v>
      </c>
      <c r="C176" s="181" t="s">
        <v>17</v>
      </c>
      <c r="D176" s="182"/>
      <c r="E176" s="183" t="s">
        <v>32</v>
      </c>
      <c r="F176" s="73" t="s">
        <v>418</v>
      </c>
      <c r="G176" s="74" t="s">
        <v>112</v>
      </c>
      <c r="H176" s="75"/>
      <c r="I176" s="76"/>
      <c r="J176" s="335"/>
      <c r="K176" s="332"/>
      <c r="L176" s="332"/>
      <c r="M176" s="333">
        <f t="shared" si="5"/>
        <v>0</v>
      </c>
      <c r="N176" s="334"/>
      <c r="O176" s="81"/>
      <c r="P176" s="81"/>
      <c r="Q176" s="79">
        <f t="shared" si="6"/>
        <v>0</v>
      </c>
    </row>
    <row r="177" spans="1:17" s="15" customFormat="1" x14ac:dyDescent="0.25">
      <c r="A177" s="229"/>
      <c r="B177" s="30" t="s">
        <v>99</v>
      </c>
      <c r="C177" s="181" t="s">
        <v>17</v>
      </c>
      <c r="D177" s="182"/>
      <c r="E177" s="183" t="s">
        <v>32</v>
      </c>
      <c r="F177" s="73" t="s">
        <v>423</v>
      </c>
      <c r="G177" s="235" t="s">
        <v>117</v>
      </c>
      <c r="H177" s="181"/>
      <c r="I177" s="231"/>
      <c r="J177" s="337"/>
      <c r="K177" s="332"/>
      <c r="L177" s="332"/>
      <c r="M177" s="333">
        <f t="shared" si="5"/>
        <v>0</v>
      </c>
      <c r="N177" s="338"/>
      <c r="O177" s="77"/>
      <c r="P177" s="77"/>
      <c r="Q177" s="232">
        <f t="shared" si="6"/>
        <v>0</v>
      </c>
    </row>
    <row r="178" spans="1:17" s="15" customFormat="1" ht="30" x14ac:dyDescent="0.25">
      <c r="A178" s="229"/>
      <c r="B178" s="30" t="s">
        <v>144</v>
      </c>
      <c r="C178" s="181" t="s">
        <v>304</v>
      </c>
      <c r="D178" s="182" t="s">
        <v>313</v>
      </c>
      <c r="E178" s="194" t="s">
        <v>97</v>
      </c>
      <c r="F178" s="73" t="s">
        <v>407</v>
      </c>
      <c r="G178" s="66" t="s">
        <v>112</v>
      </c>
      <c r="H178" s="75">
        <v>25</v>
      </c>
      <c r="I178" s="76">
        <v>21</v>
      </c>
      <c r="J178" s="331">
        <f>2+2+1+3+1+1+5+2+1+4+2+4+1+1+1</f>
        <v>31</v>
      </c>
      <c r="K178" s="332">
        <f>950.9+1449.39+2272.32+2785.92+5112.01+6655.23+3700.19+4208.95+6370.42+4132.77</f>
        <v>37638.100000000006</v>
      </c>
      <c r="L178" s="332">
        <f>950.9+1449.39+2272.32+2785.92+5112.01+6655.23+3700.19+4208.95+6370.42</f>
        <v>33505.33</v>
      </c>
      <c r="M178" s="333">
        <f t="shared" si="5"/>
        <v>4132.7700000000041</v>
      </c>
      <c r="N178" s="334">
        <f>3+2+1+1+1+1+1+1</f>
        <v>11</v>
      </c>
      <c r="O178" s="77">
        <f>5020.57+5566.06+2694.94+845.24+2460.18</f>
        <v>16586.990000000002</v>
      </c>
      <c r="P178" s="77">
        <f>5020.57+5566.06+2694.94+845.24+2460.18</f>
        <v>16586.990000000002</v>
      </c>
      <c r="Q178" s="79">
        <f t="shared" si="6"/>
        <v>0</v>
      </c>
    </row>
    <row r="179" spans="1:17" s="15" customFormat="1" x14ac:dyDescent="0.25">
      <c r="A179" s="229"/>
      <c r="B179" s="30" t="s">
        <v>488</v>
      </c>
      <c r="C179" s="181"/>
      <c r="D179" s="182"/>
      <c r="E179" s="194"/>
      <c r="F179" s="73" t="s">
        <v>509</v>
      </c>
      <c r="G179" s="66" t="s">
        <v>114</v>
      </c>
      <c r="H179" s="75">
        <v>36</v>
      </c>
      <c r="I179" s="76">
        <v>16</v>
      </c>
      <c r="J179" s="331">
        <v>16</v>
      </c>
      <c r="K179" s="332">
        <v>36014.74</v>
      </c>
      <c r="L179" s="332">
        <v>36014.74</v>
      </c>
      <c r="M179" s="333">
        <f t="shared" si="5"/>
        <v>0</v>
      </c>
      <c r="N179" s="334"/>
      <c r="O179" s="77"/>
      <c r="P179" s="77"/>
      <c r="Q179" s="232">
        <f t="shared" si="6"/>
        <v>0</v>
      </c>
    </row>
    <row r="180" spans="1:17" s="15" customFormat="1" x14ac:dyDescent="0.25">
      <c r="A180" s="229"/>
      <c r="B180" s="30" t="s">
        <v>514</v>
      </c>
      <c r="C180" s="181"/>
      <c r="D180" s="182"/>
      <c r="E180" s="194" t="s">
        <v>18</v>
      </c>
      <c r="F180" s="73"/>
      <c r="G180" s="66" t="s">
        <v>116</v>
      </c>
      <c r="H180" s="75">
        <v>10</v>
      </c>
      <c r="I180" s="76">
        <v>3</v>
      </c>
      <c r="J180" s="331">
        <v>3</v>
      </c>
      <c r="K180" s="332">
        <v>3572</v>
      </c>
      <c r="L180" s="332">
        <v>3572</v>
      </c>
      <c r="M180" s="333">
        <f t="shared" si="5"/>
        <v>0</v>
      </c>
      <c r="N180" s="334"/>
      <c r="O180" s="77"/>
      <c r="P180" s="77"/>
      <c r="Q180" s="232"/>
    </row>
    <row r="181" spans="1:17" s="15" customFormat="1" x14ac:dyDescent="0.25">
      <c r="A181" s="229"/>
      <c r="B181" s="30" t="s">
        <v>488</v>
      </c>
      <c r="C181" s="181"/>
      <c r="D181" s="182"/>
      <c r="E181" s="194"/>
      <c r="F181" s="73" t="s">
        <v>512</v>
      </c>
      <c r="G181" s="66" t="s">
        <v>116</v>
      </c>
      <c r="H181" s="75">
        <v>14</v>
      </c>
      <c r="I181" s="76">
        <v>9</v>
      </c>
      <c r="J181" s="331">
        <v>9</v>
      </c>
      <c r="K181" s="332">
        <v>20353</v>
      </c>
      <c r="L181" s="332">
        <v>20353</v>
      </c>
      <c r="M181" s="333">
        <f t="shared" si="5"/>
        <v>0</v>
      </c>
      <c r="N181" s="334"/>
      <c r="O181" s="77"/>
      <c r="P181" s="77"/>
      <c r="Q181" s="79"/>
    </row>
    <row r="182" spans="1:17" s="15" customFormat="1" ht="30" x14ac:dyDescent="0.25">
      <c r="A182" s="229"/>
      <c r="B182" s="238" t="s">
        <v>144</v>
      </c>
      <c r="C182" s="181" t="s">
        <v>446</v>
      </c>
      <c r="D182" s="182" t="s">
        <v>313</v>
      </c>
      <c r="E182" s="183" t="s">
        <v>20</v>
      </c>
      <c r="F182" s="73" t="s">
        <v>485</v>
      </c>
      <c r="G182" s="235" t="s">
        <v>114</v>
      </c>
      <c r="H182" s="181">
        <v>55</v>
      </c>
      <c r="I182" s="234">
        <v>24</v>
      </c>
      <c r="J182" s="344">
        <v>24</v>
      </c>
      <c r="K182" s="332">
        <v>57178.03</v>
      </c>
      <c r="L182" s="332">
        <v>53164.03</v>
      </c>
      <c r="M182" s="333">
        <f t="shared" si="5"/>
        <v>4014</v>
      </c>
      <c r="N182" s="334">
        <v>22</v>
      </c>
      <c r="O182" s="224">
        <v>55283.8</v>
      </c>
      <c r="P182" s="224">
        <v>55283.8</v>
      </c>
      <c r="Q182" s="232">
        <f t="shared" ref="Q182" si="7">O182-P182</f>
        <v>0</v>
      </c>
    </row>
    <row r="183" spans="1:17" s="21" customFormat="1" ht="45" x14ac:dyDescent="0.25">
      <c r="A183" s="181"/>
      <c r="B183" s="30" t="s">
        <v>100</v>
      </c>
      <c r="C183" s="181" t="s">
        <v>304</v>
      </c>
      <c r="D183" s="182" t="s">
        <v>416</v>
      </c>
      <c r="E183" s="194" t="s">
        <v>20</v>
      </c>
      <c r="F183" s="73" t="s">
        <v>408</v>
      </c>
      <c r="G183" s="27" t="s">
        <v>112</v>
      </c>
      <c r="H183" s="75">
        <v>38</v>
      </c>
      <c r="I183" s="76">
        <v>24</v>
      </c>
      <c r="J183" s="331">
        <f>5+1+4+6+4+2+4+3+2</f>
        <v>31</v>
      </c>
      <c r="K183" s="345">
        <f>6524.55+600.31+19349.45+15377.18+2248.86+10883.06+17880.3</f>
        <v>72863.710000000006</v>
      </c>
      <c r="L183" s="345">
        <f>6524.55+600.31+19349.45+15377.18+2248.86+10883.06</f>
        <v>54983.41</v>
      </c>
      <c r="M183" s="333">
        <f t="shared" si="5"/>
        <v>17880.300000000003</v>
      </c>
      <c r="N183" s="334">
        <f>1+3+2+3+1+1+1</f>
        <v>12</v>
      </c>
      <c r="O183" s="87">
        <f>10770.58+2113.01+3508.24+19305.88+22849.19+23443.77</f>
        <v>81990.670000000013</v>
      </c>
      <c r="P183" s="87">
        <f>10770.58+2113.01+3508.24+19305.88+22849.19+23443.77</f>
        <v>81990.670000000013</v>
      </c>
      <c r="Q183" s="79">
        <f t="shared" si="6"/>
        <v>0</v>
      </c>
    </row>
    <row r="184" spans="1:17" s="21" customFormat="1" ht="60" x14ac:dyDescent="0.25">
      <c r="A184" s="181"/>
      <c r="B184" s="30" t="s">
        <v>100</v>
      </c>
      <c r="C184" s="203" t="s">
        <v>125</v>
      </c>
      <c r="D184" s="182" t="s">
        <v>126</v>
      </c>
      <c r="E184" s="194" t="s">
        <v>20</v>
      </c>
      <c r="F184" s="73" t="s">
        <v>486</v>
      </c>
      <c r="G184" s="236" t="s">
        <v>114</v>
      </c>
      <c r="H184" s="181">
        <v>13</v>
      </c>
      <c r="I184" s="234">
        <v>3</v>
      </c>
      <c r="J184" s="344">
        <v>3</v>
      </c>
      <c r="K184" s="345">
        <v>17316</v>
      </c>
      <c r="L184" s="345">
        <v>17316</v>
      </c>
      <c r="M184" s="333">
        <f t="shared" si="5"/>
        <v>0</v>
      </c>
      <c r="N184" s="334">
        <v>2</v>
      </c>
      <c r="O184" s="239">
        <v>71568.429999999993</v>
      </c>
      <c r="P184" s="239">
        <v>71568.429999999993</v>
      </c>
      <c r="Q184" s="232">
        <f t="shared" si="6"/>
        <v>0</v>
      </c>
    </row>
    <row r="185" spans="1:17" s="13" customFormat="1" x14ac:dyDescent="0.25">
      <c r="A185" s="229"/>
      <c r="B185" s="62" t="s">
        <v>101</v>
      </c>
      <c r="C185" s="181" t="s">
        <v>17</v>
      </c>
      <c r="D185" s="182"/>
      <c r="E185" s="194" t="s">
        <v>20</v>
      </c>
      <c r="F185" s="73" t="s">
        <v>409</v>
      </c>
      <c r="G185" s="74" t="s">
        <v>112</v>
      </c>
      <c r="H185" s="75">
        <v>20</v>
      </c>
      <c r="I185" s="76">
        <v>8</v>
      </c>
      <c r="J185" s="335">
        <f>1+5+1+1+2+2+1</f>
        <v>13</v>
      </c>
      <c r="K185" s="332">
        <v>9863.65</v>
      </c>
      <c r="L185" s="332">
        <v>9863.65</v>
      </c>
      <c r="M185" s="333">
        <f t="shared" si="5"/>
        <v>0</v>
      </c>
      <c r="N185" s="334">
        <f>5+2+1+1+1</f>
        <v>10</v>
      </c>
      <c r="O185" s="81">
        <v>25277.53</v>
      </c>
      <c r="P185" s="81">
        <v>25277.53</v>
      </c>
      <c r="Q185" s="79">
        <f t="shared" si="6"/>
        <v>0</v>
      </c>
    </row>
    <row r="186" spans="1:17" s="13" customFormat="1" x14ac:dyDescent="0.25">
      <c r="A186" s="229"/>
      <c r="B186" s="62" t="s">
        <v>146</v>
      </c>
      <c r="C186" s="181" t="s">
        <v>17</v>
      </c>
      <c r="D186" s="182"/>
      <c r="E186" s="194" t="s">
        <v>20</v>
      </c>
      <c r="F186" s="73" t="s">
        <v>410</v>
      </c>
      <c r="G186" s="74" t="s">
        <v>112</v>
      </c>
      <c r="H186" s="75">
        <v>25</v>
      </c>
      <c r="I186" s="76">
        <v>16</v>
      </c>
      <c r="J186" s="335">
        <f>4+1+1+2+1+2+1+1+1+1+1+1</f>
        <v>17</v>
      </c>
      <c r="K186" s="332">
        <f>4610.77+1568.98+1854.88+422.62+1334.13+2599.07+5262.18+1092.81+1092.81+481.68+1092.81+6709.63</f>
        <v>28122.370000000006</v>
      </c>
      <c r="L186" s="332">
        <f>4610.77+1568.98+1854.88+422.62+1334.13+2599.07+5262.18+1092.81+1092.81+481.68+1092.81</f>
        <v>21412.740000000005</v>
      </c>
      <c r="M186" s="333">
        <f t="shared" si="5"/>
        <v>6709.630000000001</v>
      </c>
      <c r="N186" s="334">
        <f>5+1+1+2+1+1+1+3</f>
        <v>15</v>
      </c>
      <c r="O186" s="81">
        <f>13579.06+1287.07+2636.18+26196.83+1204.2+14475.9</f>
        <v>59379.24</v>
      </c>
      <c r="P186" s="81">
        <f>13579.06+1287.07+2636.18+26196.83+1204.2</f>
        <v>44903.34</v>
      </c>
      <c r="Q186" s="232">
        <f t="shared" si="6"/>
        <v>14475.900000000001</v>
      </c>
    </row>
    <row r="187" spans="1:17" s="13" customFormat="1" x14ac:dyDescent="0.25">
      <c r="A187" s="229"/>
      <c r="B187" s="62" t="s">
        <v>146</v>
      </c>
      <c r="C187" s="181" t="s">
        <v>17</v>
      </c>
      <c r="D187" s="182"/>
      <c r="E187" s="183" t="s">
        <v>21</v>
      </c>
      <c r="F187" s="73" t="s">
        <v>443</v>
      </c>
      <c r="G187" s="230" t="s">
        <v>118</v>
      </c>
      <c r="H187" s="181">
        <v>19</v>
      </c>
      <c r="I187" s="234">
        <v>7</v>
      </c>
      <c r="J187" s="337">
        <v>7</v>
      </c>
      <c r="K187" s="339">
        <v>13074.18</v>
      </c>
      <c r="L187" s="339">
        <v>13074.18</v>
      </c>
      <c r="M187" s="333">
        <f t="shared" si="5"/>
        <v>0</v>
      </c>
      <c r="N187" s="338">
        <v>6</v>
      </c>
      <c r="O187" s="224">
        <v>3363.06</v>
      </c>
      <c r="P187" s="224">
        <v>3363.06</v>
      </c>
      <c r="Q187" s="79">
        <f t="shared" si="6"/>
        <v>0</v>
      </c>
    </row>
    <row r="188" spans="1:17" s="13" customFormat="1" x14ac:dyDescent="0.25">
      <c r="A188" s="229"/>
      <c r="B188" s="27" t="s">
        <v>102</v>
      </c>
      <c r="C188" s="181" t="s">
        <v>17</v>
      </c>
      <c r="D188" s="182"/>
      <c r="E188" s="194" t="s">
        <v>20</v>
      </c>
      <c r="F188" s="73" t="s">
        <v>411</v>
      </c>
      <c r="G188" s="74" t="s">
        <v>112</v>
      </c>
      <c r="H188" s="75">
        <v>18</v>
      </c>
      <c r="I188" s="76">
        <v>13</v>
      </c>
      <c r="J188" s="335">
        <f>1+1+2+1+2+1+3+3</f>
        <v>14</v>
      </c>
      <c r="K188" s="332">
        <f>845.24+845.24+1690.48+1394.65+2689.38+1324.62</f>
        <v>8789.61</v>
      </c>
      <c r="L188" s="332">
        <f>845.24+845.24+1690.48+1394.65+2689.38+1324.62</f>
        <v>8789.61</v>
      </c>
      <c r="M188" s="333">
        <f t="shared" si="5"/>
        <v>0</v>
      </c>
      <c r="N188" s="334">
        <f>3+1+1+1+1</f>
        <v>7</v>
      </c>
      <c r="O188" s="81">
        <f>7808.21+30833.77-12193.52+9963.17+5385.9+14660.89</f>
        <v>56458.420000000006</v>
      </c>
      <c r="P188" s="81">
        <f>7808.21+30833.77-12193.52+9963.17+5385.9+14660.89</f>
        <v>56458.420000000006</v>
      </c>
      <c r="Q188" s="232">
        <f t="shared" si="6"/>
        <v>0</v>
      </c>
    </row>
    <row r="189" spans="1:17" s="13" customFormat="1" x14ac:dyDescent="0.25">
      <c r="A189" s="229"/>
      <c r="B189" s="27" t="s">
        <v>102</v>
      </c>
      <c r="C189" s="181" t="s">
        <v>17</v>
      </c>
      <c r="D189" s="182"/>
      <c r="E189" s="194" t="s">
        <v>20</v>
      </c>
      <c r="F189" s="73" t="s">
        <v>469</v>
      </c>
      <c r="G189" s="230" t="s">
        <v>114</v>
      </c>
      <c r="H189" s="181">
        <v>13</v>
      </c>
      <c r="I189" s="231">
        <v>5</v>
      </c>
      <c r="J189" s="337">
        <v>5</v>
      </c>
      <c r="K189" s="332">
        <v>7690.26</v>
      </c>
      <c r="L189" s="332">
        <v>7690.26</v>
      </c>
      <c r="M189" s="333">
        <f t="shared" si="5"/>
        <v>0</v>
      </c>
      <c r="N189" s="334">
        <v>8</v>
      </c>
      <c r="O189" s="224">
        <v>31795.42</v>
      </c>
      <c r="P189" s="224">
        <v>31795.42</v>
      </c>
      <c r="Q189" s="232">
        <f t="shared" si="6"/>
        <v>0</v>
      </c>
    </row>
    <row r="190" spans="1:17" s="13" customFormat="1" x14ac:dyDescent="0.25">
      <c r="A190" s="229"/>
      <c r="B190" s="27" t="s">
        <v>103</v>
      </c>
      <c r="C190" s="181" t="s">
        <v>17</v>
      </c>
      <c r="D190" s="182"/>
      <c r="E190" s="183" t="s">
        <v>20</v>
      </c>
      <c r="F190" s="73" t="s">
        <v>412</v>
      </c>
      <c r="G190" s="74" t="s">
        <v>112</v>
      </c>
      <c r="H190" s="75">
        <v>19</v>
      </c>
      <c r="I190" s="76">
        <v>13</v>
      </c>
      <c r="J190" s="335">
        <f>4+1+2+3+1+1+5</f>
        <v>17</v>
      </c>
      <c r="K190" s="332">
        <f>16248.67+1092.81+2003.49+401.4+421.47</f>
        <v>20167.840000000004</v>
      </c>
      <c r="L190" s="332">
        <f>16248.67+1092.81+2003.49+401.4+421.47</f>
        <v>20167.840000000004</v>
      </c>
      <c r="M190" s="333">
        <f t="shared" si="5"/>
        <v>0</v>
      </c>
      <c r="N190" s="334">
        <f>7+2+1+1+2+1+1+3</f>
        <v>18</v>
      </c>
      <c r="O190" s="77">
        <f>20193.14+7541.5+685.38+1766.16</f>
        <v>30186.18</v>
      </c>
      <c r="P190" s="77">
        <f>20193.14+7541.5+685.38+1766.16</f>
        <v>30186.18</v>
      </c>
      <c r="Q190" s="232">
        <f t="shared" si="6"/>
        <v>0</v>
      </c>
    </row>
    <row r="191" spans="1:17" s="13" customFormat="1" x14ac:dyDescent="0.25">
      <c r="A191" s="229"/>
      <c r="B191" s="27" t="s">
        <v>103</v>
      </c>
      <c r="C191" s="181" t="s">
        <v>17</v>
      </c>
      <c r="D191" s="182"/>
      <c r="E191" s="183" t="s">
        <v>20</v>
      </c>
      <c r="F191" s="73" t="s">
        <v>470</v>
      </c>
      <c r="G191" s="230" t="s">
        <v>114</v>
      </c>
      <c r="H191" s="181">
        <v>20</v>
      </c>
      <c r="I191" s="231">
        <v>6</v>
      </c>
      <c r="J191" s="337">
        <v>6</v>
      </c>
      <c r="K191" s="332">
        <v>10158.299999999999</v>
      </c>
      <c r="L191" s="332">
        <v>10158.299999999999</v>
      </c>
      <c r="M191" s="333">
        <f t="shared" si="5"/>
        <v>0</v>
      </c>
      <c r="N191" s="334">
        <v>5</v>
      </c>
      <c r="O191" s="224">
        <v>14245.19</v>
      </c>
      <c r="P191" s="224">
        <v>14245.19</v>
      </c>
      <c r="Q191" s="232">
        <f t="shared" si="6"/>
        <v>0</v>
      </c>
    </row>
    <row r="192" spans="1:17" s="15" customFormat="1" x14ac:dyDescent="0.25">
      <c r="A192" s="229"/>
      <c r="B192" s="27" t="s">
        <v>104</v>
      </c>
      <c r="C192" s="181" t="s">
        <v>17</v>
      </c>
      <c r="D192" s="182"/>
      <c r="E192" s="183" t="s">
        <v>20</v>
      </c>
      <c r="F192" s="73" t="s">
        <v>413</v>
      </c>
      <c r="G192" s="74" t="s">
        <v>112</v>
      </c>
      <c r="H192" s="75">
        <v>20</v>
      </c>
      <c r="I192" s="76">
        <v>19</v>
      </c>
      <c r="J192" s="335">
        <f>3+1+2+4+1+1+1+5+5+1</f>
        <v>24</v>
      </c>
      <c r="K192" s="332">
        <f>5112.82+422.64+8302.14+1605.5+1092.81+1390.85+7796.86+7659.42</f>
        <v>33383.040000000001</v>
      </c>
      <c r="L192" s="332">
        <f>5112.82+422.64+8302.14+1605.5+1092.81+1390.85+7796.86</f>
        <v>25723.62</v>
      </c>
      <c r="M192" s="333">
        <f t="shared" si="5"/>
        <v>7659.4200000000019</v>
      </c>
      <c r="N192" s="334">
        <f>4+1+1+2+1+1+1</f>
        <v>11</v>
      </c>
      <c r="O192" s="81">
        <f>7087.22+3426.18+3496.22</f>
        <v>14009.619999999999</v>
      </c>
      <c r="P192" s="81">
        <f>7087.22+3426.18+3496.22</f>
        <v>14009.619999999999</v>
      </c>
      <c r="Q192" s="232">
        <f t="shared" si="6"/>
        <v>0</v>
      </c>
    </row>
    <row r="193" spans="1:17" s="15" customFormat="1" x14ac:dyDescent="0.25">
      <c r="A193" s="229"/>
      <c r="B193" s="27" t="s">
        <v>104</v>
      </c>
      <c r="C193" s="181" t="s">
        <v>17</v>
      </c>
      <c r="D193" s="182"/>
      <c r="E193" s="183" t="s">
        <v>20</v>
      </c>
      <c r="F193" s="73" t="s">
        <v>471</v>
      </c>
      <c r="G193" s="230" t="s">
        <v>114</v>
      </c>
      <c r="H193" s="181">
        <v>47</v>
      </c>
      <c r="I193" s="231">
        <v>19</v>
      </c>
      <c r="J193" s="337">
        <v>19</v>
      </c>
      <c r="K193" s="332">
        <v>41748.910000000003</v>
      </c>
      <c r="L193" s="332">
        <v>41748.910000000003</v>
      </c>
      <c r="M193" s="333">
        <f t="shared" si="5"/>
        <v>0</v>
      </c>
      <c r="N193" s="338">
        <v>20</v>
      </c>
      <c r="O193" s="224">
        <v>50922.05</v>
      </c>
      <c r="P193" s="224">
        <v>50922.05</v>
      </c>
      <c r="Q193" s="232">
        <f t="shared" si="6"/>
        <v>0</v>
      </c>
    </row>
    <row r="194" spans="1:17" s="13" customFormat="1" x14ac:dyDescent="0.25">
      <c r="A194" s="229"/>
      <c r="B194" s="30" t="s">
        <v>26</v>
      </c>
      <c r="C194" s="181" t="s">
        <v>17</v>
      </c>
      <c r="D194" s="182"/>
      <c r="E194" s="183" t="s">
        <v>32</v>
      </c>
      <c r="F194" s="73" t="s">
        <v>246</v>
      </c>
      <c r="G194" s="74" t="s">
        <v>117</v>
      </c>
      <c r="H194" s="75"/>
      <c r="I194" s="76"/>
      <c r="J194" s="335"/>
      <c r="K194" s="332"/>
      <c r="L194" s="332"/>
      <c r="M194" s="333">
        <f t="shared" si="5"/>
        <v>0</v>
      </c>
      <c r="N194" s="334">
        <v>5</v>
      </c>
      <c r="O194" s="81">
        <v>7808.15</v>
      </c>
      <c r="P194" s="81">
        <v>7808.15</v>
      </c>
      <c r="Q194" s="232">
        <f t="shared" si="6"/>
        <v>0</v>
      </c>
    </row>
    <row r="195" spans="1:17" s="13" customFormat="1" x14ac:dyDescent="0.25">
      <c r="A195" s="229"/>
      <c r="B195" s="30" t="s">
        <v>105</v>
      </c>
      <c r="C195" s="181" t="s">
        <v>17</v>
      </c>
      <c r="D195" s="182"/>
      <c r="E195" s="194" t="s">
        <v>35</v>
      </c>
      <c r="F195" s="73" t="s">
        <v>518</v>
      </c>
      <c r="G195" s="74" t="s">
        <v>112</v>
      </c>
      <c r="H195" s="75">
        <v>9</v>
      </c>
      <c r="I195" s="76"/>
      <c r="J195" s="335"/>
      <c r="K195" s="332"/>
      <c r="L195" s="332"/>
      <c r="M195" s="333"/>
      <c r="N195" s="334"/>
      <c r="O195" s="81"/>
      <c r="P195" s="81"/>
      <c r="Q195" s="232"/>
    </row>
    <row r="196" spans="1:17" s="13" customFormat="1" x14ac:dyDescent="0.25">
      <c r="A196" s="229"/>
      <c r="B196" s="62" t="s">
        <v>106</v>
      </c>
      <c r="C196" s="181" t="s">
        <v>17</v>
      </c>
      <c r="D196" s="205"/>
      <c r="E196" s="194" t="s">
        <v>20</v>
      </c>
      <c r="F196" s="73" t="s">
        <v>414</v>
      </c>
      <c r="G196" s="74" t="s">
        <v>112</v>
      </c>
      <c r="H196" s="75">
        <v>20</v>
      </c>
      <c r="I196" s="76">
        <v>11</v>
      </c>
      <c r="J196" s="335">
        <f>1+4+2+2+1+4</f>
        <v>14</v>
      </c>
      <c r="K196" s="332">
        <f>4901.5+2119.39+5027.75</f>
        <v>12048.64</v>
      </c>
      <c r="L196" s="332">
        <f>4901.5+2119.39+5027.75</f>
        <v>12048.64</v>
      </c>
      <c r="M196" s="333">
        <f t="shared" si="5"/>
        <v>0</v>
      </c>
      <c r="N196" s="334">
        <f>3+1+1+1+1</f>
        <v>7</v>
      </c>
      <c r="O196" s="81">
        <f>49473.81+3066.27+1501.24</f>
        <v>54041.319999999992</v>
      </c>
      <c r="P196" s="81">
        <f>49473.81+3066.27+1501.24</f>
        <v>54041.319999999992</v>
      </c>
      <c r="Q196" s="232">
        <f t="shared" si="6"/>
        <v>0</v>
      </c>
    </row>
    <row r="197" spans="1:17" x14ac:dyDescent="0.25">
      <c r="A197" s="322"/>
      <c r="B197" s="66"/>
      <c r="C197" s="323"/>
      <c r="D197" s="235"/>
      <c r="E197" s="235"/>
      <c r="F197" s="73"/>
      <c r="G197" s="235" t="s">
        <v>131</v>
      </c>
      <c r="H197" s="240">
        <f>SUM(H10:H196)</f>
        <v>3663</v>
      </c>
      <c r="I197" s="321">
        <f>SUM(I10:I196)</f>
        <v>2261</v>
      </c>
      <c r="J197" s="346">
        <f>SUM(J10:J196)</f>
        <v>2770</v>
      </c>
      <c r="K197" s="347">
        <f>SUM(K10:K196)</f>
        <v>4990764.2850000011</v>
      </c>
      <c r="L197" s="347">
        <f>SUM(L10:L196)</f>
        <v>4660420.2250000024</v>
      </c>
      <c r="M197" s="348">
        <f>K197-L197</f>
        <v>330344.05999999866</v>
      </c>
      <c r="N197" s="346">
        <f>SUM(N10:N196)</f>
        <v>1972</v>
      </c>
      <c r="O197" s="241">
        <f>SUM(O10:O196)</f>
        <v>6193045.2699999996</v>
      </c>
      <c r="P197" s="241">
        <f>SUM(P10:P196)</f>
        <v>6143738.5000000009</v>
      </c>
      <c r="Q197" s="79">
        <f t="shared" si="6"/>
        <v>49306.769999998622</v>
      </c>
    </row>
    <row r="198" spans="1:17" x14ac:dyDescent="0.25">
      <c r="K198" s="350" t="s">
        <v>305</v>
      </c>
    </row>
    <row r="199" spans="1:17" ht="45" x14ac:dyDescent="0.25">
      <c r="B199" s="324" t="s">
        <v>522</v>
      </c>
      <c r="F199" s="104" t="s">
        <v>317</v>
      </c>
      <c r="M199" s="351"/>
      <c r="N199" s="352"/>
      <c r="O199" s="278"/>
      <c r="P199" s="279"/>
      <c r="Q199" s="133"/>
    </row>
    <row r="200" spans="1:17" x14ac:dyDescent="0.25">
      <c r="B200" s="6"/>
      <c r="C200" s="6"/>
      <c r="D200" s="6"/>
      <c r="E200" s="6"/>
      <c r="F200" s="6"/>
      <c r="G200" s="6"/>
      <c r="H200" s="6"/>
      <c r="I200" s="6"/>
      <c r="J200" s="353"/>
      <c r="K200" s="353"/>
      <c r="L200" s="353"/>
      <c r="M200" s="354"/>
      <c r="N200" s="353"/>
      <c r="O200" s="6"/>
      <c r="P200" s="6"/>
      <c r="Q200" s="6"/>
    </row>
    <row r="201" spans="1:17" x14ac:dyDescent="0.25">
      <c r="M201" s="354"/>
    </row>
    <row r="202" spans="1:17" x14ac:dyDescent="0.25">
      <c r="M202" s="354"/>
    </row>
    <row r="203" spans="1:17" x14ac:dyDescent="0.25">
      <c r="M203" s="354"/>
    </row>
    <row r="204" spans="1:17" x14ac:dyDescent="0.25">
      <c r="M204" s="354"/>
    </row>
  </sheetData>
  <autoFilter ref="A9:Q199"/>
  <mergeCells count="7">
    <mergeCell ref="O1:Q1"/>
    <mergeCell ref="A3:Q3"/>
    <mergeCell ref="A4:Q4"/>
    <mergeCell ref="A5:Q5"/>
    <mergeCell ref="B7:G7"/>
    <mergeCell ref="H7:M7"/>
    <mergeCell ref="N7:Q7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85"/>
  <sheetViews>
    <sheetView topLeftCell="C1" workbookViewId="0">
      <selection activeCell="C1" sqref="A1:XFD1048576"/>
    </sheetView>
  </sheetViews>
  <sheetFormatPr defaultRowHeight="15" x14ac:dyDescent="0.25"/>
  <cols>
    <col min="1" max="1" width="7.28515625" style="6" customWidth="1"/>
    <col min="2" max="2" width="37.5703125" style="88" customWidth="1"/>
    <col min="3" max="3" width="6.5703125" style="19" customWidth="1"/>
    <col min="4" max="4" width="16.28515625" style="19" customWidth="1"/>
    <col min="5" max="5" width="19" style="19" customWidth="1"/>
    <col min="6" max="6" width="19.7109375" style="89" customWidth="1"/>
    <col min="7" max="7" width="22.7109375" style="89" customWidth="1"/>
    <col min="8" max="9" width="10.7109375" style="90" customWidth="1"/>
    <col min="10" max="10" width="8.42578125" style="99" customWidth="1"/>
    <col min="11" max="13" width="15.7109375" style="91" customWidth="1"/>
    <col min="14" max="14" width="10.7109375" style="99" customWidth="1"/>
    <col min="15" max="16" width="15.7109375" style="92" customWidth="1"/>
    <col min="17" max="17" width="18.28515625" style="92" customWidth="1"/>
    <col min="18" max="19" width="9.42578125" style="6" customWidth="1"/>
    <col min="20" max="21" width="9.140625" style="6" customWidth="1"/>
    <col min="22" max="16384" width="9.140625" style="6"/>
  </cols>
  <sheetData>
    <row r="1" spans="1:17" s="105" customFormat="1" x14ac:dyDescent="0.25">
      <c r="B1" s="60"/>
      <c r="C1" s="4"/>
      <c r="D1" s="4"/>
      <c r="E1" s="4"/>
      <c r="F1" s="63"/>
      <c r="G1" s="63"/>
      <c r="H1" s="64"/>
      <c r="I1" s="64"/>
      <c r="J1" s="93"/>
      <c r="K1" s="65"/>
      <c r="L1" s="65"/>
      <c r="M1" s="65"/>
      <c r="N1" s="93"/>
      <c r="O1" s="362" t="s">
        <v>15</v>
      </c>
      <c r="P1" s="362"/>
      <c r="Q1" s="362"/>
    </row>
    <row r="2" spans="1:17" s="105" customFormat="1" x14ac:dyDescent="0.25">
      <c r="A2" s="7"/>
      <c r="B2" s="118"/>
      <c r="C2" s="107"/>
      <c r="D2" s="107"/>
      <c r="E2" s="107"/>
      <c r="F2" s="66"/>
      <c r="G2" s="66"/>
      <c r="H2" s="117"/>
      <c r="I2" s="117"/>
      <c r="J2" s="94"/>
      <c r="K2" s="67"/>
      <c r="L2" s="67"/>
      <c r="M2" s="67"/>
      <c r="N2" s="94"/>
      <c r="O2" s="68"/>
      <c r="P2" s="68"/>
      <c r="Q2" s="68"/>
    </row>
    <row r="3" spans="1:17" s="105" customFormat="1" x14ac:dyDescent="0.25">
      <c r="A3" s="363" t="s">
        <v>318</v>
      </c>
      <c r="B3" s="364"/>
      <c r="C3" s="363"/>
      <c r="D3" s="363"/>
      <c r="E3" s="363"/>
      <c r="F3" s="364"/>
      <c r="G3" s="364"/>
      <c r="H3" s="365"/>
      <c r="I3" s="366"/>
      <c r="J3" s="367"/>
      <c r="K3" s="364"/>
      <c r="L3" s="364"/>
      <c r="M3" s="364"/>
      <c r="N3" s="364"/>
      <c r="O3" s="364"/>
      <c r="P3" s="364"/>
      <c r="Q3" s="364"/>
    </row>
    <row r="4" spans="1:17" s="105" customFormat="1" x14ac:dyDescent="0.25">
      <c r="A4" s="368">
        <v>43500</v>
      </c>
      <c r="B4" s="369"/>
      <c r="C4" s="370"/>
      <c r="D4" s="370"/>
      <c r="E4" s="370"/>
      <c r="F4" s="369"/>
      <c r="G4" s="369"/>
      <c r="H4" s="371"/>
      <c r="I4" s="372"/>
      <c r="J4" s="373"/>
      <c r="K4" s="369"/>
      <c r="L4" s="369"/>
      <c r="M4" s="369"/>
      <c r="N4" s="369"/>
      <c r="O4" s="369"/>
      <c r="P4" s="369"/>
      <c r="Q4" s="369"/>
    </row>
    <row r="5" spans="1:17" s="105" customFormat="1" x14ac:dyDescent="0.25">
      <c r="A5" s="374" t="s">
        <v>14</v>
      </c>
      <c r="B5" s="367"/>
      <c r="C5" s="374"/>
      <c r="D5" s="374"/>
      <c r="E5" s="374"/>
      <c r="F5" s="367"/>
      <c r="G5" s="367"/>
      <c r="H5" s="366"/>
      <c r="I5" s="366"/>
      <c r="J5" s="367"/>
      <c r="K5" s="367"/>
      <c r="L5" s="367"/>
      <c r="M5" s="367"/>
      <c r="N5" s="367"/>
      <c r="O5" s="367"/>
      <c r="P5" s="367"/>
      <c r="Q5" s="367"/>
    </row>
    <row r="6" spans="1:17" s="105" customFormat="1" x14ac:dyDescent="0.25">
      <c r="A6" s="7"/>
      <c r="B6" s="118"/>
      <c r="C6" s="107"/>
      <c r="D6" s="107"/>
      <c r="E6" s="107"/>
      <c r="F6" s="66"/>
      <c r="G6" s="66"/>
      <c r="H6" s="117"/>
      <c r="I6" s="117"/>
      <c r="J6" s="94"/>
      <c r="K6" s="67"/>
      <c r="L6" s="67"/>
      <c r="M6" s="67"/>
      <c r="N6" s="94"/>
      <c r="O6" s="68"/>
      <c r="P6" s="68"/>
      <c r="Q6" s="68"/>
    </row>
    <row r="7" spans="1:17" x14ac:dyDescent="0.25">
      <c r="A7" s="5" t="s">
        <v>0</v>
      </c>
      <c r="B7" s="364" t="s">
        <v>10</v>
      </c>
      <c r="C7" s="375"/>
      <c r="D7" s="375"/>
      <c r="E7" s="375"/>
      <c r="F7" s="364"/>
      <c r="G7" s="364"/>
      <c r="H7" s="365" t="s">
        <v>472</v>
      </c>
      <c r="I7" s="366"/>
      <c r="J7" s="367"/>
      <c r="K7" s="364"/>
      <c r="L7" s="364"/>
      <c r="M7" s="364"/>
      <c r="N7" s="364" t="s">
        <v>132</v>
      </c>
      <c r="O7" s="364"/>
      <c r="P7" s="364"/>
      <c r="Q7" s="364"/>
    </row>
    <row r="8" spans="1:17" ht="240" x14ac:dyDescent="0.25">
      <c r="A8" s="5"/>
      <c r="B8" s="118" t="s">
        <v>4</v>
      </c>
      <c r="C8" s="107" t="s">
        <v>1</v>
      </c>
      <c r="D8" s="107" t="s">
        <v>3</v>
      </c>
      <c r="E8" s="107" t="s">
        <v>2</v>
      </c>
      <c r="F8" s="122" t="s">
        <v>6</v>
      </c>
      <c r="G8" s="66" t="s">
        <v>5</v>
      </c>
      <c r="H8" s="118" t="s">
        <v>7</v>
      </c>
      <c r="I8" s="118" t="s">
        <v>8</v>
      </c>
      <c r="J8" s="94" t="s">
        <v>9</v>
      </c>
      <c r="K8" s="67" t="s">
        <v>11</v>
      </c>
      <c r="L8" s="67" t="s">
        <v>12</v>
      </c>
      <c r="M8" s="67" t="s">
        <v>13</v>
      </c>
      <c r="N8" s="94" t="s">
        <v>9</v>
      </c>
      <c r="O8" s="68" t="s">
        <v>11</v>
      </c>
      <c r="P8" s="68" t="s">
        <v>12</v>
      </c>
      <c r="Q8" s="68" t="s">
        <v>13</v>
      </c>
    </row>
    <row r="9" spans="1:17" x14ac:dyDescent="0.25">
      <c r="A9" s="9">
        <v>1</v>
      </c>
      <c r="B9" s="61">
        <f>A9+1</f>
        <v>2</v>
      </c>
      <c r="C9" s="9">
        <f t="shared" ref="C9:Q9" si="0">B9+1</f>
        <v>3</v>
      </c>
      <c r="D9" s="9">
        <f t="shared" si="0"/>
        <v>4</v>
      </c>
      <c r="E9" s="9">
        <f t="shared" si="0"/>
        <v>5</v>
      </c>
      <c r="F9" s="69">
        <f t="shared" si="0"/>
        <v>6</v>
      </c>
      <c r="G9" s="69">
        <f t="shared" si="0"/>
        <v>7</v>
      </c>
      <c r="H9" s="70">
        <f t="shared" si="0"/>
        <v>8</v>
      </c>
      <c r="I9" s="70">
        <f t="shared" si="0"/>
        <v>9</v>
      </c>
      <c r="J9" s="95">
        <f t="shared" si="0"/>
        <v>10</v>
      </c>
      <c r="K9" s="71">
        <f t="shared" si="0"/>
        <v>11</v>
      </c>
      <c r="L9" s="71">
        <f t="shared" si="0"/>
        <v>12</v>
      </c>
      <c r="M9" s="71">
        <f t="shared" si="0"/>
        <v>13</v>
      </c>
      <c r="N9" s="95">
        <f t="shared" si="0"/>
        <v>14</v>
      </c>
      <c r="O9" s="72">
        <f t="shared" si="0"/>
        <v>15</v>
      </c>
      <c r="P9" s="72">
        <f t="shared" si="0"/>
        <v>16</v>
      </c>
      <c r="Q9" s="72">
        <f t="shared" si="0"/>
        <v>17</v>
      </c>
    </row>
    <row r="10" spans="1:17" s="13" customFormat="1" ht="31.5" x14ac:dyDescent="0.25">
      <c r="A10" s="10"/>
      <c r="B10" s="62" t="s">
        <v>16</v>
      </c>
      <c r="C10" s="1" t="s">
        <v>304</v>
      </c>
      <c r="D10" s="120" t="s">
        <v>315</v>
      </c>
      <c r="E10" s="3" t="s">
        <v>18</v>
      </c>
      <c r="F10" s="73" t="s">
        <v>322</v>
      </c>
      <c r="G10" s="74" t="s">
        <v>112</v>
      </c>
      <c r="H10" s="75">
        <v>1</v>
      </c>
      <c r="I10" s="76"/>
      <c r="J10" s="96"/>
      <c r="K10" s="77"/>
      <c r="L10" s="77"/>
      <c r="M10" s="78">
        <f>K10-L10</f>
        <v>0</v>
      </c>
      <c r="N10" s="100">
        <f>2</f>
        <v>2</v>
      </c>
      <c r="O10" s="77"/>
      <c r="P10" s="77"/>
      <c r="Q10" s="79">
        <f>O10-P10</f>
        <v>0</v>
      </c>
    </row>
    <row r="11" spans="1:17" s="13" customFormat="1" ht="31.5" x14ac:dyDescent="0.25">
      <c r="A11" s="10">
        <v>2</v>
      </c>
      <c r="B11" s="22" t="s">
        <v>16</v>
      </c>
      <c r="C11" s="1" t="s">
        <v>304</v>
      </c>
      <c r="D11" s="120" t="s">
        <v>315</v>
      </c>
      <c r="E11" s="3" t="s">
        <v>18</v>
      </c>
      <c r="F11" s="119" t="s">
        <v>322</v>
      </c>
      <c r="G11" s="11" t="s">
        <v>116</v>
      </c>
      <c r="H11" s="1">
        <v>2</v>
      </c>
      <c r="I11" s="49"/>
      <c r="J11" s="46"/>
      <c r="K11" s="31"/>
      <c r="L11" s="31"/>
      <c r="M11" s="38">
        <f t="shared" ref="M11:M82" si="1">K11-L11</f>
        <v>0</v>
      </c>
      <c r="N11" s="41"/>
      <c r="O11" s="31">
        <v>2945</v>
      </c>
      <c r="P11" s="31"/>
      <c r="Q11" s="12">
        <f t="shared" ref="Q11:Q75" si="2">O11-P11</f>
        <v>2945</v>
      </c>
    </row>
    <row r="12" spans="1:17" s="15" customFormat="1" ht="15.75" x14ac:dyDescent="0.25">
      <c r="A12" s="14"/>
      <c r="B12" s="80" t="s">
        <v>19</v>
      </c>
      <c r="C12" s="1" t="s">
        <v>17</v>
      </c>
      <c r="D12" s="120"/>
      <c r="E12" s="3" t="s">
        <v>20</v>
      </c>
      <c r="F12" s="73" t="s">
        <v>323</v>
      </c>
      <c r="G12" s="74" t="s">
        <v>112</v>
      </c>
      <c r="H12" s="75">
        <v>5</v>
      </c>
      <c r="I12" s="76">
        <v>1</v>
      </c>
      <c r="J12" s="96">
        <f>1</f>
        <v>1</v>
      </c>
      <c r="K12" s="77"/>
      <c r="L12" s="77"/>
      <c r="M12" s="78">
        <f t="shared" si="1"/>
        <v>0</v>
      </c>
      <c r="N12" s="100">
        <f>8</f>
        <v>8</v>
      </c>
      <c r="O12" s="81"/>
      <c r="P12" s="81"/>
      <c r="Q12" s="79">
        <f t="shared" si="2"/>
        <v>0</v>
      </c>
    </row>
    <row r="13" spans="1:17" s="15" customFormat="1" ht="15.75" x14ac:dyDescent="0.25">
      <c r="A13" s="14">
        <v>2</v>
      </c>
      <c r="B13" s="23" t="s">
        <v>19</v>
      </c>
      <c r="C13" s="1" t="s">
        <v>17</v>
      </c>
      <c r="D13" s="120"/>
      <c r="E13" s="3" t="s">
        <v>20</v>
      </c>
      <c r="F13" s="73" t="s">
        <v>451</v>
      </c>
      <c r="G13" s="11" t="s">
        <v>114</v>
      </c>
      <c r="H13" s="1">
        <v>1</v>
      </c>
      <c r="I13" s="49"/>
      <c r="J13" s="51"/>
      <c r="K13" s="40"/>
      <c r="L13" s="40"/>
      <c r="M13" s="38">
        <f t="shared" si="1"/>
        <v>0</v>
      </c>
      <c r="N13" s="42">
        <v>3</v>
      </c>
      <c r="O13" s="31">
        <v>3818</v>
      </c>
      <c r="P13" s="31"/>
      <c r="Q13" s="12">
        <f t="shared" si="2"/>
        <v>3818</v>
      </c>
    </row>
    <row r="14" spans="1:17" s="15" customFormat="1" ht="15.75" x14ac:dyDescent="0.25">
      <c r="A14" s="14"/>
      <c r="B14" s="62" t="s">
        <v>153</v>
      </c>
      <c r="C14" s="1" t="s">
        <v>17</v>
      </c>
      <c r="D14" s="120"/>
      <c r="E14" s="3" t="s">
        <v>20</v>
      </c>
      <c r="F14" s="73" t="s">
        <v>324</v>
      </c>
      <c r="G14" s="74" t="s">
        <v>112</v>
      </c>
      <c r="H14" s="75">
        <v>1</v>
      </c>
      <c r="I14" s="82">
        <v>1</v>
      </c>
      <c r="J14" s="96">
        <f>1</f>
        <v>1</v>
      </c>
      <c r="K14" s="77"/>
      <c r="L14" s="77"/>
      <c r="M14" s="78">
        <f t="shared" si="1"/>
        <v>0</v>
      </c>
      <c r="N14" s="114">
        <f>1+2</f>
        <v>3</v>
      </c>
      <c r="O14" s="81">
        <f>422.62</f>
        <v>422.62</v>
      </c>
      <c r="P14" s="81"/>
      <c r="Q14" s="79">
        <f t="shared" si="2"/>
        <v>422.62</v>
      </c>
    </row>
    <row r="15" spans="1:17" s="15" customFormat="1" ht="15.75" x14ac:dyDescent="0.25">
      <c r="A15" s="14"/>
      <c r="B15" s="50" t="s">
        <v>153</v>
      </c>
      <c r="C15" s="1"/>
      <c r="D15" s="120"/>
      <c r="E15" s="3" t="s">
        <v>20</v>
      </c>
      <c r="F15" s="73" t="s">
        <v>452</v>
      </c>
      <c r="G15" s="11" t="s">
        <v>114</v>
      </c>
      <c r="H15" s="1">
        <v>1</v>
      </c>
      <c r="I15" s="49"/>
      <c r="J15" s="51"/>
      <c r="K15" s="40"/>
      <c r="L15" s="40"/>
      <c r="M15" s="38">
        <f t="shared" si="1"/>
        <v>0</v>
      </c>
      <c r="N15" s="42">
        <v>4</v>
      </c>
      <c r="O15" s="31">
        <f>13319</f>
        <v>13319</v>
      </c>
      <c r="P15" s="31"/>
      <c r="Q15" s="12">
        <f t="shared" si="2"/>
        <v>13319</v>
      </c>
    </row>
    <row r="16" spans="1:17" s="13" customFormat="1" ht="15.75" x14ac:dyDescent="0.25">
      <c r="A16" s="10"/>
      <c r="B16" s="30" t="s">
        <v>22</v>
      </c>
      <c r="C16" s="1" t="s">
        <v>17</v>
      </c>
      <c r="D16" s="120"/>
      <c r="E16" s="3" t="s">
        <v>23</v>
      </c>
      <c r="F16" s="73" t="s">
        <v>325</v>
      </c>
      <c r="G16" s="74" t="s">
        <v>112</v>
      </c>
      <c r="H16" s="75">
        <v>1</v>
      </c>
      <c r="I16" s="76"/>
      <c r="J16" s="96"/>
      <c r="K16" s="77"/>
      <c r="L16" s="77"/>
      <c r="M16" s="78">
        <f t="shared" si="1"/>
        <v>0</v>
      </c>
      <c r="N16" s="100"/>
      <c r="O16" s="81"/>
      <c r="P16" s="81"/>
      <c r="Q16" s="79">
        <f t="shared" si="2"/>
        <v>0</v>
      </c>
    </row>
    <row r="17" spans="1:17" s="13" customFormat="1" ht="15.75" x14ac:dyDescent="0.25">
      <c r="A17" s="10"/>
      <c r="B17" s="24" t="s">
        <v>154</v>
      </c>
      <c r="C17" s="1" t="s">
        <v>17</v>
      </c>
      <c r="D17" s="120"/>
      <c r="E17" s="3" t="s">
        <v>20</v>
      </c>
      <c r="F17" s="73" t="s">
        <v>453</v>
      </c>
      <c r="G17" s="11" t="s">
        <v>114</v>
      </c>
      <c r="H17" s="1">
        <v>4</v>
      </c>
      <c r="I17" s="47"/>
      <c r="J17" s="51"/>
      <c r="K17" s="37"/>
      <c r="L17" s="37"/>
      <c r="M17" s="38">
        <f t="shared" si="1"/>
        <v>0</v>
      </c>
      <c r="N17" s="39">
        <v>3</v>
      </c>
      <c r="O17" s="31">
        <v>5603</v>
      </c>
      <c r="P17" s="31"/>
      <c r="Q17" s="12">
        <f t="shared" si="2"/>
        <v>5603</v>
      </c>
    </row>
    <row r="18" spans="1:17" s="13" customFormat="1" ht="15.75" x14ac:dyDescent="0.25">
      <c r="A18" s="10"/>
      <c r="B18" s="30" t="s">
        <v>154</v>
      </c>
      <c r="C18" s="1" t="s">
        <v>17</v>
      </c>
      <c r="D18" s="120"/>
      <c r="E18" s="3" t="s">
        <v>20</v>
      </c>
      <c r="F18" s="73" t="s">
        <v>326</v>
      </c>
      <c r="G18" s="74" t="s">
        <v>112</v>
      </c>
      <c r="H18" s="75">
        <v>4</v>
      </c>
      <c r="I18" s="76">
        <v>2</v>
      </c>
      <c r="J18" s="96">
        <f>1+1</f>
        <v>2</v>
      </c>
      <c r="K18" s="77"/>
      <c r="L18" s="77"/>
      <c r="M18" s="78">
        <f t="shared" si="1"/>
        <v>0</v>
      </c>
      <c r="N18" s="100">
        <f>6+3</f>
        <v>9</v>
      </c>
      <c r="O18" s="81">
        <v>6681.33</v>
      </c>
      <c r="P18" s="81"/>
      <c r="Q18" s="79">
        <f t="shared" si="2"/>
        <v>6681.33</v>
      </c>
    </row>
    <row r="19" spans="1:17" s="13" customFormat="1" ht="15.75" x14ac:dyDescent="0.25">
      <c r="A19" s="10"/>
      <c r="B19" s="62" t="s">
        <v>24</v>
      </c>
      <c r="C19" s="1" t="s">
        <v>17</v>
      </c>
      <c r="D19" s="120"/>
      <c r="E19" s="3" t="s">
        <v>20</v>
      </c>
      <c r="F19" s="73" t="s">
        <v>327</v>
      </c>
      <c r="G19" s="74" t="s">
        <v>112</v>
      </c>
      <c r="H19" s="75"/>
      <c r="I19" s="76"/>
      <c r="J19" s="96"/>
      <c r="K19" s="77"/>
      <c r="L19" s="77"/>
      <c r="M19" s="38">
        <f t="shared" si="1"/>
        <v>0</v>
      </c>
      <c r="N19" s="100">
        <f>1</f>
        <v>1</v>
      </c>
      <c r="O19" s="81"/>
      <c r="P19" s="81"/>
      <c r="Q19" s="12">
        <f t="shared" si="2"/>
        <v>0</v>
      </c>
    </row>
    <row r="20" spans="1:17" s="13" customFormat="1" ht="15.75" x14ac:dyDescent="0.25">
      <c r="A20" s="10">
        <v>1</v>
      </c>
      <c r="B20" s="22" t="s">
        <v>24</v>
      </c>
      <c r="C20" s="1" t="s">
        <v>17</v>
      </c>
      <c r="D20" s="120"/>
      <c r="E20" s="3" t="s">
        <v>20</v>
      </c>
      <c r="F20" s="73" t="s">
        <v>454</v>
      </c>
      <c r="G20" s="11" t="s">
        <v>114</v>
      </c>
      <c r="H20" s="1">
        <v>3</v>
      </c>
      <c r="I20" s="49"/>
      <c r="J20" s="51"/>
      <c r="K20" s="40"/>
      <c r="L20" s="40"/>
      <c r="M20" s="78">
        <f t="shared" si="1"/>
        <v>0</v>
      </c>
      <c r="N20" s="41"/>
      <c r="O20" s="31"/>
      <c r="P20" s="31"/>
      <c r="Q20" s="79">
        <f t="shared" si="2"/>
        <v>0</v>
      </c>
    </row>
    <row r="21" spans="1:17" s="13" customFormat="1" ht="15.75" x14ac:dyDescent="0.25">
      <c r="A21" s="10"/>
      <c r="B21" s="62" t="s">
        <v>25</v>
      </c>
      <c r="C21" s="1" t="s">
        <v>17</v>
      </c>
      <c r="D21" s="120"/>
      <c r="E21" s="3" t="s">
        <v>20</v>
      </c>
      <c r="F21" s="73" t="s">
        <v>328</v>
      </c>
      <c r="G21" s="74" t="s">
        <v>112</v>
      </c>
      <c r="H21" s="75">
        <v>2</v>
      </c>
      <c r="I21" s="76">
        <v>1</v>
      </c>
      <c r="J21" s="96">
        <f>1</f>
        <v>1</v>
      </c>
      <c r="K21" s="77"/>
      <c r="L21" s="77"/>
      <c r="M21" s="38">
        <f t="shared" si="1"/>
        <v>0</v>
      </c>
      <c r="N21" s="100">
        <f>6</f>
        <v>6</v>
      </c>
      <c r="O21" s="81"/>
      <c r="P21" s="81"/>
      <c r="Q21" s="12">
        <f t="shared" si="2"/>
        <v>0</v>
      </c>
    </row>
    <row r="22" spans="1:17" s="13" customFormat="1" ht="15.75" x14ac:dyDescent="0.25">
      <c r="A22" s="10"/>
      <c r="B22" s="22" t="s">
        <v>25</v>
      </c>
      <c r="C22" s="1" t="s">
        <v>17</v>
      </c>
      <c r="D22" s="120"/>
      <c r="E22" s="3" t="s">
        <v>20</v>
      </c>
      <c r="F22" s="73" t="s">
        <v>455</v>
      </c>
      <c r="G22" s="11" t="s">
        <v>114</v>
      </c>
      <c r="H22" s="1"/>
      <c r="I22" s="49"/>
      <c r="J22" s="51"/>
      <c r="K22" s="40"/>
      <c r="L22" s="40"/>
      <c r="M22" s="78">
        <f t="shared" si="1"/>
        <v>0</v>
      </c>
      <c r="N22" s="41">
        <v>2</v>
      </c>
      <c r="O22" s="31">
        <v>4146.2</v>
      </c>
      <c r="P22" s="31"/>
      <c r="Q22" s="79">
        <f t="shared" si="2"/>
        <v>4146.2</v>
      </c>
    </row>
    <row r="23" spans="1:17" s="13" customFormat="1" ht="15.75" x14ac:dyDescent="0.25">
      <c r="A23" s="10"/>
      <c r="B23" s="62" t="s">
        <v>26</v>
      </c>
      <c r="C23" s="1" t="s">
        <v>17</v>
      </c>
      <c r="D23" s="120"/>
      <c r="E23" s="3" t="s">
        <v>27</v>
      </c>
      <c r="F23" s="73" t="s">
        <v>329</v>
      </c>
      <c r="G23" s="74" t="s">
        <v>112</v>
      </c>
      <c r="H23" s="75">
        <v>3</v>
      </c>
      <c r="I23" s="76"/>
      <c r="J23" s="96"/>
      <c r="K23" s="77"/>
      <c r="L23" s="77"/>
      <c r="M23" s="38">
        <f t="shared" si="1"/>
        <v>0</v>
      </c>
      <c r="N23" s="100">
        <f>6</f>
        <v>6</v>
      </c>
      <c r="O23" s="81">
        <f>17838.53</f>
        <v>17838.53</v>
      </c>
      <c r="P23" s="81"/>
      <c r="Q23" s="12">
        <f t="shared" si="2"/>
        <v>17838.53</v>
      </c>
    </row>
    <row r="24" spans="1:17" s="13" customFormat="1" ht="15.75" x14ac:dyDescent="0.25">
      <c r="A24" s="10"/>
      <c r="B24" s="22" t="s">
        <v>306</v>
      </c>
      <c r="C24" s="1" t="s">
        <v>17</v>
      </c>
      <c r="D24" s="120"/>
      <c r="E24" s="3" t="s">
        <v>27</v>
      </c>
      <c r="F24" s="73" t="s">
        <v>421</v>
      </c>
      <c r="G24" s="11" t="s">
        <v>117</v>
      </c>
      <c r="H24" s="1"/>
      <c r="I24" s="49"/>
      <c r="J24" s="46"/>
      <c r="K24" s="40"/>
      <c r="L24" s="40"/>
      <c r="M24" s="78">
        <f t="shared" si="1"/>
        <v>0</v>
      </c>
      <c r="N24" s="41">
        <f>3</f>
        <v>3</v>
      </c>
      <c r="O24" s="40"/>
      <c r="P24" s="40"/>
      <c r="Q24" s="79">
        <f>O24-P24</f>
        <v>0</v>
      </c>
    </row>
    <row r="25" spans="1:17" s="15" customFormat="1" ht="15.75" x14ac:dyDescent="0.25">
      <c r="A25" s="14"/>
      <c r="B25" s="80" t="s">
        <v>28</v>
      </c>
      <c r="C25" s="1" t="s">
        <v>17</v>
      </c>
      <c r="D25" s="120"/>
      <c r="E25" s="17" t="s">
        <v>29</v>
      </c>
      <c r="F25" s="73" t="s">
        <v>330</v>
      </c>
      <c r="G25" s="74" t="s">
        <v>112</v>
      </c>
      <c r="H25" s="75"/>
      <c r="I25" s="76"/>
      <c r="J25" s="96"/>
      <c r="K25" s="77"/>
      <c r="L25" s="77"/>
      <c r="M25" s="38">
        <f t="shared" si="1"/>
        <v>0</v>
      </c>
      <c r="N25" s="100">
        <f>3</f>
        <v>3</v>
      </c>
      <c r="O25" s="81"/>
      <c r="P25" s="81"/>
      <c r="Q25" s="12">
        <f t="shared" si="2"/>
        <v>0</v>
      </c>
    </row>
    <row r="26" spans="1:17" s="15" customFormat="1" ht="15.75" x14ac:dyDescent="0.25">
      <c r="A26" s="14"/>
      <c r="B26" s="23" t="s">
        <v>28</v>
      </c>
      <c r="C26" s="1" t="s">
        <v>17</v>
      </c>
      <c r="D26" s="120"/>
      <c r="E26" s="17" t="s">
        <v>29</v>
      </c>
      <c r="F26" s="73" t="s">
        <v>420</v>
      </c>
      <c r="G26" s="8" t="s">
        <v>117</v>
      </c>
      <c r="H26" s="1">
        <v>1</v>
      </c>
      <c r="I26" s="48"/>
      <c r="J26" s="45"/>
      <c r="K26" s="40"/>
      <c r="L26" s="40"/>
      <c r="M26" s="78">
        <f t="shared" si="1"/>
        <v>0</v>
      </c>
      <c r="N26" s="42"/>
      <c r="O26" s="31"/>
      <c r="P26" s="31"/>
      <c r="Q26" s="79">
        <f t="shared" si="2"/>
        <v>0</v>
      </c>
    </row>
    <row r="27" spans="1:17" s="13" customFormat="1" ht="15.75" x14ac:dyDescent="0.25">
      <c r="A27" s="10"/>
      <c r="B27" s="27" t="s">
        <v>30</v>
      </c>
      <c r="C27" s="1" t="s">
        <v>17</v>
      </c>
      <c r="D27" s="120"/>
      <c r="E27" s="17" t="s">
        <v>21</v>
      </c>
      <c r="F27" s="73" t="s">
        <v>333</v>
      </c>
      <c r="G27" s="74" t="s">
        <v>112</v>
      </c>
      <c r="H27" s="75">
        <v>4</v>
      </c>
      <c r="I27" s="76"/>
      <c r="J27" s="96"/>
      <c r="K27" s="77"/>
      <c r="L27" s="77"/>
      <c r="M27" s="38">
        <f t="shared" si="1"/>
        <v>0</v>
      </c>
      <c r="N27" s="100"/>
      <c r="O27" s="81"/>
      <c r="P27" s="81"/>
      <c r="Q27" s="12">
        <f t="shared" si="2"/>
        <v>0</v>
      </c>
    </row>
    <row r="28" spans="1:17" s="13" customFormat="1" ht="15.75" x14ac:dyDescent="0.25">
      <c r="A28" s="10"/>
      <c r="B28" s="30" t="s">
        <v>31</v>
      </c>
      <c r="C28" s="1" t="s">
        <v>17</v>
      </c>
      <c r="D28" s="120"/>
      <c r="E28" s="3" t="s">
        <v>32</v>
      </c>
      <c r="F28" s="73" t="s">
        <v>331</v>
      </c>
      <c r="G28" s="74" t="s">
        <v>112</v>
      </c>
      <c r="H28" s="75">
        <v>1</v>
      </c>
      <c r="I28" s="76"/>
      <c r="J28" s="96"/>
      <c r="K28" s="77"/>
      <c r="L28" s="77"/>
      <c r="M28" s="78">
        <f t="shared" si="1"/>
        <v>0</v>
      </c>
      <c r="N28" s="100">
        <f>1</f>
        <v>1</v>
      </c>
      <c r="O28" s="81">
        <f>2299.8</f>
        <v>2299.8000000000002</v>
      </c>
      <c r="P28" s="81"/>
      <c r="Q28" s="79">
        <f t="shared" si="2"/>
        <v>2299.8000000000002</v>
      </c>
    </row>
    <row r="29" spans="1:17" s="13" customFormat="1" ht="15.75" x14ac:dyDescent="0.25">
      <c r="A29" s="10"/>
      <c r="B29" s="24" t="s">
        <v>31</v>
      </c>
      <c r="C29" s="1" t="s">
        <v>17</v>
      </c>
      <c r="D29" s="120"/>
      <c r="E29" s="3" t="s">
        <v>32</v>
      </c>
      <c r="F29" s="73" t="s">
        <v>422</v>
      </c>
      <c r="G29" s="8" t="s">
        <v>117</v>
      </c>
      <c r="H29" s="1">
        <v>3</v>
      </c>
      <c r="I29" s="49"/>
      <c r="J29" s="46"/>
      <c r="K29" s="40"/>
      <c r="L29" s="40"/>
      <c r="M29" s="38">
        <f t="shared" si="1"/>
        <v>0</v>
      </c>
      <c r="N29" s="41">
        <f>5</f>
        <v>5</v>
      </c>
      <c r="O29" s="40"/>
      <c r="P29" s="40"/>
      <c r="Q29" s="12">
        <f t="shared" si="2"/>
        <v>0</v>
      </c>
    </row>
    <row r="30" spans="1:17" s="15" customFormat="1" ht="15.75" x14ac:dyDescent="0.25">
      <c r="A30" s="14"/>
      <c r="B30" s="80" t="s">
        <v>33</v>
      </c>
      <c r="C30" s="1" t="s">
        <v>17</v>
      </c>
      <c r="D30" s="120"/>
      <c r="E30" s="3" t="s">
        <v>20</v>
      </c>
      <c r="F30" s="73" t="s">
        <v>332</v>
      </c>
      <c r="G30" s="74" t="s">
        <v>112</v>
      </c>
      <c r="H30" s="75">
        <v>3</v>
      </c>
      <c r="I30" s="76"/>
      <c r="J30" s="96"/>
      <c r="K30" s="77"/>
      <c r="L30" s="77"/>
      <c r="M30" s="78">
        <f t="shared" si="1"/>
        <v>0</v>
      </c>
      <c r="N30" s="100">
        <f>2+1</f>
        <v>3</v>
      </c>
      <c r="O30" s="81">
        <v>1613.64</v>
      </c>
      <c r="P30" s="81"/>
      <c r="Q30" s="79">
        <f t="shared" si="2"/>
        <v>1613.64</v>
      </c>
    </row>
    <row r="31" spans="1:17" s="15" customFormat="1" ht="15.75" x14ac:dyDescent="0.25">
      <c r="A31" s="14"/>
      <c r="B31" s="23" t="s">
        <v>33</v>
      </c>
      <c r="C31" s="1" t="s">
        <v>17</v>
      </c>
      <c r="D31" s="120"/>
      <c r="E31" s="3" t="s">
        <v>20</v>
      </c>
      <c r="F31" s="73" t="s">
        <v>448</v>
      </c>
      <c r="G31" s="11" t="s">
        <v>114</v>
      </c>
      <c r="H31" s="1">
        <v>1</v>
      </c>
      <c r="I31" s="49"/>
      <c r="J31" s="51"/>
      <c r="K31" s="40"/>
      <c r="L31" s="40"/>
      <c r="M31" s="38">
        <f t="shared" si="1"/>
        <v>0</v>
      </c>
      <c r="N31" s="42">
        <v>6</v>
      </c>
      <c r="O31" s="31">
        <v>13071.87</v>
      </c>
      <c r="P31" s="31"/>
      <c r="Q31" s="12">
        <f t="shared" si="2"/>
        <v>13071.87</v>
      </c>
    </row>
    <row r="32" spans="1:17" s="15" customFormat="1" ht="15.75" x14ac:dyDescent="0.25">
      <c r="A32" s="14"/>
      <c r="B32" s="62" t="s">
        <v>147</v>
      </c>
      <c r="C32" s="1" t="s">
        <v>17</v>
      </c>
      <c r="D32" s="120"/>
      <c r="E32" s="3" t="s">
        <v>29</v>
      </c>
      <c r="F32" s="73" t="s">
        <v>334</v>
      </c>
      <c r="G32" s="74" t="s">
        <v>112</v>
      </c>
      <c r="H32" s="75">
        <v>1</v>
      </c>
      <c r="I32" s="102"/>
      <c r="J32" s="97"/>
      <c r="K32" s="77"/>
      <c r="L32" s="77"/>
      <c r="M32" s="78">
        <f t="shared" si="1"/>
        <v>0</v>
      </c>
      <c r="N32" s="114">
        <f>1</f>
        <v>1</v>
      </c>
      <c r="O32" s="81">
        <f>1394.65</f>
        <v>1394.65</v>
      </c>
      <c r="P32" s="81"/>
      <c r="Q32" s="79">
        <f t="shared" si="2"/>
        <v>1394.65</v>
      </c>
    </row>
    <row r="33" spans="1:17" s="15" customFormat="1" ht="15.75" x14ac:dyDescent="0.25">
      <c r="A33" s="14"/>
      <c r="B33" s="50" t="s">
        <v>147</v>
      </c>
      <c r="C33" s="1" t="s">
        <v>17</v>
      </c>
      <c r="D33" s="120"/>
      <c r="E33" s="3" t="s">
        <v>29</v>
      </c>
      <c r="F33" s="73" t="s">
        <v>423</v>
      </c>
      <c r="G33" s="11" t="s">
        <v>117</v>
      </c>
      <c r="H33" s="1">
        <v>1</v>
      </c>
      <c r="I33" s="48"/>
      <c r="J33" s="45"/>
      <c r="K33" s="40"/>
      <c r="L33" s="40"/>
      <c r="M33" s="38">
        <f t="shared" si="1"/>
        <v>0</v>
      </c>
      <c r="N33" s="42">
        <f>2</f>
        <v>2</v>
      </c>
      <c r="O33" s="31"/>
      <c r="P33" s="31"/>
      <c r="Q33" s="12">
        <f t="shared" si="2"/>
        <v>0</v>
      </c>
    </row>
    <row r="34" spans="1:17" s="13" customFormat="1" ht="15.75" x14ac:dyDescent="0.25">
      <c r="A34" s="10"/>
      <c r="B34" s="62" t="s">
        <v>34</v>
      </c>
      <c r="C34" s="1" t="s">
        <v>17</v>
      </c>
      <c r="D34" s="120"/>
      <c r="E34" s="17" t="s">
        <v>35</v>
      </c>
      <c r="F34" s="73" t="s">
        <v>335</v>
      </c>
      <c r="G34" s="74" t="s">
        <v>112</v>
      </c>
      <c r="H34" s="75">
        <v>4</v>
      </c>
      <c r="I34" s="76"/>
      <c r="J34" s="96"/>
      <c r="K34" s="77"/>
      <c r="L34" s="77"/>
      <c r="M34" s="78">
        <f t="shared" si="1"/>
        <v>0</v>
      </c>
      <c r="N34" s="100">
        <f>4+4+6</f>
        <v>14</v>
      </c>
      <c r="O34" s="81">
        <f>23915.04</f>
        <v>23915.040000000001</v>
      </c>
      <c r="P34" s="81"/>
      <c r="Q34" s="79">
        <f t="shared" si="2"/>
        <v>23915.040000000001</v>
      </c>
    </row>
    <row r="35" spans="1:17" s="13" customFormat="1" ht="15.75" x14ac:dyDescent="0.25">
      <c r="A35" s="10"/>
      <c r="B35" s="22" t="s">
        <v>34</v>
      </c>
      <c r="C35" s="1" t="s">
        <v>17</v>
      </c>
      <c r="D35" s="120"/>
      <c r="E35" s="17" t="s">
        <v>35</v>
      </c>
      <c r="F35" s="73" t="s">
        <v>424</v>
      </c>
      <c r="G35" s="8" t="s">
        <v>117</v>
      </c>
      <c r="H35" s="1">
        <v>1</v>
      </c>
      <c r="I35" s="49"/>
      <c r="J35" s="46"/>
      <c r="K35" s="40"/>
      <c r="L35" s="40"/>
      <c r="M35" s="38">
        <f t="shared" si="1"/>
        <v>0</v>
      </c>
      <c r="N35" s="41">
        <v>2</v>
      </c>
      <c r="O35" s="31"/>
      <c r="P35" s="31"/>
      <c r="Q35" s="12">
        <f t="shared" si="2"/>
        <v>0</v>
      </c>
    </row>
    <row r="36" spans="1:17" s="13" customFormat="1" ht="15.75" x14ac:dyDescent="0.25">
      <c r="A36" s="10"/>
      <c r="B36" s="27" t="s">
        <v>36</v>
      </c>
      <c r="C36" s="1" t="s">
        <v>17</v>
      </c>
      <c r="D36" s="120"/>
      <c r="E36" s="17" t="s">
        <v>32</v>
      </c>
      <c r="F36" s="73" t="s">
        <v>336</v>
      </c>
      <c r="G36" s="74" t="s">
        <v>112</v>
      </c>
      <c r="H36" s="75">
        <v>1</v>
      </c>
      <c r="I36" s="76"/>
      <c r="J36" s="96"/>
      <c r="K36" s="77"/>
      <c r="L36" s="77"/>
      <c r="M36" s="78">
        <f t="shared" si="1"/>
        <v>0</v>
      </c>
      <c r="N36" s="100">
        <f>4</f>
        <v>4</v>
      </c>
      <c r="O36" s="81">
        <f>8144.95</f>
        <v>8144.95</v>
      </c>
      <c r="P36" s="81"/>
      <c r="Q36" s="79">
        <f t="shared" si="2"/>
        <v>8144.95</v>
      </c>
    </row>
    <row r="37" spans="1:17" s="13" customFormat="1" ht="15.75" x14ac:dyDescent="0.25">
      <c r="A37" s="10"/>
      <c r="B37" s="62" t="s">
        <v>37</v>
      </c>
      <c r="C37" s="1" t="s">
        <v>17</v>
      </c>
      <c r="D37" s="120"/>
      <c r="E37" s="3" t="s">
        <v>21</v>
      </c>
      <c r="F37" s="73" t="s">
        <v>337</v>
      </c>
      <c r="G37" s="74" t="s">
        <v>112</v>
      </c>
      <c r="H37" s="75"/>
      <c r="I37" s="76"/>
      <c r="J37" s="96"/>
      <c r="K37" s="77"/>
      <c r="L37" s="77"/>
      <c r="M37" s="38">
        <f t="shared" si="1"/>
        <v>0</v>
      </c>
      <c r="N37" s="100"/>
      <c r="O37" s="81"/>
      <c r="P37" s="81"/>
      <c r="Q37" s="12">
        <f t="shared" si="2"/>
        <v>0</v>
      </c>
    </row>
    <row r="38" spans="1:17" s="13" customFormat="1" ht="15.75" x14ac:dyDescent="0.25">
      <c r="A38" s="10"/>
      <c r="B38" s="27" t="s">
        <v>38</v>
      </c>
      <c r="C38" s="1" t="s">
        <v>17</v>
      </c>
      <c r="D38" s="120"/>
      <c r="E38" s="3" t="s">
        <v>20</v>
      </c>
      <c r="F38" s="73" t="s">
        <v>338</v>
      </c>
      <c r="G38" s="74" t="s">
        <v>112</v>
      </c>
      <c r="H38" s="75">
        <v>5</v>
      </c>
      <c r="I38" s="76"/>
      <c r="J38" s="96"/>
      <c r="K38" s="77"/>
      <c r="L38" s="77"/>
      <c r="M38" s="78">
        <f t="shared" si="1"/>
        <v>0</v>
      </c>
      <c r="N38" s="100">
        <f>1</f>
        <v>1</v>
      </c>
      <c r="O38" s="81">
        <f>34449.99</f>
        <v>34449.99</v>
      </c>
      <c r="P38" s="81">
        <f>34449.99</f>
        <v>34449.99</v>
      </c>
      <c r="Q38" s="79">
        <f t="shared" si="2"/>
        <v>0</v>
      </c>
    </row>
    <row r="39" spans="1:17" s="13" customFormat="1" ht="15.75" x14ac:dyDescent="0.25">
      <c r="A39" s="10"/>
      <c r="B39" s="25" t="s">
        <v>38</v>
      </c>
      <c r="C39" s="1" t="s">
        <v>17</v>
      </c>
      <c r="D39" s="120"/>
      <c r="E39" s="3" t="s">
        <v>20</v>
      </c>
      <c r="F39" s="73" t="s">
        <v>268</v>
      </c>
      <c r="G39" s="11" t="s">
        <v>114</v>
      </c>
      <c r="H39" s="1"/>
      <c r="I39" s="49"/>
      <c r="J39" s="51"/>
      <c r="K39" s="40"/>
      <c r="L39" s="40"/>
      <c r="M39" s="38">
        <f t="shared" si="1"/>
        <v>0</v>
      </c>
      <c r="N39" s="41"/>
      <c r="O39" s="31"/>
      <c r="P39" s="31"/>
      <c r="Q39" s="12">
        <f t="shared" si="2"/>
        <v>0</v>
      </c>
    </row>
    <row r="40" spans="1:17" s="13" customFormat="1" ht="15.75" x14ac:dyDescent="0.25">
      <c r="A40" s="10"/>
      <c r="B40" s="25" t="s">
        <v>38</v>
      </c>
      <c r="C40" s="1"/>
      <c r="D40" s="120"/>
      <c r="E40" s="3"/>
      <c r="F40" s="73"/>
      <c r="G40" s="11" t="s">
        <v>116</v>
      </c>
      <c r="H40" s="1">
        <v>1</v>
      </c>
      <c r="I40" s="49"/>
      <c r="J40" s="51"/>
      <c r="K40" s="40"/>
      <c r="L40" s="40"/>
      <c r="M40" s="38"/>
      <c r="N40" s="41"/>
      <c r="O40" s="31"/>
      <c r="P40" s="31"/>
      <c r="Q40" s="12"/>
    </row>
    <row r="41" spans="1:17" s="13" customFormat="1" ht="15.75" x14ac:dyDescent="0.25">
      <c r="A41" s="10"/>
      <c r="B41" s="22" t="s">
        <v>39</v>
      </c>
      <c r="C41" s="1" t="s">
        <v>17</v>
      </c>
      <c r="D41" s="120"/>
      <c r="E41" s="3" t="s">
        <v>20</v>
      </c>
      <c r="F41" s="73" t="s">
        <v>269</v>
      </c>
      <c r="G41" s="11" t="s">
        <v>114</v>
      </c>
      <c r="H41" s="1"/>
      <c r="I41" s="49"/>
      <c r="J41" s="51"/>
      <c r="K41" s="40"/>
      <c r="L41" s="40"/>
      <c r="M41" s="38">
        <f t="shared" si="1"/>
        <v>0</v>
      </c>
      <c r="N41" s="41"/>
      <c r="O41" s="31"/>
      <c r="P41" s="31"/>
      <c r="Q41" s="12">
        <f t="shared" si="2"/>
        <v>0</v>
      </c>
    </row>
    <row r="42" spans="1:17" s="13" customFormat="1" ht="15.75" x14ac:dyDescent="0.25">
      <c r="A42" s="10"/>
      <c r="B42" s="27" t="s">
        <v>40</v>
      </c>
      <c r="C42" s="1" t="s">
        <v>17</v>
      </c>
      <c r="D42" s="120"/>
      <c r="E42" s="17" t="s">
        <v>41</v>
      </c>
      <c r="F42" s="73" t="s">
        <v>339</v>
      </c>
      <c r="G42" s="74" t="s">
        <v>112</v>
      </c>
      <c r="H42" s="75">
        <v>4</v>
      </c>
      <c r="I42" s="76">
        <v>1</v>
      </c>
      <c r="J42" s="96">
        <f>1</f>
        <v>1</v>
      </c>
      <c r="K42" s="77"/>
      <c r="L42" s="77"/>
      <c r="M42" s="78">
        <f t="shared" si="1"/>
        <v>0</v>
      </c>
      <c r="N42" s="100">
        <f>3+13</f>
        <v>16</v>
      </c>
      <c r="O42" s="81">
        <f>17269.31</f>
        <v>17269.310000000001</v>
      </c>
      <c r="P42" s="81">
        <f>17269.31</f>
        <v>17269.310000000001</v>
      </c>
      <c r="Q42" s="79">
        <f t="shared" si="2"/>
        <v>0</v>
      </c>
    </row>
    <row r="43" spans="1:17" s="13" customFormat="1" ht="15.75" x14ac:dyDescent="0.25">
      <c r="A43" s="10"/>
      <c r="B43" s="25" t="s">
        <v>40</v>
      </c>
      <c r="C43" s="1" t="s">
        <v>17</v>
      </c>
      <c r="D43" s="120"/>
      <c r="E43" s="17" t="s">
        <v>41</v>
      </c>
      <c r="F43" s="73" t="s">
        <v>270</v>
      </c>
      <c r="G43" s="11" t="s">
        <v>114</v>
      </c>
      <c r="H43" s="1"/>
      <c r="I43" s="49"/>
      <c r="J43" s="51"/>
      <c r="K43" s="40"/>
      <c r="L43" s="40"/>
      <c r="M43" s="38">
        <f t="shared" si="1"/>
        <v>0</v>
      </c>
      <c r="N43" s="41"/>
      <c r="O43" s="31"/>
      <c r="P43" s="31"/>
      <c r="Q43" s="12">
        <f t="shared" si="2"/>
        <v>0</v>
      </c>
    </row>
    <row r="44" spans="1:17" s="13" customFormat="1" ht="15.75" x14ac:dyDescent="0.25">
      <c r="A44" s="10"/>
      <c r="B44" s="27" t="s">
        <v>148</v>
      </c>
      <c r="C44" s="1" t="s">
        <v>17</v>
      </c>
      <c r="D44" s="120"/>
      <c r="E44" s="3" t="s">
        <v>20</v>
      </c>
      <c r="F44" s="73" t="s">
        <v>340</v>
      </c>
      <c r="G44" s="74" t="s">
        <v>112</v>
      </c>
      <c r="H44" s="75">
        <v>2</v>
      </c>
      <c r="I44" s="82"/>
      <c r="J44" s="96"/>
      <c r="K44" s="77"/>
      <c r="L44" s="77"/>
      <c r="M44" s="78">
        <f t="shared" si="1"/>
        <v>0</v>
      </c>
      <c r="N44" s="100">
        <f>6</f>
        <v>6</v>
      </c>
      <c r="O44" s="81">
        <f>9370.6</f>
        <v>9370.6</v>
      </c>
      <c r="P44" s="81"/>
      <c r="Q44" s="79">
        <f t="shared" si="2"/>
        <v>9370.6</v>
      </c>
    </row>
    <row r="45" spans="1:17" s="13" customFormat="1" ht="15.75" x14ac:dyDescent="0.25">
      <c r="A45" s="10"/>
      <c r="B45" s="25" t="s">
        <v>148</v>
      </c>
      <c r="C45" s="1" t="s">
        <v>17</v>
      </c>
      <c r="D45" s="120"/>
      <c r="E45" s="17" t="s">
        <v>32</v>
      </c>
      <c r="F45" s="73" t="s">
        <v>425</v>
      </c>
      <c r="G45" s="11" t="s">
        <v>117</v>
      </c>
      <c r="H45" s="1"/>
      <c r="I45" s="49"/>
      <c r="J45" s="46"/>
      <c r="K45" s="40"/>
      <c r="L45" s="40"/>
      <c r="M45" s="38">
        <f t="shared" si="1"/>
        <v>0</v>
      </c>
      <c r="N45" s="41">
        <v>2</v>
      </c>
      <c r="O45" s="31"/>
      <c r="P45" s="31"/>
      <c r="Q45" s="12">
        <f t="shared" si="2"/>
        <v>0</v>
      </c>
    </row>
    <row r="46" spans="1:17" s="13" customFormat="1" ht="15.75" x14ac:dyDescent="0.25">
      <c r="A46" s="10"/>
      <c r="B46" s="30" t="s">
        <v>42</v>
      </c>
      <c r="C46" s="1" t="s">
        <v>17</v>
      </c>
      <c r="D46" s="120"/>
      <c r="E46" s="3" t="s">
        <v>23</v>
      </c>
      <c r="F46" s="73" t="s">
        <v>341</v>
      </c>
      <c r="G46" s="74" t="s">
        <v>112</v>
      </c>
      <c r="H46" s="75">
        <v>6</v>
      </c>
      <c r="I46" s="76"/>
      <c r="J46" s="96"/>
      <c r="K46" s="77"/>
      <c r="L46" s="77"/>
      <c r="M46" s="78">
        <f t="shared" si="1"/>
        <v>0</v>
      </c>
      <c r="N46" s="100">
        <f>4</f>
        <v>4</v>
      </c>
      <c r="O46" s="81">
        <f>5364.2</f>
        <v>5364.2</v>
      </c>
      <c r="P46" s="81"/>
      <c r="Q46" s="79">
        <f t="shared" si="2"/>
        <v>5364.2</v>
      </c>
    </row>
    <row r="47" spans="1:17" s="13" customFormat="1" ht="15.75" x14ac:dyDescent="0.25">
      <c r="A47" s="10"/>
      <c r="B47" s="24" t="s">
        <v>42</v>
      </c>
      <c r="C47" s="1" t="s">
        <v>17</v>
      </c>
      <c r="D47" s="120"/>
      <c r="E47" s="3" t="s">
        <v>23</v>
      </c>
      <c r="F47" s="73" t="s">
        <v>437</v>
      </c>
      <c r="G47" s="11" t="s">
        <v>118</v>
      </c>
      <c r="H47" s="1"/>
      <c r="I47" s="49"/>
      <c r="J47" s="46"/>
      <c r="K47" s="40"/>
      <c r="L47" s="40"/>
      <c r="M47" s="38">
        <f t="shared" si="1"/>
        <v>0</v>
      </c>
      <c r="N47" s="41"/>
      <c r="O47" s="31"/>
      <c r="P47" s="31"/>
      <c r="Q47" s="12">
        <f t="shared" si="2"/>
        <v>0</v>
      </c>
    </row>
    <row r="48" spans="1:17" s="13" customFormat="1" ht="15.75" x14ac:dyDescent="0.25">
      <c r="A48" s="10"/>
      <c r="B48" s="30" t="s">
        <v>173</v>
      </c>
      <c r="C48" s="1" t="s">
        <v>17</v>
      </c>
      <c r="D48" s="120"/>
      <c r="E48" s="11" t="s">
        <v>118</v>
      </c>
      <c r="F48" s="73" t="s">
        <v>342</v>
      </c>
      <c r="G48" s="74" t="s">
        <v>112</v>
      </c>
      <c r="H48" s="75">
        <v>3</v>
      </c>
      <c r="I48" s="76">
        <v>1</v>
      </c>
      <c r="J48" s="96">
        <f>1</f>
        <v>1</v>
      </c>
      <c r="K48" s="77"/>
      <c r="L48" s="77"/>
      <c r="M48" s="78">
        <f t="shared" si="1"/>
        <v>0</v>
      </c>
      <c r="N48" s="100">
        <f>4</f>
        <v>4</v>
      </c>
      <c r="O48" s="81">
        <f>5931.9</f>
        <v>5931.9</v>
      </c>
      <c r="P48" s="81"/>
      <c r="Q48" s="79">
        <f t="shared" si="2"/>
        <v>5931.9</v>
      </c>
    </row>
    <row r="49" spans="1:17" s="13" customFormat="1" ht="15.75" x14ac:dyDescent="0.25">
      <c r="A49" s="10"/>
      <c r="B49" s="62" t="s">
        <v>108</v>
      </c>
      <c r="C49" s="1" t="s">
        <v>17</v>
      </c>
      <c r="D49" s="120"/>
      <c r="E49" s="17" t="s">
        <v>74</v>
      </c>
      <c r="F49" s="73" t="s">
        <v>343</v>
      </c>
      <c r="G49" s="74" t="s">
        <v>112</v>
      </c>
      <c r="H49" s="75"/>
      <c r="I49" s="76"/>
      <c r="J49" s="96"/>
      <c r="K49" s="77"/>
      <c r="L49" s="77"/>
      <c r="M49" s="38">
        <f t="shared" si="1"/>
        <v>0</v>
      </c>
      <c r="N49" s="100"/>
      <c r="O49" s="81"/>
      <c r="P49" s="81"/>
      <c r="Q49" s="12">
        <f t="shared" si="2"/>
        <v>0</v>
      </c>
    </row>
    <row r="50" spans="1:17" s="13" customFormat="1" ht="15.75" x14ac:dyDescent="0.25">
      <c r="A50" s="10"/>
      <c r="B50" s="22" t="s">
        <v>143</v>
      </c>
      <c r="C50" s="1" t="s">
        <v>64</v>
      </c>
      <c r="D50" s="120" t="s">
        <v>444</v>
      </c>
      <c r="E50" s="3" t="s">
        <v>20</v>
      </c>
      <c r="F50" s="73" t="s">
        <v>445</v>
      </c>
      <c r="G50" s="11" t="s">
        <v>114</v>
      </c>
      <c r="H50" s="1">
        <v>4</v>
      </c>
      <c r="I50" s="47"/>
      <c r="J50" s="51"/>
      <c r="K50" s="37"/>
      <c r="L50" s="37"/>
      <c r="M50" s="78">
        <f t="shared" si="1"/>
        <v>0</v>
      </c>
      <c r="N50" s="39">
        <v>8</v>
      </c>
      <c r="O50" s="31">
        <v>13367.1</v>
      </c>
      <c r="P50" s="31"/>
      <c r="Q50" s="79">
        <f t="shared" si="2"/>
        <v>13367.1</v>
      </c>
    </row>
    <row r="51" spans="1:17" s="13" customFormat="1" ht="15.75" x14ac:dyDescent="0.25">
      <c r="A51" s="10"/>
      <c r="B51" s="24" t="s">
        <v>158</v>
      </c>
      <c r="C51" s="1" t="s">
        <v>17</v>
      </c>
      <c r="D51" s="120"/>
      <c r="E51" s="17" t="s">
        <v>32</v>
      </c>
      <c r="F51" s="73" t="s">
        <v>426</v>
      </c>
      <c r="G51" s="11" t="s">
        <v>117</v>
      </c>
      <c r="H51" s="1">
        <v>3</v>
      </c>
      <c r="I51" s="47"/>
      <c r="J51" s="51"/>
      <c r="K51" s="37"/>
      <c r="L51" s="37"/>
      <c r="M51" s="38">
        <f t="shared" si="1"/>
        <v>0</v>
      </c>
      <c r="N51" s="39">
        <f>2</f>
        <v>2</v>
      </c>
      <c r="O51" s="31"/>
      <c r="P51" s="31"/>
      <c r="Q51" s="12">
        <f t="shared" si="2"/>
        <v>0</v>
      </c>
    </row>
    <row r="52" spans="1:17" s="15" customFormat="1" ht="15.75" x14ac:dyDescent="0.25">
      <c r="A52" s="14"/>
      <c r="B52" s="80" t="s">
        <v>43</v>
      </c>
      <c r="C52" s="1" t="s">
        <v>17</v>
      </c>
      <c r="D52" s="120"/>
      <c r="E52" s="3" t="s">
        <v>18</v>
      </c>
      <c r="F52" s="73" t="s">
        <v>344</v>
      </c>
      <c r="G52" s="74" t="s">
        <v>112</v>
      </c>
      <c r="H52" s="75">
        <v>5</v>
      </c>
      <c r="I52" s="76"/>
      <c r="J52" s="96"/>
      <c r="K52" s="77"/>
      <c r="L52" s="77"/>
      <c r="M52" s="78">
        <f t="shared" si="1"/>
        <v>0</v>
      </c>
      <c r="N52" s="100">
        <f>1+5</f>
        <v>6</v>
      </c>
      <c r="O52" s="81">
        <f>1223.8</f>
        <v>1223.8</v>
      </c>
      <c r="P52" s="81"/>
      <c r="Q52" s="79">
        <f t="shared" si="2"/>
        <v>1223.8</v>
      </c>
    </row>
    <row r="53" spans="1:17" s="15" customFormat="1" ht="31.5" x14ac:dyDescent="0.25">
      <c r="A53" s="14"/>
      <c r="B53" s="22" t="s">
        <v>43</v>
      </c>
      <c r="C53" s="1" t="s">
        <v>304</v>
      </c>
      <c r="D53" s="120" t="s">
        <v>473</v>
      </c>
      <c r="E53" s="3" t="s">
        <v>18</v>
      </c>
      <c r="F53" s="119" t="s">
        <v>323</v>
      </c>
      <c r="G53" s="11" t="s">
        <v>113</v>
      </c>
      <c r="H53" s="1">
        <v>1</v>
      </c>
      <c r="I53" s="48"/>
      <c r="J53" s="45">
        <v>3</v>
      </c>
      <c r="K53" s="40">
        <v>3804</v>
      </c>
      <c r="L53" s="40"/>
      <c r="M53" s="38">
        <f t="shared" si="1"/>
        <v>3804</v>
      </c>
      <c r="N53" s="39">
        <v>1</v>
      </c>
      <c r="O53" s="31">
        <v>5575</v>
      </c>
      <c r="P53" s="31"/>
      <c r="Q53" s="12">
        <f t="shared" si="2"/>
        <v>5575</v>
      </c>
    </row>
    <row r="54" spans="1:17" s="13" customFormat="1" ht="15.75" x14ac:dyDescent="0.25">
      <c r="A54" s="10"/>
      <c r="B54" s="30" t="s">
        <v>44</v>
      </c>
      <c r="C54" s="1" t="s">
        <v>17</v>
      </c>
      <c r="D54" s="120"/>
      <c r="E54" s="3" t="s">
        <v>20</v>
      </c>
      <c r="F54" s="73" t="s">
        <v>345</v>
      </c>
      <c r="G54" s="74" t="s">
        <v>112</v>
      </c>
      <c r="H54" s="75">
        <v>4</v>
      </c>
      <c r="I54" s="76">
        <v>1</v>
      </c>
      <c r="J54" s="96">
        <f>1</f>
        <v>1</v>
      </c>
      <c r="K54" s="77"/>
      <c r="L54" s="77"/>
      <c r="M54" s="78">
        <f t="shared" si="1"/>
        <v>0</v>
      </c>
      <c r="N54" s="100"/>
      <c r="O54" s="81"/>
      <c r="P54" s="81"/>
      <c r="Q54" s="79">
        <f t="shared" si="2"/>
        <v>0</v>
      </c>
    </row>
    <row r="55" spans="1:17" s="13" customFormat="1" ht="15.75" x14ac:dyDescent="0.25">
      <c r="A55" s="10"/>
      <c r="B55" s="24" t="s">
        <v>44</v>
      </c>
      <c r="C55" s="1" t="s">
        <v>17</v>
      </c>
      <c r="D55" s="120"/>
      <c r="E55" s="3" t="s">
        <v>20</v>
      </c>
      <c r="F55" s="73" t="s">
        <v>271</v>
      </c>
      <c r="G55" s="11" t="s">
        <v>114</v>
      </c>
      <c r="H55" s="1"/>
      <c r="I55" s="49"/>
      <c r="J55" s="51"/>
      <c r="K55" s="40"/>
      <c r="L55" s="40"/>
      <c r="M55" s="78">
        <f t="shared" si="1"/>
        <v>0</v>
      </c>
      <c r="N55" s="41"/>
      <c r="O55" s="31"/>
      <c r="P55" s="31"/>
      <c r="Q55" s="12">
        <f t="shared" si="2"/>
        <v>0</v>
      </c>
    </row>
    <row r="56" spans="1:17" s="13" customFormat="1" ht="15.75" x14ac:dyDescent="0.25">
      <c r="A56" s="10"/>
      <c r="B56" s="27" t="s">
        <v>45</v>
      </c>
      <c r="C56" s="1" t="s">
        <v>17</v>
      </c>
      <c r="D56" s="120"/>
      <c r="E56" s="3" t="s">
        <v>20</v>
      </c>
      <c r="F56" s="73" t="s">
        <v>346</v>
      </c>
      <c r="G56" s="74" t="s">
        <v>112</v>
      </c>
      <c r="H56" s="75"/>
      <c r="I56" s="76"/>
      <c r="J56" s="96"/>
      <c r="K56" s="77"/>
      <c r="L56" s="77"/>
      <c r="M56" s="38">
        <f t="shared" si="1"/>
        <v>0</v>
      </c>
      <c r="N56" s="100"/>
      <c r="O56" s="81"/>
      <c r="P56" s="81"/>
      <c r="Q56" s="79">
        <f t="shared" si="2"/>
        <v>0</v>
      </c>
    </row>
    <row r="57" spans="1:17" s="13" customFormat="1" ht="15.75" x14ac:dyDescent="0.25">
      <c r="A57" s="10"/>
      <c r="B57" s="25" t="s">
        <v>45</v>
      </c>
      <c r="C57" s="1" t="s">
        <v>17</v>
      </c>
      <c r="D57" s="120"/>
      <c r="E57" s="3" t="s">
        <v>20</v>
      </c>
      <c r="F57" s="73" t="s">
        <v>449</v>
      </c>
      <c r="G57" s="11" t="s">
        <v>114</v>
      </c>
      <c r="H57" s="1"/>
      <c r="I57" s="49"/>
      <c r="J57" s="51"/>
      <c r="K57" s="40"/>
      <c r="L57" s="40"/>
      <c r="M57" s="78">
        <f t="shared" si="1"/>
        <v>0</v>
      </c>
      <c r="N57" s="41"/>
      <c r="O57" s="31"/>
      <c r="P57" s="31"/>
      <c r="Q57" s="12">
        <f t="shared" si="2"/>
        <v>0</v>
      </c>
    </row>
    <row r="58" spans="1:17" s="15" customFormat="1" ht="15.75" x14ac:dyDescent="0.25">
      <c r="A58" s="14"/>
      <c r="B58" s="28" t="s">
        <v>46</v>
      </c>
      <c r="C58" s="1" t="s">
        <v>17</v>
      </c>
      <c r="D58" s="120"/>
      <c r="E58" s="3" t="s">
        <v>20</v>
      </c>
      <c r="F58" s="73" t="s">
        <v>347</v>
      </c>
      <c r="G58" s="74" t="s">
        <v>112</v>
      </c>
      <c r="H58" s="75">
        <v>2</v>
      </c>
      <c r="I58" s="76">
        <v>1</v>
      </c>
      <c r="J58" s="96">
        <f>1</f>
        <v>1</v>
      </c>
      <c r="K58" s="77"/>
      <c r="L58" s="77"/>
      <c r="M58" s="38">
        <f t="shared" si="1"/>
        <v>0</v>
      </c>
      <c r="N58" s="100">
        <f>4</f>
        <v>4</v>
      </c>
      <c r="O58" s="81"/>
      <c r="P58" s="81"/>
      <c r="Q58" s="79">
        <f t="shared" si="2"/>
        <v>0</v>
      </c>
    </row>
    <row r="59" spans="1:17" s="15" customFormat="1" ht="15.75" x14ac:dyDescent="0.25">
      <c r="A59" s="14"/>
      <c r="B59" s="26" t="s">
        <v>46</v>
      </c>
      <c r="C59" s="1" t="s">
        <v>17</v>
      </c>
      <c r="D59" s="120"/>
      <c r="E59" s="3" t="s">
        <v>20</v>
      </c>
      <c r="F59" s="73" t="s">
        <v>273</v>
      </c>
      <c r="G59" s="11" t="s">
        <v>114</v>
      </c>
      <c r="H59" s="1">
        <v>1</v>
      </c>
      <c r="I59" s="49"/>
      <c r="J59" s="51"/>
      <c r="K59" s="40"/>
      <c r="L59" s="40"/>
      <c r="M59" s="78">
        <f t="shared" si="1"/>
        <v>0</v>
      </c>
      <c r="N59" s="42"/>
      <c r="O59" s="31"/>
      <c r="P59" s="31"/>
      <c r="Q59" s="12">
        <f t="shared" si="2"/>
        <v>0</v>
      </c>
    </row>
    <row r="60" spans="1:17" s="13" customFormat="1" ht="63" x14ac:dyDescent="0.25">
      <c r="A60" s="10"/>
      <c r="B60" s="30" t="s">
        <v>47</v>
      </c>
      <c r="C60" s="1" t="s">
        <v>304</v>
      </c>
      <c r="D60" s="120" t="s">
        <v>384</v>
      </c>
      <c r="E60" s="3" t="s">
        <v>18</v>
      </c>
      <c r="F60" s="73" t="s">
        <v>348</v>
      </c>
      <c r="G60" s="74" t="s">
        <v>112</v>
      </c>
      <c r="H60" s="75">
        <v>5</v>
      </c>
      <c r="I60" s="76"/>
      <c r="J60" s="96"/>
      <c r="K60" s="77"/>
      <c r="L60" s="77"/>
      <c r="M60" s="38">
        <f t="shared" si="1"/>
        <v>0</v>
      </c>
      <c r="N60" s="100">
        <f>7+3+4</f>
        <v>14</v>
      </c>
      <c r="O60" s="81">
        <f>8477.51</f>
        <v>8477.51</v>
      </c>
      <c r="P60" s="81"/>
      <c r="Q60" s="79">
        <f t="shared" si="2"/>
        <v>8477.51</v>
      </c>
    </row>
    <row r="61" spans="1:17" s="13" customFormat="1" ht="47.25" x14ac:dyDescent="0.25">
      <c r="A61" s="10"/>
      <c r="B61" s="22" t="s">
        <v>120</v>
      </c>
      <c r="C61" s="1" t="s">
        <v>304</v>
      </c>
      <c r="D61" s="120" t="s">
        <v>474</v>
      </c>
      <c r="E61" s="3" t="s">
        <v>18</v>
      </c>
      <c r="F61" s="119" t="s">
        <v>334</v>
      </c>
      <c r="G61" s="11" t="s">
        <v>116</v>
      </c>
      <c r="H61" s="1">
        <v>6</v>
      </c>
      <c r="I61" s="49"/>
      <c r="J61" s="46">
        <v>1</v>
      </c>
      <c r="K61" s="40">
        <v>1268</v>
      </c>
      <c r="L61" s="40"/>
      <c r="M61" s="78">
        <f t="shared" si="1"/>
        <v>1268</v>
      </c>
      <c r="N61" s="41"/>
      <c r="O61" s="31">
        <v>26068</v>
      </c>
      <c r="P61" s="31"/>
      <c r="Q61" s="12">
        <f t="shared" si="2"/>
        <v>26068</v>
      </c>
    </row>
    <row r="62" spans="1:17" s="13" customFormat="1" ht="15.75" x14ac:dyDescent="0.25">
      <c r="A62" s="10"/>
      <c r="B62" s="30" t="s">
        <v>134</v>
      </c>
      <c r="C62" s="1" t="s">
        <v>17</v>
      </c>
      <c r="D62" s="120"/>
      <c r="E62" s="3" t="s">
        <v>20</v>
      </c>
      <c r="F62" s="73" t="s">
        <v>349</v>
      </c>
      <c r="G62" s="74" t="s">
        <v>112</v>
      </c>
      <c r="H62" s="75">
        <v>2</v>
      </c>
      <c r="I62" s="76"/>
      <c r="J62" s="96"/>
      <c r="K62" s="77"/>
      <c r="L62" s="77"/>
      <c r="M62" s="38">
        <f t="shared" si="1"/>
        <v>0</v>
      </c>
      <c r="N62" s="100"/>
      <c r="O62" s="81"/>
      <c r="P62" s="81"/>
      <c r="Q62" s="79">
        <f t="shared" si="2"/>
        <v>0</v>
      </c>
    </row>
    <row r="63" spans="1:17" s="13" customFormat="1" ht="15.75" x14ac:dyDescent="0.25">
      <c r="A63" s="10"/>
      <c r="B63" s="24" t="s">
        <v>134</v>
      </c>
      <c r="C63" s="1" t="s">
        <v>17</v>
      </c>
      <c r="D63" s="120"/>
      <c r="E63" s="3" t="s">
        <v>20</v>
      </c>
      <c r="F63" s="73" t="s">
        <v>456</v>
      </c>
      <c r="G63" s="11" t="s">
        <v>114</v>
      </c>
      <c r="H63" s="1">
        <v>3</v>
      </c>
      <c r="I63" s="49"/>
      <c r="J63" s="51"/>
      <c r="K63" s="40"/>
      <c r="L63" s="40"/>
      <c r="M63" s="78">
        <f t="shared" si="1"/>
        <v>0</v>
      </c>
      <c r="N63" s="41"/>
      <c r="O63" s="31"/>
      <c r="P63" s="31"/>
      <c r="Q63" s="12">
        <f t="shared" si="2"/>
        <v>0</v>
      </c>
    </row>
    <row r="64" spans="1:17" s="13" customFormat="1" ht="15.75" x14ac:dyDescent="0.25">
      <c r="A64" s="10"/>
      <c r="B64" s="62" t="s">
        <v>48</v>
      </c>
      <c r="C64" s="1" t="s">
        <v>17</v>
      </c>
      <c r="D64" s="120"/>
      <c r="E64" s="3" t="s">
        <v>20</v>
      </c>
      <c r="F64" s="73" t="s">
        <v>350</v>
      </c>
      <c r="G64" s="74" t="s">
        <v>112</v>
      </c>
      <c r="H64" s="75">
        <v>3</v>
      </c>
      <c r="I64" s="76">
        <v>1</v>
      </c>
      <c r="J64" s="96">
        <f>1</f>
        <v>1</v>
      </c>
      <c r="K64" s="77"/>
      <c r="L64" s="77"/>
      <c r="M64" s="38">
        <f t="shared" si="1"/>
        <v>0</v>
      </c>
      <c r="N64" s="100">
        <f>2+1</f>
        <v>3</v>
      </c>
      <c r="O64" s="81"/>
      <c r="P64" s="81"/>
      <c r="Q64" s="79">
        <f t="shared" si="2"/>
        <v>0</v>
      </c>
    </row>
    <row r="65" spans="1:17" s="13" customFormat="1" ht="15.75" x14ac:dyDescent="0.25">
      <c r="A65" s="10"/>
      <c r="B65" s="62" t="s">
        <v>49</v>
      </c>
      <c r="C65" s="1" t="s">
        <v>17</v>
      </c>
      <c r="D65" s="120"/>
      <c r="E65" s="3" t="s">
        <v>50</v>
      </c>
      <c r="F65" s="73" t="s">
        <v>351</v>
      </c>
      <c r="G65" s="74" t="s">
        <v>112</v>
      </c>
      <c r="H65" s="75">
        <v>3</v>
      </c>
      <c r="I65" s="76"/>
      <c r="J65" s="96"/>
      <c r="K65" s="77"/>
      <c r="L65" s="77"/>
      <c r="M65" s="78">
        <f t="shared" si="1"/>
        <v>0</v>
      </c>
      <c r="N65" s="100">
        <f>5</f>
        <v>5</v>
      </c>
      <c r="O65" s="81">
        <f>7374</f>
        <v>7374</v>
      </c>
      <c r="P65" s="81"/>
      <c r="Q65" s="12">
        <f t="shared" si="2"/>
        <v>7374</v>
      </c>
    </row>
    <row r="66" spans="1:17" s="13" customFormat="1" ht="15.75" x14ac:dyDescent="0.25">
      <c r="A66" s="10"/>
      <c r="B66" s="22" t="s">
        <v>49</v>
      </c>
      <c r="C66" s="1" t="s">
        <v>17</v>
      </c>
      <c r="D66" s="120"/>
      <c r="E66" s="3" t="s">
        <v>50</v>
      </c>
      <c r="F66" s="73" t="s">
        <v>427</v>
      </c>
      <c r="G66" s="11" t="s">
        <v>115</v>
      </c>
      <c r="H66" s="1">
        <v>1</v>
      </c>
      <c r="I66" s="49"/>
      <c r="J66" s="46"/>
      <c r="K66" s="40"/>
      <c r="L66" s="40"/>
      <c r="M66" s="38">
        <f t="shared" si="1"/>
        <v>0</v>
      </c>
      <c r="N66" s="41">
        <f>6</f>
        <v>6</v>
      </c>
      <c r="O66" s="31"/>
      <c r="P66" s="31"/>
      <c r="Q66" s="79">
        <f t="shared" si="2"/>
        <v>0</v>
      </c>
    </row>
    <row r="67" spans="1:17" s="13" customFormat="1" ht="15.75" x14ac:dyDescent="0.25">
      <c r="A67" s="10"/>
      <c r="B67" s="27" t="s">
        <v>51</v>
      </c>
      <c r="C67" s="1" t="s">
        <v>17</v>
      </c>
      <c r="D67" s="120"/>
      <c r="E67" s="3" t="s">
        <v>20</v>
      </c>
      <c r="F67" s="73" t="s">
        <v>186</v>
      </c>
      <c r="G67" s="74" t="s">
        <v>112</v>
      </c>
      <c r="H67" s="75"/>
      <c r="I67" s="76"/>
      <c r="J67" s="96"/>
      <c r="K67" s="77"/>
      <c r="L67" s="77"/>
      <c r="M67" s="78">
        <f t="shared" si="1"/>
        <v>0</v>
      </c>
      <c r="N67" s="100">
        <f>1</f>
        <v>1</v>
      </c>
      <c r="O67" s="81"/>
      <c r="P67" s="81"/>
      <c r="Q67" s="12">
        <f t="shared" si="2"/>
        <v>0</v>
      </c>
    </row>
    <row r="68" spans="1:17" s="13" customFormat="1" ht="15.75" x14ac:dyDescent="0.25">
      <c r="A68" s="10"/>
      <c r="B68" s="27" t="s">
        <v>51</v>
      </c>
      <c r="C68" s="1" t="s">
        <v>17</v>
      </c>
      <c r="D68" s="120"/>
      <c r="E68" s="3" t="s">
        <v>20</v>
      </c>
      <c r="F68" s="73" t="s">
        <v>276</v>
      </c>
      <c r="G68" s="11" t="s">
        <v>114</v>
      </c>
      <c r="H68" s="1"/>
      <c r="I68" s="49"/>
      <c r="J68" s="51"/>
      <c r="K68" s="40"/>
      <c r="L68" s="40"/>
      <c r="M68" s="38">
        <f t="shared" si="1"/>
        <v>0</v>
      </c>
      <c r="N68" s="41"/>
      <c r="O68" s="31"/>
      <c r="P68" s="31"/>
      <c r="Q68" s="79">
        <f t="shared" si="2"/>
        <v>0</v>
      </c>
    </row>
    <row r="69" spans="1:17" s="13" customFormat="1" ht="15.75" x14ac:dyDescent="0.25">
      <c r="A69" s="10"/>
      <c r="B69" s="62" t="s">
        <v>52</v>
      </c>
      <c r="C69" s="1" t="s">
        <v>17</v>
      </c>
      <c r="D69" s="120"/>
      <c r="E69" s="3" t="s">
        <v>20</v>
      </c>
      <c r="F69" s="73" t="s">
        <v>352</v>
      </c>
      <c r="G69" s="74" t="s">
        <v>112</v>
      </c>
      <c r="H69" s="75">
        <v>2</v>
      </c>
      <c r="I69" s="76"/>
      <c r="J69" s="96"/>
      <c r="K69" s="77"/>
      <c r="L69" s="77"/>
      <c r="M69" s="78">
        <f t="shared" si="1"/>
        <v>0</v>
      </c>
      <c r="N69" s="100">
        <f>4+3</f>
        <v>7</v>
      </c>
      <c r="O69" s="81">
        <f>48296.91</f>
        <v>48296.91</v>
      </c>
      <c r="P69" s="81"/>
      <c r="Q69" s="12">
        <f t="shared" si="2"/>
        <v>48296.91</v>
      </c>
    </row>
    <row r="70" spans="1:17" s="13" customFormat="1" ht="15.75" x14ac:dyDescent="0.25">
      <c r="A70" s="10"/>
      <c r="B70" s="22" t="s">
        <v>52</v>
      </c>
      <c r="C70" s="1" t="s">
        <v>17</v>
      </c>
      <c r="D70" s="120"/>
      <c r="E70" s="3" t="s">
        <v>20</v>
      </c>
      <c r="F70" s="73" t="s">
        <v>457</v>
      </c>
      <c r="G70" s="11" t="s">
        <v>114</v>
      </c>
      <c r="H70" s="1">
        <v>2</v>
      </c>
      <c r="I70" s="49"/>
      <c r="J70" s="51"/>
      <c r="K70" s="40"/>
      <c r="L70" s="40"/>
      <c r="M70" s="38">
        <f t="shared" si="1"/>
        <v>0</v>
      </c>
      <c r="N70" s="41"/>
      <c r="O70" s="31"/>
      <c r="P70" s="31"/>
      <c r="Q70" s="79">
        <f t="shared" si="2"/>
        <v>0</v>
      </c>
    </row>
    <row r="71" spans="1:17" s="13" customFormat="1" ht="15.75" x14ac:dyDescent="0.25">
      <c r="A71" s="10"/>
      <c r="B71" s="27" t="s">
        <v>53</v>
      </c>
      <c r="C71" s="1" t="s">
        <v>17</v>
      </c>
      <c r="D71" s="120"/>
      <c r="E71" s="3" t="s">
        <v>20</v>
      </c>
      <c r="F71" s="73" t="s">
        <v>353</v>
      </c>
      <c r="G71" s="74" t="s">
        <v>112</v>
      </c>
      <c r="H71" s="75"/>
      <c r="I71" s="76"/>
      <c r="J71" s="96"/>
      <c r="K71" s="77"/>
      <c r="L71" s="77"/>
      <c r="M71" s="78">
        <f>K71-L71</f>
        <v>0</v>
      </c>
      <c r="N71" s="100">
        <f>1+2</f>
        <v>3</v>
      </c>
      <c r="O71" s="81">
        <f>422.62</f>
        <v>422.62</v>
      </c>
      <c r="P71" s="81">
        <f>422.62</f>
        <v>422.62</v>
      </c>
      <c r="Q71" s="12">
        <f t="shared" si="2"/>
        <v>0</v>
      </c>
    </row>
    <row r="72" spans="1:17" s="13" customFormat="1" ht="15.75" x14ac:dyDescent="0.25">
      <c r="A72" s="10"/>
      <c r="B72" s="27" t="s">
        <v>149</v>
      </c>
      <c r="C72" s="1" t="s">
        <v>17</v>
      </c>
      <c r="D72" s="120"/>
      <c r="E72" s="3" t="s">
        <v>383</v>
      </c>
      <c r="F72" s="73" t="s">
        <v>354</v>
      </c>
      <c r="G72" s="74" t="s">
        <v>112</v>
      </c>
      <c r="H72" s="75">
        <v>2</v>
      </c>
      <c r="I72" s="76"/>
      <c r="J72" s="96"/>
      <c r="K72" s="77"/>
      <c r="L72" s="77"/>
      <c r="M72" s="38">
        <f t="shared" si="1"/>
        <v>0</v>
      </c>
      <c r="N72" s="100"/>
      <c r="O72" s="81"/>
      <c r="P72" s="81"/>
      <c r="Q72" s="79">
        <f t="shared" si="2"/>
        <v>0</v>
      </c>
    </row>
    <row r="73" spans="1:17" s="13" customFormat="1" ht="15.75" x14ac:dyDescent="0.25">
      <c r="A73" s="10"/>
      <c r="B73" s="25" t="s">
        <v>149</v>
      </c>
      <c r="C73" s="1" t="s">
        <v>17</v>
      </c>
      <c r="D73" s="120"/>
      <c r="E73" s="3" t="s">
        <v>383</v>
      </c>
      <c r="F73" s="73" t="s">
        <v>438</v>
      </c>
      <c r="G73" s="11" t="s">
        <v>118</v>
      </c>
      <c r="H73" s="1">
        <v>2</v>
      </c>
      <c r="I73" s="47"/>
      <c r="J73" s="51"/>
      <c r="K73" s="37"/>
      <c r="L73" s="37"/>
      <c r="M73" s="78">
        <f t="shared" si="1"/>
        <v>0</v>
      </c>
      <c r="N73" s="39">
        <v>1</v>
      </c>
      <c r="O73" s="31"/>
      <c r="P73" s="31"/>
      <c r="Q73" s="12">
        <f t="shared" si="2"/>
        <v>0</v>
      </c>
    </row>
    <row r="74" spans="1:17" s="13" customFormat="1" ht="15.75" x14ac:dyDescent="0.25">
      <c r="A74" s="10"/>
      <c r="B74" s="62" t="s">
        <v>107</v>
      </c>
      <c r="C74" s="1" t="s">
        <v>17</v>
      </c>
      <c r="D74" s="120"/>
      <c r="E74" s="17" t="s">
        <v>20</v>
      </c>
      <c r="F74" s="73" t="s">
        <v>355</v>
      </c>
      <c r="G74" s="74" t="s">
        <v>112</v>
      </c>
      <c r="H74" s="75">
        <v>3</v>
      </c>
      <c r="I74" s="76"/>
      <c r="J74" s="96">
        <f>1</f>
        <v>1</v>
      </c>
      <c r="K74" s="77"/>
      <c r="L74" s="77"/>
      <c r="M74" s="38">
        <f t="shared" si="1"/>
        <v>0</v>
      </c>
      <c r="N74" s="100">
        <f>2+6</f>
        <v>8</v>
      </c>
      <c r="O74" s="81">
        <f>7612.92</f>
        <v>7612.92</v>
      </c>
      <c r="P74" s="81"/>
      <c r="Q74" s="79">
        <f t="shared" si="2"/>
        <v>7612.92</v>
      </c>
    </row>
    <row r="75" spans="1:17" s="13" customFormat="1" ht="15.75" x14ac:dyDescent="0.25">
      <c r="A75" s="10"/>
      <c r="B75" s="30" t="s">
        <v>54</v>
      </c>
      <c r="C75" s="1" t="s">
        <v>17</v>
      </c>
      <c r="D75" s="120"/>
      <c r="E75" s="17" t="s">
        <v>20</v>
      </c>
      <c r="F75" s="73" t="s">
        <v>356</v>
      </c>
      <c r="G75" s="74" t="s">
        <v>112</v>
      </c>
      <c r="H75" s="75"/>
      <c r="I75" s="76"/>
      <c r="J75" s="96"/>
      <c r="K75" s="77"/>
      <c r="L75" s="77"/>
      <c r="M75" s="38">
        <f t="shared" si="1"/>
        <v>0</v>
      </c>
      <c r="N75" s="100"/>
      <c r="O75" s="81"/>
      <c r="P75" s="81"/>
      <c r="Q75" s="79">
        <f t="shared" si="2"/>
        <v>0</v>
      </c>
    </row>
    <row r="76" spans="1:17" s="13" customFormat="1" ht="31.5" x14ac:dyDescent="0.25">
      <c r="A76" s="10"/>
      <c r="B76" s="27" t="s">
        <v>55</v>
      </c>
      <c r="C76" s="1" t="s">
        <v>304</v>
      </c>
      <c r="D76" s="120" t="s">
        <v>387</v>
      </c>
      <c r="E76" s="3" t="s">
        <v>20</v>
      </c>
      <c r="F76" s="73" t="s">
        <v>357</v>
      </c>
      <c r="G76" s="74" t="s">
        <v>112</v>
      </c>
      <c r="H76" s="75">
        <v>3</v>
      </c>
      <c r="I76" s="76"/>
      <c r="J76" s="96"/>
      <c r="K76" s="77"/>
      <c r="L76" s="77"/>
      <c r="M76" s="78">
        <f t="shared" si="1"/>
        <v>0</v>
      </c>
      <c r="N76" s="100">
        <f>2+1</f>
        <v>3</v>
      </c>
      <c r="O76" s="81">
        <f>34854.19</f>
        <v>34854.19</v>
      </c>
      <c r="P76" s="81">
        <f>34854.19</f>
        <v>34854.19</v>
      </c>
      <c r="Q76" s="12">
        <f t="shared" ref="Q76:Q142" si="3">O76-P76</f>
        <v>0</v>
      </c>
    </row>
    <row r="77" spans="1:17" s="13" customFormat="1" ht="31.5" x14ac:dyDescent="0.25">
      <c r="A77" s="10"/>
      <c r="B77" s="62" t="s">
        <v>56</v>
      </c>
      <c r="C77" s="1" t="s">
        <v>17</v>
      </c>
      <c r="D77" s="120" t="s">
        <v>386</v>
      </c>
      <c r="E77" s="3" t="s">
        <v>18</v>
      </c>
      <c r="F77" s="73" t="s">
        <v>358</v>
      </c>
      <c r="G77" s="74" t="s">
        <v>112</v>
      </c>
      <c r="H77" s="75">
        <v>2</v>
      </c>
      <c r="I77" s="76"/>
      <c r="J77" s="96"/>
      <c r="K77" s="77"/>
      <c r="L77" s="77"/>
      <c r="M77" s="38">
        <f t="shared" si="1"/>
        <v>0</v>
      </c>
      <c r="N77" s="100"/>
      <c r="O77" s="81"/>
      <c r="P77" s="81"/>
      <c r="Q77" s="79">
        <f t="shared" si="3"/>
        <v>0</v>
      </c>
    </row>
    <row r="78" spans="1:17" s="13" customFormat="1" ht="31.5" x14ac:dyDescent="0.25">
      <c r="A78" s="10"/>
      <c r="B78" s="22" t="s">
        <v>56</v>
      </c>
      <c r="C78" s="1" t="s">
        <v>304</v>
      </c>
      <c r="D78" s="120" t="s">
        <v>386</v>
      </c>
      <c r="E78" s="3" t="s">
        <v>18</v>
      </c>
      <c r="F78" s="121" t="s">
        <v>476</v>
      </c>
      <c r="G78" s="11" t="s">
        <v>113</v>
      </c>
      <c r="H78" s="1">
        <v>1</v>
      </c>
      <c r="I78" s="49"/>
      <c r="J78" s="46"/>
      <c r="K78" s="40"/>
      <c r="L78" s="40"/>
      <c r="M78" s="78">
        <f t="shared" si="1"/>
        <v>0</v>
      </c>
      <c r="N78" s="41"/>
      <c r="O78" s="31">
        <v>7612</v>
      </c>
      <c r="P78" s="31"/>
      <c r="Q78" s="12">
        <f t="shared" si="3"/>
        <v>7612</v>
      </c>
    </row>
    <row r="79" spans="1:17" s="13" customFormat="1" ht="15.75" x14ac:dyDescent="0.25">
      <c r="A79" s="10"/>
      <c r="B79" s="62" t="s">
        <v>156</v>
      </c>
      <c r="C79" s="1" t="s">
        <v>304</v>
      </c>
      <c r="D79" s="120"/>
      <c r="E79" s="3" t="s">
        <v>20</v>
      </c>
      <c r="F79" s="73" t="s">
        <v>359</v>
      </c>
      <c r="G79" s="74" t="s">
        <v>112</v>
      </c>
      <c r="H79" s="75">
        <v>1</v>
      </c>
      <c r="I79" s="76"/>
      <c r="J79" s="96"/>
      <c r="K79" s="77"/>
      <c r="L79" s="77"/>
      <c r="M79" s="38">
        <f t="shared" si="1"/>
        <v>0</v>
      </c>
      <c r="N79" s="100">
        <f>3</f>
        <v>3</v>
      </c>
      <c r="O79" s="81"/>
      <c r="P79" s="81"/>
      <c r="Q79" s="79">
        <f t="shared" si="3"/>
        <v>0</v>
      </c>
    </row>
    <row r="80" spans="1:17" s="15" customFormat="1" ht="15.75" x14ac:dyDescent="0.25">
      <c r="A80" s="14"/>
      <c r="B80" s="80" t="s">
        <v>57</v>
      </c>
      <c r="C80" s="1" t="s">
        <v>17</v>
      </c>
      <c r="D80" s="120"/>
      <c r="E80" s="3" t="s">
        <v>20</v>
      </c>
      <c r="F80" s="73" t="s">
        <v>360</v>
      </c>
      <c r="G80" s="74" t="s">
        <v>112</v>
      </c>
      <c r="H80" s="75">
        <v>1</v>
      </c>
      <c r="I80" s="76"/>
      <c r="J80" s="96"/>
      <c r="K80" s="77"/>
      <c r="L80" s="77"/>
      <c r="M80" s="78">
        <f t="shared" si="1"/>
        <v>0</v>
      </c>
      <c r="N80" s="100"/>
      <c r="O80" s="81"/>
      <c r="P80" s="81"/>
      <c r="Q80" s="12">
        <f t="shared" si="3"/>
        <v>0</v>
      </c>
    </row>
    <row r="81" spans="1:17" s="15" customFormat="1" ht="15.75" x14ac:dyDescent="0.25">
      <c r="A81" s="14"/>
      <c r="B81" s="23" t="s">
        <v>57</v>
      </c>
      <c r="C81" s="1" t="s">
        <v>17</v>
      </c>
      <c r="D81" s="120"/>
      <c r="E81" s="3" t="s">
        <v>20</v>
      </c>
      <c r="F81" s="73" t="s">
        <v>458</v>
      </c>
      <c r="G81" s="11" t="s">
        <v>114</v>
      </c>
      <c r="H81" s="1">
        <v>6</v>
      </c>
      <c r="I81" s="49"/>
      <c r="J81" s="51"/>
      <c r="K81" s="40"/>
      <c r="L81" s="40"/>
      <c r="M81" s="38">
        <f t="shared" si="1"/>
        <v>0</v>
      </c>
      <c r="N81" s="42"/>
      <c r="O81" s="31"/>
      <c r="P81" s="31"/>
      <c r="Q81" s="79">
        <f t="shared" si="3"/>
        <v>0</v>
      </c>
    </row>
    <row r="82" spans="1:17" s="13" customFormat="1" ht="15.75" x14ac:dyDescent="0.25">
      <c r="A82" s="10"/>
      <c r="B82" s="62" t="s">
        <v>58</v>
      </c>
      <c r="C82" s="1" t="s">
        <v>17</v>
      </c>
      <c r="D82" s="120"/>
      <c r="E82" s="3" t="s">
        <v>20</v>
      </c>
      <c r="F82" s="73" t="s">
        <v>361</v>
      </c>
      <c r="G82" s="74" t="s">
        <v>112</v>
      </c>
      <c r="H82" s="75">
        <v>1</v>
      </c>
      <c r="I82" s="76"/>
      <c r="J82" s="96"/>
      <c r="K82" s="77"/>
      <c r="L82" s="77"/>
      <c r="M82" s="78">
        <f t="shared" si="1"/>
        <v>0</v>
      </c>
      <c r="N82" s="100">
        <f>1</f>
        <v>1</v>
      </c>
      <c r="O82" s="81">
        <f>9196.24</f>
        <v>9196.24</v>
      </c>
      <c r="P82" s="81"/>
      <c r="Q82" s="12">
        <f t="shared" si="3"/>
        <v>9196.24</v>
      </c>
    </row>
    <row r="83" spans="1:17" s="13" customFormat="1" ht="15.75" x14ac:dyDescent="0.25">
      <c r="A83" s="10"/>
      <c r="B83" s="22" t="s">
        <v>58</v>
      </c>
      <c r="C83" s="1" t="s">
        <v>17</v>
      </c>
      <c r="D83" s="120"/>
      <c r="E83" s="3" t="s">
        <v>20</v>
      </c>
      <c r="F83" s="73" t="s">
        <v>279</v>
      </c>
      <c r="G83" s="11" t="s">
        <v>114</v>
      </c>
      <c r="H83" s="1"/>
      <c r="I83" s="49"/>
      <c r="J83" s="51"/>
      <c r="K83" s="40"/>
      <c r="L83" s="40"/>
      <c r="M83" s="38">
        <f t="shared" ref="M83:M151" si="4">K83-L83</f>
        <v>0</v>
      </c>
      <c r="N83" s="41"/>
      <c r="O83" s="31"/>
      <c r="P83" s="31"/>
      <c r="Q83" s="79">
        <f t="shared" si="3"/>
        <v>0</v>
      </c>
    </row>
    <row r="84" spans="1:17" s="13" customFormat="1" ht="15.75" x14ac:dyDescent="0.25">
      <c r="A84" s="10"/>
      <c r="B84" s="62" t="s">
        <v>59</v>
      </c>
      <c r="C84" s="1" t="s">
        <v>17</v>
      </c>
      <c r="D84" s="120"/>
      <c r="E84" s="3" t="s">
        <v>20</v>
      </c>
      <c r="F84" s="73" t="s">
        <v>362</v>
      </c>
      <c r="G84" s="74" t="s">
        <v>112</v>
      </c>
      <c r="H84" s="75">
        <v>2</v>
      </c>
      <c r="I84" s="76">
        <v>1</v>
      </c>
      <c r="J84" s="96">
        <f>1</f>
        <v>1</v>
      </c>
      <c r="K84" s="77"/>
      <c r="L84" s="77"/>
      <c r="M84" s="78">
        <f t="shared" si="4"/>
        <v>0</v>
      </c>
      <c r="N84" s="100">
        <f>1+2</f>
        <v>3</v>
      </c>
      <c r="O84" s="81"/>
      <c r="P84" s="81"/>
      <c r="Q84" s="12">
        <f t="shared" si="3"/>
        <v>0</v>
      </c>
    </row>
    <row r="85" spans="1:17" s="13" customFormat="1" ht="15.75" x14ac:dyDescent="0.25">
      <c r="A85" s="10"/>
      <c r="B85" s="22" t="s">
        <v>59</v>
      </c>
      <c r="C85" s="1" t="s">
        <v>17</v>
      </c>
      <c r="D85" s="120"/>
      <c r="E85" s="3" t="s">
        <v>20</v>
      </c>
      <c r="F85" s="73" t="s">
        <v>128</v>
      </c>
      <c r="G85" s="11" t="s">
        <v>114</v>
      </c>
      <c r="H85" s="1"/>
      <c r="I85" s="49"/>
      <c r="J85" s="51"/>
      <c r="K85" s="40"/>
      <c r="L85" s="40"/>
      <c r="M85" s="38">
        <f t="shared" si="4"/>
        <v>0</v>
      </c>
      <c r="N85" s="41"/>
      <c r="O85" s="31"/>
      <c r="P85" s="31"/>
      <c r="Q85" s="79">
        <f t="shared" si="3"/>
        <v>0</v>
      </c>
    </row>
    <row r="86" spans="1:17" s="13" customFormat="1" ht="15.75" x14ac:dyDescent="0.25">
      <c r="A86" s="10"/>
      <c r="B86" s="27" t="s">
        <v>60</v>
      </c>
      <c r="C86" s="1" t="s">
        <v>17</v>
      </c>
      <c r="D86" s="120"/>
      <c r="E86" s="3" t="s">
        <v>20</v>
      </c>
      <c r="F86" s="73" t="s">
        <v>364</v>
      </c>
      <c r="G86" s="74" t="s">
        <v>112</v>
      </c>
      <c r="H86" s="75">
        <v>2</v>
      </c>
      <c r="I86" s="76"/>
      <c r="J86" s="96"/>
      <c r="K86" s="77"/>
      <c r="L86" s="77"/>
      <c r="M86" s="78">
        <f t="shared" si="4"/>
        <v>0</v>
      </c>
      <c r="N86" s="100">
        <f>4</f>
        <v>4</v>
      </c>
      <c r="O86" s="81"/>
      <c r="P86" s="81"/>
      <c r="Q86" s="12">
        <f t="shared" si="3"/>
        <v>0</v>
      </c>
    </row>
    <row r="87" spans="1:17" s="13" customFormat="1" ht="15.75" x14ac:dyDescent="0.25">
      <c r="A87" s="10"/>
      <c r="B87" s="25" t="s">
        <v>60</v>
      </c>
      <c r="C87" s="1" t="s">
        <v>17</v>
      </c>
      <c r="D87" s="120"/>
      <c r="E87" s="3" t="s">
        <v>20</v>
      </c>
      <c r="F87" s="73" t="s">
        <v>280</v>
      </c>
      <c r="G87" s="11" t="s">
        <v>114</v>
      </c>
      <c r="H87" s="1">
        <v>1</v>
      </c>
      <c r="I87" s="49"/>
      <c r="J87" s="51"/>
      <c r="K87" s="40"/>
      <c r="L87" s="40"/>
      <c r="M87" s="38">
        <f t="shared" si="4"/>
        <v>0</v>
      </c>
      <c r="N87" s="41"/>
      <c r="O87" s="31"/>
      <c r="P87" s="31"/>
      <c r="Q87" s="79">
        <f t="shared" si="3"/>
        <v>0</v>
      </c>
    </row>
    <row r="88" spans="1:17" s="15" customFormat="1" ht="15.75" x14ac:dyDescent="0.25">
      <c r="A88" s="14"/>
      <c r="B88" s="28" t="s">
        <v>61</v>
      </c>
      <c r="C88" s="1" t="s">
        <v>17</v>
      </c>
      <c r="D88" s="120"/>
      <c r="E88" s="3" t="s">
        <v>20</v>
      </c>
      <c r="F88" s="73" t="s">
        <v>363</v>
      </c>
      <c r="G88" s="74" t="s">
        <v>112</v>
      </c>
      <c r="H88" s="75"/>
      <c r="I88" s="76"/>
      <c r="J88" s="96"/>
      <c r="K88" s="77"/>
      <c r="L88" s="77"/>
      <c r="M88" s="78">
        <f t="shared" si="4"/>
        <v>0</v>
      </c>
      <c r="N88" s="100"/>
      <c r="O88" s="81"/>
      <c r="P88" s="81"/>
      <c r="Q88" s="12">
        <f t="shared" si="3"/>
        <v>0</v>
      </c>
    </row>
    <row r="89" spans="1:17" s="15" customFormat="1" ht="15.75" x14ac:dyDescent="0.25">
      <c r="A89" s="14"/>
      <c r="B89" s="26" t="s">
        <v>61</v>
      </c>
      <c r="C89" s="1" t="s">
        <v>17</v>
      </c>
      <c r="D89" s="120"/>
      <c r="E89" s="3" t="s">
        <v>20</v>
      </c>
      <c r="F89" s="73" t="s">
        <v>121</v>
      </c>
      <c r="G89" s="11" t="s">
        <v>114</v>
      </c>
      <c r="H89" s="1"/>
      <c r="I89" s="49"/>
      <c r="J89" s="51"/>
      <c r="K89" s="40"/>
      <c r="L89" s="40"/>
      <c r="M89" s="38">
        <f t="shared" si="4"/>
        <v>0</v>
      </c>
      <c r="N89" s="42"/>
      <c r="O89" s="31"/>
      <c r="P89" s="31"/>
      <c r="Q89" s="79">
        <f t="shared" si="3"/>
        <v>0</v>
      </c>
    </row>
    <row r="90" spans="1:17" s="15" customFormat="1" ht="15.75" x14ac:dyDescent="0.25">
      <c r="A90" s="14"/>
      <c r="B90" s="20" t="s">
        <v>306</v>
      </c>
      <c r="C90" s="1" t="s">
        <v>17</v>
      </c>
      <c r="D90" s="120"/>
      <c r="E90" s="3" t="s">
        <v>35</v>
      </c>
      <c r="F90" s="73" t="s">
        <v>365</v>
      </c>
      <c r="G90" s="11" t="s">
        <v>112</v>
      </c>
      <c r="H90" s="1">
        <v>6</v>
      </c>
      <c r="I90" s="58">
        <v>1</v>
      </c>
      <c r="J90" s="51">
        <f>1</f>
        <v>1</v>
      </c>
      <c r="K90" s="40"/>
      <c r="L90" s="40"/>
      <c r="M90" s="78">
        <f t="shared" si="4"/>
        <v>0</v>
      </c>
      <c r="N90" s="39">
        <f>7+2</f>
        <v>9</v>
      </c>
      <c r="O90" s="31">
        <f>2313.84</f>
        <v>2313.84</v>
      </c>
      <c r="P90" s="31"/>
      <c r="Q90" s="12">
        <f t="shared" si="3"/>
        <v>2313.84</v>
      </c>
    </row>
    <row r="91" spans="1:17" s="13" customFormat="1" ht="15.75" x14ac:dyDescent="0.25">
      <c r="A91" s="10"/>
      <c r="B91" s="27" t="s">
        <v>62</v>
      </c>
      <c r="C91" s="1" t="s">
        <v>17</v>
      </c>
      <c r="D91" s="120"/>
      <c r="E91" s="3" t="s">
        <v>35</v>
      </c>
      <c r="F91" s="73" t="s">
        <v>366</v>
      </c>
      <c r="G91" s="74" t="s">
        <v>112</v>
      </c>
      <c r="H91" s="75">
        <v>5</v>
      </c>
      <c r="I91" s="76"/>
      <c r="J91" s="96"/>
      <c r="K91" s="77"/>
      <c r="L91" s="77"/>
      <c r="M91" s="38">
        <f t="shared" si="4"/>
        <v>0</v>
      </c>
      <c r="N91" s="100">
        <f>6+2</f>
        <v>8</v>
      </c>
      <c r="O91" s="81"/>
      <c r="P91" s="81"/>
      <c r="Q91" s="79">
        <f t="shared" si="3"/>
        <v>0</v>
      </c>
    </row>
    <row r="92" spans="1:17" s="13" customFormat="1" ht="15.75" x14ac:dyDescent="0.25">
      <c r="A92" s="10"/>
      <c r="B92" s="25" t="s">
        <v>62</v>
      </c>
      <c r="C92" s="1" t="s">
        <v>17</v>
      </c>
      <c r="D92" s="120"/>
      <c r="E92" s="3" t="s">
        <v>35</v>
      </c>
      <c r="F92" s="73" t="s">
        <v>428</v>
      </c>
      <c r="G92" s="11" t="s">
        <v>117</v>
      </c>
      <c r="H92" s="1">
        <v>1</v>
      </c>
      <c r="I92" s="49"/>
      <c r="J92" s="46"/>
      <c r="K92" s="40"/>
      <c r="L92" s="40"/>
      <c r="M92" s="78">
        <f t="shared" si="4"/>
        <v>0</v>
      </c>
      <c r="N92" s="41">
        <f>7</f>
        <v>7</v>
      </c>
      <c r="O92" s="31"/>
      <c r="P92" s="31"/>
      <c r="Q92" s="12">
        <f t="shared" si="3"/>
        <v>0</v>
      </c>
    </row>
    <row r="93" spans="1:17" s="13" customFormat="1" ht="15.75" x14ac:dyDescent="0.25">
      <c r="A93" s="10"/>
      <c r="B93" s="25" t="s">
        <v>63</v>
      </c>
      <c r="C93" s="1" t="s">
        <v>64</v>
      </c>
      <c r="D93" s="120" t="s">
        <v>65</v>
      </c>
      <c r="E93" s="3" t="s">
        <v>20</v>
      </c>
      <c r="F93" s="73" t="s">
        <v>450</v>
      </c>
      <c r="G93" s="11" t="s">
        <v>114</v>
      </c>
      <c r="H93" s="1"/>
      <c r="I93" s="49"/>
      <c r="J93" s="51"/>
      <c r="K93" s="40"/>
      <c r="L93" s="40"/>
      <c r="M93" s="38">
        <f t="shared" si="4"/>
        <v>0</v>
      </c>
      <c r="N93" s="41"/>
      <c r="O93" s="31"/>
      <c r="P93" s="31"/>
      <c r="Q93" s="79">
        <f t="shared" si="3"/>
        <v>0</v>
      </c>
    </row>
    <row r="94" spans="1:17" s="13" customFormat="1" ht="15.75" x14ac:dyDescent="0.25">
      <c r="A94" s="10"/>
      <c r="B94" s="27" t="s">
        <v>155</v>
      </c>
      <c r="C94" s="1" t="s">
        <v>17</v>
      </c>
      <c r="D94" s="120"/>
      <c r="E94" s="3" t="s">
        <v>20</v>
      </c>
      <c r="F94" s="73" t="s">
        <v>367</v>
      </c>
      <c r="G94" s="74" t="s">
        <v>112</v>
      </c>
      <c r="H94" s="75">
        <v>2</v>
      </c>
      <c r="I94" s="82"/>
      <c r="J94" s="96"/>
      <c r="K94" s="77"/>
      <c r="L94" s="77"/>
      <c r="M94" s="78">
        <f t="shared" si="4"/>
        <v>0</v>
      </c>
      <c r="N94" s="100"/>
      <c r="O94" s="81"/>
      <c r="P94" s="81"/>
      <c r="Q94" s="12">
        <f t="shared" si="3"/>
        <v>0</v>
      </c>
    </row>
    <row r="95" spans="1:17" s="13" customFormat="1" ht="15.75" x14ac:dyDescent="0.25">
      <c r="A95" s="10"/>
      <c r="B95" s="25" t="s">
        <v>155</v>
      </c>
      <c r="C95" s="1" t="s">
        <v>17</v>
      </c>
      <c r="D95" s="120"/>
      <c r="E95" s="3" t="s">
        <v>20</v>
      </c>
      <c r="F95" s="73" t="s">
        <v>459</v>
      </c>
      <c r="G95" s="11" t="s">
        <v>114</v>
      </c>
      <c r="H95" s="1">
        <v>3</v>
      </c>
      <c r="I95" s="49"/>
      <c r="J95" s="51"/>
      <c r="K95" s="40"/>
      <c r="L95" s="40"/>
      <c r="M95" s="38">
        <f t="shared" si="4"/>
        <v>0</v>
      </c>
      <c r="N95" s="41"/>
      <c r="O95" s="31"/>
      <c r="P95" s="31"/>
      <c r="Q95" s="79">
        <f t="shared" si="3"/>
        <v>0</v>
      </c>
    </row>
    <row r="96" spans="1:17" s="13" customFormat="1" ht="15.75" x14ac:dyDescent="0.25">
      <c r="A96" s="10"/>
      <c r="B96" s="30" t="s">
        <v>66</v>
      </c>
      <c r="C96" s="1" t="s">
        <v>17</v>
      </c>
      <c r="D96" s="120"/>
      <c r="E96" s="3" t="s">
        <v>21</v>
      </c>
      <c r="F96" s="73" t="s">
        <v>368</v>
      </c>
      <c r="G96" s="74" t="s">
        <v>112</v>
      </c>
      <c r="H96" s="75">
        <v>3</v>
      </c>
      <c r="I96" s="76"/>
      <c r="J96" s="96"/>
      <c r="K96" s="77"/>
      <c r="L96" s="77"/>
      <c r="M96" s="78">
        <f t="shared" si="4"/>
        <v>0</v>
      </c>
      <c r="N96" s="100">
        <f>6</f>
        <v>6</v>
      </c>
      <c r="O96" s="81">
        <f>11911.17</f>
        <v>11911.17</v>
      </c>
      <c r="P96" s="81"/>
      <c r="Q96" s="12">
        <f t="shared" si="3"/>
        <v>11911.17</v>
      </c>
    </row>
    <row r="97" spans="1:19" s="13" customFormat="1" ht="15.75" x14ac:dyDescent="0.25">
      <c r="A97" s="10"/>
      <c r="B97" s="24" t="s">
        <v>66</v>
      </c>
      <c r="C97" s="1" t="s">
        <v>17</v>
      </c>
      <c r="D97" s="120"/>
      <c r="E97" s="3" t="s">
        <v>21</v>
      </c>
      <c r="F97" s="73" t="s">
        <v>439</v>
      </c>
      <c r="G97" s="11" t="s">
        <v>118</v>
      </c>
      <c r="H97" s="1">
        <v>1</v>
      </c>
      <c r="I97" s="49"/>
      <c r="J97" s="46"/>
      <c r="K97" s="40"/>
      <c r="L97" s="40"/>
      <c r="M97" s="38">
        <f t="shared" si="4"/>
        <v>0</v>
      </c>
      <c r="N97" s="41">
        <v>1</v>
      </c>
      <c r="O97" s="31">
        <v>3497.9</v>
      </c>
      <c r="P97" s="31"/>
      <c r="Q97" s="79">
        <f t="shared" si="3"/>
        <v>3497.9</v>
      </c>
    </row>
    <row r="98" spans="1:19" s="13" customFormat="1" ht="15.75" x14ac:dyDescent="0.25">
      <c r="A98" s="10"/>
      <c r="B98" s="62" t="s">
        <v>137</v>
      </c>
      <c r="C98" s="1" t="s">
        <v>17</v>
      </c>
      <c r="D98" s="120"/>
      <c r="E98" s="17" t="s">
        <v>35</v>
      </c>
      <c r="F98" s="73" t="s">
        <v>369</v>
      </c>
      <c r="G98" s="74" t="s">
        <v>112</v>
      </c>
      <c r="H98" s="75">
        <v>2</v>
      </c>
      <c r="I98" s="76"/>
      <c r="J98" s="96"/>
      <c r="K98" s="77"/>
      <c r="L98" s="77"/>
      <c r="M98" s="78">
        <f t="shared" si="4"/>
        <v>0</v>
      </c>
      <c r="N98" s="100">
        <f>5+1</f>
        <v>6</v>
      </c>
      <c r="O98" s="81">
        <f>2617.36</f>
        <v>2617.36</v>
      </c>
      <c r="P98" s="81"/>
      <c r="Q98" s="12">
        <f t="shared" si="3"/>
        <v>2617.36</v>
      </c>
    </row>
    <row r="99" spans="1:19" s="13" customFormat="1" ht="15.75" x14ac:dyDescent="0.25">
      <c r="A99" s="10"/>
      <c r="B99" s="22" t="s">
        <v>137</v>
      </c>
      <c r="C99" s="1" t="s">
        <v>17</v>
      </c>
      <c r="D99" s="120"/>
      <c r="E99" s="17" t="s">
        <v>35</v>
      </c>
      <c r="F99" s="73" t="s">
        <v>429</v>
      </c>
      <c r="G99" s="11" t="s">
        <v>117</v>
      </c>
      <c r="H99" s="1"/>
      <c r="I99" s="49"/>
      <c r="J99" s="51"/>
      <c r="K99" s="37"/>
      <c r="L99" s="37"/>
      <c r="M99" s="78">
        <f t="shared" si="4"/>
        <v>0</v>
      </c>
      <c r="N99" s="39">
        <v>1</v>
      </c>
      <c r="O99" s="31"/>
      <c r="P99" s="31"/>
      <c r="Q99" s="79">
        <f t="shared" si="3"/>
        <v>0</v>
      </c>
    </row>
    <row r="100" spans="1:19" s="13" customFormat="1" ht="15.75" x14ac:dyDescent="0.25">
      <c r="A100" s="10"/>
      <c r="B100" s="30" t="s">
        <v>67</v>
      </c>
      <c r="C100" s="1" t="s">
        <v>17</v>
      </c>
      <c r="D100" s="120"/>
      <c r="E100" s="17" t="s">
        <v>21</v>
      </c>
      <c r="F100" s="73" t="s">
        <v>370</v>
      </c>
      <c r="G100" s="74" t="s">
        <v>112</v>
      </c>
      <c r="H100" s="75">
        <v>2</v>
      </c>
      <c r="I100" s="76"/>
      <c r="J100" s="96"/>
      <c r="K100" s="77"/>
      <c r="L100" s="77"/>
      <c r="M100" s="38">
        <f t="shared" si="4"/>
        <v>0</v>
      </c>
      <c r="N100" s="100">
        <f>4</f>
        <v>4</v>
      </c>
      <c r="O100" s="81">
        <v>29696.65</v>
      </c>
      <c r="P100" s="81"/>
      <c r="Q100" s="12">
        <f t="shared" si="3"/>
        <v>29696.65</v>
      </c>
    </row>
    <row r="101" spans="1:19" s="13" customFormat="1" ht="15.75" x14ac:dyDescent="0.25">
      <c r="A101" s="10"/>
      <c r="B101" s="24" t="s">
        <v>67</v>
      </c>
      <c r="C101" s="1" t="s">
        <v>17</v>
      </c>
      <c r="D101" s="120"/>
      <c r="E101" s="17" t="s">
        <v>21</v>
      </c>
      <c r="F101" s="73" t="s">
        <v>440</v>
      </c>
      <c r="G101" s="11" t="s">
        <v>118</v>
      </c>
      <c r="H101" s="1">
        <v>1</v>
      </c>
      <c r="I101" s="49"/>
      <c r="J101" s="46"/>
      <c r="K101" s="40"/>
      <c r="L101" s="40"/>
      <c r="M101" s="78">
        <f t="shared" si="4"/>
        <v>0</v>
      </c>
      <c r="N101" s="41">
        <v>2</v>
      </c>
      <c r="O101" s="31">
        <v>13467.29</v>
      </c>
      <c r="P101" s="31"/>
      <c r="Q101" s="79">
        <f t="shared" si="3"/>
        <v>13467.29</v>
      </c>
    </row>
    <row r="102" spans="1:19" s="13" customFormat="1" ht="15.75" x14ac:dyDescent="0.25">
      <c r="A102" s="10"/>
      <c r="B102" s="30" t="s">
        <v>68</v>
      </c>
      <c r="C102" s="1" t="s">
        <v>17</v>
      </c>
      <c r="D102" s="120"/>
      <c r="E102" s="17" t="s">
        <v>32</v>
      </c>
      <c r="F102" s="73" t="s">
        <v>371</v>
      </c>
      <c r="G102" s="74" t="s">
        <v>112</v>
      </c>
      <c r="H102" s="75">
        <v>2</v>
      </c>
      <c r="I102" s="76"/>
      <c r="J102" s="96"/>
      <c r="K102" s="77"/>
      <c r="L102" s="77"/>
      <c r="M102" s="38">
        <f t="shared" si="4"/>
        <v>0</v>
      </c>
      <c r="N102" s="100">
        <f>6</f>
        <v>6</v>
      </c>
      <c r="O102" s="81">
        <f>7813.73</f>
        <v>7813.73</v>
      </c>
      <c r="P102" s="81"/>
      <c r="Q102" s="12">
        <f t="shared" si="3"/>
        <v>7813.73</v>
      </c>
    </row>
    <row r="103" spans="1:19" s="13" customFormat="1" ht="15.75" x14ac:dyDescent="0.25">
      <c r="A103" s="10"/>
      <c r="B103" s="24" t="s">
        <v>68</v>
      </c>
      <c r="C103" s="1" t="s">
        <v>17</v>
      </c>
      <c r="D103" s="120"/>
      <c r="E103" s="17" t="s">
        <v>32</v>
      </c>
      <c r="F103" s="73" t="s">
        <v>430</v>
      </c>
      <c r="G103" s="8" t="s">
        <v>117</v>
      </c>
      <c r="H103" s="1"/>
      <c r="I103" s="49"/>
      <c r="J103" s="46"/>
      <c r="K103" s="40"/>
      <c r="L103" s="40"/>
      <c r="M103" s="78">
        <f t="shared" si="4"/>
        <v>0</v>
      </c>
      <c r="N103" s="41"/>
      <c r="O103" s="40"/>
      <c r="P103" s="40"/>
      <c r="Q103" s="79">
        <f t="shared" si="3"/>
        <v>0</v>
      </c>
    </row>
    <row r="104" spans="1:19" s="15" customFormat="1" ht="15.75" x14ac:dyDescent="0.25">
      <c r="A104" s="14"/>
      <c r="B104" s="28" t="s">
        <v>69</v>
      </c>
      <c r="C104" s="1" t="s">
        <v>17</v>
      </c>
      <c r="D104" s="120"/>
      <c r="E104" s="3" t="s">
        <v>20</v>
      </c>
      <c r="F104" s="73" t="s">
        <v>372</v>
      </c>
      <c r="G104" s="74" t="s">
        <v>112</v>
      </c>
      <c r="H104" s="75"/>
      <c r="I104" s="76"/>
      <c r="J104" s="96"/>
      <c r="K104" s="77"/>
      <c r="L104" s="77"/>
      <c r="M104" s="38">
        <f t="shared" si="4"/>
        <v>0</v>
      </c>
      <c r="N104" s="100">
        <f>3+2</f>
        <v>5</v>
      </c>
      <c r="O104" s="77">
        <v>7210.31</v>
      </c>
      <c r="P104" s="77"/>
      <c r="Q104" s="12">
        <f t="shared" si="3"/>
        <v>7210.31</v>
      </c>
    </row>
    <row r="105" spans="1:19" s="13" customFormat="1" ht="15.75" x14ac:dyDescent="0.25">
      <c r="A105" s="10"/>
      <c r="B105" s="62" t="s">
        <v>70</v>
      </c>
      <c r="C105" s="1" t="s">
        <v>17</v>
      </c>
      <c r="D105" s="120"/>
      <c r="E105" s="3" t="s">
        <v>20</v>
      </c>
      <c r="F105" s="73" t="s">
        <v>373</v>
      </c>
      <c r="G105" s="74" t="s">
        <v>112</v>
      </c>
      <c r="H105" s="75">
        <v>1</v>
      </c>
      <c r="I105" s="76"/>
      <c r="J105" s="96"/>
      <c r="K105" s="77"/>
      <c r="L105" s="77"/>
      <c r="M105" s="78">
        <f t="shared" si="4"/>
        <v>0</v>
      </c>
      <c r="N105" s="100">
        <f>2</f>
        <v>2</v>
      </c>
      <c r="O105" s="81">
        <v>3534.95</v>
      </c>
      <c r="P105" s="81"/>
      <c r="Q105" s="79">
        <f t="shared" si="3"/>
        <v>3534.95</v>
      </c>
      <c r="R105" s="35"/>
    </row>
    <row r="106" spans="1:19" s="13" customFormat="1" ht="15.75" x14ac:dyDescent="0.25">
      <c r="A106" s="10"/>
      <c r="B106" s="22" t="s">
        <v>70</v>
      </c>
      <c r="C106" s="1" t="s">
        <v>17</v>
      </c>
      <c r="D106" s="120"/>
      <c r="E106" s="3" t="s">
        <v>20</v>
      </c>
      <c r="F106" s="73" t="s">
        <v>460</v>
      </c>
      <c r="G106" s="11" t="s">
        <v>114</v>
      </c>
      <c r="H106" s="1">
        <v>4</v>
      </c>
      <c r="I106" s="49"/>
      <c r="J106" s="51"/>
      <c r="K106" s="40"/>
      <c r="L106" s="40"/>
      <c r="M106" s="38">
        <f t="shared" si="4"/>
        <v>0</v>
      </c>
      <c r="N106" s="41"/>
      <c r="O106" s="31"/>
      <c r="P106" s="31"/>
      <c r="Q106" s="12">
        <f t="shared" si="3"/>
        <v>0</v>
      </c>
    </row>
    <row r="107" spans="1:19" s="15" customFormat="1" ht="15.75" x14ac:dyDescent="0.25">
      <c r="A107" s="14"/>
      <c r="B107" s="80" t="s">
        <v>71</v>
      </c>
      <c r="C107" s="1" t="s">
        <v>17</v>
      </c>
      <c r="D107" s="120"/>
      <c r="E107" s="3" t="s">
        <v>32</v>
      </c>
      <c r="F107" s="73" t="s">
        <v>374</v>
      </c>
      <c r="G107" s="74" t="s">
        <v>112</v>
      </c>
      <c r="H107" s="75">
        <v>3</v>
      </c>
      <c r="I107" s="76"/>
      <c r="J107" s="96"/>
      <c r="K107" s="77"/>
      <c r="L107" s="77"/>
      <c r="M107" s="78">
        <f t="shared" si="4"/>
        <v>0</v>
      </c>
      <c r="N107" s="100">
        <f>3</f>
        <v>3</v>
      </c>
      <c r="O107" s="81">
        <f>9567.93</f>
        <v>9567.93</v>
      </c>
      <c r="P107" s="81"/>
      <c r="Q107" s="79">
        <f t="shared" si="3"/>
        <v>9567.93</v>
      </c>
      <c r="R107" s="36"/>
      <c r="S107" s="36"/>
    </row>
    <row r="108" spans="1:19" s="15" customFormat="1" ht="15.75" x14ac:dyDescent="0.25">
      <c r="A108" s="14"/>
      <c r="B108" s="23" t="s">
        <v>71</v>
      </c>
      <c r="C108" s="1" t="s">
        <v>17</v>
      </c>
      <c r="D108" s="120"/>
      <c r="E108" s="3" t="s">
        <v>32</v>
      </c>
      <c r="F108" s="73" t="s">
        <v>431</v>
      </c>
      <c r="G108" s="11" t="s">
        <v>115</v>
      </c>
      <c r="H108" s="1">
        <v>1</v>
      </c>
      <c r="I108" s="48"/>
      <c r="J108" s="45"/>
      <c r="K108" s="40"/>
      <c r="L108" s="40"/>
      <c r="M108" s="38">
        <f t="shared" si="4"/>
        <v>0</v>
      </c>
      <c r="N108" s="39">
        <f>5</f>
        <v>5</v>
      </c>
      <c r="O108" s="40"/>
      <c r="P108" s="40"/>
      <c r="Q108" s="12">
        <f t="shared" si="3"/>
        <v>0</v>
      </c>
    </row>
    <row r="109" spans="1:19" s="13" customFormat="1" ht="15.75" x14ac:dyDescent="0.25">
      <c r="A109" s="10"/>
      <c r="B109" s="62" t="s">
        <v>319</v>
      </c>
      <c r="C109" s="1" t="s">
        <v>17</v>
      </c>
      <c r="D109" s="120"/>
      <c r="E109" s="3" t="s">
        <v>20</v>
      </c>
      <c r="F109" s="73" t="s">
        <v>375</v>
      </c>
      <c r="G109" s="74" t="s">
        <v>112</v>
      </c>
      <c r="H109" s="75">
        <v>5</v>
      </c>
      <c r="I109" s="76">
        <v>3</v>
      </c>
      <c r="J109" s="96">
        <f>2+1</f>
        <v>3</v>
      </c>
      <c r="K109" s="77"/>
      <c r="L109" s="77"/>
      <c r="M109" s="78">
        <f>K109-L109</f>
        <v>0</v>
      </c>
      <c r="N109" s="100">
        <f>3+1</f>
        <v>4</v>
      </c>
      <c r="O109" s="77">
        <f>13419.94</f>
        <v>13419.94</v>
      </c>
      <c r="P109" s="77">
        <f>13419.94</f>
        <v>13419.94</v>
      </c>
      <c r="Q109" s="79">
        <f>O109-P109</f>
        <v>0</v>
      </c>
    </row>
    <row r="110" spans="1:19" s="15" customFormat="1" ht="15.75" x14ac:dyDescent="0.25">
      <c r="A110" s="14"/>
      <c r="B110" s="62" t="s">
        <v>150</v>
      </c>
      <c r="C110" s="1" t="s">
        <v>17</v>
      </c>
      <c r="D110" s="120"/>
      <c r="E110" s="3" t="s">
        <v>35</v>
      </c>
      <c r="F110" s="73" t="s">
        <v>376</v>
      </c>
      <c r="G110" s="74" t="s">
        <v>112</v>
      </c>
      <c r="H110" s="75">
        <v>1</v>
      </c>
      <c r="I110" s="76"/>
      <c r="J110" s="97"/>
      <c r="K110" s="77"/>
      <c r="L110" s="77"/>
      <c r="M110" s="78">
        <f t="shared" si="4"/>
        <v>0</v>
      </c>
      <c r="N110" s="114">
        <f>8+1</f>
        <v>9</v>
      </c>
      <c r="O110" s="77">
        <f>5997.32</f>
        <v>5997.32</v>
      </c>
      <c r="P110" s="81"/>
      <c r="Q110" s="79">
        <f t="shared" si="3"/>
        <v>5997.32</v>
      </c>
    </row>
    <row r="111" spans="1:19" s="15" customFormat="1" ht="15.75" x14ac:dyDescent="0.25">
      <c r="A111" s="14"/>
      <c r="B111" s="50" t="s">
        <v>150</v>
      </c>
      <c r="C111" s="1" t="s">
        <v>17</v>
      </c>
      <c r="D111" s="120"/>
      <c r="E111" s="3"/>
      <c r="F111" s="73"/>
      <c r="G111" s="11" t="s">
        <v>117</v>
      </c>
      <c r="H111" s="1"/>
      <c r="I111" s="48"/>
      <c r="J111" s="45"/>
      <c r="K111" s="40"/>
      <c r="L111" s="37"/>
      <c r="M111" s="38">
        <f t="shared" si="4"/>
        <v>0</v>
      </c>
      <c r="N111" s="42"/>
      <c r="O111" s="40"/>
      <c r="P111" s="40"/>
      <c r="Q111" s="12">
        <f t="shared" si="3"/>
        <v>0</v>
      </c>
    </row>
    <row r="112" spans="1:19" s="13" customFormat="1" ht="15.75" x14ac:dyDescent="0.25">
      <c r="A112" s="10"/>
      <c r="B112" s="30" t="s">
        <v>72</v>
      </c>
      <c r="C112" s="1" t="s">
        <v>17</v>
      </c>
      <c r="D112" s="120"/>
      <c r="E112" s="3" t="s">
        <v>21</v>
      </c>
      <c r="F112" s="73" t="s">
        <v>377</v>
      </c>
      <c r="G112" s="74" t="s">
        <v>112</v>
      </c>
      <c r="H112" s="75">
        <v>2</v>
      </c>
      <c r="I112" s="76"/>
      <c r="J112" s="96"/>
      <c r="K112" s="77"/>
      <c r="L112" s="77"/>
      <c r="M112" s="78">
        <f t="shared" si="4"/>
        <v>0</v>
      </c>
      <c r="N112" s="100">
        <f>1</f>
        <v>1</v>
      </c>
      <c r="O112" s="81">
        <f>1950.74</f>
        <v>1950.74</v>
      </c>
      <c r="P112" s="81"/>
      <c r="Q112" s="79">
        <f t="shared" si="3"/>
        <v>1950.74</v>
      </c>
    </row>
    <row r="113" spans="1:17" s="13" customFormat="1" ht="15.75" x14ac:dyDescent="0.25">
      <c r="A113" s="10"/>
      <c r="B113" s="24" t="s">
        <v>72</v>
      </c>
      <c r="C113" s="1" t="s">
        <v>17</v>
      </c>
      <c r="D113" s="120"/>
      <c r="E113" s="3" t="s">
        <v>21</v>
      </c>
      <c r="F113" s="73" t="s">
        <v>441</v>
      </c>
      <c r="G113" s="11" t="s">
        <v>118</v>
      </c>
      <c r="H113" s="1"/>
      <c r="I113" s="49"/>
      <c r="J113" s="46"/>
      <c r="K113" s="40"/>
      <c r="L113" s="40"/>
      <c r="M113" s="38">
        <f t="shared" si="4"/>
        <v>0</v>
      </c>
      <c r="N113" s="41">
        <v>1</v>
      </c>
      <c r="O113" s="31">
        <v>12247.68</v>
      </c>
      <c r="P113" s="31"/>
      <c r="Q113" s="12">
        <f t="shared" si="3"/>
        <v>12247.68</v>
      </c>
    </row>
    <row r="114" spans="1:17" s="15" customFormat="1" ht="15.75" x14ac:dyDescent="0.25">
      <c r="A114" s="14"/>
      <c r="B114" s="84" t="s">
        <v>73</v>
      </c>
      <c r="C114" s="1" t="s">
        <v>17</v>
      </c>
      <c r="D114" s="120"/>
      <c r="E114" s="3" t="s">
        <v>74</v>
      </c>
      <c r="F114" s="73" t="s">
        <v>378</v>
      </c>
      <c r="G114" s="74" t="s">
        <v>112</v>
      </c>
      <c r="H114" s="75">
        <v>5</v>
      </c>
      <c r="I114" s="76"/>
      <c r="J114" s="96"/>
      <c r="K114" s="77"/>
      <c r="L114" s="77"/>
      <c r="M114" s="78">
        <f t="shared" si="4"/>
        <v>0</v>
      </c>
      <c r="N114" s="100">
        <f>5</f>
        <v>5</v>
      </c>
      <c r="O114" s="81"/>
      <c r="P114" s="81"/>
      <c r="Q114" s="79">
        <f t="shared" si="3"/>
        <v>0</v>
      </c>
    </row>
    <row r="115" spans="1:17" s="15" customFormat="1" ht="15.75" x14ac:dyDescent="0.25">
      <c r="A115" s="14"/>
      <c r="B115" s="29" t="s">
        <v>73</v>
      </c>
      <c r="C115" s="1" t="s">
        <v>17</v>
      </c>
      <c r="D115" s="120"/>
      <c r="E115" s="3" t="s">
        <v>74</v>
      </c>
      <c r="F115" s="73" t="s">
        <v>282</v>
      </c>
      <c r="G115" s="11" t="s">
        <v>114</v>
      </c>
      <c r="H115" s="1"/>
      <c r="I115" s="49"/>
      <c r="J115" s="51"/>
      <c r="K115" s="40"/>
      <c r="L115" s="40"/>
      <c r="M115" s="38">
        <f t="shared" si="4"/>
        <v>0</v>
      </c>
      <c r="N115" s="42"/>
      <c r="O115" s="31"/>
      <c r="P115" s="31"/>
      <c r="Q115" s="12">
        <f t="shared" si="3"/>
        <v>0</v>
      </c>
    </row>
    <row r="116" spans="1:17" s="13" customFormat="1" ht="15.75" x14ac:dyDescent="0.25">
      <c r="A116" s="10"/>
      <c r="B116" s="30" t="s">
        <v>135</v>
      </c>
      <c r="C116" s="1" t="s">
        <v>17</v>
      </c>
      <c r="D116" s="120"/>
      <c r="E116" s="17" t="s">
        <v>35</v>
      </c>
      <c r="F116" s="73" t="s">
        <v>379</v>
      </c>
      <c r="G116" s="74" t="s">
        <v>112</v>
      </c>
      <c r="H116" s="75">
        <v>3</v>
      </c>
      <c r="I116" s="76">
        <v>1</v>
      </c>
      <c r="J116" s="96">
        <f>1</f>
        <v>1</v>
      </c>
      <c r="K116" s="77"/>
      <c r="L116" s="77"/>
      <c r="M116" s="38">
        <f t="shared" si="4"/>
        <v>0</v>
      </c>
      <c r="N116" s="100">
        <f>2+5+1</f>
        <v>8</v>
      </c>
      <c r="O116" s="81"/>
      <c r="P116" s="81"/>
      <c r="Q116" s="12">
        <f t="shared" si="3"/>
        <v>0</v>
      </c>
    </row>
    <row r="117" spans="1:17" s="13" customFormat="1" ht="15.75" x14ac:dyDescent="0.25">
      <c r="A117" s="10"/>
      <c r="B117" s="24" t="s">
        <v>135</v>
      </c>
      <c r="C117" s="1" t="s">
        <v>17</v>
      </c>
      <c r="D117" s="120"/>
      <c r="E117" s="17" t="s">
        <v>35</v>
      </c>
      <c r="F117" s="73" t="s">
        <v>432</v>
      </c>
      <c r="G117" s="11" t="s">
        <v>115</v>
      </c>
      <c r="H117" s="1"/>
      <c r="I117" s="49"/>
      <c r="J117" s="46"/>
      <c r="K117" s="40"/>
      <c r="L117" s="40"/>
      <c r="M117" s="78">
        <f t="shared" si="4"/>
        <v>0</v>
      </c>
      <c r="N117" s="41"/>
      <c r="O117" s="31"/>
      <c r="P117" s="31"/>
      <c r="Q117" s="79">
        <f t="shared" si="3"/>
        <v>0</v>
      </c>
    </row>
    <row r="118" spans="1:17" s="13" customFormat="1" ht="15.75" x14ac:dyDescent="0.25">
      <c r="A118" s="10"/>
      <c r="B118" s="30" t="s">
        <v>145</v>
      </c>
      <c r="C118" s="1" t="s">
        <v>17</v>
      </c>
      <c r="D118" s="120"/>
      <c r="E118" s="17" t="s">
        <v>20</v>
      </c>
      <c r="F118" s="73" t="s">
        <v>380</v>
      </c>
      <c r="G118" s="74" t="s">
        <v>112</v>
      </c>
      <c r="H118" s="75">
        <v>1</v>
      </c>
      <c r="I118" s="82">
        <v>1</v>
      </c>
      <c r="J118" s="96">
        <f>2</f>
        <v>2</v>
      </c>
      <c r="K118" s="77"/>
      <c r="L118" s="77"/>
      <c r="M118" s="38">
        <f t="shared" si="4"/>
        <v>0</v>
      </c>
      <c r="N118" s="100">
        <f>1</f>
        <v>1</v>
      </c>
      <c r="O118" s="81">
        <f>5120.23</f>
        <v>5120.2299999999996</v>
      </c>
      <c r="P118" s="81"/>
      <c r="Q118" s="12">
        <f t="shared" si="3"/>
        <v>5120.2299999999996</v>
      </c>
    </row>
    <row r="119" spans="1:17" s="13" customFormat="1" ht="15.75" x14ac:dyDescent="0.25">
      <c r="A119" s="10"/>
      <c r="B119" s="24" t="s">
        <v>145</v>
      </c>
      <c r="C119" s="1" t="s">
        <v>17</v>
      </c>
      <c r="D119" s="120"/>
      <c r="E119" s="17" t="s">
        <v>20</v>
      </c>
      <c r="F119" s="73" t="s">
        <v>461</v>
      </c>
      <c r="G119" s="11" t="s">
        <v>114</v>
      </c>
      <c r="H119" s="1"/>
      <c r="I119" s="49"/>
      <c r="J119" s="51"/>
      <c r="K119" s="40"/>
      <c r="L119" s="40"/>
      <c r="M119" s="78">
        <f t="shared" si="4"/>
        <v>0</v>
      </c>
      <c r="N119" s="41"/>
      <c r="O119" s="31"/>
      <c r="P119" s="31"/>
      <c r="Q119" s="79">
        <f t="shared" si="3"/>
        <v>0</v>
      </c>
    </row>
    <row r="120" spans="1:17" s="13" customFormat="1" ht="15.75" x14ac:dyDescent="0.25">
      <c r="A120" s="10"/>
      <c r="B120" s="62" t="s">
        <v>76</v>
      </c>
      <c r="C120" s="1" t="s">
        <v>17</v>
      </c>
      <c r="D120" s="120"/>
      <c r="E120" s="3" t="s">
        <v>20</v>
      </c>
      <c r="F120" s="73" t="s">
        <v>381</v>
      </c>
      <c r="G120" s="74" t="s">
        <v>112</v>
      </c>
      <c r="H120" s="75">
        <v>8</v>
      </c>
      <c r="I120" s="76">
        <v>1</v>
      </c>
      <c r="J120" s="96">
        <f>1</f>
        <v>1</v>
      </c>
      <c r="K120" s="77"/>
      <c r="L120" s="77"/>
      <c r="M120" s="38">
        <f t="shared" si="4"/>
        <v>0</v>
      </c>
      <c r="N120" s="100">
        <f>5</f>
        <v>5</v>
      </c>
      <c r="O120" s="81"/>
      <c r="P120" s="81"/>
      <c r="Q120" s="12">
        <f t="shared" si="3"/>
        <v>0</v>
      </c>
    </row>
    <row r="121" spans="1:17" s="13" customFormat="1" ht="15.75" x14ac:dyDescent="0.25">
      <c r="A121" s="10"/>
      <c r="B121" s="22" t="s">
        <v>76</v>
      </c>
      <c r="C121" s="1" t="s">
        <v>17</v>
      </c>
      <c r="D121" s="120"/>
      <c r="E121" s="3" t="s">
        <v>20</v>
      </c>
      <c r="F121" s="73" t="s">
        <v>462</v>
      </c>
      <c r="G121" s="11" t="s">
        <v>114</v>
      </c>
      <c r="H121" s="1">
        <v>2</v>
      </c>
      <c r="I121" s="49"/>
      <c r="J121" s="51"/>
      <c r="K121" s="40"/>
      <c r="L121" s="40"/>
      <c r="M121" s="78">
        <f t="shared" si="4"/>
        <v>0</v>
      </c>
      <c r="N121" s="41"/>
      <c r="O121" s="31"/>
      <c r="P121" s="31"/>
      <c r="Q121" s="79">
        <f t="shared" si="3"/>
        <v>0</v>
      </c>
    </row>
    <row r="122" spans="1:17" s="13" customFormat="1" ht="15.75" x14ac:dyDescent="0.25">
      <c r="A122" s="10"/>
      <c r="B122" s="30" t="s">
        <v>77</v>
      </c>
      <c r="C122" s="1" t="s">
        <v>17</v>
      </c>
      <c r="D122" s="120"/>
      <c r="E122" s="3" t="s">
        <v>32</v>
      </c>
      <c r="F122" s="73" t="s">
        <v>388</v>
      </c>
      <c r="G122" s="74" t="s">
        <v>112</v>
      </c>
      <c r="H122" s="75">
        <v>2</v>
      </c>
      <c r="I122" s="76"/>
      <c r="J122" s="96"/>
      <c r="K122" s="77"/>
      <c r="L122" s="77"/>
      <c r="M122" s="38">
        <f t="shared" si="4"/>
        <v>0</v>
      </c>
      <c r="N122" s="100">
        <f>5</f>
        <v>5</v>
      </c>
      <c r="O122" s="81">
        <f>11716.73</f>
        <v>11716.73</v>
      </c>
      <c r="P122" s="81"/>
      <c r="Q122" s="12">
        <f t="shared" si="3"/>
        <v>11716.73</v>
      </c>
    </row>
    <row r="123" spans="1:17" s="13" customFormat="1" ht="15.75" x14ac:dyDescent="0.25">
      <c r="A123" s="10"/>
      <c r="B123" s="24" t="s">
        <v>77</v>
      </c>
      <c r="C123" s="1" t="s">
        <v>17</v>
      </c>
      <c r="D123" s="120"/>
      <c r="E123" s="3" t="s">
        <v>32</v>
      </c>
      <c r="F123" s="73" t="s">
        <v>433</v>
      </c>
      <c r="G123" s="11" t="s">
        <v>117</v>
      </c>
      <c r="H123" s="1"/>
      <c r="I123" s="49"/>
      <c r="J123" s="46"/>
      <c r="K123" s="40"/>
      <c r="L123" s="40"/>
      <c r="M123" s="78">
        <f t="shared" si="4"/>
        <v>0</v>
      </c>
      <c r="N123" s="41">
        <v>5</v>
      </c>
      <c r="O123" s="31"/>
      <c r="P123" s="31"/>
      <c r="Q123" s="79">
        <f t="shared" si="3"/>
        <v>0</v>
      </c>
    </row>
    <row r="124" spans="1:17" s="13" customFormat="1" ht="15.75" x14ac:dyDescent="0.25">
      <c r="A124" s="10"/>
      <c r="B124" s="24" t="s">
        <v>321</v>
      </c>
      <c r="C124" s="1" t="s">
        <v>17</v>
      </c>
      <c r="D124" s="120"/>
      <c r="E124" s="3" t="s">
        <v>21</v>
      </c>
      <c r="F124" s="73" t="s">
        <v>382</v>
      </c>
      <c r="G124" s="11" t="s">
        <v>112</v>
      </c>
      <c r="H124" s="1">
        <v>1</v>
      </c>
      <c r="I124" s="49"/>
      <c r="J124" s="46"/>
      <c r="K124" s="40"/>
      <c r="L124" s="40"/>
      <c r="M124" s="78"/>
      <c r="N124" s="41"/>
      <c r="O124" s="31"/>
      <c r="P124" s="31"/>
      <c r="Q124" s="79"/>
    </row>
    <row r="125" spans="1:17" s="13" customFormat="1" ht="31.5" x14ac:dyDescent="0.25">
      <c r="A125" s="10"/>
      <c r="B125" s="62" t="s">
        <v>79</v>
      </c>
      <c r="C125" s="1" t="s">
        <v>304</v>
      </c>
      <c r="D125" s="120" t="s">
        <v>385</v>
      </c>
      <c r="E125" s="3" t="s">
        <v>18</v>
      </c>
      <c r="F125" s="73" t="s">
        <v>389</v>
      </c>
      <c r="G125" s="74" t="s">
        <v>112</v>
      </c>
      <c r="H125" s="75">
        <v>1</v>
      </c>
      <c r="I125" s="76"/>
      <c r="J125" s="96"/>
      <c r="K125" s="77"/>
      <c r="L125" s="77"/>
      <c r="M125" s="38">
        <f t="shared" si="4"/>
        <v>0</v>
      </c>
      <c r="N125" s="100">
        <f>2</f>
        <v>2</v>
      </c>
      <c r="O125" s="81"/>
      <c r="P125" s="81"/>
      <c r="Q125" s="12">
        <f t="shared" si="3"/>
        <v>0</v>
      </c>
    </row>
    <row r="126" spans="1:17" s="13" customFormat="1" ht="31.5" x14ac:dyDescent="0.25">
      <c r="A126" s="10"/>
      <c r="B126" s="22" t="s">
        <v>79</v>
      </c>
      <c r="C126" s="1" t="s">
        <v>304</v>
      </c>
      <c r="D126" s="120" t="s">
        <v>475</v>
      </c>
      <c r="E126" s="3" t="s">
        <v>18</v>
      </c>
      <c r="F126" s="121" t="s">
        <v>329</v>
      </c>
      <c r="G126" s="11" t="s">
        <v>113</v>
      </c>
      <c r="H126" s="1">
        <v>1</v>
      </c>
      <c r="I126" s="49"/>
      <c r="J126" s="46">
        <v>1</v>
      </c>
      <c r="K126" s="31">
        <v>1268</v>
      </c>
      <c r="L126" s="31"/>
      <c r="M126" s="78">
        <f t="shared" si="4"/>
        <v>1268</v>
      </c>
      <c r="N126" s="41">
        <v>2</v>
      </c>
      <c r="O126" s="31">
        <v>23797</v>
      </c>
      <c r="P126" s="31"/>
      <c r="Q126" s="79">
        <f t="shared" si="3"/>
        <v>23797</v>
      </c>
    </row>
    <row r="127" spans="1:17" s="13" customFormat="1" ht="15.75" x14ac:dyDescent="0.25">
      <c r="A127" s="10"/>
      <c r="B127" s="62" t="s">
        <v>151</v>
      </c>
      <c r="C127" s="1" t="s">
        <v>17</v>
      </c>
      <c r="D127" s="120"/>
      <c r="E127" s="3" t="s">
        <v>32</v>
      </c>
      <c r="F127" s="73" t="s">
        <v>390</v>
      </c>
      <c r="G127" s="74" t="s">
        <v>112</v>
      </c>
      <c r="H127" s="75">
        <v>3</v>
      </c>
      <c r="I127" s="82"/>
      <c r="J127" s="96"/>
      <c r="K127" s="81"/>
      <c r="L127" s="81"/>
      <c r="M127" s="38">
        <f t="shared" si="4"/>
        <v>0</v>
      </c>
      <c r="N127" s="100">
        <f>9</f>
        <v>9</v>
      </c>
      <c r="O127" s="81">
        <f>10726.94</f>
        <v>10726.94</v>
      </c>
      <c r="P127" s="81"/>
      <c r="Q127" s="12">
        <f t="shared" si="3"/>
        <v>10726.94</v>
      </c>
    </row>
    <row r="128" spans="1:17" s="13" customFormat="1" ht="15.75" x14ac:dyDescent="0.25">
      <c r="A128" s="10"/>
      <c r="B128" s="22" t="s">
        <v>151</v>
      </c>
      <c r="C128" s="1" t="s">
        <v>17</v>
      </c>
      <c r="D128" s="120"/>
      <c r="E128" s="3" t="s">
        <v>32</v>
      </c>
      <c r="F128" s="73" t="s">
        <v>434</v>
      </c>
      <c r="G128" s="11" t="s">
        <v>117</v>
      </c>
      <c r="H128" s="1">
        <v>4</v>
      </c>
      <c r="I128" s="49"/>
      <c r="J128" s="46"/>
      <c r="K128" s="40"/>
      <c r="L128" s="40"/>
      <c r="M128" s="78">
        <f t="shared" si="4"/>
        <v>0</v>
      </c>
      <c r="N128" s="41">
        <v>8</v>
      </c>
      <c r="O128" s="31"/>
      <c r="P128" s="31"/>
      <c r="Q128" s="79">
        <f t="shared" si="3"/>
        <v>0</v>
      </c>
    </row>
    <row r="129" spans="1:17" s="13" customFormat="1" ht="15.75" x14ac:dyDescent="0.25">
      <c r="A129" s="10"/>
      <c r="B129" s="62" t="s">
        <v>80</v>
      </c>
      <c r="C129" s="1" t="s">
        <v>17</v>
      </c>
      <c r="D129" s="120"/>
      <c r="E129" s="3" t="s">
        <v>81</v>
      </c>
      <c r="F129" s="73" t="s">
        <v>417</v>
      </c>
      <c r="G129" s="74" t="s">
        <v>112</v>
      </c>
      <c r="H129" s="75"/>
      <c r="I129" s="76"/>
      <c r="J129" s="96"/>
      <c r="K129" s="77"/>
      <c r="L129" s="77"/>
      <c r="M129" s="38">
        <f t="shared" si="4"/>
        <v>0</v>
      </c>
      <c r="N129" s="100"/>
      <c r="O129" s="81"/>
      <c r="P129" s="81"/>
      <c r="Q129" s="12">
        <f t="shared" si="3"/>
        <v>0</v>
      </c>
    </row>
    <row r="130" spans="1:17" s="13" customFormat="1" ht="15.75" x14ac:dyDescent="0.25">
      <c r="A130" s="10"/>
      <c r="B130" s="22" t="s">
        <v>80</v>
      </c>
      <c r="C130" s="1" t="s">
        <v>17</v>
      </c>
      <c r="D130" s="120"/>
      <c r="E130" s="3" t="s">
        <v>81</v>
      </c>
      <c r="F130" s="73" t="s">
        <v>285</v>
      </c>
      <c r="G130" s="11" t="s">
        <v>114</v>
      </c>
      <c r="H130" s="1"/>
      <c r="I130" s="49"/>
      <c r="J130" s="51"/>
      <c r="K130" s="40"/>
      <c r="L130" s="40"/>
      <c r="M130" s="78">
        <f t="shared" si="4"/>
        <v>0</v>
      </c>
      <c r="N130" s="41"/>
      <c r="O130" s="31"/>
      <c r="P130" s="31"/>
      <c r="Q130" s="79">
        <f t="shared" si="3"/>
        <v>0</v>
      </c>
    </row>
    <row r="131" spans="1:17" s="13" customFormat="1" ht="15.75" x14ac:dyDescent="0.25">
      <c r="A131" s="10"/>
      <c r="B131" s="30" t="s">
        <v>82</v>
      </c>
      <c r="C131" s="1" t="s">
        <v>17</v>
      </c>
      <c r="D131" s="120"/>
      <c r="E131" s="3" t="s">
        <v>20</v>
      </c>
      <c r="F131" s="73" t="s">
        <v>394</v>
      </c>
      <c r="G131" s="74" t="s">
        <v>112</v>
      </c>
      <c r="H131" s="75">
        <v>2</v>
      </c>
      <c r="I131" s="76"/>
      <c r="J131" s="96"/>
      <c r="K131" s="77"/>
      <c r="L131" s="77"/>
      <c r="M131" s="38">
        <f t="shared" si="4"/>
        <v>0</v>
      </c>
      <c r="N131" s="100">
        <f>3</f>
        <v>3</v>
      </c>
      <c r="O131" s="81">
        <f>5975.84</f>
        <v>5975.84</v>
      </c>
      <c r="P131" s="81"/>
      <c r="Q131" s="12">
        <f t="shared" si="3"/>
        <v>5975.84</v>
      </c>
    </row>
    <row r="132" spans="1:17" s="13" customFormat="1" ht="15.75" x14ac:dyDescent="0.25">
      <c r="A132" s="10"/>
      <c r="B132" s="24" t="s">
        <v>82</v>
      </c>
      <c r="C132" s="1" t="s">
        <v>17</v>
      </c>
      <c r="D132" s="120"/>
      <c r="E132" s="3" t="s">
        <v>20</v>
      </c>
      <c r="F132" s="73" t="s">
        <v>463</v>
      </c>
      <c r="G132" s="11" t="s">
        <v>114</v>
      </c>
      <c r="H132" s="1">
        <v>3</v>
      </c>
      <c r="I132" s="49"/>
      <c r="J132" s="51"/>
      <c r="K132" s="40"/>
      <c r="L132" s="40"/>
      <c r="M132" s="78">
        <f t="shared" si="4"/>
        <v>0</v>
      </c>
      <c r="N132" s="41"/>
      <c r="O132" s="31"/>
      <c r="P132" s="31"/>
      <c r="Q132" s="79">
        <f t="shared" si="3"/>
        <v>0</v>
      </c>
    </row>
    <row r="133" spans="1:17" s="13" customFormat="1" ht="15.75" x14ac:dyDescent="0.25">
      <c r="A133" s="10"/>
      <c r="B133" s="24" t="s">
        <v>309</v>
      </c>
      <c r="C133" s="1"/>
      <c r="D133" s="120"/>
      <c r="E133" s="3" t="s">
        <v>20</v>
      </c>
      <c r="F133" s="73" t="s">
        <v>391</v>
      </c>
      <c r="G133" s="11" t="s">
        <v>112</v>
      </c>
      <c r="H133" s="1">
        <v>2</v>
      </c>
      <c r="I133" s="58"/>
      <c r="J133" s="51"/>
      <c r="K133" s="40"/>
      <c r="L133" s="40"/>
      <c r="M133" s="38">
        <f t="shared" si="4"/>
        <v>0</v>
      </c>
      <c r="N133" s="41">
        <f>1</f>
        <v>1</v>
      </c>
      <c r="O133" s="31">
        <f>3088.97</f>
        <v>3088.97</v>
      </c>
      <c r="P133" s="31"/>
      <c r="Q133" s="79"/>
    </row>
    <row r="134" spans="1:17" s="13" customFormat="1" ht="15.75" x14ac:dyDescent="0.25">
      <c r="A134" s="10"/>
      <c r="B134" s="30" t="s">
        <v>152</v>
      </c>
      <c r="C134" s="1" t="s">
        <v>17</v>
      </c>
      <c r="D134" s="120"/>
      <c r="E134" s="3" t="s">
        <v>35</v>
      </c>
      <c r="F134" s="73" t="s">
        <v>392</v>
      </c>
      <c r="G134" s="74" t="s">
        <v>112</v>
      </c>
      <c r="H134" s="75">
        <v>3</v>
      </c>
      <c r="I134" s="76">
        <v>1</v>
      </c>
      <c r="J134" s="96">
        <f>1</f>
        <v>1</v>
      </c>
      <c r="K134" s="77"/>
      <c r="L134" s="77"/>
      <c r="M134" s="38">
        <f t="shared" si="4"/>
        <v>0</v>
      </c>
      <c r="N134" s="100">
        <f>2+2</f>
        <v>4</v>
      </c>
      <c r="O134" s="81">
        <f>1690.48</f>
        <v>1690.48</v>
      </c>
      <c r="P134" s="81"/>
      <c r="Q134" s="12">
        <f t="shared" si="3"/>
        <v>1690.48</v>
      </c>
    </row>
    <row r="135" spans="1:17" s="13" customFormat="1" ht="15.75" x14ac:dyDescent="0.25">
      <c r="A135" s="10"/>
      <c r="B135" s="24" t="s">
        <v>152</v>
      </c>
      <c r="C135" s="1" t="s">
        <v>17</v>
      </c>
      <c r="D135" s="120"/>
      <c r="E135" s="3" t="s">
        <v>32</v>
      </c>
      <c r="F135" s="73"/>
      <c r="G135" s="11" t="s">
        <v>117</v>
      </c>
      <c r="H135" s="1"/>
      <c r="I135" s="49"/>
      <c r="J135" s="46"/>
      <c r="K135" s="40"/>
      <c r="L135" s="40"/>
      <c r="M135" s="78">
        <f t="shared" si="4"/>
        <v>0</v>
      </c>
      <c r="N135" s="41"/>
      <c r="O135" s="31"/>
      <c r="P135" s="31"/>
      <c r="Q135" s="79">
        <f t="shared" si="3"/>
        <v>0</v>
      </c>
    </row>
    <row r="136" spans="1:17" s="13" customFormat="1" ht="15.75" x14ac:dyDescent="0.25">
      <c r="A136" s="10"/>
      <c r="B136" s="30" t="s">
        <v>83</v>
      </c>
      <c r="C136" s="1" t="s">
        <v>17</v>
      </c>
      <c r="D136" s="120"/>
      <c r="E136" s="3" t="s">
        <v>20</v>
      </c>
      <c r="F136" s="73" t="s">
        <v>393</v>
      </c>
      <c r="G136" s="74" t="s">
        <v>112</v>
      </c>
      <c r="H136" s="75">
        <v>4</v>
      </c>
      <c r="I136" s="76"/>
      <c r="J136" s="96"/>
      <c r="K136" s="77"/>
      <c r="L136" s="77"/>
      <c r="M136" s="38">
        <f t="shared" si="4"/>
        <v>0</v>
      </c>
      <c r="N136" s="100"/>
      <c r="O136" s="81"/>
      <c r="P136" s="81"/>
      <c r="Q136" s="12">
        <f t="shared" si="3"/>
        <v>0</v>
      </c>
    </row>
    <row r="137" spans="1:17" s="13" customFormat="1" ht="15.75" x14ac:dyDescent="0.25">
      <c r="A137" s="10"/>
      <c r="B137" s="24" t="s">
        <v>83</v>
      </c>
      <c r="C137" s="1" t="s">
        <v>17</v>
      </c>
      <c r="D137" s="120"/>
      <c r="E137" s="3" t="s">
        <v>20</v>
      </c>
      <c r="F137" s="73" t="s">
        <v>464</v>
      </c>
      <c r="G137" s="11" t="s">
        <v>114</v>
      </c>
      <c r="H137" s="1">
        <v>1</v>
      </c>
      <c r="I137" s="49"/>
      <c r="J137" s="51"/>
      <c r="K137" s="40"/>
      <c r="L137" s="40"/>
      <c r="M137" s="78">
        <f t="shared" si="4"/>
        <v>0</v>
      </c>
      <c r="N137" s="41"/>
      <c r="O137" s="31"/>
      <c r="P137" s="31"/>
      <c r="Q137" s="79">
        <f t="shared" si="3"/>
        <v>0</v>
      </c>
    </row>
    <row r="138" spans="1:17" s="13" customFormat="1" ht="15.75" x14ac:dyDescent="0.25">
      <c r="A138" s="10"/>
      <c r="B138" s="24" t="s">
        <v>310</v>
      </c>
      <c r="C138" s="1"/>
      <c r="D138" s="120"/>
      <c r="E138" s="3" t="s">
        <v>20</v>
      </c>
      <c r="F138" s="73"/>
      <c r="G138" s="11" t="s">
        <v>114</v>
      </c>
      <c r="H138" s="1"/>
      <c r="I138" s="49"/>
      <c r="J138" s="51"/>
      <c r="K138" s="40"/>
      <c r="L138" s="40"/>
      <c r="M138" s="78"/>
      <c r="N138" s="41"/>
      <c r="O138" s="31"/>
      <c r="P138" s="31"/>
      <c r="Q138" s="79"/>
    </row>
    <row r="139" spans="1:17" s="13" customFormat="1" ht="15.75" x14ac:dyDescent="0.25">
      <c r="A139" s="10"/>
      <c r="B139" s="30" t="s">
        <v>84</v>
      </c>
      <c r="C139" s="1"/>
      <c r="D139" s="120"/>
      <c r="E139" s="3" t="s">
        <v>20</v>
      </c>
      <c r="F139" s="73" t="s">
        <v>287</v>
      </c>
      <c r="G139" s="11" t="s">
        <v>114</v>
      </c>
      <c r="H139" s="1"/>
      <c r="I139" s="49"/>
      <c r="J139" s="51"/>
      <c r="K139" s="40"/>
      <c r="L139" s="40"/>
      <c r="M139" s="38">
        <f t="shared" si="4"/>
        <v>0</v>
      </c>
      <c r="N139" s="41"/>
      <c r="O139" s="31"/>
      <c r="P139" s="31"/>
      <c r="Q139" s="12">
        <f t="shared" si="3"/>
        <v>0</v>
      </c>
    </row>
    <row r="140" spans="1:17" s="13" customFormat="1" ht="47.25" x14ac:dyDescent="0.25">
      <c r="A140" s="10"/>
      <c r="B140" s="30" t="s">
        <v>85</v>
      </c>
      <c r="C140" s="1" t="s">
        <v>304</v>
      </c>
      <c r="D140" s="120" t="s">
        <v>415</v>
      </c>
      <c r="E140" s="3" t="s">
        <v>20</v>
      </c>
      <c r="F140" s="73" t="s">
        <v>395</v>
      </c>
      <c r="G140" s="74" t="s">
        <v>112</v>
      </c>
      <c r="H140" s="75">
        <v>1</v>
      </c>
      <c r="I140" s="76"/>
      <c r="J140" s="96"/>
      <c r="K140" s="77"/>
      <c r="L140" s="77"/>
      <c r="M140" s="38">
        <f t="shared" si="4"/>
        <v>0</v>
      </c>
      <c r="N140" s="100"/>
      <c r="O140" s="81"/>
      <c r="P140" s="81"/>
      <c r="Q140" s="79">
        <f t="shared" si="3"/>
        <v>0</v>
      </c>
    </row>
    <row r="141" spans="1:17" s="13" customFormat="1" ht="15.75" x14ac:dyDescent="0.25">
      <c r="A141" s="10"/>
      <c r="B141" s="27" t="s">
        <v>86</v>
      </c>
      <c r="C141" s="1" t="s">
        <v>17</v>
      </c>
      <c r="D141" s="120"/>
      <c r="E141" s="17" t="s">
        <v>20</v>
      </c>
      <c r="F141" s="73" t="s">
        <v>396</v>
      </c>
      <c r="G141" s="74" t="s">
        <v>112</v>
      </c>
      <c r="H141" s="75">
        <v>2</v>
      </c>
      <c r="I141" s="76">
        <v>1</v>
      </c>
      <c r="J141" s="96">
        <f>1</f>
        <v>1</v>
      </c>
      <c r="K141" s="77"/>
      <c r="L141" s="77"/>
      <c r="M141" s="38">
        <f t="shared" si="4"/>
        <v>0</v>
      </c>
      <c r="N141" s="100">
        <f>15+4</f>
        <v>19</v>
      </c>
      <c r="O141" s="81">
        <f>30236.61</f>
        <v>30236.61</v>
      </c>
      <c r="P141" s="81"/>
      <c r="Q141" s="12">
        <f t="shared" si="3"/>
        <v>30236.61</v>
      </c>
    </row>
    <row r="142" spans="1:17" s="13" customFormat="1" ht="15.75" x14ac:dyDescent="0.25">
      <c r="A142" s="10"/>
      <c r="B142" s="25" t="s">
        <v>86</v>
      </c>
      <c r="C142" s="1" t="s">
        <v>17</v>
      </c>
      <c r="D142" s="120"/>
      <c r="E142" s="17" t="s">
        <v>20</v>
      </c>
      <c r="F142" s="73" t="s">
        <v>465</v>
      </c>
      <c r="G142" s="11" t="s">
        <v>114</v>
      </c>
      <c r="H142" s="1"/>
      <c r="I142" s="49"/>
      <c r="J142" s="51"/>
      <c r="K142" s="40"/>
      <c r="L142" s="40"/>
      <c r="M142" s="78">
        <f t="shared" si="4"/>
        <v>0</v>
      </c>
      <c r="N142" s="41"/>
      <c r="O142" s="31"/>
      <c r="P142" s="31"/>
      <c r="Q142" s="79">
        <f t="shared" si="3"/>
        <v>0</v>
      </c>
    </row>
    <row r="143" spans="1:17" s="13" customFormat="1" ht="15.75" x14ac:dyDescent="0.25">
      <c r="A143" s="10"/>
      <c r="B143" s="62" t="s">
        <v>87</v>
      </c>
      <c r="C143" s="1" t="s">
        <v>17</v>
      </c>
      <c r="D143" s="120"/>
      <c r="E143" s="17" t="s">
        <v>78</v>
      </c>
      <c r="F143" s="73" t="s">
        <v>142</v>
      </c>
      <c r="G143" s="74" t="s">
        <v>112</v>
      </c>
      <c r="H143" s="75"/>
      <c r="I143" s="76"/>
      <c r="J143" s="96"/>
      <c r="K143" s="77"/>
      <c r="L143" s="77"/>
      <c r="M143" s="38">
        <f t="shared" si="4"/>
        <v>0</v>
      </c>
      <c r="N143" s="100"/>
      <c r="O143" s="81"/>
      <c r="P143" s="81"/>
      <c r="Q143" s="12">
        <f t="shared" ref="Q143:Q183" si="5">O143-P143</f>
        <v>0</v>
      </c>
    </row>
    <row r="144" spans="1:17" s="13" customFormat="1" ht="15.75" x14ac:dyDescent="0.25">
      <c r="A144" s="10"/>
      <c r="B144" s="62" t="s">
        <v>312</v>
      </c>
      <c r="C144" s="1" t="s">
        <v>17</v>
      </c>
      <c r="D144" s="120"/>
      <c r="E144" s="17" t="s">
        <v>20</v>
      </c>
      <c r="F144" s="73" t="s">
        <v>320</v>
      </c>
      <c r="G144" s="74" t="s">
        <v>112</v>
      </c>
      <c r="H144" s="75">
        <v>3</v>
      </c>
      <c r="I144" s="76"/>
      <c r="J144" s="96"/>
      <c r="K144" s="77"/>
      <c r="L144" s="77"/>
      <c r="M144" s="38"/>
      <c r="N144" s="100">
        <f>5+6</f>
        <v>11</v>
      </c>
      <c r="O144" s="81">
        <f>4226.2</f>
        <v>4226.2</v>
      </c>
      <c r="P144" s="81"/>
      <c r="Q144" s="12"/>
    </row>
    <row r="145" spans="1:17" s="13" customFormat="1" ht="15.75" x14ac:dyDescent="0.25">
      <c r="A145" s="10"/>
      <c r="B145" s="30" t="s">
        <v>88</v>
      </c>
      <c r="C145" s="1" t="s">
        <v>17</v>
      </c>
      <c r="D145" s="120"/>
      <c r="E145" s="3" t="s">
        <v>89</v>
      </c>
      <c r="F145" s="73" t="s">
        <v>397</v>
      </c>
      <c r="G145" s="74" t="s">
        <v>112</v>
      </c>
      <c r="H145" s="75"/>
      <c r="I145" s="76"/>
      <c r="J145" s="96"/>
      <c r="K145" s="77"/>
      <c r="L145" s="77"/>
      <c r="M145" s="38">
        <f t="shared" si="4"/>
        <v>0</v>
      </c>
      <c r="N145" s="100">
        <f>4+1</f>
        <v>5</v>
      </c>
      <c r="O145" s="81">
        <f>11967.83</f>
        <v>11967.83</v>
      </c>
      <c r="P145" s="81"/>
      <c r="Q145" s="79">
        <f t="shared" si="5"/>
        <v>11967.83</v>
      </c>
    </row>
    <row r="146" spans="1:17" s="13" customFormat="1" ht="15.75" x14ac:dyDescent="0.25">
      <c r="A146" s="10"/>
      <c r="B146" s="24" t="s">
        <v>88</v>
      </c>
      <c r="C146" s="1" t="s">
        <v>17</v>
      </c>
      <c r="D146" s="120"/>
      <c r="E146" s="3" t="s">
        <v>89</v>
      </c>
      <c r="F146" s="73" t="s">
        <v>442</v>
      </c>
      <c r="G146" s="11" t="s">
        <v>118</v>
      </c>
      <c r="H146" s="1"/>
      <c r="I146" s="49"/>
      <c r="J146" s="46"/>
      <c r="K146" s="40"/>
      <c r="L146" s="40"/>
      <c r="M146" s="38">
        <f t="shared" si="4"/>
        <v>0</v>
      </c>
      <c r="N146" s="41">
        <v>1</v>
      </c>
      <c r="O146" s="31"/>
      <c r="P146" s="31"/>
      <c r="Q146" s="12">
        <f t="shared" si="5"/>
        <v>0</v>
      </c>
    </row>
    <row r="147" spans="1:17" s="13" customFormat="1" ht="15.75" x14ac:dyDescent="0.25">
      <c r="A147" s="10"/>
      <c r="B147" s="30" t="s">
        <v>90</v>
      </c>
      <c r="C147" s="1" t="s">
        <v>17</v>
      </c>
      <c r="D147" s="120"/>
      <c r="E147" s="17" t="s">
        <v>20</v>
      </c>
      <c r="F147" s="73" t="s">
        <v>398</v>
      </c>
      <c r="G147" s="74" t="s">
        <v>112</v>
      </c>
      <c r="H147" s="75">
        <v>1</v>
      </c>
      <c r="I147" s="76"/>
      <c r="J147" s="96"/>
      <c r="K147" s="77"/>
      <c r="L147" s="77"/>
      <c r="M147" s="38">
        <f t="shared" si="4"/>
        <v>0</v>
      </c>
      <c r="N147" s="100"/>
      <c r="O147" s="81"/>
      <c r="P147" s="81"/>
      <c r="Q147" s="79">
        <f t="shared" si="5"/>
        <v>0</v>
      </c>
    </row>
    <row r="148" spans="1:17" s="13" customFormat="1" ht="15.75" x14ac:dyDescent="0.25">
      <c r="A148" s="10"/>
      <c r="B148" s="24" t="s">
        <v>90</v>
      </c>
      <c r="C148" s="1" t="s">
        <v>17</v>
      </c>
      <c r="D148" s="120"/>
      <c r="E148" s="17" t="s">
        <v>20</v>
      </c>
      <c r="F148" s="73" t="s">
        <v>466</v>
      </c>
      <c r="G148" s="11" t="s">
        <v>114</v>
      </c>
      <c r="H148" s="1">
        <v>1</v>
      </c>
      <c r="I148" s="49"/>
      <c r="J148" s="51"/>
      <c r="K148" s="40"/>
      <c r="L148" s="40"/>
      <c r="M148" s="78">
        <f t="shared" si="4"/>
        <v>0</v>
      </c>
      <c r="N148" s="41"/>
      <c r="O148" s="31"/>
      <c r="P148" s="31"/>
      <c r="Q148" s="12">
        <f t="shared" si="5"/>
        <v>0</v>
      </c>
    </row>
    <row r="149" spans="1:17" s="13" customFormat="1" ht="15.75" x14ac:dyDescent="0.25">
      <c r="A149" s="10"/>
      <c r="B149" s="30" t="s">
        <v>91</v>
      </c>
      <c r="C149" s="1" t="s">
        <v>17</v>
      </c>
      <c r="D149" s="120"/>
      <c r="E149" s="17" t="s">
        <v>20</v>
      </c>
      <c r="F149" s="73" t="s">
        <v>399</v>
      </c>
      <c r="G149" s="74" t="s">
        <v>112</v>
      </c>
      <c r="H149" s="75"/>
      <c r="I149" s="76"/>
      <c r="J149" s="96"/>
      <c r="K149" s="77"/>
      <c r="L149" s="77"/>
      <c r="M149" s="38">
        <f t="shared" si="4"/>
        <v>0</v>
      </c>
      <c r="N149" s="100"/>
      <c r="O149" s="81"/>
      <c r="P149" s="81"/>
      <c r="Q149" s="79">
        <f t="shared" si="5"/>
        <v>0</v>
      </c>
    </row>
    <row r="150" spans="1:17" s="13" customFormat="1" ht="15.75" x14ac:dyDescent="0.25">
      <c r="A150" s="10">
        <v>93</v>
      </c>
      <c r="B150" s="22" t="s">
        <v>138</v>
      </c>
      <c r="C150" s="1" t="s">
        <v>17</v>
      </c>
      <c r="D150" s="120"/>
      <c r="E150" s="17" t="s">
        <v>20</v>
      </c>
      <c r="F150" s="73" t="s">
        <v>467</v>
      </c>
      <c r="G150" s="11" t="s">
        <v>114</v>
      </c>
      <c r="H150" s="1">
        <v>1</v>
      </c>
      <c r="I150" s="49"/>
      <c r="J150" s="51"/>
      <c r="K150" s="37"/>
      <c r="L150" s="37"/>
      <c r="M150" s="78">
        <f t="shared" si="4"/>
        <v>0</v>
      </c>
      <c r="N150" s="39"/>
      <c r="O150" s="31"/>
      <c r="P150" s="31"/>
      <c r="Q150" s="12">
        <f t="shared" si="5"/>
        <v>0</v>
      </c>
    </row>
    <row r="151" spans="1:17" s="13" customFormat="1" ht="15.75" x14ac:dyDescent="0.25">
      <c r="A151" s="10"/>
      <c r="B151" s="62" t="s">
        <v>138</v>
      </c>
      <c r="C151" s="1" t="s">
        <v>17</v>
      </c>
      <c r="D151" s="120"/>
      <c r="E151" s="17" t="s">
        <v>20</v>
      </c>
      <c r="F151" s="73" t="s">
        <v>400</v>
      </c>
      <c r="G151" s="74" t="s">
        <v>112</v>
      </c>
      <c r="H151" s="75">
        <v>1</v>
      </c>
      <c r="I151" s="82"/>
      <c r="J151" s="96"/>
      <c r="K151" s="77"/>
      <c r="L151" s="77"/>
      <c r="M151" s="38">
        <f t="shared" si="4"/>
        <v>0</v>
      </c>
      <c r="N151" s="100">
        <f>5</f>
        <v>5</v>
      </c>
      <c r="O151" s="81"/>
      <c r="P151" s="81"/>
      <c r="Q151" s="79">
        <f t="shared" si="5"/>
        <v>0</v>
      </c>
    </row>
    <row r="152" spans="1:17" s="13" customFormat="1" ht="15.75" x14ac:dyDescent="0.25">
      <c r="A152" s="10"/>
      <c r="B152" s="62" t="s">
        <v>157</v>
      </c>
      <c r="C152" s="1" t="s">
        <v>17</v>
      </c>
      <c r="D152" s="120"/>
      <c r="E152" s="17" t="s">
        <v>20</v>
      </c>
      <c r="F152" s="73" t="s">
        <v>401</v>
      </c>
      <c r="G152" s="74" t="s">
        <v>112</v>
      </c>
      <c r="H152" s="75">
        <v>1</v>
      </c>
      <c r="I152" s="82"/>
      <c r="J152" s="96"/>
      <c r="K152" s="77"/>
      <c r="L152" s="77"/>
      <c r="M152" s="38">
        <f t="shared" ref="M152:M182" si="6">K152-L152</f>
        <v>0</v>
      </c>
      <c r="N152" s="100"/>
      <c r="O152" s="81"/>
      <c r="P152" s="81"/>
      <c r="Q152" s="12">
        <f t="shared" si="5"/>
        <v>0</v>
      </c>
    </row>
    <row r="153" spans="1:17" s="13" customFormat="1" ht="15.75" x14ac:dyDescent="0.25">
      <c r="A153" s="10"/>
      <c r="B153" s="22" t="s">
        <v>157</v>
      </c>
      <c r="C153" s="1" t="s">
        <v>17</v>
      </c>
      <c r="D153" s="120"/>
      <c r="E153" s="17" t="s">
        <v>20</v>
      </c>
      <c r="F153" s="73"/>
      <c r="G153" s="11" t="s">
        <v>114</v>
      </c>
      <c r="H153" s="1"/>
      <c r="I153" s="49"/>
      <c r="J153" s="51"/>
      <c r="K153" s="37"/>
      <c r="L153" s="37"/>
      <c r="M153" s="38">
        <f t="shared" si="6"/>
        <v>0</v>
      </c>
      <c r="N153" s="39"/>
      <c r="O153" s="31"/>
      <c r="P153" s="31"/>
      <c r="Q153" s="79">
        <f t="shared" si="5"/>
        <v>0</v>
      </c>
    </row>
    <row r="154" spans="1:17" s="15" customFormat="1" ht="15.75" x14ac:dyDescent="0.25">
      <c r="A154" s="14"/>
      <c r="B154" s="80" t="s">
        <v>92</v>
      </c>
      <c r="C154" s="1" t="s">
        <v>17</v>
      </c>
      <c r="D154" s="120"/>
      <c r="E154" s="17" t="s">
        <v>20</v>
      </c>
      <c r="F154" s="73" t="s">
        <v>402</v>
      </c>
      <c r="G154" s="74" t="s">
        <v>112</v>
      </c>
      <c r="H154" s="75">
        <v>2</v>
      </c>
      <c r="I154" s="76"/>
      <c r="J154" s="96"/>
      <c r="K154" s="77"/>
      <c r="L154" s="77"/>
      <c r="M154" s="38">
        <f t="shared" si="6"/>
        <v>0</v>
      </c>
      <c r="N154" s="100">
        <f>4</f>
        <v>4</v>
      </c>
      <c r="O154" s="81">
        <f>12624.74</f>
        <v>12624.74</v>
      </c>
      <c r="P154" s="81">
        <f>12624.74</f>
        <v>12624.74</v>
      </c>
      <c r="Q154" s="12">
        <f t="shared" si="5"/>
        <v>0</v>
      </c>
    </row>
    <row r="155" spans="1:17" s="15" customFormat="1" ht="15.75" x14ac:dyDescent="0.25">
      <c r="A155" s="14"/>
      <c r="B155" s="23" t="s">
        <v>92</v>
      </c>
      <c r="C155" s="1" t="s">
        <v>17</v>
      </c>
      <c r="D155" s="120"/>
      <c r="E155" s="17" t="s">
        <v>20</v>
      </c>
      <c r="F155" s="73" t="s">
        <v>129</v>
      </c>
      <c r="G155" s="11" t="s">
        <v>114</v>
      </c>
      <c r="H155" s="1"/>
      <c r="I155" s="49"/>
      <c r="J155" s="51"/>
      <c r="K155" s="40"/>
      <c r="L155" s="40"/>
      <c r="M155" s="38">
        <f t="shared" si="6"/>
        <v>0</v>
      </c>
      <c r="N155" s="39"/>
      <c r="O155" s="31"/>
      <c r="P155" s="31"/>
      <c r="Q155" s="79">
        <f t="shared" si="5"/>
        <v>0</v>
      </c>
    </row>
    <row r="156" spans="1:17" s="13" customFormat="1" ht="15.75" x14ac:dyDescent="0.25">
      <c r="A156" s="10"/>
      <c r="B156" s="30" t="s">
        <v>93</v>
      </c>
      <c r="C156" s="1" t="s">
        <v>17</v>
      </c>
      <c r="D156" s="120"/>
      <c r="E156" s="3" t="s">
        <v>94</v>
      </c>
      <c r="F156" s="73" t="s">
        <v>403</v>
      </c>
      <c r="G156" s="74" t="s">
        <v>112</v>
      </c>
      <c r="H156" s="75">
        <v>7</v>
      </c>
      <c r="I156" s="76"/>
      <c r="J156" s="96"/>
      <c r="K156" s="77"/>
      <c r="L156" s="77"/>
      <c r="M156" s="38">
        <f t="shared" si="6"/>
        <v>0</v>
      </c>
      <c r="N156" s="100"/>
      <c r="O156" s="81"/>
      <c r="P156" s="81"/>
      <c r="Q156" s="12">
        <f t="shared" si="5"/>
        <v>0</v>
      </c>
    </row>
    <row r="157" spans="1:17" s="13" customFormat="1" ht="15.75" x14ac:dyDescent="0.25">
      <c r="A157" s="10"/>
      <c r="B157" s="24" t="s">
        <v>93</v>
      </c>
      <c r="C157" s="1" t="s">
        <v>17</v>
      </c>
      <c r="D157" s="120"/>
      <c r="E157" s="3" t="s">
        <v>94</v>
      </c>
      <c r="F157" s="73" t="s">
        <v>130</v>
      </c>
      <c r="G157" s="11" t="s">
        <v>114</v>
      </c>
      <c r="H157" s="1"/>
      <c r="I157" s="49"/>
      <c r="J157" s="51"/>
      <c r="K157" s="40"/>
      <c r="L157" s="77"/>
      <c r="M157" s="38">
        <f t="shared" si="6"/>
        <v>0</v>
      </c>
      <c r="N157" s="41"/>
      <c r="O157" s="31"/>
      <c r="P157" s="31"/>
      <c r="Q157" s="79">
        <f t="shared" si="5"/>
        <v>0</v>
      </c>
    </row>
    <row r="158" spans="1:17" s="13" customFormat="1" ht="15.75" x14ac:dyDescent="0.25">
      <c r="A158" s="10"/>
      <c r="B158" s="24" t="s">
        <v>93</v>
      </c>
      <c r="C158" s="1" t="s">
        <v>17</v>
      </c>
      <c r="D158" s="120"/>
      <c r="E158" s="3" t="s">
        <v>94</v>
      </c>
      <c r="F158" s="73" t="s">
        <v>240</v>
      </c>
      <c r="G158" s="11" t="s">
        <v>118</v>
      </c>
      <c r="H158" s="1"/>
      <c r="I158" s="49"/>
      <c r="J158" s="46"/>
      <c r="K158" s="40"/>
      <c r="L158" s="40"/>
      <c r="M158" s="78">
        <f t="shared" si="6"/>
        <v>0</v>
      </c>
      <c r="N158" s="41"/>
      <c r="O158" s="31"/>
      <c r="P158" s="31"/>
      <c r="Q158" s="12">
        <f t="shared" si="5"/>
        <v>0</v>
      </c>
    </row>
    <row r="159" spans="1:17" s="13" customFormat="1" ht="15.75" x14ac:dyDescent="0.25">
      <c r="A159" s="10"/>
      <c r="B159" s="30" t="s">
        <v>95</v>
      </c>
      <c r="C159" s="1" t="s">
        <v>17</v>
      </c>
      <c r="D159" s="120"/>
      <c r="E159" s="17" t="s">
        <v>20</v>
      </c>
      <c r="F159" s="73" t="s">
        <v>404</v>
      </c>
      <c r="G159" s="74" t="s">
        <v>112</v>
      </c>
      <c r="H159" s="75">
        <v>1</v>
      </c>
      <c r="I159" s="76"/>
      <c r="J159" s="96"/>
      <c r="K159" s="77"/>
      <c r="L159" s="77"/>
      <c r="M159" s="38">
        <f t="shared" si="6"/>
        <v>0</v>
      </c>
      <c r="N159" s="100">
        <f>1</f>
        <v>1</v>
      </c>
      <c r="O159" s="81">
        <f>11603.82</f>
        <v>11603.82</v>
      </c>
      <c r="P159" s="81"/>
      <c r="Q159" s="79">
        <f t="shared" si="5"/>
        <v>11603.82</v>
      </c>
    </row>
    <row r="160" spans="1:17" s="13" customFormat="1" ht="15.75" x14ac:dyDescent="0.25">
      <c r="A160" s="10"/>
      <c r="B160" s="24" t="s">
        <v>95</v>
      </c>
      <c r="C160" s="1" t="s">
        <v>17</v>
      </c>
      <c r="D160" s="120"/>
      <c r="E160" s="17" t="s">
        <v>20</v>
      </c>
      <c r="F160" s="73" t="s">
        <v>291</v>
      </c>
      <c r="G160" s="11" t="s">
        <v>114</v>
      </c>
      <c r="H160" s="1"/>
      <c r="I160" s="49"/>
      <c r="J160" s="51"/>
      <c r="K160" s="40"/>
      <c r="L160" s="40"/>
      <c r="M160" s="78">
        <f t="shared" si="6"/>
        <v>0</v>
      </c>
      <c r="N160" s="41"/>
      <c r="O160" s="31"/>
      <c r="P160" s="31"/>
      <c r="Q160" s="12">
        <f t="shared" si="5"/>
        <v>0</v>
      </c>
    </row>
    <row r="161" spans="1:17" s="13" customFormat="1" ht="15.75" x14ac:dyDescent="0.25">
      <c r="A161" s="10"/>
      <c r="B161" s="30" t="s">
        <v>96</v>
      </c>
      <c r="C161" s="1" t="s">
        <v>17</v>
      </c>
      <c r="D161" s="120"/>
      <c r="E161" s="17" t="s">
        <v>97</v>
      </c>
      <c r="F161" s="73" t="s">
        <v>405</v>
      </c>
      <c r="G161" s="74" t="s">
        <v>112</v>
      </c>
      <c r="H161" s="75"/>
      <c r="I161" s="76"/>
      <c r="J161" s="96"/>
      <c r="K161" s="77"/>
      <c r="L161" s="77"/>
      <c r="M161" s="38">
        <f t="shared" si="6"/>
        <v>0</v>
      </c>
      <c r="N161" s="103">
        <f>1</f>
        <v>1</v>
      </c>
      <c r="O161" s="77"/>
      <c r="P161" s="77"/>
      <c r="Q161" s="79">
        <f t="shared" si="5"/>
        <v>0</v>
      </c>
    </row>
    <row r="162" spans="1:17" s="13" customFormat="1" ht="15.75" x14ac:dyDescent="0.25">
      <c r="A162" s="10"/>
      <c r="B162" s="24" t="s">
        <v>96</v>
      </c>
      <c r="C162" s="1" t="s">
        <v>17</v>
      </c>
      <c r="D162" s="120"/>
      <c r="E162" s="17" t="s">
        <v>97</v>
      </c>
      <c r="F162" s="73" t="s">
        <v>468</v>
      </c>
      <c r="G162" s="11" t="s">
        <v>114</v>
      </c>
      <c r="H162" s="1">
        <v>1</v>
      </c>
      <c r="I162" s="49"/>
      <c r="J162" s="51"/>
      <c r="K162" s="40"/>
      <c r="L162" s="40"/>
      <c r="M162" s="78">
        <f t="shared" si="6"/>
        <v>0</v>
      </c>
      <c r="N162" s="41"/>
      <c r="O162" s="31"/>
      <c r="P162" s="31"/>
      <c r="Q162" s="12">
        <f t="shared" si="5"/>
        <v>0</v>
      </c>
    </row>
    <row r="163" spans="1:17" s="13" customFormat="1" ht="15.75" x14ac:dyDescent="0.25">
      <c r="A163" s="10"/>
      <c r="B163" s="30" t="s">
        <v>98</v>
      </c>
      <c r="C163" s="1" t="s">
        <v>17</v>
      </c>
      <c r="D163" s="120"/>
      <c r="E163" s="17" t="s">
        <v>35</v>
      </c>
      <c r="F163" s="73" t="s">
        <v>406</v>
      </c>
      <c r="G163" s="74" t="s">
        <v>112</v>
      </c>
      <c r="H163" s="75">
        <v>3</v>
      </c>
      <c r="I163" s="76"/>
      <c r="J163" s="96"/>
      <c r="K163" s="77"/>
      <c r="L163" s="77"/>
      <c r="M163" s="38">
        <f t="shared" si="6"/>
        <v>0</v>
      </c>
      <c r="N163" s="100">
        <f>9+1</f>
        <v>10</v>
      </c>
      <c r="O163" s="81">
        <f>17007.01</f>
        <v>17007.009999999998</v>
      </c>
      <c r="P163" s="81"/>
      <c r="Q163" s="79">
        <f t="shared" si="5"/>
        <v>17007.009999999998</v>
      </c>
    </row>
    <row r="164" spans="1:17" s="13" customFormat="1" ht="15.75" x14ac:dyDescent="0.25">
      <c r="A164" s="10"/>
      <c r="B164" s="24" t="s">
        <v>98</v>
      </c>
      <c r="C164" s="1" t="s">
        <v>17</v>
      </c>
      <c r="D164" s="120"/>
      <c r="E164" s="17" t="s">
        <v>35</v>
      </c>
      <c r="F164" s="73" t="s">
        <v>435</v>
      </c>
      <c r="G164" s="8" t="s">
        <v>117</v>
      </c>
      <c r="H164" s="1">
        <v>1</v>
      </c>
      <c r="I164" s="49"/>
      <c r="J164" s="46"/>
      <c r="K164" s="40"/>
      <c r="L164" s="40"/>
      <c r="M164" s="78">
        <f t="shared" si="6"/>
        <v>0</v>
      </c>
      <c r="N164" s="41">
        <f>4</f>
        <v>4</v>
      </c>
      <c r="O164" s="40"/>
      <c r="P164" s="40"/>
      <c r="Q164" s="12">
        <f t="shared" si="5"/>
        <v>0</v>
      </c>
    </row>
    <row r="165" spans="1:17" s="15" customFormat="1" ht="15.75" x14ac:dyDescent="0.25">
      <c r="A165" s="14"/>
      <c r="B165" s="84" t="s">
        <v>99</v>
      </c>
      <c r="C165" s="1" t="s">
        <v>17</v>
      </c>
      <c r="D165" s="120"/>
      <c r="E165" s="3" t="s">
        <v>32</v>
      </c>
      <c r="F165" s="73" t="s">
        <v>418</v>
      </c>
      <c r="G165" s="74" t="s">
        <v>112</v>
      </c>
      <c r="H165" s="75"/>
      <c r="I165" s="76"/>
      <c r="J165" s="96"/>
      <c r="K165" s="77"/>
      <c r="L165" s="77"/>
      <c r="M165" s="38">
        <f t="shared" si="6"/>
        <v>0</v>
      </c>
      <c r="N165" s="100"/>
      <c r="O165" s="81"/>
      <c r="P165" s="81"/>
      <c r="Q165" s="79">
        <f t="shared" si="5"/>
        <v>0</v>
      </c>
    </row>
    <row r="166" spans="1:17" s="15" customFormat="1" ht="15.75" x14ac:dyDescent="0.25">
      <c r="A166" s="14"/>
      <c r="B166" s="29" t="s">
        <v>99</v>
      </c>
      <c r="C166" s="1" t="s">
        <v>17</v>
      </c>
      <c r="D166" s="120"/>
      <c r="E166" s="3" t="s">
        <v>32</v>
      </c>
      <c r="F166" s="73" t="s">
        <v>423</v>
      </c>
      <c r="G166" s="8" t="s">
        <v>117</v>
      </c>
      <c r="H166" s="1"/>
      <c r="I166" s="49"/>
      <c r="J166" s="51"/>
      <c r="K166" s="40"/>
      <c r="L166" s="40"/>
      <c r="M166" s="78">
        <f t="shared" si="6"/>
        <v>0</v>
      </c>
      <c r="N166" s="39"/>
      <c r="O166" s="40"/>
      <c r="P166" s="40"/>
      <c r="Q166" s="12">
        <f t="shared" si="5"/>
        <v>0</v>
      </c>
    </row>
    <row r="167" spans="1:17" s="15" customFormat="1" ht="31.5" x14ac:dyDescent="0.25">
      <c r="A167" s="14"/>
      <c r="B167" s="30" t="s">
        <v>144</v>
      </c>
      <c r="C167" s="1" t="s">
        <v>304</v>
      </c>
      <c r="D167" s="120" t="s">
        <v>313</v>
      </c>
      <c r="E167" s="17" t="s">
        <v>97</v>
      </c>
      <c r="F167" s="73" t="s">
        <v>407</v>
      </c>
      <c r="G167" s="66" t="s">
        <v>112</v>
      </c>
      <c r="H167" s="75">
        <v>4</v>
      </c>
      <c r="I167" s="76">
        <v>2</v>
      </c>
      <c r="J167" s="96">
        <f>2</f>
        <v>2</v>
      </c>
      <c r="K167" s="77"/>
      <c r="L167" s="77"/>
      <c r="M167" s="38">
        <f t="shared" si="6"/>
        <v>0</v>
      </c>
      <c r="N167" s="100">
        <f>3+2</f>
        <v>5</v>
      </c>
      <c r="O167" s="77">
        <f>5020.57</f>
        <v>5020.57</v>
      </c>
      <c r="P167" s="77"/>
      <c r="Q167" s="79">
        <f t="shared" si="5"/>
        <v>5020.57</v>
      </c>
    </row>
    <row r="168" spans="1:17" s="15" customFormat="1" ht="31.5" x14ac:dyDescent="0.25">
      <c r="A168" s="14"/>
      <c r="B168" s="34" t="s">
        <v>144</v>
      </c>
      <c r="C168" s="1" t="s">
        <v>446</v>
      </c>
      <c r="D168" s="120" t="s">
        <v>313</v>
      </c>
      <c r="E168" s="3" t="s">
        <v>20</v>
      </c>
      <c r="F168" s="73" t="s">
        <v>447</v>
      </c>
      <c r="G168" s="8" t="s">
        <v>114</v>
      </c>
      <c r="H168" s="1">
        <v>2</v>
      </c>
      <c r="I168" s="49"/>
      <c r="J168" s="51"/>
      <c r="K168" s="40"/>
      <c r="L168" s="40"/>
      <c r="M168" s="78">
        <f t="shared" si="6"/>
        <v>0</v>
      </c>
      <c r="N168" s="42"/>
      <c r="O168" s="31"/>
      <c r="P168" s="31"/>
      <c r="Q168" s="12">
        <f t="shared" si="5"/>
        <v>0</v>
      </c>
    </row>
    <row r="169" spans="1:17" s="21" customFormat="1" ht="47.25" x14ac:dyDescent="0.25">
      <c r="A169" s="1"/>
      <c r="B169" s="30" t="s">
        <v>100</v>
      </c>
      <c r="C169" s="1" t="s">
        <v>304</v>
      </c>
      <c r="D169" s="120" t="s">
        <v>416</v>
      </c>
      <c r="E169" s="17" t="s">
        <v>20</v>
      </c>
      <c r="F169" s="73" t="s">
        <v>408</v>
      </c>
      <c r="G169" s="27" t="s">
        <v>112</v>
      </c>
      <c r="H169" s="75">
        <v>2</v>
      </c>
      <c r="I169" s="76"/>
      <c r="J169" s="98"/>
      <c r="K169" s="86"/>
      <c r="L169" s="86"/>
      <c r="M169" s="38">
        <f t="shared" si="6"/>
        <v>0</v>
      </c>
      <c r="N169" s="100">
        <f>1</f>
        <v>1</v>
      </c>
      <c r="O169" s="87"/>
      <c r="P169" s="87"/>
      <c r="Q169" s="79">
        <f t="shared" si="5"/>
        <v>0</v>
      </c>
    </row>
    <row r="170" spans="1:17" s="21" customFormat="1" ht="47.25" x14ac:dyDescent="0.25">
      <c r="A170" s="1"/>
      <c r="B170" s="24" t="s">
        <v>100</v>
      </c>
      <c r="C170" s="18" t="s">
        <v>125</v>
      </c>
      <c r="D170" s="120" t="s">
        <v>126</v>
      </c>
      <c r="E170" s="17" t="s">
        <v>20</v>
      </c>
      <c r="F170" s="73" t="s">
        <v>266</v>
      </c>
      <c r="G170" s="20" t="s">
        <v>114</v>
      </c>
      <c r="H170" s="1">
        <v>1</v>
      </c>
      <c r="I170" s="53"/>
      <c r="J170" s="52"/>
      <c r="K170" s="55"/>
      <c r="L170" s="55"/>
      <c r="M170" s="78">
        <f t="shared" si="6"/>
        <v>0</v>
      </c>
      <c r="N170" s="41"/>
      <c r="O170" s="54"/>
      <c r="P170" s="54"/>
      <c r="Q170" s="12">
        <f t="shared" si="5"/>
        <v>0</v>
      </c>
    </row>
    <row r="171" spans="1:17" s="13" customFormat="1" ht="15.75" x14ac:dyDescent="0.25">
      <c r="A171" s="10"/>
      <c r="B171" s="62" t="s">
        <v>101</v>
      </c>
      <c r="C171" s="1" t="s">
        <v>17</v>
      </c>
      <c r="D171" s="120"/>
      <c r="E171" s="17" t="s">
        <v>20</v>
      </c>
      <c r="F171" s="73" t="s">
        <v>409</v>
      </c>
      <c r="G171" s="74" t="s">
        <v>112</v>
      </c>
      <c r="H171" s="75">
        <v>1</v>
      </c>
      <c r="I171" s="76"/>
      <c r="J171" s="96"/>
      <c r="K171" s="77"/>
      <c r="L171" s="77"/>
      <c r="M171" s="38">
        <f t="shared" si="6"/>
        <v>0</v>
      </c>
      <c r="N171" s="100">
        <f>5</f>
        <v>5</v>
      </c>
      <c r="O171" s="81"/>
      <c r="P171" s="81"/>
      <c r="Q171" s="79">
        <f t="shared" si="5"/>
        <v>0</v>
      </c>
    </row>
    <row r="172" spans="1:17" s="13" customFormat="1" ht="15.75" x14ac:dyDescent="0.25">
      <c r="A172" s="10"/>
      <c r="B172" s="62" t="s">
        <v>146</v>
      </c>
      <c r="C172" s="1" t="s">
        <v>17</v>
      </c>
      <c r="D172" s="120"/>
      <c r="E172" s="17" t="s">
        <v>20</v>
      </c>
      <c r="F172" s="73" t="s">
        <v>410</v>
      </c>
      <c r="G172" s="74" t="s">
        <v>112</v>
      </c>
      <c r="H172" s="75">
        <v>3</v>
      </c>
      <c r="I172" s="76"/>
      <c r="J172" s="96"/>
      <c r="K172" s="77"/>
      <c r="L172" s="77"/>
      <c r="M172" s="38">
        <f t="shared" si="6"/>
        <v>0</v>
      </c>
      <c r="N172" s="100">
        <f>5</f>
        <v>5</v>
      </c>
      <c r="O172" s="81">
        <f>13579.06</f>
        <v>13579.06</v>
      </c>
      <c r="P172" s="81"/>
      <c r="Q172" s="12">
        <f t="shared" si="5"/>
        <v>13579.06</v>
      </c>
    </row>
    <row r="173" spans="1:17" s="13" customFormat="1" ht="15.75" x14ac:dyDescent="0.25">
      <c r="A173" s="10"/>
      <c r="B173" s="22" t="s">
        <v>146</v>
      </c>
      <c r="C173" s="1" t="s">
        <v>17</v>
      </c>
      <c r="D173" s="120"/>
      <c r="E173" s="3" t="s">
        <v>21</v>
      </c>
      <c r="F173" s="73" t="s">
        <v>443</v>
      </c>
      <c r="G173" s="11" t="s">
        <v>118</v>
      </c>
      <c r="H173" s="1"/>
      <c r="I173" s="47"/>
      <c r="J173" s="51"/>
      <c r="K173" s="37"/>
      <c r="L173" s="37"/>
      <c r="M173" s="38">
        <f t="shared" si="6"/>
        <v>0</v>
      </c>
      <c r="N173" s="39">
        <v>3</v>
      </c>
      <c r="O173" s="31">
        <v>3035.18</v>
      </c>
      <c r="P173" s="31"/>
      <c r="Q173" s="79">
        <f t="shared" si="5"/>
        <v>3035.18</v>
      </c>
    </row>
    <row r="174" spans="1:17" s="13" customFormat="1" ht="15.75" x14ac:dyDescent="0.25">
      <c r="A174" s="10"/>
      <c r="B174" s="27" t="s">
        <v>102</v>
      </c>
      <c r="C174" s="1" t="s">
        <v>17</v>
      </c>
      <c r="D174" s="120"/>
      <c r="E174" s="17" t="s">
        <v>20</v>
      </c>
      <c r="F174" s="73" t="s">
        <v>411</v>
      </c>
      <c r="G174" s="74" t="s">
        <v>112</v>
      </c>
      <c r="H174" s="75">
        <v>2</v>
      </c>
      <c r="I174" s="76"/>
      <c r="J174" s="96">
        <f>1</f>
        <v>1</v>
      </c>
      <c r="K174" s="77"/>
      <c r="L174" s="77"/>
      <c r="M174" s="38">
        <f t="shared" si="6"/>
        <v>0</v>
      </c>
      <c r="N174" s="100">
        <f>3</f>
        <v>3</v>
      </c>
      <c r="O174" s="81"/>
      <c r="P174" s="81"/>
      <c r="Q174" s="12">
        <f t="shared" si="5"/>
        <v>0</v>
      </c>
    </row>
    <row r="175" spans="1:17" s="13" customFormat="1" ht="15.75" x14ac:dyDescent="0.25">
      <c r="A175" s="10"/>
      <c r="B175" s="25" t="s">
        <v>102</v>
      </c>
      <c r="C175" s="1" t="s">
        <v>17</v>
      </c>
      <c r="D175" s="120"/>
      <c r="E175" s="17" t="s">
        <v>20</v>
      </c>
      <c r="F175" s="73" t="s">
        <v>469</v>
      </c>
      <c r="G175" s="11" t="s">
        <v>114</v>
      </c>
      <c r="H175" s="1"/>
      <c r="I175" s="58"/>
      <c r="J175" s="51"/>
      <c r="K175" s="40"/>
      <c r="L175" s="40"/>
      <c r="M175" s="38">
        <f t="shared" si="6"/>
        <v>0</v>
      </c>
      <c r="N175" s="41"/>
      <c r="O175" s="31"/>
      <c r="P175" s="31"/>
      <c r="Q175" s="79">
        <f t="shared" si="5"/>
        <v>0</v>
      </c>
    </row>
    <row r="176" spans="1:17" s="13" customFormat="1" ht="15.75" x14ac:dyDescent="0.25">
      <c r="A176" s="10"/>
      <c r="B176" s="27" t="s">
        <v>103</v>
      </c>
      <c r="C176" s="1" t="s">
        <v>17</v>
      </c>
      <c r="D176" s="120"/>
      <c r="E176" s="3" t="s">
        <v>20</v>
      </c>
      <c r="F176" s="73" t="s">
        <v>412</v>
      </c>
      <c r="G176" s="74" t="s">
        <v>112</v>
      </c>
      <c r="H176" s="75">
        <v>2</v>
      </c>
      <c r="I176" s="76"/>
      <c r="J176" s="96"/>
      <c r="K176" s="77"/>
      <c r="L176" s="77"/>
      <c r="M176" s="38">
        <f t="shared" si="6"/>
        <v>0</v>
      </c>
      <c r="N176" s="100">
        <f>7</f>
        <v>7</v>
      </c>
      <c r="O176" s="81"/>
      <c r="P176" s="81"/>
      <c r="Q176" s="12">
        <f t="shared" si="5"/>
        <v>0</v>
      </c>
    </row>
    <row r="177" spans="1:17" s="13" customFormat="1" ht="15.75" x14ac:dyDescent="0.25">
      <c r="A177" s="10"/>
      <c r="B177" s="25" t="s">
        <v>103</v>
      </c>
      <c r="C177" s="1" t="s">
        <v>17</v>
      </c>
      <c r="D177" s="120"/>
      <c r="E177" s="3" t="s">
        <v>20</v>
      </c>
      <c r="F177" s="73" t="s">
        <v>470</v>
      </c>
      <c r="G177" s="11" t="s">
        <v>114</v>
      </c>
      <c r="H177" s="1">
        <v>1</v>
      </c>
      <c r="I177" s="49"/>
      <c r="J177" s="51"/>
      <c r="K177" s="40"/>
      <c r="L177" s="40"/>
      <c r="M177" s="38">
        <f t="shared" si="6"/>
        <v>0</v>
      </c>
      <c r="N177" s="41"/>
      <c r="O177" s="31"/>
      <c r="P177" s="31"/>
      <c r="Q177" s="79">
        <f t="shared" si="5"/>
        <v>0</v>
      </c>
    </row>
    <row r="178" spans="1:17" s="15" customFormat="1" ht="15.75" x14ac:dyDescent="0.25">
      <c r="A178" s="14"/>
      <c r="B178" s="28" t="s">
        <v>104</v>
      </c>
      <c r="C178" s="1" t="s">
        <v>17</v>
      </c>
      <c r="D178" s="120"/>
      <c r="E178" s="3" t="s">
        <v>20</v>
      </c>
      <c r="F178" s="73" t="s">
        <v>413</v>
      </c>
      <c r="G178" s="74" t="s">
        <v>112</v>
      </c>
      <c r="H178" s="75">
        <v>2</v>
      </c>
      <c r="I178" s="76"/>
      <c r="J178" s="96"/>
      <c r="K178" s="77"/>
      <c r="L178" s="77"/>
      <c r="M178" s="38">
        <f t="shared" si="6"/>
        <v>0</v>
      </c>
      <c r="N178" s="100">
        <f>4</f>
        <v>4</v>
      </c>
      <c r="O178" s="81">
        <f>7086.22</f>
        <v>7086.22</v>
      </c>
      <c r="P178" s="81"/>
      <c r="Q178" s="12">
        <f t="shared" si="5"/>
        <v>7086.22</v>
      </c>
    </row>
    <row r="179" spans="1:17" s="15" customFormat="1" ht="15.75" x14ac:dyDescent="0.25">
      <c r="A179" s="14"/>
      <c r="B179" s="26" t="s">
        <v>104</v>
      </c>
      <c r="C179" s="1" t="s">
        <v>17</v>
      </c>
      <c r="D179" s="120"/>
      <c r="E179" s="3" t="s">
        <v>20</v>
      </c>
      <c r="F179" s="73" t="s">
        <v>471</v>
      </c>
      <c r="G179" s="11" t="s">
        <v>114</v>
      </c>
      <c r="H179" s="1">
        <v>3</v>
      </c>
      <c r="I179" s="49"/>
      <c r="J179" s="51"/>
      <c r="K179" s="40"/>
      <c r="L179" s="40"/>
      <c r="M179" s="38">
        <f t="shared" si="6"/>
        <v>0</v>
      </c>
      <c r="N179" s="39"/>
      <c r="O179" s="31"/>
      <c r="P179" s="31"/>
      <c r="Q179" s="79">
        <f t="shared" si="5"/>
        <v>0</v>
      </c>
    </row>
    <row r="180" spans="1:17" s="13" customFormat="1" ht="15.75" x14ac:dyDescent="0.25">
      <c r="A180" s="10"/>
      <c r="B180" s="30" t="s">
        <v>105</v>
      </c>
      <c r="C180" s="1" t="s">
        <v>17</v>
      </c>
      <c r="D180" s="120"/>
      <c r="E180" s="17" t="s">
        <v>35</v>
      </c>
      <c r="F180" s="73" t="s">
        <v>419</v>
      </c>
      <c r="G180" s="74" t="s">
        <v>112</v>
      </c>
      <c r="H180" s="75"/>
      <c r="I180" s="76"/>
      <c r="J180" s="96"/>
      <c r="K180" s="77"/>
      <c r="L180" s="77"/>
      <c r="M180" s="38">
        <f t="shared" si="6"/>
        <v>0</v>
      </c>
      <c r="N180" s="100"/>
      <c r="O180" s="81"/>
      <c r="P180" s="81"/>
      <c r="Q180" s="12">
        <f t="shared" si="5"/>
        <v>0</v>
      </c>
    </row>
    <row r="181" spans="1:17" s="13" customFormat="1" ht="15.75" x14ac:dyDescent="0.25">
      <c r="A181" s="10"/>
      <c r="B181" s="24" t="s">
        <v>105</v>
      </c>
      <c r="C181" s="1" t="s">
        <v>17</v>
      </c>
      <c r="D181" s="120"/>
      <c r="E181" s="17" t="s">
        <v>35</v>
      </c>
      <c r="F181" s="73" t="s">
        <v>436</v>
      </c>
      <c r="G181" s="11" t="s">
        <v>117</v>
      </c>
      <c r="H181" s="1"/>
      <c r="I181" s="47"/>
      <c r="J181" s="46"/>
      <c r="K181" s="40"/>
      <c r="L181" s="40"/>
      <c r="M181" s="38">
        <f t="shared" si="6"/>
        <v>0</v>
      </c>
      <c r="N181" s="41"/>
      <c r="O181" s="31"/>
      <c r="P181" s="31"/>
      <c r="Q181" s="79">
        <f t="shared" si="5"/>
        <v>0</v>
      </c>
    </row>
    <row r="182" spans="1:17" s="13" customFormat="1" ht="15.75" x14ac:dyDescent="0.25">
      <c r="A182" s="10"/>
      <c r="B182" s="62" t="s">
        <v>106</v>
      </c>
      <c r="C182" s="1" t="s">
        <v>17</v>
      </c>
      <c r="D182" s="2"/>
      <c r="E182" s="17" t="s">
        <v>20</v>
      </c>
      <c r="F182" s="73" t="s">
        <v>414</v>
      </c>
      <c r="G182" s="74" t="s">
        <v>112</v>
      </c>
      <c r="H182" s="75">
        <v>2</v>
      </c>
      <c r="I182" s="76"/>
      <c r="J182" s="96"/>
      <c r="K182" s="77"/>
      <c r="L182" s="77"/>
      <c r="M182" s="38">
        <f t="shared" si="6"/>
        <v>0</v>
      </c>
      <c r="N182" s="100">
        <f>3</f>
        <v>3</v>
      </c>
      <c r="O182" s="81"/>
      <c r="P182" s="81"/>
      <c r="Q182" s="12">
        <f t="shared" si="5"/>
        <v>0</v>
      </c>
    </row>
    <row r="183" spans="1:17" ht="15.75" x14ac:dyDescent="0.25">
      <c r="A183" s="7"/>
      <c r="B183" s="32"/>
      <c r="C183" s="107"/>
      <c r="D183" s="33"/>
      <c r="E183" s="33"/>
      <c r="F183" s="8"/>
      <c r="G183" s="8" t="s">
        <v>131</v>
      </c>
      <c r="H183" s="106">
        <f t="shared" ref="H183:P183" si="7">SUM(H10:H182)</f>
        <v>286</v>
      </c>
      <c r="I183" s="59">
        <f t="shared" si="7"/>
        <v>22</v>
      </c>
      <c r="J183" s="43">
        <f t="shared" si="7"/>
        <v>30</v>
      </c>
      <c r="K183" s="56">
        <f t="shared" si="7"/>
        <v>6340</v>
      </c>
      <c r="L183" s="56">
        <f t="shared" si="7"/>
        <v>0</v>
      </c>
      <c r="M183" s="44">
        <f>K183-L183</f>
        <v>6340</v>
      </c>
      <c r="N183" s="43">
        <f t="shared" si="7"/>
        <v>442</v>
      </c>
      <c r="O183" s="57">
        <f t="shared" si="7"/>
        <v>651430.1599999998</v>
      </c>
      <c r="P183" s="57">
        <f t="shared" si="7"/>
        <v>113040.79000000002</v>
      </c>
      <c r="Q183" s="79">
        <f t="shared" si="5"/>
        <v>538389.36999999976</v>
      </c>
    </row>
    <row r="184" spans="1:17" x14ac:dyDescent="0.25">
      <c r="K184" s="91" t="s">
        <v>305</v>
      </c>
    </row>
    <row r="185" spans="1:17" ht="45" x14ac:dyDescent="0.25">
      <c r="B185" s="89" t="s">
        <v>316</v>
      </c>
      <c r="F185" s="104" t="s">
        <v>317</v>
      </c>
    </row>
  </sheetData>
  <mergeCells count="7">
    <mergeCell ref="O1:Q1"/>
    <mergeCell ref="A3:Q3"/>
    <mergeCell ref="A4:Q4"/>
    <mergeCell ref="A5:Q5"/>
    <mergeCell ref="B7:G7"/>
    <mergeCell ref="H7:M7"/>
    <mergeCell ref="N7:Q7"/>
  </mergeCells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204"/>
  <sheetViews>
    <sheetView topLeftCell="A10" workbookViewId="0">
      <selection activeCell="L10" sqref="L10:L196"/>
    </sheetView>
  </sheetViews>
  <sheetFormatPr defaultRowHeight="15" x14ac:dyDescent="0.25"/>
  <cols>
    <col min="1" max="1" width="1.85546875" style="6" customWidth="1"/>
    <col min="2" max="2" width="38.28515625" style="88" customWidth="1"/>
    <col min="3" max="3" width="6.5703125" style="19" hidden="1" customWidth="1"/>
    <col min="4" max="4" width="17.42578125" style="19" hidden="1" customWidth="1"/>
    <col min="5" max="5" width="19" style="19" hidden="1" customWidth="1"/>
    <col min="6" max="6" width="19" style="89" customWidth="1"/>
    <col min="7" max="7" width="20.140625" style="89" customWidth="1"/>
    <col min="8" max="9" width="15.7109375" style="90" hidden="1" customWidth="1"/>
    <col min="10" max="10" width="15.7109375" style="99" hidden="1" customWidth="1"/>
    <col min="11" max="13" width="15.7109375" style="91" customWidth="1"/>
    <col min="14" max="14" width="15.7109375" style="99" hidden="1" customWidth="1"/>
    <col min="15" max="17" width="15.7109375" style="92" customWidth="1"/>
    <col min="18" max="18" width="11" style="6" customWidth="1"/>
    <col min="19" max="19" width="9.140625" style="6"/>
    <col min="20" max="20" width="10.42578125" style="6" bestFit="1" customWidth="1"/>
    <col min="21" max="16384" width="9.140625" style="6"/>
  </cols>
  <sheetData>
    <row r="1" spans="1:17" s="105" customFormat="1" x14ac:dyDescent="0.25">
      <c r="A1" s="60"/>
      <c r="B1" s="60"/>
      <c r="C1" s="225"/>
      <c r="D1" s="225"/>
      <c r="E1" s="225"/>
      <c r="F1" s="63"/>
      <c r="G1" s="63"/>
      <c r="H1" s="64"/>
      <c r="I1" s="64"/>
      <c r="J1" s="93"/>
      <c r="K1" s="65"/>
      <c r="L1" s="65"/>
      <c r="M1" s="65"/>
      <c r="N1" s="93"/>
      <c r="O1" s="362" t="s">
        <v>15</v>
      </c>
      <c r="P1" s="362"/>
      <c r="Q1" s="362"/>
    </row>
    <row r="2" spans="1:17" s="105" customFormat="1" x14ac:dyDescent="0.25">
      <c r="A2" s="356"/>
      <c r="B2" s="356"/>
      <c r="C2" s="357"/>
      <c r="D2" s="357"/>
      <c r="E2" s="357"/>
      <c r="F2" s="66"/>
      <c r="G2" s="66"/>
      <c r="H2" s="355"/>
      <c r="I2" s="355"/>
      <c r="J2" s="94"/>
      <c r="K2" s="67"/>
      <c r="L2" s="67"/>
      <c r="M2" s="67"/>
      <c r="N2" s="94"/>
      <c r="O2" s="68"/>
      <c r="P2" s="68"/>
      <c r="Q2" s="68"/>
    </row>
    <row r="3" spans="1:17" s="105" customFormat="1" x14ac:dyDescent="0.25">
      <c r="A3" s="380" t="s">
        <v>318</v>
      </c>
      <c r="B3" s="367"/>
      <c r="C3" s="380"/>
      <c r="D3" s="380"/>
      <c r="E3" s="380"/>
      <c r="F3" s="367"/>
      <c r="G3" s="367"/>
      <c r="H3" s="366"/>
      <c r="I3" s="366"/>
      <c r="J3" s="367"/>
      <c r="K3" s="367"/>
      <c r="L3" s="367"/>
      <c r="M3" s="367"/>
      <c r="N3" s="367"/>
      <c r="O3" s="367"/>
      <c r="P3" s="367"/>
      <c r="Q3" s="367"/>
    </row>
    <row r="4" spans="1:17" s="105" customFormat="1" x14ac:dyDescent="0.25">
      <c r="A4" s="381">
        <v>43822</v>
      </c>
      <c r="B4" s="373"/>
      <c r="C4" s="382"/>
      <c r="D4" s="382"/>
      <c r="E4" s="382"/>
      <c r="F4" s="373"/>
      <c r="G4" s="373"/>
      <c r="H4" s="372"/>
      <c r="I4" s="372"/>
      <c r="J4" s="373"/>
      <c r="K4" s="373"/>
      <c r="L4" s="373"/>
      <c r="M4" s="373"/>
      <c r="N4" s="373"/>
      <c r="O4" s="373"/>
      <c r="P4" s="373"/>
      <c r="Q4" s="373"/>
    </row>
    <row r="5" spans="1:17" s="105" customFormat="1" x14ac:dyDescent="0.25">
      <c r="A5" s="367" t="s">
        <v>14</v>
      </c>
      <c r="B5" s="367"/>
      <c r="C5" s="367"/>
      <c r="D5" s="367"/>
      <c r="E5" s="367"/>
      <c r="F5" s="367"/>
      <c r="G5" s="367"/>
      <c r="H5" s="366"/>
      <c r="I5" s="366"/>
      <c r="J5" s="367"/>
      <c r="K5" s="367"/>
      <c r="L5" s="367"/>
      <c r="M5" s="367"/>
      <c r="N5" s="367"/>
      <c r="O5" s="367"/>
      <c r="P5" s="367"/>
      <c r="Q5" s="367"/>
    </row>
    <row r="6" spans="1:17" s="105" customFormat="1" x14ac:dyDescent="0.25">
      <c r="A6" s="356"/>
      <c r="B6" s="356"/>
      <c r="C6" s="357"/>
      <c r="D6" s="357"/>
      <c r="E6" s="357"/>
      <c r="F6" s="66"/>
      <c r="G6" s="66"/>
      <c r="H6" s="355"/>
      <c r="I6" s="355"/>
      <c r="J6" s="94"/>
      <c r="K6" s="67"/>
      <c r="L6" s="67"/>
      <c r="M6" s="67"/>
      <c r="N6" s="94"/>
      <c r="O6" s="68"/>
      <c r="P6" s="68"/>
      <c r="Q6" s="68"/>
    </row>
    <row r="7" spans="1:17" x14ac:dyDescent="0.25">
      <c r="A7" s="227" t="s">
        <v>0</v>
      </c>
      <c r="B7" s="367" t="s">
        <v>10</v>
      </c>
      <c r="C7" s="380"/>
      <c r="D7" s="380"/>
      <c r="E7" s="380"/>
      <c r="F7" s="367"/>
      <c r="G7" s="367"/>
      <c r="H7" s="366" t="s">
        <v>472</v>
      </c>
      <c r="I7" s="366"/>
      <c r="J7" s="367"/>
      <c r="K7" s="367"/>
      <c r="L7" s="367"/>
      <c r="M7" s="367"/>
      <c r="N7" s="367" t="s">
        <v>132</v>
      </c>
      <c r="O7" s="367"/>
      <c r="P7" s="367"/>
      <c r="Q7" s="367"/>
    </row>
    <row r="8" spans="1:17" ht="195" x14ac:dyDescent="0.25">
      <c r="A8" s="227"/>
      <c r="B8" s="356" t="s">
        <v>4</v>
      </c>
      <c r="C8" s="357" t="s">
        <v>1</v>
      </c>
      <c r="D8" s="357" t="s">
        <v>3</v>
      </c>
      <c r="E8" s="357" t="s">
        <v>2</v>
      </c>
      <c r="F8" s="356" t="s">
        <v>6</v>
      </c>
      <c r="G8" s="66" t="s">
        <v>5</v>
      </c>
      <c r="H8" s="356" t="s">
        <v>7</v>
      </c>
      <c r="I8" s="356" t="s">
        <v>8</v>
      </c>
      <c r="J8" s="94" t="s">
        <v>9</v>
      </c>
      <c r="K8" s="67" t="s">
        <v>11</v>
      </c>
      <c r="L8" s="67" t="s">
        <v>12</v>
      </c>
      <c r="M8" s="67" t="s">
        <v>13</v>
      </c>
      <c r="N8" s="94" t="s">
        <v>9</v>
      </c>
      <c r="O8" s="68" t="s">
        <v>11</v>
      </c>
      <c r="P8" s="68" t="s">
        <v>12</v>
      </c>
      <c r="Q8" s="68" t="s">
        <v>13</v>
      </c>
    </row>
    <row r="9" spans="1:17" x14ac:dyDescent="0.25">
      <c r="A9" s="228">
        <v>1</v>
      </c>
      <c r="B9" s="61">
        <f>A9+1</f>
        <v>2</v>
      </c>
      <c r="C9" s="228">
        <f t="shared" ref="C9:Q9" si="0">B9+1</f>
        <v>3</v>
      </c>
      <c r="D9" s="228">
        <f t="shared" si="0"/>
        <v>4</v>
      </c>
      <c r="E9" s="228">
        <f t="shared" si="0"/>
        <v>5</v>
      </c>
      <c r="F9" s="69">
        <f t="shared" si="0"/>
        <v>6</v>
      </c>
      <c r="G9" s="69">
        <f t="shared" si="0"/>
        <v>7</v>
      </c>
      <c r="H9" s="70">
        <f t="shared" si="0"/>
        <v>8</v>
      </c>
      <c r="I9" s="70">
        <f t="shared" si="0"/>
        <v>9</v>
      </c>
      <c r="J9" s="95">
        <f t="shared" si="0"/>
        <v>10</v>
      </c>
      <c r="K9" s="71">
        <f t="shared" si="0"/>
        <v>11</v>
      </c>
      <c r="L9" s="71">
        <f t="shared" si="0"/>
        <v>12</v>
      </c>
      <c r="M9" s="71">
        <f t="shared" si="0"/>
        <v>13</v>
      </c>
      <c r="N9" s="95">
        <f t="shared" si="0"/>
        <v>14</v>
      </c>
      <c r="O9" s="72">
        <f t="shared" si="0"/>
        <v>15</v>
      </c>
      <c r="P9" s="72">
        <f t="shared" si="0"/>
        <v>16</v>
      </c>
      <c r="Q9" s="72">
        <f t="shared" si="0"/>
        <v>17</v>
      </c>
    </row>
    <row r="10" spans="1:17" s="13" customFormat="1" ht="30" x14ac:dyDescent="0.25">
      <c r="A10" s="229"/>
      <c r="B10" s="62" t="s">
        <v>16</v>
      </c>
      <c r="C10" s="181" t="s">
        <v>304</v>
      </c>
      <c r="D10" s="182" t="s">
        <v>315</v>
      </c>
      <c r="E10" s="183" t="s">
        <v>18</v>
      </c>
      <c r="F10" s="73" t="s">
        <v>322</v>
      </c>
      <c r="G10" s="74" t="s">
        <v>112</v>
      </c>
      <c r="H10" s="75">
        <v>17</v>
      </c>
      <c r="I10" s="76">
        <v>11</v>
      </c>
      <c r="J10" s="98">
        <f>2+1+3+3+1+3</f>
        <v>13</v>
      </c>
      <c r="K10" s="77">
        <f>4792.51+1138.19+504.26+11366.06+4859.68+3954.5+12023.46+3259.34+6673.56+3108.52</f>
        <v>51680.079999999994</v>
      </c>
      <c r="L10" s="77">
        <f>4792.51+1138.19+504.26+11366.06+4859.68+3954.5+12023.46+3259.34</f>
        <v>41898</v>
      </c>
      <c r="M10" s="78">
        <f t="shared" ref="M10:M77" si="1">K10-L10</f>
        <v>9782.0799999999945</v>
      </c>
      <c r="N10" s="100">
        <f>2+5+1+2+1+1</f>
        <v>12</v>
      </c>
      <c r="O10" s="77">
        <f>9108.77+6924.32+22366.06+8197.52</f>
        <v>46596.67</v>
      </c>
      <c r="P10" s="77">
        <f>9108.77+6924.32+22366.06+8197.52</f>
        <v>46596.67</v>
      </c>
      <c r="Q10" s="79">
        <f>O10-P10</f>
        <v>0</v>
      </c>
    </row>
    <row r="11" spans="1:17" s="13" customFormat="1" ht="30" x14ac:dyDescent="0.25">
      <c r="A11" s="229"/>
      <c r="B11" s="62" t="s">
        <v>16</v>
      </c>
      <c r="C11" s="181" t="s">
        <v>304</v>
      </c>
      <c r="D11" s="182" t="s">
        <v>315</v>
      </c>
      <c r="E11" s="183" t="s">
        <v>18</v>
      </c>
      <c r="F11" s="73" t="s">
        <v>322</v>
      </c>
      <c r="G11" s="230" t="s">
        <v>116</v>
      </c>
      <c r="H11" s="181">
        <v>15</v>
      </c>
      <c r="I11" s="231">
        <v>11</v>
      </c>
      <c r="J11" s="96">
        <v>11</v>
      </c>
      <c r="K11" s="224">
        <v>18636</v>
      </c>
      <c r="L11" s="224">
        <v>15861</v>
      </c>
      <c r="M11" s="78">
        <f t="shared" si="1"/>
        <v>2775</v>
      </c>
      <c r="N11" s="100"/>
      <c r="O11" s="224">
        <v>2945</v>
      </c>
      <c r="P11" s="224">
        <v>2945</v>
      </c>
      <c r="Q11" s="232">
        <f t="shared" ref="Q11:Q81" si="2">O11-P11</f>
        <v>0</v>
      </c>
    </row>
    <row r="12" spans="1:17" s="13" customFormat="1" x14ac:dyDescent="0.25">
      <c r="A12" s="229"/>
      <c r="B12" s="62" t="s">
        <v>490</v>
      </c>
      <c r="C12" s="181" t="s">
        <v>304</v>
      </c>
      <c r="D12" s="182"/>
      <c r="E12" s="183"/>
      <c r="F12" s="189" t="s">
        <v>501</v>
      </c>
      <c r="G12" s="230" t="s">
        <v>112</v>
      </c>
      <c r="H12" s="181">
        <v>24</v>
      </c>
      <c r="I12" s="231">
        <v>19</v>
      </c>
      <c r="J12" s="96">
        <f>5+1+3+1+1+2+2+1+1+2+1</f>
        <v>20</v>
      </c>
      <c r="K12" s="224">
        <f>8352.39+384.2+1463.8+3720.67+546.41+5470.48+13100.4+2207.7+4647.18+8101.05+7814.05+1040.49+3402.36</f>
        <v>60251.18</v>
      </c>
      <c r="L12" s="224">
        <f>8352.39+384.2+1463.8+3720.67+546.41+5470.48+13100.4+2207.7+4647.18</f>
        <v>39893.229999999996</v>
      </c>
      <c r="M12" s="78">
        <f t="shared" si="1"/>
        <v>20357.950000000004</v>
      </c>
      <c r="N12" s="100"/>
      <c r="O12" s="224"/>
      <c r="P12" s="224"/>
      <c r="Q12" s="79">
        <f t="shared" si="2"/>
        <v>0</v>
      </c>
    </row>
    <row r="13" spans="1:17" s="15" customFormat="1" x14ac:dyDescent="0.25">
      <c r="A13" s="229"/>
      <c r="B13" s="62" t="s">
        <v>19</v>
      </c>
      <c r="C13" s="181" t="s">
        <v>17</v>
      </c>
      <c r="D13" s="182"/>
      <c r="E13" s="183" t="s">
        <v>20</v>
      </c>
      <c r="F13" s="73" t="s">
        <v>323</v>
      </c>
      <c r="G13" s="74" t="s">
        <v>112</v>
      </c>
      <c r="H13" s="75">
        <v>18</v>
      </c>
      <c r="I13" s="76">
        <v>15</v>
      </c>
      <c r="J13" s="96">
        <f>1+2+5+2+1+5+1+3+1+2+1</f>
        <v>24</v>
      </c>
      <c r="K13" s="77">
        <f>422.62+4792.51+1796.14+1373.52+5511.59+1707.76+662.31+2561.63</f>
        <v>18828.080000000002</v>
      </c>
      <c r="L13" s="77">
        <f>422.62+4792.51+1796.14+1373.52+5511.59+1707.76+662.31</f>
        <v>16266.45</v>
      </c>
      <c r="M13" s="78">
        <f>K13-L13</f>
        <v>2561.630000000001</v>
      </c>
      <c r="N13" s="100">
        <f>8+3+1+2</f>
        <v>14</v>
      </c>
      <c r="O13" s="81">
        <f>6459.36+7124.45</f>
        <v>13583.81</v>
      </c>
      <c r="P13" s="81">
        <f>6459.36+7124.45</f>
        <v>13583.81</v>
      </c>
      <c r="Q13" s="79">
        <f t="shared" si="2"/>
        <v>0</v>
      </c>
    </row>
    <row r="14" spans="1:17" s="15" customFormat="1" x14ac:dyDescent="0.25">
      <c r="A14" s="229"/>
      <c r="B14" s="62" t="s">
        <v>19</v>
      </c>
      <c r="C14" s="181" t="s">
        <v>17</v>
      </c>
      <c r="D14" s="182"/>
      <c r="E14" s="183" t="s">
        <v>20</v>
      </c>
      <c r="F14" s="73" t="s">
        <v>451</v>
      </c>
      <c r="G14" s="230" t="s">
        <v>114</v>
      </c>
      <c r="H14" s="181">
        <v>18</v>
      </c>
      <c r="I14" s="231">
        <v>7</v>
      </c>
      <c r="J14" s="190">
        <v>7</v>
      </c>
      <c r="K14" s="77">
        <v>11142.12</v>
      </c>
      <c r="L14" s="77">
        <v>11142.12</v>
      </c>
      <c r="M14" s="78">
        <f t="shared" si="1"/>
        <v>0</v>
      </c>
      <c r="N14" s="100">
        <v>10</v>
      </c>
      <c r="O14" s="224">
        <v>18093.599999999999</v>
      </c>
      <c r="P14" s="224">
        <v>18093.599999999999</v>
      </c>
      <c r="Q14" s="232">
        <f t="shared" si="2"/>
        <v>0</v>
      </c>
    </row>
    <row r="15" spans="1:17" s="15" customFormat="1" x14ac:dyDescent="0.25">
      <c r="A15" s="229"/>
      <c r="B15" s="62" t="s">
        <v>153</v>
      </c>
      <c r="C15" s="181" t="s">
        <v>17</v>
      </c>
      <c r="D15" s="182"/>
      <c r="E15" s="183" t="s">
        <v>20</v>
      </c>
      <c r="F15" s="73" t="s">
        <v>324</v>
      </c>
      <c r="G15" s="74" t="s">
        <v>112</v>
      </c>
      <c r="H15" s="75">
        <v>21</v>
      </c>
      <c r="I15" s="82">
        <v>15</v>
      </c>
      <c r="J15" s="96">
        <f>1+1+2+1+1+2+1+1+1+1+2+1+1+1</f>
        <v>17</v>
      </c>
      <c r="K15" s="77">
        <f>950.9+2451.87+3074.57+845.24+1977.86+1284.48+883.08+401.4+1357.13+421.47+6324.86+2980.4+504.48</f>
        <v>23457.739999999998</v>
      </c>
      <c r="L15" s="77">
        <f>950.9+2451.87+3074.57+845.24+1977.86+1284.48+883.08+401.4+1357.13+421.47+6324.86</f>
        <v>19972.859999999997</v>
      </c>
      <c r="M15" s="78">
        <f t="shared" si="1"/>
        <v>3484.880000000001</v>
      </c>
      <c r="N15" s="114">
        <f>1+2+1+2+1+1</f>
        <v>8</v>
      </c>
      <c r="O15" s="81">
        <f>422.62+945.61+2484.69+7964.81+1536.8+2498.17</f>
        <v>15852.699999999999</v>
      </c>
      <c r="P15" s="81">
        <f>422.62+945.61+2484.69+7964.81+1536.8+2498.17</f>
        <v>15852.699999999999</v>
      </c>
      <c r="Q15" s="79">
        <f t="shared" si="2"/>
        <v>0</v>
      </c>
    </row>
    <row r="16" spans="1:17" s="15" customFormat="1" x14ac:dyDescent="0.25">
      <c r="A16" s="229"/>
      <c r="B16" s="233" t="s">
        <v>153</v>
      </c>
      <c r="C16" s="181" t="s">
        <v>17</v>
      </c>
      <c r="D16" s="182"/>
      <c r="E16" s="183" t="s">
        <v>20</v>
      </c>
      <c r="F16" s="73" t="s">
        <v>452</v>
      </c>
      <c r="G16" s="230" t="s">
        <v>114</v>
      </c>
      <c r="H16" s="181">
        <v>24</v>
      </c>
      <c r="I16" s="231">
        <v>7</v>
      </c>
      <c r="J16" s="190">
        <v>7</v>
      </c>
      <c r="K16" s="77">
        <v>20595.29</v>
      </c>
      <c r="L16" s="77">
        <v>20595.29</v>
      </c>
      <c r="M16" s="78">
        <f t="shared" si="1"/>
        <v>0</v>
      </c>
      <c r="N16" s="100">
        <v>10</v>
      </c>
      <c r="O16" s="224">
        <v>28910.6</v>
      </c>
      <c r="P16" s="224">
        <v>23692.400000000001</v>
      </c>
      <c r="Q16" s="232">
        <f t="shared" si="2"/>
        <v>5218.1999999999971</v>
      </c>
    </row>
    <row r="17" spans="1:17" s="13" customFormat="1" x14ac:dyDescent="0.25">
      <c r="A17" s="229"/>
      <c r="B17" s="30" t="s">
        <v>22</v>
      </c>
      <c r="C17" s="181" t="s">
        <v>17</v>
      </c>
      <c r="D17" s="182"/>
      <c r="E17" s="183" t="s">
        <v>23</v>
      </c>
      <c r="F17" s="73" t="s">
        <v>325</v>
      </c>
      <c r="G17" s="74" t="s">
        <v>112</v>
      </c>
      <c r="H17" s="75">
        <v>62</v>
      </c>
      <c r="I17" s="76">
        <v>10</v>
      </c>
      <c r="J17" s="96">
        <f>1+2+1+9</f>
        <v>13</v>
      </c>
      <c r="K17" s="77">
        <f>2698.64+1402.33+11601.84+8586.48</f>
        <v>24289.29</v>
      </c>
      <c r="L17" s="77">
        <f>2698.64+1402.33+11601.84+8586.48</f>
        <v>24289.29</v>
      </c>
      <c r="M17" s="78">
        <f t="shared" si="1"/>
        <v>0</v>
      </c>
      <c r="N17" s="100">
        <f>14+3+7+1+1</f>
        <v>26</v>
      </c>
      <c r="O17" s="81">
        <f>22716.4+4171.06+18768.39+8172.47</f>
        <v>53828.320000000007</v>
      </c>
      <c r="P17" s="81">
        <f>22716.4+4171.06+18768.39+8172.47</f>
        <v>53828.320000000007</v>
      </c>
      <c r="Q17" s="79">
        <f t="shared" si="2"/>
        <v>0</v>
      </c>
    </row>
    <row r="18" spans="1:17" s="13" customFormat="1" x14ac:dyDescent="0.25">
      <c r="A18" s="229"/>
      <c r="B18" s="30" t="s">
        <v>154</v>
      </c>
      <c r="C18" s="181" t="s">
        <v>17</v>
      </c>
      <c r="D18" s="182"/>
      <c r="E18" s="183" t="s">
        <v>20</v>
      </c>
      <c r="F18" s="73" t="s">
        <v>453</v>
      </c>
      <c r="G18" s="230" t="s">
        <v>114</v>
      </c>
      <c r="H18" s="181">
        <v>34</v>
      </c>
      <c r="I18" s="234">
        <v>5</v>
      </c>
      <c r="J18" s="190">
        <v>5</v>
      </c>
      <c r="K18" s="193">
        <v>6550.8</v>
      </c>
      <c r="L18" s="193">
        <v>6550.8</v>
      </c>
      <c r="M18" s="78">
        <f t="shared" si="1"/>
        <v>0</v>
      </c>
      <c r="N18" s="114">
        <v>19</v>
      </c>
      <c r="O18" s="224">
        <v>50947.07</v>
      </c>
      <c r="P18" s="224">
        <v>45126.77</v>
      </c>
      <c r="Q18" s="232">
        <f t="shared" si="2"/>
        <v>5820.3000000000029</v>
      </c>
    </row>
    <row r="19" spans="1:17" s="13" customFormat="1" x14ac:dyDescent="0.25">
      <c r="A19" s="229"/>
      <c r="B19" s="30" t="s">
        <v>154</v>
      </c>
      <c r="C19" s="181" t="s">
        <v>17</v>
      </c>
      <c r="D19" s="182"/>
      <c r="E19" s="183" t="s">
        <v>20</v>
      </c>
      <c r="F19" s="73" t="s">
        <v>326</v>
      </c>
      <c r="G19" s="74" t="s">
        <v>112</v>
      </c>
      <c r="H19" s="75">
        <v>36</v>
      </c>
      <c r="I19" s="76">
        <v>29</v>
      </c>
      <c r="J19" s="96">
        <f>1+1+2+2+2+6+1+4+1+2+2+3+1+1+1+3+1+2+1+1+2+1</f>
        <v>41</v>
      </c>
      <c r="K19" s="77">
        <f>950.9+864.46+845.24+405.02+739.59+6850.57+12952.58+883.08+2185.62+1053.68+5958.27+6539.59+4664.82+441.54+1890.34+4360.21+1196.04</f>
        <v>52781.55</v>
      </c>
      <c r="L19" s="77">
        <f>950.9+864.46+845.24+405.02+739.59+6850.57+12952.58+883.08+2185.62+1053.68+5958.27+6539.59+4664.82+441.54+1890.34</f>
        <v>47225.3</v>
      </c>
      <c r="M19" s="78">
        <f t="shared" si="1"/>
        <v>5556.25</v>
      </c>
      <c r="N19" s="100">
        <f>6+3+1+1+1+2+1+1</f>
        <v>16</v>
      </c>
      <c r="O19" s="81">
        <f>6681.33+7017+1523.5+9094.74+3532.32</f>
        <v>27848.89</v>
      </c>
      <c r="P19" s="81">
        <f>6681.33+7017+1523.5+9094.74+3532.32</f>
        <v>27848.89</v>
      </c>
      <c r="Q19" s="79">
        <f t="shared" si="2"/>
        <v>0</v>
      </c>
    </row>
    <row r="20" spans="1:17" s="13" customFormat="1" x14ac:dyDescent="0.25">
      <c r="A20" s="229"/>
      <c r="B20" s="62" t="s">
        <v>24</v>
      </c>
      <c r="C20" s="181" t="s">
        <v>17</v>
      </c>
      <c r="D20" s="182"/>
      <c r="E20" s="183" t="s">
        <v>20</v>
      </c>
      <c r="F20" s="73" t="s">
        <v>327</v>
      </c>
      <c r="G20" s="74" t="s">
        <v>112</v>
      </c>
      <c r="H20" s="75">
        <v>14</v>
      </c>
      <c r="I20" s="76">
        <v>6</v>
      </c>
      <c r="J20" s="96">
        <f>3+1+1+2+1</f>
        <v>8</v>
      </c>
      <c r="K20" s="77">
        <f>1191.02+5267.46+462.44</f>
        <v>6920.9199999999992</v>
      </c>
      <c r="L20" s="77">
        <f>1191.02+5267.46</f>
        <v>6458.48</v>
      </c>
      <c r="M20" s="78">
        <f t="shared" si="1"/>
        <v>462.4399999999996</v>
      </c>
      <c r="N20" s="100">
        <f>1+1+1</f>
        <v>3</v>
      </c>
      <c r="O20" s="81">
        <f>576.3+1810.93</f>
        <v>2387.23</v>
      </c>
      <c r="P20" s="81">
        <f>576.3+1810.93</f>
        <v>2387.23</v>
      </c>
      <c r="Q20" s="232">
        <f t="shared" si="2"/>
        <v>0</v>
      </c>
    </row>
    <row r="21" spans="1:17" s="13" customFormat="1" x14ac:dyDescent="0.25">
      <c r="A21" s="229"/>
      <c r="B21" s="62" t="s">
        <v>24</v>
      </c>
      <c r="C21" s="181" t="s">
        <v>17</v>
      </c>
      <c r="D21" s="182"/>
      <c r="E21" s="183" t="s">
        <v>20</v>
      </c>
      <c r="F21" s="73" t="s">
        <v>454</v>
      </c>
      <c r="G21" s="230" t="s">
        <v>114</v>
      </c>
      <c r="H21" s="181">
        <v>20</v>
      </c>
      <c r="I21" s="231">
        <v>6</v>
      </c>
      <c r="J21" s="190">
        <v>6</v>
      </c>
      <c r="K21" s="77">
        <v>21621.35</v>
      </c>
      <c r="L21" s="77">
        <v>14512.09</v>
      </c>
      <c r="M21" s="78">
        <f t="shared" si="1"/>
        <v>7109.2599999999984</v>
      </c>
      <c r="N21" s="100">
        <v>18</v>
      </c>
      <c r="O21" s="224">
        <v>38146.300000000003</v>
      </c>
      <c r="P21" s="224">
        <v>38146.300000000003</v>
      </c>
      <c r="Q21" s="232">
        <f t="shared" si="2"/>
        <v>0</v>
      </c>
    </row>
    <row r="22" spans="1:17" s="13" customFormat="1" x14ac:dyDescent="0.25">
      <c r="A22" s="229"/>
      <c r="B22" s="62" t="s">
        <v>25</v>
      </c>
      <c r="C22" s="181" t="s">
        <v>17</v>
      </c>
      <c r="D22" s="182"/>
      <c r="E22" s="183" t="s">
        <v>20</v>
      </c>
      <c r="F22" s="73" t="s">
        <v>328</v>
      </c>
      <c r="G22" s="74" t="s">
        <v>112</v>
      </c>
      <c r="H22" s="75">
        <v>20</v>
      </c>
      <c r="I22" s="76">
        <v>13</v>
      </c>
      <c r="J22" s="96">
        <f>1+1+1+1+1+1+1+2+1+2+1+1</f>
        <v>14</v>
      </c>
      <c r="K22" s="173">
        <f>403.41+1605.6+3697.9+1204.2+1092.81+3022.24+4486.05+4612.57+1457.08+421.47</f>
        <v>22003.33</v>
      </c>
      <c r="L22" s="173">
        <f>403.41+1605.6+3697.9+1204.2+1092.81+3022.24+4486.05+4612.57+1457.08</f>
        <v>21581.86</v>
      </c>
      <c r="M22" s="78">
        <f t="shared" si="1"/>
        <v>421.47000000000116</v>
      </c>
      <c r="N22" s="100">
        <f>6+1+2+2+1+2+3</f>
        <v>17</v>
      </c>
      <c r="O22" s="81">
        <f>14526.7+5595.3+2440.62+2839.24+10715.74+17795.2</f>
        <v>53912.800000000003</v>
      </c>
      <c r="P22" s="81">
        <f>14526.7+5595.3+2440.62+2839.24+10715.74</f>
        <v>36117.599999999999</v>
      </c>
      <c r="Q22" s="232">
        <f t="shared" si="2"/>
        <v>17795.200000000004</v>
      </c>
    </row>
    <row r="23" spans="1:17" s="13" customFormat="1" x14ac:dyDescent="0.25">
      <c r="A23" s="229"/>
      <c r="B23" s="62" t="s">
        <v>25</v>
      </c>
      <c r="C23" s="181" t="s">
        <v>17</v>
      </c>
      <c r="D23" s="182"/>
      <c r="E23" s="183" t="s">
        <v>20</v>
      </c>
      <c r="F23" s="73" t="s">
        <v>455</v>
      </c>
      <c r="G23" s="230" t="s">
        <v>114</v>
      </c>
      <c r="H23" s="181">
        <v>6</v>
      </c>
      <c r="I23" s="231">
        <v>1</v>
      </c>
      <c r="J23" s="190">
        <f>1</f>
        <v>1</v>
      </c>
      <c r="K23" s="77"/>
      <c r="L23" s="77"/>
      <c r="M23" s="78">
        <f t="shared" si="1"/>
        <v>0</v>
      </c>
      <c r="N23" s="100">
        <v>3</v>
      </c>
      <c r="O23" s="224">
        <v>7219.8</v>
      </c>
      <c r="P23" s="224">
        <v>7219.8</v>
      </c>
      <c r="Q23" s="232">
        <f t="shared" si="2"/>
        <v>0</v>
      </c>
    </row>
    <row r="24" spans="1:17" s="13" customFormat="1" x14ac:dyDescent="0.25">
      <c r="A24" s="229"/>
      <c r="B24" s="62" t="s">
        <v>516</v>
      </c>
      <c r="C24" s="181" t="s">
        <v>17</v>
      </c>
      <c r="D24" s="182"/>
      <c r="E24" s="183" t="s">
        <v>20</v>
      </c>
      <c r="F24" s="73" t="s">
        <v>517</v>
      </c>
      <c r="G24" s="287" t="s">
        <v>112</v>
      </c>
      <c r="H24" s="181">
        <v>11</v>
      </c>
      <c r="I24" s="231">
        <v>5</v>
      </c>
      <c r="J24" s="190">
        <f>2+3</f>
        <v>5</v>
      </c>
      <c r="K24" s="77">
        <f>1604.6+4056.86</f>
        <v>5661.46</v>
      </c>
      <c r="L24" s="77"/>
      <c r="M24" s="78"/>
      <c r="N24" s="100"/>
      <c r="O24" s="224"/>
      <c r="P24" s="224"/>
      <c r="Q24" s="232"/>
    </row>
    <row r="25" spans="1:17" s="13" customFormat="1" x14ac:dyDescent="0.25">
      <c r="A25" s="229"/>
      <c r="B25" s="62" t="s">
        <v>26</v>
      </c>
      <c r="C25" s="181" t="s">
        <v>17</v>
      </c>
      <c r="D25" s="182"/>
      <c r="E25" s="183" t="s">
        <v>27</v>
      </c>
      <c r="F25" s="73" t="s">
        <v>329</v>
      </c>
      <c r="G25" s="74" t="s">
        <v>112</v>
      </c>
      <c r="H25" s="75">
        <v>25</v>
      </c>
      <c r="I25" s="76">
        <v>18</v>
      </c>
      <c r="J25" s="96">
        <f>2+2+4+1+4+1+1+3+4+3</f>
        <v>25</v>
      </c>
      <c r="K25" s="77">
        <f>845.24+1056.55+5121.1+26225.35+422.62+16490.35+1457.08+1479.16+11270.02+6163.9+7014.64</f>
        <v>77546.009999999995</v>
      </c>
      <c r="L25" s="77">
        <f>845.24+1056.55+5121.1+26225.35+422.62+16490.35+1457.08+1479.16+11270.02</f>
        <v>64367.47</v>
      </c>
      <c r="M25" s="78">
        <f t="shared" si="1"/>
        <v>13178.539999999994</v>
      </c>
      <c r="N25" s="100">
        <f>6+1+1+2+1+1</f>
        <v>12</v>
      </c>
      <c r="O25" s="81">
        <f>17838.53+2535.75+7238.9+9569.44</f>
        <v>37182.620000000003</v>
      </c>
      <c r="P25" s="81">
        <f>17838.53+2535.75+7238.9+9569.44</f>
        <v>37182.620000000003</v>
      </c>
      <c r="Q25" s="232">
        <f t="shared" si="2"/>
        <v>0</v>
      </c>
    </row>
    <row r="26" spans="1:17" s="15" customFormat="1" x14ac:dyDescent="0.25">
      <c r="A26" s="229"/>
      <c r="B26" s="62" t="s">
        <v>28</v>
      </c>
      <c r="C26" s="181" t="s">
        <v>17</v>
      </c>
      <c r="D26" s="182"/>
      <c r="E26" s="194" t="s">
        <v>29</v>
      </c>
      <c r="F26" s="73" t="s">
        <v>330</v>
      </c>
      <c r="G26" s="74" t="s">
        <v>112</v>
      </c>
      <c r="H26" s="75">
        <v>16</v>
      </c>
      <c r="I26" s="76">
        <v>12</v>
      </c>
      <c r="J26" s="96">
        <f>2+1+2+1+1+1+2+1+2+2+2</f>
        <v>17</v>
      </c>
      <c r="K26" s="77">
        <f>6135.14+2440.63+9722.07+968.96+2258.48+3607.78+10269+19480.76+2759.62+4365.86</f>
        <v>62008.299999999996</v>
      </c>
      <c r="L26" s="77">
        <f>6135.14+2440.63+9722.07+968.96+2258.48+3607.78+10269+19480.76+2759.62</f>
        <v>57642.439999999995</v>
      </c>
      <c r="M26" s="78">
        <f t="shared" si="1"/>
        <v>4365.8600000000006</v>
      </c>
      <c r="N26" s="100">
        <f>3+2+4+3+1+1+3+1+1</f>
        <v>19</v>
      </c>
      <c r="O26" s="81">
        <f>5310.83+4630.52+14679.01+36087.29+8956.5+10112.26+3030.29+9937.51+6456.51</f>
        <v>99200.719999999972</v>
      </c>
      <c r="P26" s="81">
        <f>5310.83+4630.52+14679.01+36087.29+8956.5+10112.26+3030.29+9937.51</f>
        <v>92744.209999999977</v>
      </c>
      <c r="Q26" s="232">
        <f t="shared" si="2"/>
        <v>6456.5099999999948</v>
      </c>
    </row>
    <row r="27" spans="1:17" s="15" customFormat="1" x14ac:dyDescent="0.25">
      <c r="A27" s="229"/>
      <c r="B27" s="62" t="s">
        <v>28</v>
      </c>
      <c r="C27" s="181" t="s">
        <v>17</v>
      </c>
      <c r="D27" s="182"/>
      <c r="E27" s="194" t="s">
        <v>29</v>
      </c>
      <c r="F27" s="73" t="s">
        <v>420</v>
      </c>
      <c r="G27" s="235" t="s">
        <v>117</v>
      </c>
      <c r="H27" s="181">
        <v>2</v>
      </c>
      <c r="I27" s="231"/>
      <c r="J27" s="96"/>
      <c r="K27" s="77"/>
      <c r="L27" s="77"/>
      <c r="M27" s="78">
        <f t="shared" si="1"/>
        <v>0</v>
      </c>
      <c r="N27" s="100">
        <v>3</v>
      </c>
      <c r="O27" s="224">
        <v>6579.54</v>
      </c>
      <c r="P27" s="224">
        <v>6579.54</v>
      </c>
      <c r="Q27" s="79">
        <f t="shared" si="2"/>
        <v>0</v>
      </c>
    </row>
    <row r="28" spans="1:17" s="15" customFormat="1" x14ac:dyDescent="0.25">
      <c r="A28" s="229"/>
      <c r="B28" s="233" t="s">
        <v>500</v>
      </c>
      <c r="C28" s="181" t="s">
        <v>17</v>
      </c>
      <c r="D28" s="182"/>
      <c r="E28" s="194"/>
      <c r="F28" s="73" t="s">
        <v>503</v>
      </c>
      <c r="G28" s="235" t="s">
        <v>112</v>
      </c>
      <c r="H28" s="181">
        <v>33</v>
      </c>
      <c r="I28" s="231">
        <v>24</v>
      </c>
      <c r="J28" s="96">
        <f>2+2+2+1+3+5+2+1+5+1+6+1+1+1</f>
        <v>33</v>
      </c>
      <c r="K28" s="77">
        <f>1202.51+3555.1+602.1+708.47+7232.25+1003.5+1938.63+15028.21+1324.62+9088.69+401.4+441+2469.38</f>
        <v>44995.86</v>
      </c>
      <c r="L28" s="77">
        <f>1202.51+3555.1+602.1+708.47+7232.25+1003.5+1938.63+15028.21+1324.62+9088.69+401.4</f>
        <v>42085.48</v>
      </c>
      <c r="M28" s="78">
        <f t="shared" si="1"/>
        <v>2910.3799999999974</v>
      </c>
      <c r="N28" s="100">
        <f>1</f>
        <v>1</v>
      </c>
      <c r="O28" s="224"/>
      <c r="P28" s="224"/>
      <c r="Q28" s="79">
        <f t="shared" si="2"/>
        <v>0</v>
      </c>
    </row>
    <row r="29" spans="1:17" s="13" customFormat="1" x14ac:dyDescent="0.25">
      <c r="A29" s="229"/>
      <c r="B29" s="27" t="s">
        <v>30</v>
      </c>
      <c r="C29" s="181" t="s">
        <v>17</v>
      </c>
      <c r="D29" s="182"/>
      <c r="E29" s="194" t="s">
        <v>21</v>
      </c>
      <c r="F29" s="73" t="s">
        <v>333</v>
      </c>
      <c r="G29" s="74" t="s">
        <v>112</v>
      </c>
      <c r="H29" s="75">
        <v>33</v>
      </c>
      <c r="I29" s="76">
        <v>22</v>
      </c>
      <c r="J29" s="96">
        <f>3+1+3+1+4+1+1+2+1+3+3+3+2+3</f>
        <v>31</v>
      </c>
      <c r="K29" s="77">
        <f>16637.24+1045.98+2789.73+1629.68+3146.97+1646.5+5064.97+2424.05+3009.5+3535.13+4093.86</f>
        <v>45023.61</v>
      </c>
      <c r="L29" s="77">
        <f>16637.24+1045.98+2789.73+1629.68+3146.97+1646.5+5064.97+2424.05</f>
        <v>34385.120000000003</v>
      </c>
      <c r="M29" s="78">
        <f t="shared" si="1"/>
        <v>10638.489999999998</v>
      </c>
      <c r="N29" s="100">
        <f>9+1+3+1+1+1+2+1+1+2+1+1+2+1+1+1+1</f>
        <v>30</v>
      </c>
      <c r="O29" s="81">
        <f>77047.8+15703.07+7288.94+1341.33+1730.62+7169.16+2550.18+2613.94</f>
        <v>115445.04</v>
      </c>
      <c r="P29" s="81">
        <f>77047.8+15703.07+7288.94+1341.33+1730.62+7169.16</f>
        <v>110280.92</v>
      </c>
      <c r="Q29" s="79">
        <f>O29-P29</f>
        <v>5164.1199999999953</v>
      </c>
    </row>
    <row r="30" spans="1:17" s="13" customFormat="1" x14ac:dyDescent="0.25">
      <c r="A30" s="229"/>
      <c r="B30" s="27" t="s">
        <v>491</v>
      </c>
      <c r="C30" s="181" t="s">
        <v>17</v>
      </c>
      <c r="D30" s="182"/>
      <c r="E30" s="183" t="s">
        <v>20</v>
      </c>
      <c r="F30" s="73" t="s">
        <v>495</v>
      </c>
      <c r="G30" s="74" t="s">
        <v>112</v>
      </c>
      <c r="H30" s="75">
        <v>17</v>
      </c>
      <c r="I30" s="76">
        <v>13</v>
      </c>
      <c r="J30" s="96">
        <f>2+2+1+1+1+1+1+1+3</f>
        <v>13</v>
      </c>
      <c r="K30" s="77">
        <f>1727.9+2093.89+728.54+3535.53+2649.24+401.4+802.8+1505.25</f>
        <v>13444.55</v>
      </c>
      <c r="L30" s="77">
        <f>1727.9+2093.89+728.54+3535.53+2649.24+401.4+802.8+1505.25</f>
        <v>13444.55</v>
      </c>
      <c r="M30" s="78">
        <f t="shared" si="1"/>
        <v>0</v>
      </c>
      <c r="N30" s="100"/>
      <c r="O30" s="81"/>
      <c r="P30" s="81"/>
      <c r="Q30" s="79">
        <f t="shared" si="2"/>
        <v>0</v>
      </c>
    </row>
    <row r="31" spans="1:17" s="13" customFormat="1" x14ac:dyDescent="0.25">
      <c r="A31" s="229"/>
      <c r="B31" s="27" t="s">
        <v>491</v>
      </c>
      <c r="C31" s="181" t="s">
        <v>17</v>
      </c>
      <c r="D31" s="182"/>
      <c r="E31" s="183" t="s">
        <v>20</v>
      </c>
      <c r="F31" s="73" t="s">
        <v>504</v>
      </c>
      <c r="G31" s="74" t="s">
        <v>114</v>
      </c>
      <c r="H31" s="75">
        <v>15</v>
      </c>
      <c r="I31" s="76">
        <v>2</v>
      </c>
      <c r="J31" s="96">
        <v>2</v>
      </c>
      <c r="K31" s="77">
        <v>2672.76</v>
      </c>
      <c r="L31" s="77">
        <v>2672.76</v>
      </c>
      <c r="M31" s="78">
        <f t="shared" si="1"/>
        <v>0</v>
      </c>
      <c r="N31" s="100"/>
      <c r="O31" s="81"/>
      <c r="P31" s="81"/>
      <c r="Q31" s="232">
        <f t="shared" si="2"/>
        <v>0</v>
      </c>
    </row>
    <row r="32" spans="1:17" s="13" customFormat="1" x14ac:dyDescent="0.25">
      <c r="A32" s="229"/>
      <c r="B32" s="27" t="s">
        <v>491</v>
      </c>
      <c r="C32" s="181" t="s">
        <v>17</v>
      </c>
      <c r="D32" s="182"/>
      <c r="E32" s="183"/>
      <c r="F32" s="73" t="s">
        <v>510</v>
      </c>
      <c r="G32" s="235" t="s">
        <v>117</v>
      </c>
      <c r="H32" s="75">
        <v>1</v>
      </c>
      <c r="I32" s="76"/>
      <c r="J32" s="96"/>
      <c r="K32" s="77"/>
      <c r="L32" s="77"/>
      <c r="M32" s="78">
        <f t="shared" si="1"/>
        <v>0</v>
      </c>
      <c r="N32" s="100"/>
      <c r="O32" s="81"/>
      <c r="P32" s="81"/>
      <c r="Q32" s="232">
        <f t="shared" si="2"/>
        <v>0</v>
      </c>
    </row>
    <row r="33" spans="1:17" s="13" customFormat="1" x14ac:dyDescent="0.25">
      <c r="A33" s="229"/>
      <c r="B33" s="30" t="s">
        <v>31</v>
      </c>
      <c r="C33" s="181" t="s">
        <v>17</v>
      </c>
      <c r="D33" s="182"/>
      <c r="E33" s="183" t="s">
        <v>32</v>
      </c>
      <c r="F33" s="73" t="s">
        <v>331</v>
      </c>
      <c r="G33" s="74" t="s">
        <v>112</v>
      </c>
      <c r="H33" s="75">
        <v>29</v>
      </c>
      <c r="I33" s="76">
        <v>18</v>
      </c>
      <c r="J33" s="96">
        <f>1+2+3+1+4+3+3+3+1+3+1+1</f>
        <v>26</v>
      </c>
      <c r="K33" s="77">
        <f>633.93+1045.98+5377.62+950.9+6004.09+4598.82+8410.14+1846.04+4737.83+728.54+3120.88+2125.41+3254.15</f>
        <v>42834.329999999994</v>
      </c>
      <c r="L33" s="77">
        <f>633.93+1045.98+5377.62+950.9+6004.09+4598.82+8410.14+1846.04+4737.83+728.54</f>
        <v>34333.89</v>
      </c>
      <c r="M33" s="78">
        <f t="shared" si="1"/>
        <v>8500.4399999999951</v>
      </c>
      <c r="N33" s="100">
        <f>1+3+3+1+1+2+1</f>
        <v>12</v>
      </c>
      <c r="O33" s="81">
        <f>2299.8+15239.58+6152.75+2720.49+1483.38+7043.49+11175.04</f>
        <v>46114.530000000006</v>
      </c>
      <c r="P33" s="81">
        <f>2299.8+15239.58+6152.75+2720.49+1483.38+7043.49+11175.04</f>
        <v>46114.530000000006</v>
      </c>
      <c r="Q33" s="232">
        <f t="shared" si="2"/>
        <v>0</v>
      </c>
    </row>
    <row r="34" spans="1:17" s="13" customFormat="1" x14ac:dyDescent="0.25">
      <c r="A34" s="229"/>
      <c r="B34" s="30" t="s">
        <v>31</v>
      </c>
      <c r="C34" s="181" t="s">
        <v>17</v>
      </c>
      <c r="D34" s="182"/>
      <c r="E34" s="183" t="s">
        <v>32</v>
      </c>
      <c r="F34" s="73" t="s">
        <v>422</v>
      </c>
      <c r="G34" s="235" t="s">
        <v>117</v>
      </c>
      <c r="H34" s="181">
        <v>17</v>
      </c>
      <c r="I34" s="231">
        <v>8</v>
      </c>
      <c r="J34" s="96">
        <v>9</v>
      </c>
      <c r="K34" s="77">
        <v>24391.25</v>
      </c>
      <c r="L34" s="77">
        <v>18758.95</v>
      </c>
      <c r="M34" s="78">
        <f t="shared" si="1"/>
        <v>5632.2999999999993</v>
      </c>
      <c r="N34" s="100">
        <v>10</v>
      </c>
      <c r="O34" s="77">
        <v>21507.42</v>
      </c>
      <c r="P34" s="77">
        <v>21507.42</v>
      </c>
      <c r="Q34" s="232">
        <f t="shared" si="2"/>
        <v>0</v>
      </c>
    </row>
    <row r="35" spans="1:17" s="15" customFormat="1" x14ac:dyDescent="0.25">
      <c r="A35" s="229"/>
      <c r="B35" s="62" t="s">
        <v>33</v>
      </c>
      <c r="C35" s="181" t="s">
        <v>17</v>
      </c>
      <c r="D35" s="182"/>
      <c r="E35" s="183" t="s">
        <v>20</v>
      </c>
      <c r="F35" s="73" t="s">
        <v>332</v>
      </c>
      <c r="G35" s="74" t="s">
        <v>112</v>
      </c>
      <c r="H35" s="75">
        <v>15</v>
      </c>
      <c r="I35" s="76">
        <v>12</v>
      </c>
      <c r="J35" s="96">
        <f>1+1+1+1+1+2+1+1+1+1+1+1+2</f>
        <v>15</v>
      </c>
      <c r="K35" s="77">
        <f>845.245+5363.43+5912.72+845.24+12887.16+2852.15+6514.08+2058.13+5167.78+1324.62+3058.67+2312.2</f>
        <v>49141.424999999996</v>
      </c>
      <c r="L35" s="77">
        <f>845.245+5363.43+5912.72+845.24+12887.16+2852.15+6514.08+2058.13+5167.78+1324.62</f>
        <v>43770.555</v>
      </c>
      <c r="M35" s="78">
        <f t="shared" si="1"/>
        <v>5370.8699999999953</v>
      </c>
      <c r="N35" s="100">
        <f>2+1+1+1+1+2+1+1+1+1</f>
        <v>12</v>
      </c>
      <c r="O35" s="81">
        <f>845.24+1613.64+3380.96+3639.33+1152.6+1518.9+536.01</f>
        <v>12686.68</v>
      </c>
      <c r="P35" s="81">
        <f>845.24+1613.64+3380.96+3639.33+1152.6+1518.9</f>
        <v>12150.67</v>
      </c>
      <c r="Q35" s="79">
        <f t="shared" si="2"/>
        <v>536.01000000000022</v>
      </c>
    </row>
    <row r="36" spans="1:17" s="15" customFormat="1" x14ac:dyDescent="0.25">
      <c r="A36" s="229"/>
      <c r="B36" s="62" t="s">
        <v>33</v>
      </c>
      <c r="C36" s="181" t="s">
        <v>17</v>
      </c>
      <c r="D36" s="182"/>
      <c r="E36" s="183" t="s">
        <v>20</v>
      </c>
      <c r="F36" s="73" t="s">
        <v>481</v>
      </c>
      <c r="G36" s="230" t="s">
        <v>114</v>
      </c>
      <c r="H36" s="181">
        <v>11</v>
      </c>
      <c r="I36" s="231">
        <v>1</v>
      </c>
      <c r="J36" s="190">
        <v>1</v>
      </c>
      <c r="K36" s="77">
        <v>3472.11</v>
      </c>
      <c r="L36" s="77">
        <v>3472.11</v>
      </c>
      <c r="M36" s="78">
        <f t="shared" si="1"/>
        <v>0</v>
      </c>
      <c r="N36" s="100">
        <v>16</v>
      </c>
      <c r="O36" s="224">
        <v>45328.13</v>
      </c>
      <c r="P36" s="224">
        <v>45328.13</v>
      </c>
      <c r="Q36" s="232">
        <f t="shared" si="2"/>
        <v>0</v>
      </c>
    </row>
    <row r="37" spans="1:17" s="15" customFormat="1" x14ac:dyDescent="0.25">
      <c r="A37" s="229"/>
      <c r="B37" s="62" t="s">
        <v>147</v>
      </c>
      <c r="C37" s="181" t="s">
        <v>17</v>
      </c>
      <c r="D37" s="182"/>
      <c r="E37" s="183" t="s">
        <v>29</v>
      </c>
      <c r="F37" s="73" t="s">
        <v>334</v>
      </c>
      <c r="G37" s="74" t="s">
        <v>112</v>
      </c>
      <c r="H37" s="75">
        <v>13</v>
      </c>
      <c r="I37" s="234">
        <v>11</v>
      </c>
      <c r="J37" s="96">
        <f>1+1+2+1+3+4+1+1</f>
        <v>14</v>
      </c>
      <c r="K37" s="77">
        <f>1854.88+2824.48+3058.67+5384.79+14792.98</f>
        <v>27915.8</v>
      </c>
      <c r="L37" s="77">
        <f>1854.88+2824.48+3058.67+5384.79+14792.98</f>
        <v>27915.8</v>
      </c>
      <c r="M37" s="78">
        <f t="shared" si="1"/>
        <v>0</v>
      </c>
      <c r="N37" s="114">
        <f>1+1+1</f>
        <v>3</v>
      </c>
      <c r="O37" s="81">
        <f>1394.65+2473.17+1961.49</f>
        <v>5829.31</v>
      </c>
      <c r="P37" s="81">
        <f>1394.65+2473.17+1961.49</f>
        <v>5829.31</v>
      </c>
      <c r="Q37" s="79">
        <f t="shared" si="2"/>
        <v>0</v>
      </c>
    </row>
    <row r="38" spans="1:17" s="15" customFormat="1" x14ac:dyDescent="0.25">
      <c r="A38" s="229"/>
      <c r="B38" s="233" t="s">
        <v>147</v>
      </c>
      <c r="C38" s="181" t="s">
        <v>17</v>
      </c>
      <c r="D38" s="182"/>
      <c r="E38" s="183" t="s">
        <v>29</v>
      </c>
      <c r="F38" s="73" t="s">
        <v>423</v>
      </c>
      <c r="G38" s="230" t="s">
        <v>117</v>
      </c>
      <c r="H38" s="181">
        <v>19</v>
      </c>
      <c r="I38" s="231">
        <v>6</v>
      </c>
      <c r="J38" s="96">
        <v>6</v>
      </c>
      <c r="K38" s="77">
        <v>11051.1</v>
      </c>
      <c r="L38" s="77">
        <v>6847.1</v>
      </c>
      <c r="M38" s="78">
        <f t="shared" si="1"/>
        <v>4204</v>
      </c>
      <c r="N38" s="100">
        <v>5</v>
      </c>
      <c r="O38" s="224">
        <v>9961.4500000000007</v>
      </c>
      <c r="P38" s="224">
        <v>4706.45</v>
      </c>
      <c r="Q38" s="232">
        <f t="shared" si="2"/>
        <v>5255.0000000000009</v>
      </c>
    </row>
    <row r="39" spans="1:17" s="13" customFormat="1" x14ac:dyDescent="0.25">
      <c r="A39" s="229"/>
      <c r="B39" s="62" t="s">
        <v>34</v>
      </c>
      <c r="C39" s="181" t="s">
        <v>17</v>
      </c>
      <c r="D39" s="182"/>
      <c r="E39" s="194" t="s">
        <v>35</v>
      </c>
      <c r="F39" s="73" t="s">
        <v>335</v>
      </c>
      <c r="G39" s="74" t="s">
        <v>112</v>
      </c>
      <c r="H39" s="75">
        <v>42</v>
      </c>
      <c r="I39" s="76">
        <v>28</v>
      </c>
      <c r="J39" s="96">
        <f>4+2+2+7+4+1+1+2+5+1+2</f>
        <v>31</v>
      </c>
      <c r="K39" s="77">
        <f>8288.4+1267.86+845.24+13964.6+11418.26+21175.62+1092.81+2207.7+6312.67+3928.83+708.47+1988.49</f>
        <v>73198.95</v>
      </c>
      <c r="L39" s="77">
        <f>8288.4+1267.86+845.24+13964.6+11418.26+21175.62+1092.81+2207.7+6312.67+3928.83</f>
        <v>70501.989999999991</v>
      </c>
      <c r="M39" s="78">
        <f t="shared" si="1"/>
        <v>2696.9600000000064</v>
      </c>
      <c r="N39" s="100">
        <f>4+4+6+1+3+1+3+1+2+1+1+2</f>
        <v>29</v>
      </c>
      <c r="O39" s="81">
        <f>23915.04+21171.88+6399.1+11460.81+1501.24+2795.71+8800.35</f>
        <v>76044.13</v>
      </c>
      <c r="P39" s="81">
        <f>23915.04+21171.88+6399.1+11460.81+1501.24+2795.71+8800.35</f>
        <v>76044.13</v>
      </c>
      <c r="Q39" s="79">
        <f t="shared" si="2"/>
        <v>0</v>
      </c>
    </row>
    <row r="40" spans="1:17" s="13" customFormat="1" x14ac:dyDescent="0.25">
      <c r="A40" s="229"/>
      <c r="B40" s="62" t="s">
        <v>34</v>
      </c>
      <c r="C40" s="181" t="s">
        <v>17</v>
      </c>
      <c r="D40" s="182"/>
      <c r="E40" s="194" t="s">
        <v>35</v>
      </c>
      <c r="F40" s="73" t="s">
        <v>424</v>
      </c>
      <c r="G40" s="235" t="s">
        <v>117</v>
      </c>
      <c r="H40" s="181">
        <v>3</v>
      </c>
      <c r="I40" s="231">
        <v>1</v>
      </c>
      <c r="J40" s="96">
        <v>3</v>
      </c>
      <c r="K40" s="77">
        <v>5246.9</v>
      </c>
      <c r="L40" s="77">
        <v>5246.9</v>
      </c>
      <c r="M40" s="78">
        <f t="shared" si="1"/>
        <v>0</v>
      </c>
      <c r="N40" s="100">
        <v>3</v>
      </c>
      <c r="O40" s="224">
        <v>9220.7999999999993</v>
      </c>
      <c r="P40" s="224">
        <v>9220.7999999999993</v>
      </c>
      <c r="Q40" s="232">
        <f t="shared" si="2"/>
        <v>0</v>
      </c>
    </row>
    <row r="41" spans="1:17" s="13" customFormat="1" x14ac:dyDescent="0.25">
      <c r="A41" s="229"/>
      <c r="B41" s="27" t="s">
        <v>36</v>
      </c>
      <c r="C41" s="181" t="s">
        <v>17</v>
      </c>
      <c r="D41" s="182"/>
      <c r="E41" s="194" t="s">
        <v>32</v>
      </c>
      <c r="F41" s="73" t="s">
        <v>336</v>
      </c>
      <c r="G41" s="74" t="s">
        <v>112</v>
      </c>
      <c r="H41" s="75">
        <v>36</v>
      </c>
      <c r="I41" s="76">
        <v>29</v>
      </c>
      <c r="J41" s="96">
        <f>1+3+4+2+2+7+6+2+5+2+2+2+2</f>
        <v>40</v>
      </c>
      <c r="K41" s="77">
        <f>2091.97+4201.22+3643.94+998.92+6188.59+7556.35+3399.86+9711+5191.85+1920.7+1435.01+2415.05</f>
        <v>48754.46</v>
      </c>
      <c r="L41" s="77">
        <f>2091.97+4201.22+3643.94+998.92+6188.59+7556.35+3399.86+9711+5191.85</f>
        <v>42983.7</v>
      </c>
      <c r="M41" s="78">
        <f t="shared" si="1"/>
        <v>5770.760000000002</v>
      </c>
      <c r="N41" s="100">
        <f>4+2+5+1+1+4+1+1</f>
        <v>19</v>
      </c>
      <c r="O41" s="81">
        <f>26828.22+3116.2+14162+4691+13237.22+22342.31+1888.86</f>
        <v>86265.81</v>
      </c>
      <c r="P41" s="81">
        <f>26828.22+3116.2+14162+4691+13237.22+22342.31+1888.86</f>
        <v>86265.81</v>
      </c>
      <c r="Q41" s="79">
        <f t="shared" si="2"/>
        <v>0</v>
      </c>
    </row>
    <row r="42" spans="1:17" s="13" customFormat="1" x14ac:dyDescent="0.25">
      <c r="A42" s="229"/>
      <c r="B42" s="27" t="s">
        <v>38</v>
      </c>
      <c r="C42" s="181" t="s">
        <v>17</v>
      </c>
      <c r="D42" s="182"/>
      <c r="E42" s="183" t="s">
        <v>20</v>
      </c>
      <c r="F42" s="73" t="s">
        <v>338</v>
      </c>
      <c r="G42" s="74" t="s">
        <v>112</v>
      </c>
      <c r="H42" s="75">
        <v>57</v>
      </c>
      <c r="I42" s="76">
        <v>49</v>
      </c>
      <c r="J42" s="96">
        <f>5+9+3+4+4+2+3+3+11+3+4+4+1+5+7+3</f>
        <v>71</v>
      </c>
      <c r="K42" s="77">
        <f>4427.07+14262.52+23391.74+11108.38+9141.17+3923.07+23674.29+5445.61+18020.8+33401.88+11286.84</f>
        <v>158083.37</v>
      </c>
      <c r="L42" s="77">
        <f>4427.07+14262.52+23391.74+11108.38+9141.17+3923.07+23674.29+5445.61+18020.8+33401.88</f>
        <v>146796.53</v>
      </c>
      <c r="M42" s="78">
        <f t="shared" si="1"/>
        <v>11286.839999999997</v>
      </c>
      <c r="N42" s="100">
        <f>1+14+2+2+2+3+1+1+2+1+1</f>
        <v>30</v>
      </c>
      <c r="O42" s="81">
        <f>34449.99+27363.78+23604.86+16739.26+15240.34+16003.48+4203.85+21715.1</f>
        <v>159320.66</v>
      </c>
      <c r="P42" s="81">
        <f>34449.99+27363.78+23604.86+16739.26+15240.34+16003.48+4203.85+21715.1</f>
        <v>159320.66</v>
      </c>
      <c r="Q42" s="79">
        <f t="shared" si="2"/>
        <v>0</v>
      </c>
    </row>
    <row r="43" spans="1:17" s="13" customFormat="1" x14ac:dyDescent="0.25">
      <c r="A43" s="229"/>
      <c r="B43" s="27" t="s">
        <v>38</v>
      </c>
      <c r="C43" s="181" t="s">
        <v>17</v>
      </c>
      <c r="D43" s="182"/>
      <c r="E43" s="183" t="s">
        <v>20</v>
      </c>
      <c r="F43" s="73" t="s">
        <v>268</v>
      </c>
      <c r="G43" s="230" t="s">
        <v>114</v>
      </c>
      <c r="H43" s="181"/>
      <c r="I43" s="231"/>
      <c r="J43" s="190"/>
      <c r="K43" s="77"/>
      <c r="L43" s="77"/>
      <c r="M43" s="78">
        <f t="shared" si="1"/>
        <v>0</v>
      </c>
      <c r="N43" s="100"/>
      <c r="O43" s="224"/>
      <c r="P43" s="224"/>
      <c r="Q43" s="232">
        <f t="shared" si="2"/>
        <v>0</v>
      </c>
    </row>
    <row r="44" spans="1:17" s="13" customFormat="1" x14ac:dyDescent="0.25">
      <c r="A44" s="229"/>
      <c r="B44" s="27" t="s">
        <v>38</v>
      </c>
      <c r="C44" s="181" t="s">
        <v>17</v>
      </c>
      <c r="D44" s="182"/>
      <c r="E44" s="183" t="s">
        <v>18</v>
      </c>
      <c r="F44" s="73" t="s">
        <v>324</v>
      </c>
      <c r="G44" s="230" t="s">
        <v>116</v>
      </c>
      <c r="H44" s="181">
        <v>6</v>
      </c>
      <c r="I44" s="231">
        <v>3</v>
      </c>
      <c r="J44" s="190">
        <v>3</v>
      </c>
      <c r="K44" s="77">
        <v>4098</v>
      </c>
      <c r="L44" s="77">
        <v>4098</v>
      </c>
      <c r="M44" s="78">
        <f t="shared" si="1"/>
        <v>0</v>
      </c>
      <c r="N44" s="100"/>
      <c r="O44" s="224"/>
      <c r="P44" s="224"/>
      <c r="Q44" s="232">
        <f t="shared" si="2"/>
        <v>0</v>
      </c>
    </row>
    <row r="45" spans="1:17" s="13" customFormat="1" x14ac:dyDescent="0.25">
      <c r="A45" s="229"/>
      <c r="B45" s="62" t="s">
        <v>39</v>
      </c>
      <c r="C45" s="181" t="s">
        <v>17</v>
      </c>
      <c r="D45" s="182"/>
      <c r="E45" s="183" t="s">
        <v>20</v>
      </c>
      <c r="F45" s="73" t="s">
        <v>269</v>
      </c>
      <c r="G45" s="230" t="s">
        <v>114</v>
      </c>
      <c r="H45" s="181"/>
      <c r="I45" s="231"/>
      <c r="J45" s="190"/>
      <c r="K45" s="77"/>
      <c r="L45" s="77"/>
      <c r="M45" s="78">
        <f t="shared" si="1"/>
        <v>0</v>
      </c>
      <c r="N45" s="100"/>
      <c r="O45" s="224"/>
      <c r="P45" s="224"/>
      <c r="Q45" s="232">
        <f t="shared" si="2"/>
        <v>0</v>
      </c>
    </row>
    <row r="46" spans="1:17" s="13" customFormat="1" x14ac:dyDescent="0.25">
      <c r="A46" s="229"/>
      <c r="B46" s="27" t="s">
        <v>40</v>
      </c>
      <c r="C46" s="181" t="s">
        <v>17</v>
      </c>
      <c r="D46" s="182"/>
      <c r="E46" s="194" t="s">
        <v>41</v>
      </c>
      <c r="F46" s="73" t="s">
        <v>339</v>
      </c>
      <c r="G46" s="74" t="s">
        <v>112</v>
      </c>
      <c r="H46" s="75">
        <v>34</v>
      </c>
      <c r="I46" s="76">
        <v>28</v>
      </c>
      <c r="J46" s="96">
        <f>1+1+3+9+4+4+3+2+1+1+2+3+3+5+4+1</f>
        <v>47</v>
      </c>
      <c r="K46" s="77">
        <f>1045.98+12271.86+15658.52+8166.35+6035.99+8024.36+2759.63+3460.61+3962.12+3444.02+17333.58+11032.73+15915.1+2094.51</f>
        <v>111205.35999999999</v>
      </c>
      <c r="L46" s="77">
        <f>1045.98+12271.86+15658.52+8166.35+6035.99+8024.36+2759.63+3460.61+3962.12+3444.02+17333.58+11032.73</f>
        <v>93195.749999999985</v>
      </c>
      <c r="M46" s="78">
        <f t="shared" si="1"/>
        <v>18009.61</v>
      </c>
      <c r="N46" s="100">
        <f>3+13+6+5+4+2+1+1+1+1+1+1</f>
        <v>39</v>
      </c>
      <c r="O46" s="81">
        <f>17269.31+39990.78+16582.12+23492.44+7068.31+4243.84+1574.64+8785.1</f>
        <v>119006.54</v>
      </c>
      <c r="P46" s="81">
        <f>17269.31+39990.78+16582.12+23492.44+7068.31+4243.84+1574.64</f>
        <v>110221.43999999999</v>
      </c>
      <c r="Q46" s="79">
        <f t="shared" si="2"/>
        <v>8785.1000000000058</v>
      </c>
    </row>
    <row r="47" spans="1:17" s="13" customFormat="1" x14ac:dyDescent="0.25">
      <c r="A47" s="229"/>
      <c r="B47" s="27" t="s">
        <v>40</v>
      </c>
      <c r="C47" s="181" t="s">
        <v>17</v>
      </c>
      <c r="D47" s="182"/>
      <c r="E47" s="194" t="s">
        <v>41</v>
      </c>
      <c r="F47" s="73" t="s">
        <v>482</v>
      </c>
      <c r="G47" s="230" t="s">
        <v>114</v>
      </c>
      <c r="H47" s="181"/>
      <c r="I47" s="231"/>
      <c r="J47" s="190"/>
      <c r="K47" s="77"/>
      <c r="L47" s="77"/>
      <c r="M47" s="78">
        <f t="shared" si="1"/>
        <v>0</v>
      </c>
      <c r="N47" s="100">
        <v>1</v>
      </c>
      <c r="O47" s="224">
        <v>3073.6</v>
      </c>
      <c r="P47" s="224">
        <f>3073.6</f>
        <v>3073.6</v>
      </c>
      <c r="Q47" s="232">
        <f t="shared" si="2"/>
        <v>0</v>
      </c>
    </row>
    <row r="48" spans="1:17" s="13" customFormat="1" x14ac:dyDescent="0.25">
      <c r="A48" s="229"/>
      <c r="B48" s="27" t="s">
        <v>148</v>
      </c>
      <c r="C48" s="181" t="s">
        <v>17</v>
      </c>
      <c r="D48" s="182"/>
      <c r="E48" s="183" t="s">
        <v>20</v>
      </c>
      <c r="F48" s="73" t="s">
        <v>340</v>
      </c>
      <c r="G48" s="74" t="s">
        <v>112</v>
      </c>
      <c r="H48" s="75">
        <v>25</v>
      </c>
      <c r="I48" s="82">
        <v>17</v>
      </c>
      <c r="J48" s="96">
        <f>1+2+1+4+4+2+3+1+1</f>
        <v>19</v>
      </c>
      <c r="K48" s="77">
        <f>537.88+2110.03+6723.98+8914.21+1204.2+602.1+903.15+1324.62+602.1</f>
        <v>22922.269999999997</v>
      </c>
      <c r="L48" s="77">
        <f>537.88+2110.03+6723.98+8914.21+1204.2+602.1+903.15+1324.62</f>
        <v>22320.17</v>
      </c>
      <c r="M48" s="78">
        <f t="shared" si="1"/>
        <v>602.09999999999854</v>
      </c>
      <c r="N48" s="100">
        <f>6+5+3+1+1+1+1+1</f>
        <v>19</v>
      </c>
      <c r="O48" s="81">
        <f>9370.6+9456.38+8868.69+5367.27+11572.62+5889.04</f>
        <v>50524.600000000006</v>
      </c>
      <c r="P48" s="81">
        <f>9370.6+9456.38+8868.69+5367.27+11572.62+5889.04</f>
        <v>50524.600000000006</v>
      </c>
      <c r="Q48" s="79">
        <f t="shared" si="2"/>
        <v>0</v>
      </c>
    </row>
    <row r="49" spans="1:17" s="13" customFormat="1" x14ac:dyDescent="0.25">
      <c r="A49" s="229"/>
      <c r="B49" s="27" t="s">
        <v>148</v>
      </c>
      <c r="C49" s="181" t="s">
        <v>17</v>
      </c>
      <c r="D49" s="182"/>
      <c r="E49" s="194" t="s">
        <v>32</v>
      </c>
      <c r="F49" s="73" t="s">
        <v>425</v>
      </c>
      <c r="G49" s="230" t="s">
        <v>117</v>
      </c>
      <c r="H49" s="181">
        <v>19</v>
      </c>
      <c r="I49" s="231">
        <v>8</v>
      </c>
      <c r="J49" s="96">
        <v>8</v>
      </c>
      <c r="K49" s="77">
        <v>23166.82</v>
      </c>
      <c r="L49" s="77">
        <v>13707.82</v>
      </c>
      <c r="M49" s="78">
        <f t="shared" si="1"/>
        <v>9459</v>
      </c>
      <c r="N49" s="100">
        <v>4</v>
      </c>
      <c r="O49" s="224">
        <v>12851.49</v>
      </c>
      <c r="P49" s="224">
        <v>12851.49</v>
      </c>
      <c r="Q49" s="232">
        <f t="shared" si="2"/>
        <v>0</v>
      </c>
    </row>
    <row r="50" spans="1:17" s="13" customFormat="1" x14ac:dyDescent="0.25">
      <c r="A50" s="229"/>
      <c r="B50" s="30" t="s">
        <v>42</v>
      </c>
      <c r="C50" s="181" t="s">
        <v>17</v>
      </c>
      <c r="D50" s="182"/>
      <c r="E50" s="183" t="s">
        <v>23</v>
      </c>
      <c r="F50" s="73" t="s">
        <v>341</v>
      </c>
      <c r="G50" s="74" t="s">
        <v>112</v>
      </c>
      <c r="H50" s="75">
        <v>36</v>
      </c>
      <c r="I50" s="76">
        <v>30</v>
      </c>
      <c r="J50" s="96">
        <f>5+3+5+3+8+3+8+5</f>
        <v>40</v>
      </c>
      <c r="K50" s="77">
        <f>7156.22+3849.11+8154.25+4149.36+15912.38+18649.91</f>
        <v>57871.229999999996</v>
      </c>
      <c r="L50" s="77">
        <f>7156.22+3849.11+8154.25+4149.36+15912.38+18649.91</f>
        <v>57871.229999999996</v>
      </c>
      <c r="M50" s="78">
        <f t="shared" si="1"/>
        <v>0</v>
      </c>
      <c r="N50" s="100">
        <f>4+6+9+2+4+2+2+3+3+2</f>
        <v>37</v>
      </c>
      <c r="O50" s="81">
        <f>5364.2+26170.88+2849.25+18965.6+9565.56+9423.5+18214.56</f>
        <v>90553.549999999988</v>
      </c>
      <c r="P50" s="81">
        <f>5364.2+26170.88+2849.25+18965.6+9565.56+9423.5+18214.56</f>
        <v>90553.549999999988</v>
      </c>
      <c r="Q50" s="79">
        <f t="shared" si="2"/>
        <v>0</v>
      </c>
    </row>
    <row r="51" spans="1:17" s="13" customFormat="1" x14ac:dyDescent="0.25">
      <c r="A51" s="229"/>
      <c r="B51" s="30" t="s">
        <v>42</v>
      </c>
      <c r="C51" s="181" t="s">
        <v>17</v>
      </c>
      <c r="D51" s="182"/>
      <c r="E51" s="183" t="s">
        <v>23</v>
      </c>
      <c r="F51" s="73" t="s">
        <v>437</v>
      </c>
      <c r="G51" s="230" t="s">
        <v>118</v>
      </c>
      <c r="H51" s="181">
        <v>2</v>
      </c>
      <c r="I51" s="231"/>
      <c r="J51" s="96"/>
      <c r="K51" s="77"/>
      <c r="L51" s="77"/>
      <c r="M51" s="78">
        <f t="shared" si="1"/>
        <v>0</v>
      </c>
      <c r="N51" s="100">
        <v>1</v>
      </c>
      <c r="O51" s="224">
        <v>7766.4</v>
      </c>
      <c r="P51" s="224">
        <v>7766.4</v>
      </c>
      <c r="Q51" s="232">
        <f t="shared" si="2"/>
        <v>0</v>
      </c>
    </row>
    <row r="52" spans="1:17" s="13" customFormat="1" x14ac:dyDescent="0.25">
      <c r="A52" s="229"/>
      <c r="B52" s="30" t="s">
        <v>173</v>
      </c>
      <c r="C52" s="181" t="s">
        <v>17</v>
      </c>
      <c r="D52" s="182"/>
      <c r="E52" s="230" t="s">
        <v>118</v>
      </c>
      <c r="F52" s="73" t="s">
        <v>342</v>
      </c>
      <c r="G52" s="74" t="s">
        <v>112</v>
      </c>
      <c r="H52" s="75">
        <v>4</v>
      </c>
      <c r="I52" s="76">
        <v>4</v>
      </c>
      <c r="J52" s="96">
        <f>1+2+1</f>
        <v>4</v>
      </c>
      <c r="K52" s="77">
        <f>6833.76+696.36</f>
        <v>7530.12</v>
      </c>
      <c r="L52" s="77">
        <f>6833.76+696.36</f>
        <v>7530.12</v>
      </c>
      <c r="M52" s="78">
        <f t="shared" si="1"/>
        <v>0</v>
      </c>
      <c r="N52" s="100">
        <f>4+2</f>
        <v>6</v>
      </c>
      <c r="O52" s="81">
        <f>5931.9+4183.92+3158.95</f>
        <v>13274.77</v>
      </c>
      <c r="P52" s="81">
        <f>5931.9+4183.92+3158.95</f>
        <v>13274.77</v>
      </c>
      <c r="Q52" s="79">
        <f t="shared" si="2"/>
        <v>0</v>
      </c>
    </row>
    <row r="53" spans="1:17" s="13" customFormat="1" x14ac:dyDescent="0.25">
      <c r="A53" s="229"/>
      <c r="B53" s="62" t="s">
        <v>143</v>
      </c>
      <c r="C53" s="181" t="s">
        <v>64</v>
      </c>
      <c r="D53" s="182" t="s">
        <v>444</v>
      </c>
      <c r="E53" s="183" t="s">
        <v>20</v>
      </c>
      <c r="F53" s="73" t="s">
        <v>445</v>
      </c>
      <c r="G53" s="230" t="s">
        <v>114</v>
      </c>
      <c r="H53" s="181">
        <v>43</v>
      </c>
      <c r="I53" s="234">
        <v>20</v>
      </c>
      <c r="J53" s="190">
        <v>20</v>
      </c>
      <c r="K53" s="193">
        <v>43336.800000000003</v>
      </c>
      <c r="L53" s="193">
        <v>40928.400000000001</v>
      </c>
      <c r="M53" s="78">
        <f t="shared" si="1"/>
        <v>2408.4000000000015</v>
      </c>
      <c r="N53" s="114">
        <v>18</v>
      </c>
      <c r="O53" s="224">
        <v>27390.400000000001</v>
      </c>
      <c r="P53" s="224">
        <v>27390.400000000001</v>
      </c>
      <c r="Q53" s="232">
        <f t="shared" si="2"/>
        <v>0</v>
      </c>
    </row>
    <row r="54" spans="1:17" s="13" customFormat="1" x14ac:dyDescent="0.25">
      <c r="A54" s="229"/>
      <c r="B54" s="30" t="s">
        <v>158</v>
      </c>
      <c r="C54" s="181" t="s">
        <v>17</v>
      </c>
      <c r="D54" s="182"/>
      <c r="E54" s="194" t="s">
        <v>32</v>
      </c>
      <c r="F54" s="73" t="s">
        <v>426</v>
      </c>
      <c r="G54" s="230" t="s">
        <v>117</v>
      </c>
      <c r="H54" s="181">
        <v>13</v>
      </c>
      <c r="I54" s="234">
        <v>8</v>
      </c>
      <c r="J54" s="190">
        <v>9</v>
      </c>
      <c r="K54" s="193">
        <v>20263.34</v>
      </c>
      <c r="L54" s="193">
        <v>12275.74</v>
      </c>
      <c r="M54" s="78">
        <f t="shared" si="1"/>
        <v>7987.6</v>
      </c>
      <c r="N54" s="114">
        <v>5</v>
      </c>
      <c r="O54" s="224">
        <v>16813.7</v>
      </c>
      <c r="P54" s="224">
        <v>16813.7</v>
      </c>
      <c r="Q54" s="232">
        <f t="shared" si="2"/>
        <v>0</v>
      </c>
    </row>
    <row r="55" spans="1:17" s="15" customFormat="1" x14ac:dyDescent="0.25">
      <c r="A55" s="229"/>
      <c r="B55" s="62" t="s">
        <v>43</v>
      </c>
      <c r="C55" s="181" t="s">
        <v>17</v>
      </c>
      <c r="D55" s="182"/>
      <c r="E55" s="183" t="s">
        <v>18</v>
      </c>
      <c r="F55" s="73" t="s">
        <v>344</v>
      </c>
      <c r="G55" s="74" t="s">
        <v>112</v>
      </c>
      <c r="H55" s="75">
        <v>42</v>
      </c>
      <c r="I55" s="76">
        <v>32</v>
      </c>
      <c r="J55" s="96">
        <f>1+2+2+5+2+3+2+3+3+3+5+2+4</f>
        <v>37</v>
      </c>
      <c r="K55" s="77">
        <f>1776.93+926.88+3328.29+3172.19+9832.29+3539.2+3058.67+13375.29+3775.58+5775.23</f>
        <v>48560.55</v>
      </c>
      <c r="L55" s="77">
        <f>1776.93+926.88+3328.29+3172.19+9832.29+3539.2+3058.67+13375.29+3775.58</f>
        <v>42785.320000000007</v>
      </c>
      <c r="M55" s="78">
        <f t="shared" si="1"/>
        <v>5775.2299999999959</v>
      </c>
      <c r="N55" s="100">
        <f>1+5+4+1+1+1+1+1+2+1</f>
        <v>18</v>
      </c>
      <c r="O55" s="81">
        <f>1223.8+3810.29+4959.02+10043.87+2769.48+2146.91+11926.24-1465.64+1516.77</f>
        <v>36930.74</v>
      </c>
      <c r="P55" s="81">
        <f>1223.8+3810.29+4959.02+10043.87+2769.48+2146.91+11926.24-1465.64</f>
        <v>35413.97</v>
      </c>
      <c r="Q55" s="79">
        <f t="shared" si="2"/>
        <v>1516.7699999999968</v>
      </c>
    </row>
    <row r="56" spans="1:17" s="15" customFormat="1" ht="30" x14ac:dyDescent="0.25">
      <c r="A56" s="229"/>
      <c r="B56" s="62" t="s">
        <v>43</v>
      </c>
      <c r="C56" s="181" t="s">
        <v>304</v>
      </c>
      <c r="D56" s="182" t="s">
        <v>473</v>
      </c>
      <c r="E56" s="183" t="s">
        <v>18</v>
      </c>
      <c r="F56" s="73" t="s">
        <v>323</v>
      </c>
      <c r="G56" s="271" t="s">
        <v>116</v>
      </c>
      <c r="H56" s="181">
        <v>36</v>
      </c>
      <c r="I56" s="234">
        <v>27</v>
      </c>
      <c r="J56" s="98">
        <v>30</v>
      </c>
      <c r="K56" s="77">
        <v>40784</v>
      </c>
      <c r="L56" s="77">
        <v>38009</v>
      </c>
      <c r="M56" s="78">
        <f t="shared" si="1"/>
        <v>2775</v>
      </c>
      <c r="N56" s="114">
        <v>22</v>
      </c>
      <c r="O56" s="224">
        <v>71748</v>
      </c>
      <c r="P56" s="224">
        <v>69226</v>
      </c>
      <c r="Q56" s="232">
        <f t="shared" si="2"/>
        <v>2522</v>
      </c>
    </row>
    <row r="57" spans="1:17" s="13" customFormat="1" x14ac:dyDescent="0.25">
      <c r="A57" s="229"/>
      <c r="B57" s="30" t="s">
        <v>44</v>
      </c>
      <c r="C57" s="181" t="s">
        <v>17</v>
      </c>
      <c r="D57" s="182"/>
      <c r="E57" s="183" t="s">
        <v>20</v>
      </c>
      <c r="F57" s="73" t="s">
        <v>345</v>
      </c>
      <c r="G57" s="74" t="s">
        <v>112</v>
      </c>
      <c r="H57" s="75">
        <v>24</v>
      </c>
      <c r="I57" s="76">
        <v>16</v>
      </c>
      <c r="J57" s="96">
        <f>1+1+1+4+2+1+1+1+3+4</f>
        <v>19</v>
      </c>
      <c r="K57" s="77">
        <f>2422.38+1267.86+15410.58+1534.35+708.47+883.08+3910.61+496.73+12652.53</f>
        <v>39286.590000000004</v>
      </c>
      <c r="L57" s="77">
        <f>2422.38+1267.86+15410.58+1534.35+708.47+883.08+3910.61+496.73</f>
        <v>26634.06</v>
      </c>
      <c r="M57" s="78">
        <f t="shared" si="1"/>
        <v>12652.530000000002</v>
      </c>
      <c r="N57" s="100">
        <f>1+11</f>
        <v>12</v>
      </c>
      <c r="O57" s="81">
        <f>421.62+4603.39+10559.77+72902.04+3435.31</f>
        <v>91922.12999999999</v>
      </c>
      <c r="P57" s="81">
        <f>421.62+4603.39+10559.77+72902.04+3435.31</f>
        <v>91922.12999999999</v>
      </c>
      <c r="Q57" s="79">
        <f t="shared" si="2"/>
        <v>0</v>
      </c>
    </row>
    <row r="58" spans="1:17" s="13" customFormat="1" x14ac:dyDescent="0.25">
      <c r="A58" s="229"/>
      <c r="B58" s="30" t="s">
        <v>44</v>
      </c>
      <c r="C58" s="181" t="s">
        <v>17</v>
      </c>
      <c r="D58" s="182"/>
      <c r="E58" s="183" t="s">
        <v>20</v>
      </c>
      <c r="F58" s="73" t="s">
        <v>483</v>
      </c>
      <c r="G58" s="230" t="s">
        <v>114</v>
      </c>
      <c r="H58" s="181"/>
      <c r="I58" s="231"/>
      <c r="J58" s="190"/>
      <c r="K58" s="77"/>
      <c r="L58" s="77"/>
      <c r="M58" s="78">
        <f t="shared" si="1"/>
        <v>0</v>
      </c>
      <c r="N58" s="100">
        <v>3</v>
      </c>
      <c r="O58" s="224">
        <v>12543.8</v>
      </c>
      <c r="P58" s="224">
        <v>12543.8</v>
      </c>
      <c r="Q58" s="232">
        <f t="shared" si="2"/>
        <v>0</v>
      </c>
    </row>
    <row r="59" spans="1:17" s="13" customFormat="1" x14ac:dyDescent="0.25">
      <c r="A59" s="229"/>
      <c r="B59" s="30" t="s">
        <v>492</v>
      </c>
      <c r="C59" s="181" t="s">
        <v>17</v>
      </c>
      <c r="D59" s="182"/>
      <c r="E59" s="183" t="s">
        <v>20</v>
      </c>
      <c r="F59" s="73" t="s">
        <v>499</v>
      </c>
      <c r="G59" s="230" t="s">
        <v>112</v>
      </c>
      <c r="H59" s="181">
        <v>10</v>
      </c>
      <c r="I59" s="231">
        <v>8</v>
      </c>
      <c r="J59" s="190">
        <f>1+8</f>
        <v>9</v>
      </c>
      <c r="K59" s="77">
        <f>1044.98+2096.62</f>
        <v>3141.6</v>
      </c>
      <c r="L59" s="77">
        <f>1044.98+2096.62</f>
        <v>3141.6</v>
      </c>
      <c r="M59" s="78">
        <f t="shared" si="1"/>
        <v>0</v>
      </c>
      <c r="N59" s="100"/>
      <c r="O59" s="224"/>
      <c r="P59" s="224"/>
      <c r="Q59" s="79">
        <f t="shared" si="2"/>
        <v>0</v>
      </c>
    </row>
    <row r="60" spans="1:17" s="13" customFormat="1" x14ac:dyDescent="0.25">
      <c r="A60" s="229"/>
      <c r="B60" s="27" t="s">
        <v>45</v>
      </c>
      <c r="C60" s="181" t="s">
        <v>17</v>
      </c>
      <c r="D60" s="182"/>
      <c r="E60" s="183" t="s">
        <v>20</v>
      </c>
      <c r="F60" s="73" t="s">
        <v>346</v>
      </c>
      <c r="G60" s="74" t="s">
        <v>112</v>
      </c>
      <c r="H60" s="75"/>
      <c r="I60" s="76"/>
      <c r="J60" s="96"/>
      <c r="K60" s="77"/>
      <c r="L60" s="77"/>
      <c r="M60" s="78">
        <f t="shared" si="1"/>
        <v>0</v>
      </c>
      <c r="N60" s="100">
        <f>1</f>
        <v>1</v>
      </c>
      <c r="O60" s="81">
        <f>17995.91+2729.8</f>
        <v>20725.71</v>
      </c>
      <c r="P60" s="81">
        <f>17995.91+2729.8</f>
        <v>20725.71</v>
      </c>
      <c r="Q60" s="79">
        <f t="shared" si="2"/>
        <v>0</v>
      </c>
    </row>
    <row r="61" spans="1:17" s="13" customFormat="1" x14ac:dyDescent="0.25">
      <c r="A61" s="229"/>
      <c r="B61" s="27" t="s">
        <v>45</v>
      </c>
      <c r="C61" s="181" t="s">
        <v>17</v>
      </c>
      <c r="D61" s="182"/>
      <c r="E61" s="183" t="s">
        <v>20</v>
      </c>
      <c r="F61" s="73" t="s">
        <v>484</v>
      </c>
      <c r="G61" s="230" t="s">
        <v>114</v>
      </c>
      <c r="H61" s="181"/>
      <c r="I61" s="231"/>
      <c r="J61" s="190"/>
      <c r="K61" s="77"/>
      <c r="L61" s="77"/>
      <c r="M61" s="78">
        <f t="shared" si="1"/>
        <v>0</v>
      </c>
      <c r="N61" s="100"/>
      <c r="O61" s="224"/>
      <c r="P61" s="224"/>
      <c r="Q61" s="232">
        <f t="shared" si="2"/>
        <v>0</v>
      </c>
    </row>
    <row r="62" spans="1:17" s="15" customFormat="1" x14ac:dyDescent="0.25">
      <c r="A62" s="229"/>
      <c r="B62" s="27" t="s">
        <v>46</v>
      </c>
      <c r="C62" s="181" t="s">
        <v>17</v>
      </c>
      <c r="D62" s="182"/>
      <c r="E62" s="183" t="s">
        <v>20</v>
      </c>
      <c r="F62" s="73" t="s">
        <v>347</v>
      </c>
      <c r="G62" s="74" t="s">
        <v>112</v>
      </c>
      <c r="H62" s="75">
        <v>23</v>
      </c>
      <c r="I62" s="76">
        <v>20</v>
      </c>
      <c r="J62" s="96">
        <f>1+2+3+2+4+1+4+2+1+5+1+1+4+1+4</f>
        <v>36</v>
      </c>
      <c r="K62" s="77">
        <f>1045.98+1068.08+8157.32+1778.85+9152.67+11156.63+11271.63+1490.2+9025.41+10714.36+1457.08+12068.04+1457.08+8407.25+662.31</f>
        <v>88912.89</v>
      </c>
      <c r="L62" s="77">
        <f>1045.98+1068.08+8157.32+1778.85+9152.67+11156.63+11271.63+1490.2+9025.41+10714.36+1457.08+12068.04+1457.08</f>
        <v>79843.33</v>
      </c>
      <c r="M62" s="78">
        <f t="shared" si="1"/>
        <v>9069.5599999999977</v>
      </c>
      <c r="N62" s="100">
        <f>4+4+1+1+1+2</f>
        <v>13</v>
      </c>
      <c r="O62" s="81">
        <f>10759.2+10685.34+7362.04+22509.72</f>
        <v>51316.3</v>
      </c>
      <c r="P62" s="81">
        <f>10759.2+10685.34+7362.04+22509.72</f>
        <v>51316.3</v>
      </c>
      <c r="Q62" s="79">
        <f t="shared" si="2"/>
        <v>0</v>
      </c>
    </row>
    <row r="63" spans="1:17" s="15" customFormat="1" x14ac:dyDescent="0.25">
      <c r="A63" s="229"/>
      <c r="B63" s="27" t="s">
        <v>46</v>
      </c>
      <c r="C63" s="181" t="s">
        <v>17</v>
      </c>
      <c r="D63" s="182"/>
      <c r="E63" s="183" t="s">
        <v>20</v>
      </c>
      <c r="F63" s="73" t="s">
        <v>273</v>
      </c>
      <c r="G63" s="230" t="s">
        <v>114</v>
      </c>
      <c r="H63" s="181">
        <v>6</v>
      </c>
      <c r="I63" s="231">
        <v>2</v>
      </c>
      <c r="J63" s="190">
        <v>2</v>
      </c>
      <c r="K63" s="77">
        <v>576.29999999999995</v>
      </c>
      <c r="L63" s="77">
        <v>576.29999999999995</v>
      </c>
      <c r="M63" s="78">
        <f t="shared" si="1"/>
        <v>0</v>
      </c>
      <c r="N63" s="100">
        <v>3</v>
      </c>
      <c r="O63" s="224">
        <v>9356.9</v>
      </c>
      <c r="P63" s="224">
        <v>9356.9</v>
      </c>
      <c r="Q63" s="232">
        <f t="shared" si="2"/>
        <v>0</v>
      </c>
    </row>
    <row r="64" spans="1:17" s="13" customFormat="1" ht="45" x14ac:dyDescent="0.25">
      <c r="A64" s="229"/>
      <c r="B64" s="30" t="s">
        <v>47</v>
      </c>
      <c r="C64" s="181" t="s">
        <v>304</v>
      </c>
      <c r="D64" s="182" t="s">
        <v>474</v>
      </c>
      <c r="E64" s="183" t="s">
        <v>18</v>
      </c>
      <c r="F64" s="73" t="s">
        <v>348</v>
      </c>
      <c r="G64" s="74" t="s">
        <v>112</v>
      </c>
      <c r="H64" s="75">
        <v>74</v>
      </c>
      <c r="I64" s="76">
        <v>54</v>
      </c>
      <c r="J64" s="98">
        <f>1+1+3+21+7+2+5+2+7+15+14+7+2+5+5+5</f>
        <v>102</v>
      </c>
      <c r="K64" s="77">
        <f>30728.27+19236.99+22614.7+52735.68+23845.61+7108.96+19683.78</f>
        <v>175953.99</v>
      </c>
      <c r="L64" s="77">
        <f>30728.27+19236.99+22614.7+52735.68+23845.61+7108.96</f>
        <v>156270.21</v>
      </c>
      <c r="M64" s="78">
        <f t="shared" si="1"/>
        <v>19683.78</v>
      </c>
      <c r="N64" s="100">
        <f>7+3+4+10+6+1+2+1+3+2+5+1+2</f>
        <v>47</v>
      </c>
      <c r="O64" s="81">
        <f>8477.51+15159.83+14079.46+15414.2+17995.91+2065.56+1859.53+9543.86+1728.53+14526.84+19728.1+2207.7</f>
        <v>122787.02999999998</v>
      </c>
      <c r="P64" s="81">
        <f>8477.51+15159.83+14079.46+15414.2+17995.91+2065.56+1859.53+9543.86+1728.53+14526.84+19728.1+2207.7</f>
        <v>122787.02999999998</v>
      </c>
      <c r="Q64" s="79">
        <f t="shared" si="2"/>
        <v>0</v>
      </c>
    </row>
    <row r="65" spans="1:17" s="13" customFormat="1" ht="45" x14ac:dyDescent="0.25">
      <c r="A65" s="229">
        <v>22</v>
      </c>
      <c r="B65" s="62" t="s">
        <v>120</v>
      </c>
      <c r="C65" s="181" t="s">
        <v>304</v>
      </c>
      <c r="D65" s="182" t="s">
        <v>474</v>
      </c>
      <c r="E65" s="183" t="s">
        <v>18</v>
      </c>
      <c r="F65" s="73" t="s">
        <v>334</v>
      </c>
      <c r="G65" s="230" t="s">
        <v>116</v>
      </c>
      <c r="H65" s="181">
        <v>36</v>
      </c>
      <c r="I65" s="234">
        <v>27</v>
      </c>
      <c r="J65" s="98">
        <v>29</v>
      </c>
      <c r="K65" s="77">
        <v>52289</v>
      </c>
      <c r="L65" s="77">
        <v>44680</v>
      </c>
      <c r="M65" s="78">
        <f t="shared" si="1"/>
        <v>7609</v>
      </c>
      <c r="N65" s="100">
        <v>15</v>
      </c>
      <c r="O65" s="224">
        <v>60831</v>
      </c>
      <c r="P65" s="224">
        <v>60831</v>
      </c>
      <c r="Q65" s="232">
        <f t="shared" si="2"/>
        <v>0</v>
      </c>
    </row>
    <row r="66" spans="1:17" s="13" customFormat="1" x14ac:dyDescent="0.25">
      <c r="A66" s="229"/>
      <c r="B66" s="30" t="s">
        <v>134</v>
      </c>
      <c r="C66" s="181" t="s">
        <v>17</v>
      </c>
      <c r="D66" s="182"/>
      <c r="E66" s="183" t="s">
        <v>20</v>
      </c>
      <c r="F66" s="73" t="s">
        <v>349</v>
      </c>
      <c r="G66" s="74" t="s">
        <v>112</v>
      </c>
      <c r="H66" s="75">
        <v>25</v>
      </c>
      <c r="I66" s="76">
        <v>23</v>
      </c>
      <c r="J66" s="96">
        <f>1+4+1+1+2+1+1+7+1+1+2+1</f>
        <v>23</v>
      </c>
      <c r="K66" s="77">
        <f>7301.48+1473.89+1911.09+1690.48+845.24+6268.51+441.51+1983.45+3361.83+883.11+2668.51+2972.45+3953.39+2549.89+1534.35+1092.81</f>
        <v>40931.99</v>
      </c>
      <c r="L66" s="77">
        <f>7301.48+1473.89+1911.09+1690.48+845.24+6268.51+441.51+1983.45+3361.83+883.11+2668.51+2972.45+3953.39+2549.89+1534.35</f>
        <v>39839.18</v>
      </c>
      <c r="M66" s="78">
        <f t="shared" si="1"/>
        <v>1092.8099999999977</v>
      </c>
      <c r="N66" s="100">
        <f>4+1+1+1+1+1</f>
        <v>9</v>
      </c>
      <c r="O66" s="81">
        <f>5020.05+3215.31+12312.39+4648.82+32425.98+7889.42+3294.46</f>
        <v>68806.430000000008</v>
      </c>
      <c r="P66" s="81">
        <f>5020.05+3215.31+12312.39+4648.82+32425.98+7889.42+3294.46</f>
        <v>68806.430000000008</v>
      </c>
      <c r="Q66" s="79">
        <f t="shared" si="2"/>
        <v>0</v>
      </c>
    </row>
    <row r="67" spans="1:17" s="13" customFormat="1" x14ac:dyDescent="0.25">
      <c r="A67" s="229"/>
      <c r="B67" s="30" t="s">
        <v>134</v>
      </c>
      <c r="C67" s="181" t="s">
        <v>17</v>
      </c>
      <c r="D67" s="182"/>
      <c r="E67" s="183" t="s">
        <v>20</v>
      </c>
      <c r="F67" s="73" t="s">
        <v>456</v>
      </c>
      <c r="G67" s="230" t="s">
        <v>114</v>
      </c>
      <c r="H67" s="181">
        <v>30</v>
      </c>
      <c r="I67" s="231">
        <v>12</v>
      </c>
      <c r="J67" s="190">
        <v>12</v>
      </c>
      <c r="K67" s="77">
        <v>18987.419999999998</v>
      </c>
      <c r="L67" s="77">
        <v>18987.419999999998</v>
      </c>
      <c r="M67" s="78">
        <f t="shared" si="1"/>
        <v>0</v>
      </c>
      <c r="N67" s="100">
        <v>27</v>
      </c>
      <c r="O67" s="224">
        <v>61494.8</v>
      </c>
      <c r="P67" s="224">
        <v>61494.8</v>
      </c>
      <c r="Q67" s="232">
        <f t="shared" si="2"/>
        <v>0</v>
      </c>
    </row>
    <row r="68" spans="1:17" s="13" customFormat="1" x14ac:dyDescent="0.25">
      <c r="A68" s="229"/>
      <c r="B68" s="62" t="s">
        <v>48</v>
      </c>
      <c r="C68" s="181" t="s">
        <v>17</v>
      </c>
      <c r="D68" s="182"/>
      <c r="E68" s="183" t="s">
        <v>20</v>
      </c>
      <c r="F68" s="73" t="s">
        <v>350</v>
      </c>
      <c r="G68" s="74" t="s">
        <v>112</v>
      </c>
      <c r="H68" s="75">
        <v>24</v>
      </c>
      <c r="I68" s="76">
        <v>14</v>
      </c>
      <c r="J68" s="96">
        <f>1+1+2+1+3+2+6+3+2</f>
        <v>21</v>
      </c>
      <c r="K68" s="77">
        <f>4805.96+2585.78+3065.92+2588.55+14407.5+9289.05+3030.73+11469.98+21400.25+8116.46</f>
        <v>80760.180000000008</v>
      </c>
      <c r="L68" s="77">
        <f>4805.96+2585.78+3065.92+2588.55+14407.5+9289.05+3030.73+11469.98+21400.25</f>
        <v>72643.72</v>
      </c>
      <c r="M68" s="78">
        <f t="shared" si="1"/>
        <v>8116.4600000000064</v>
      </c>
      <c r="N68" s="100">
        <f>2+1+2+1+3+2</f>
        <v>11</v>
      </c>
      <c r="O68" s="81">
        <f>23174.33+2535.72+11633.02+6993.42+20756.4+5079.09</f>
        <v>70171.98000000001</v>
      </c>
      <c r="P68" s="81">
        <f>23174.33+2535.72+11633.02+6993.42+20756.4+5079.09</f>
        <v>70171.98000000001</v>
      </c>
      <c r="Q68" s="79">
        <f t="shared" si="2"/>
        <v>0</v>
      </c>
    </row>
    <row r="69" spans="1:17" s="13" customFormat="1" x14ac:dyDescent="0.25">
      <c r="A69" s="229"/>
      <c r="B69" s="62" t="s">
        <v>49</v>
      </c>
      <c r="C69" s="181" t="s">
        <v>17</v>
      </c>
      <c r="D69" s="182"/>
      <c r="E69" s="183" t="s">
        <v>50</v>
      </c>
      <c r="F69" s="73" t="s">
        <v>351</v>
      </c>
      <c r="G69" s="74" t="s">
        <v>112</v>
      </c>
      <c r="H69" s="75">
        <v>31</v>
      </c>
      <c r="I69" s="76">
        <v>29</v>
      </c>
      <c r="J69" s="96">
        <f>1+4+8+6+5+1+2+2+5+3</f>
        <v>37</v>
      </c>
      <c r="K69" s="77">
        <f>525.65+1267.86+6544.72+13939.57+2896.54+9712.48+14471.86+991.75+8615.66+5704.78+21380.88+8559.49</f>
        <v>94611.24</v>
      </c>
      <c r="L69" s="77">
        <f>525.65+1267.86+6544.72+13939.57+2896.54+9712.48+14471.86+991.75+8615.66+5704.78</f>
        <v>64670.869999999995</v>
      </c>
      <c r="M69" s="78">
        <f t="shared" si="1"/>
        <v>29940.37000000001</v>
      </c>
      <c r="N69" s="100">
        <f>5+1+3+1+1+1+1+1</f>
        <v>14</v>
      </c>
      <c r="O69" s="81">
        <f>7374+1806.93+7275.53+4666.9+2684.03+6682.03+10412.84+2217.14+10235.7</f>
        <v>53355.099999999991</v>
      </c>
      <c r="P69" s="81">
        <f>7374+1806.93+7275.53+4666.9+2684.03+6682.03+10412.84</f>
        <v>40902.259999999995</v>
      </c>
      <c r="Q69" s="232">
        <f t="shared" si="2"/>
        <v>12452.839999999997</v>
      </c>
    </row>
    <row r="70" spans="1:17" s="13" customFormat="1" x14ac:dyDescent="0.25">
      <c r="A70" s="229"/>
      <c r="B70" s="62" t="s">
        <v>49</v>
      </c>
      <c r="C70" s="181" t="s">
        <v>17</v>
      </c>
      <c r="D70" s="182"/>
      <c r="E70" s="183" t="s">
        <v>50</v>
      </c>
      <c r="F70" s="73" t="s">
        <v>427</v>
      </c>
      <c r="G70" s="230" t="s">
        <v>115</v>
      </c>
      <c r="H70" s="181">
        <v>21</v>
      </c>
      <c r="I70" s="231">
        <v>8</v>
      </c>
      <c r="J70" s="96">
        <v>8</v>
      </c>
      <c r="K70" s="77">
        <v>22221.53</v>
      </c>
      <c r="L70" s="77">
        <v>14739.83</v>
      </c>
      <c r="M70" s="78">
        <f t="shared" si="1"/>
        <v>7481.6999999999989</v>
      </c>
      <c r="N70" s="100">
        <v>12</v>
      </c>
      <c r="O70" s="224">
        <v>26290.400000000001</v>
      </c>
      <c r="P70" s="224">
        <v>25688.3</v>
      </c>
      <c r="Q70" s="79">
        <f t="shared" si="2"/>
        <v>602.10000000000218</v>
      </c>
    </row>
    <row r="71" spans="1:17" s="13" customFormat="1" x14ac:dyDescent="0.25">
      <c r="A71" s="229"/>
      <c r="B71" s="27" t="s">
        <v>51</v>
      </c>
      <c r="C71" s="181" t="s">
        <v>17</v>
      </c>
      <c r="D71" s="182"/>
      <c r="E71" s="183" t="s">
        <v>20</v>
      </c>
      <c r="F71" s="73" t="s">
        <v>186</v>
      </c>
      <c r="G71" s="74" t="s">
        <v>112</v>
      </c>
      <c r="H71" s="75"/>
      <c r="I71" s="76"/>
      <c r="J71" s="96"/>
      <c r="K71" s="77"/>
      <c r="L71" s="77"/>
      <c r="M71" s="78">
        <f t="shared" si="1"/>
        <v>0</v>
      </c>
      <c r="N71" s="100">
        <f>1</f>
        <v>1</v>
      </c>
      <c r="O71" s="81">
        <v>2451.87</v>
      </c>
      <c r="P71" s="81">
        <v>2451.87</v>
      </c>
      <c r="Q71" s="232">
        <f t="shared" si="2"/>
        <v>0</v>
      </c>
    </row>
    <row r="72" spans="1:17" s="13" customFormat="1" x14ac:dyDescent="0.25">
      <c r="A72" s="229"/>
      <c r="B72" s="27" t="s">
        <v>51</v>
      </c>
      <c r="C72" s="181" t="s">
        <v>17</v>
      </c>
      <c r="D72" s="182"/>
      <c r="E72" s="183" t="s">
        <v>20</v>
      </c>
      <c r="F72" s="73" t="s">
        <v>276</v>
      </c>
      <c r="G72" s="230" t="s">
        <v>114</v>
      </c>
      <c r="H72" s="181"/>
      <c r="I72" s="231"/>
      <c r="J72" s="190"/>
      <c r="K72" s="77"/>
      <c r="L72" s="77"/>
      <c r="M72" s="78">
        <f t="shared" si="1"/>
        <v>0</v>
      </c>
      <c r="N72" s="100">
        <v>3</v>
      </c>
      <c r="O72" s="224">
        <v>6763.6</v>
      </c>
      <c r="P72" s="224">
        <v>6763.6</v>
      </c>
      <c r="Q72" s="232">
        <f t="shared" si="2"/>
        <v>0</v>
      </c>
    </row>
    <row r="73" spans="1:17" s="13" customFormat="1" x14ac:dyDescent="0.25">
      <c r="A73" s="229"/>
      <c r="B73" s="62" t="s">
        <v>52</v>
      </c>
      <c r="C73" s="181" t="s">
        <v>17</v>
      </c>
      <c r="D73" s="182"/>
      <c r="E73" s="183" t="s">
        <v>20</v>
      </c>
      <c r="F73" s="73" t="s">
        <v>352</v>
      </c>
      <c r="G73" s="74" t="s">
        <v>112</v>
      </c>
      <c r="H73" s="75">
        <v>17</v>
      </c>
      <c r="I73" s="76">
        <v>13</v>
      </c>
      <c r="J73" s="96">
        <f>1+1+1+1+2+3+1+1+1+2+1+1</f>
        <v>16</v>
      </c>
      <c r="K73" s="77">
        <f>10714.2+2747.14+2138.07+6709.4+7033.21+883.08+708.47+8516.02+1766.16</f>
        <v>41215.75</v>
      </c>
      <c r="L73" s="77">
        <f>10714.2+2747.14+2138.07+6709.4+7033.21+883.08+708.47+8516.02+1766.16</f>
        <v>41215.75</v>
      </c>
      <c r="M73" s="78">
        <f t="shared" si="1"/>
        <v>0</v>
      </c>
      <c r="N73" s="100">
        <f>4+3+1+1+2+3+1+1+2+1</f>
        <v>19</v>
      </c>
      <c r="O73" s="81">
        <f>5977.15+48296.91+7596.86+1061.83+8902.9+6856.31+2935.36+8136.06+17654.09</f>
        <v>107417.47</v>
      </c>
      <c r="P73" s="81">
        <f>5977.15+48296.91+7596.86+1061.83+8902.9+6856.31+2935.36+8136.06+17654.09</f>
        <v>107417.47</v>
      </c>
      <c r="Q73" s="232">
        <f t="shared" si="2"/>
        <v>0</v>
      </c>
    </row>
    <row r="74" spans="1:17" s="13" customFormat="1" x14ac:dyDescent="0.25">
      <c r="A74" s="229"/>
      <c r="B74" s="62" t="s">
        <v>52</v>
      </c>
      <c r="C74" s="181" t="s">
        <v>17</v>
      </c>
      <c r="D74" s="182"/>
      <c r="E74" s="183" t="s">
        <v>20</v>
      </c>
      <c r="F74" s="73" t="s">
        <v>457</v>
      </c>
      <c r="G74" s="230" t="s">
        <v>114</v>
      </c>
      <c r="H74" s="181">
        <v>20</v>
      </c>
      <c r="I74" s="231">
        <v>6</v>
      </c>
      <c r="J74" s="190">
        <v>6</v>
      </c>
      <c r="K74" s="77">
        <v>19270.099999999999</v>
      </c>
      <c r="L74" s="77">
        <v>19270.099999999999</v>
      </c>
      <c r="M74" s="78">
        <f t="shared" si="1"/>
        <v>0</v>
      </c>
      <c r="N74" s="100">
        <v>23</v>
      </c>
      <c r="O74" s="264">
        <v>66614.92</v>
      </c>
      <c r="P74" s="264">
        <v>66614.92</v>
      </c>
      <c r="Q74" s="232">
        <f t="shared" si="2"/>
        <v>0</v>
      </c>
    </row>
    <row r="75" spans="1:17" s="13" customFormat="1" x14ac:dyDescent="0.25">
      <c r="A75" s="229"/>
      <c r="B75" s="27" t="s">
        <v>53</v>
      </c>
      <c r="C75" s="181" t="s">
        <v>17</v>
      </c>
      <c r="D75" s="182"/>
      <c r="E75" s="183" t="s">
        <v>20</v>
      </c>
      <c r="F75" s="73" t="s">
        <v>353</v>
      </c>
      <c r="G75" s="74" t="s">
        <v>112</v>
      </c>
      <c r="H75" s="75">
        <v>20</v>
      </c>
      <c r="I75" s="76">
        <v>12</v>
      </c>
      <c r="J75" s="96">
        <f>2+2+2+1+2+1+1+3+2</f>
        <v>16</v>
      </c>
      <c r="K75" s="77">
        <f>3655.66+6862.24+2535.72+3550.85+401.4+441.54+13534.2+10803.69</f>
        <v>41785.300000000003</v>
      </c>
      <c r="L75" s="77">
        <f>3655.66+6862.24+2535.72+3550.85+401.4+441.54+3534.2+10803.69</f>
        <v>31785.300000000003</v>
      </c>
      <c r="M75" s="78">
        <f t="shared" si="1"/>
        <v>10000</v>
      </c>
      <c r="N75" s="100">
        <f>1+2+2+1+1+1+1</f>
        <v>9</v>
      </c>
      <c r="O75" s="81">
        <f>1743.3+3921.71+422.62+5626.45+37901.04+2861.75</f>
        <v>52476.87</v>
      </c>
      <c r="P75" s="81">
        <f>1743.3+3921.71+422.62+5626.45+37901.04</f>
        <v>49615.12</v>
      </c>
      <c r="Q75" s="232">
        <f t="shared" si="2"/>
        <v>2861.75</v>
      </c>
    </row>
    <row r="76" spans="1:17" s="13" customFormat="1" x14ac:dyDescent="0.25">
      <c r="A76" s="229"/>
      <c r="B76" s="27" t="s">
        <v>149</v>
      </c>
      <c r="C76" s="181" t="s">
        <v>17</v>
      </c>
      <c r="D76" s="182"/>
      <c r="E76" s="183" t="s">
        <v>383</v>
      </c>
      <c r="F76" s="73" t="s">
        <v>354</v>
      </c>
      <c r="G76" s="74" t="s">
        <v>112</v>
      </c>
      <c r="H76" s="75">
        <v>47</v>
      </c>
      <c r="I76" s="76">
        <v>33</v>
      </c>
      <c r="J76" s="96">
        <f>7+3+3+7+4+6</f>
        <v>30</v>
      </c>
      <c r="K76" s="77">
        <f>7743.07+4386.1+10376.2+18444.03+9897.12+13372.35</f>
        <v>64218.87</v>
      </c>
      <c r="L76" s="77">
        <f>7743.07+4386.1+10376.2+18444.03+9897.12</f>
        <v>50846.520000000004</v>
      </c>
      <c r="M76" s="78">
        <f t="shared" si="1"/>
        <v>13372.349999999999</v>
      </c>
      <c r="N76" s="100">
        <f>2+2+2+1+8</f>
        <v>15</v>
      </c>
      <c r="O76" s="81">
        <f>3676.8+3431.65+6320.35+4068.03</f>
        <v>17496.830000000002</v>
      </c>
      <c r="P76" s="81">
        <f>3676.8+3431.65+6320.35+4068.03</f>
        <v>17496.830000000002</v>
      </c>
      <c r="Q76" s="79">
        <f t="shared" si="2"/>
        <v>0</v>
      </c>
    </row>
    <row r="77" spans="1:17" s="13" customFormat="1" x14ac:dyDescent="0.25">
      <c r="A77" s="229"/>
      <c r="B77" s="27" t="s">
        <v>149</v>
      </c>
      <c r="C77" s="181" t="s">
        <v>17</v>
      </c>
      <c r="D77" s="182"/>
      <c r="E77" s="183" t="s">
        <v>383</v>
      </c>
      <c r="F77" s="73" t="s">
        <v>438</v>
      </c>
      <c r="G77" s="230" t="s">
        <v>118</v>
      </c>
      <c r="H77" s="181">
        <v>23</v>
      </c>
      <c r="I77" s="234">
        <v>3</v>
      </c>
      <c r="J77" s="190">
        <v>3</v>
      </c>
      <c r="K77" s="193">
        <v>3988.2</v>
      </c>
      <c r="L77" s="193">
        <v>3988.2</v>
      </c>
      <c r="M77" s="78">
        <f t="shared" si="1"/>
        <v>0</v>
      </c>
      <c r="N77" s="114">
        <v>10</v>
      </c>
      <c r="O77" s="224">
        <v>9835.52</v>
      </c>
      <c r="P77" s="224">
        <v>9835.52</v>
      </c>
      <c r="Q77" s="232">
        <f t="shared" si="2"/>
        <v>0</v>
      </c>
    </row>
    <row r="78" spans="1:17" s="13" customFormat="1" x14ac:dyDescent="0.25">
      <c r="A78" s="229"/>
      <c r="B78" s="62" t="s">
        <v>107</v>
      </c>
      <c r="C78" s="181" t="s">
        <v>17</v>
      </c>
      <c r="D78" s="182"/>
      <c r="E78" s="194" t="s">
        <v>20</v>
      </c>
      <c r="F78" s="73" t="s">
        <v>355</v>
      </c>
      <c r="G78" s="74" t="s">
        <v>112</v>
      </c>
      <c r="H78" s="75">
        <v>24</v>
      </c>
      <c r="I78" s="76">
        <v>18</v>
      </c>
      <c r="J78" s="96">
        <f>1+3+3+2+1+2+1+1+6+3</f>
        <v>23</v>
      </c>
      <c r="K78" s="77">
        <f>666.63+7071.2+5333.38+13316.37+23091.24+4686.95+2216.53+401.4+401.4+9002.54+7650.44+6933.89</f>
        <v>80771.970000000016</v>
      </c>
      <c r="L78" s="77">
        <f>666.63+7071.2+5333.38+13316.37+23091.24+4686.95+2216.53+401.4+401.4+9002.54+7650.44</f>
        <v>73838.080000000016</v>
      </c>
      <c r="M78" s="78">
        <f t="shared" ref="M78:M142" si="3">K78-L78</f>
        <v>6933.8899999999994</v>
      </c>
      <c r="N78" s="100">
        <f>2+6+1+1+2+1</f>
        <v>13</v>
      </c>
      <c r="O78" s="81">
        <f>7612.92+18804.48+9163.33+3260.98+6297.63+2609.1+642.24</f>
        <v>48390.68</v>
      </c>
      <c r="P78" s="81">
        <f>7612.92+18804.48+9163.33+3260.98+6297.63+2609.1+642.24</f>
        <v>48390.68</v>
      </c>
      <c r="Q78" s="79">
        <f t="shared" si="2"/>
        <v>0</v>
      </c>
    </row>
    <row r="79" spans="1:17" s="13" customFormat="1" x14ac:dyDescent="0.25">
      <c r="A79" s="229"/>
      <c r="B79" s="30" t="s">
        <v>54</v>
      </c>
      <c r="C79" s="181" t="s">
        <v>17</v>
      </c>
      <c r="D79" s="182"/>
      <c r="E79" s="194" t="s">
        <v>20</v>
      </c>
      <c r="F79" s="73" t="s">
        <v>356</v>
      </c>
      <c r="G79" s="74" t="s">
        <v>112</v>
      </c>
      <c r="H79" s="75"/>
      <c r="I79" s="76"/>
      <c r="J79" s="96"/>
      <c r="K79" s="77">
        <f>9075.37</f>
        <v>9075.3700000000008</v>
      </c>
      <c r="L79" s="77">
        <f>9075.37</f>
        <v>9075.3700000000008</v>
      </c>
      <c r="M79" s="78">
        <f t="shared" si="3"/>
        <v>0</v>
      </c>
      <c r="N79" s="100">
        <f>4+1+1+2+1</f>
        <v>9</v>
      </c>
      <c r="O79" s="81">
        <f>17895.28+17443.73+5473.41+2994.97</f>
        <v>43807.39</v>
      </c>
      <c r="P79" s="81">
        <f>17895.28+17443.73+5473.41+2994.97</f>
        <v>43807.39</v>
      </c>
      <c r="Q79" s="79">
        <f t="shared" si="2"/>
        <v>0</v>
      </c>
    </row>
    <row r="80" spans="1:17" s="13" customFormat="1" ht="30" x14ac:dyDescent="0.25">
      <c r="A80" s="229"/>
      <c r="B80" s="27" t="s">
        <v>55</v>
      </c>
      <c r="C80" s="181" t="s">
        <v>304</v>
      </c>
      <c r="D80" s="182" t="s">
        <v>387</v>
      </c>
      <c r="E80" s="183" t="s">
        <v>20</v>
      </c>
      <c r="F80" s="73" t="s">
        <v>357</v>
      </c>
      <c r="G80" s="74" t="s">
        <v>112</v>
      </c>
      <c r="H80" s="75">
        <v>35</v>
      </c>
      <c r="I80" s="76">
        <v>28</v>
      </c>
      <c r="J80" s="98">
        <f>3+1+1+2+1+1+1+3+3+1+3+1+3+3+3+1+3</f>
        <v>34</v>
      </c>
      <c r="K80" s="77">
        <f>1267.86+6667.8+5756.15+1180.38+4780.37+4352.43+2850.42+2493.42+1404.9+10097.91+883.08+8774.66+2561.63+8797.67+1858.48+3871.8+2260.39+2717.89+924.88</f>
        <v>73502.12000000001</v>
      </c>
      <c r="L80" s="77">
        <f>1267.86+6667.8+5756.15+1180.38+4780.37+4352.43+2850.42+2493.42+1404.9+10097.91+883.08+8774.66+2561.63+8797.67</f>
        <v>61868.68</v>
      </c>
      <c r="M80" s="78">
        <f t="shared" si="3"/>
        <v>11633.44000000001</v>
      </c>
      <c r="N80" s="100">
        <f>2+1+2+2+2+1+2+1+1+1+1</f>
        <v>16</v>
      </c>
      <c r="O80" s="81">
        <f>34854.19+2113.1+6430.67+5463.42+39145.22+2535.72+5132.44+12985.86+3492.63+4013.52</f>
        <v>116166.77000000002</v>
      </c>
      <c r="P80" s="81">
        <f>34854.19+2113.1+6430.67+5463.42+39145.22+2535.72+5132.44+12985.86+3492.63</f>
        <v>112153.25000000001</v>
      </c>
      <c r="Q80" s="232">
        <f t="shared" si="2"/>
        <v>4013.5200000000041</v>
      </c>
    </row>
    <row r="81" spans="1:17" s="13" customFormat="1" ht="30" x14ac:dyDescent="0.25">
      <c r="A81" s="229"/>
      <c r="B81" s="62" t="s">
        <v>56</v>
      </c>
      <c r="C81" s="181" t="s">
        <v>17</v>
      </c>
      <c r="D81" s="182" t="s">
        <v>386</v>
      </c>
      <c r="E81" s="183" t="s">
        <v>18</v>
      </c>
      <c r="F81" s="73" t="s">
        <v>358</v>
      </c>
      <c r="G81" s="74" t="s">
        <v>112</v>
      </c>
      <c r="H81" s="75">
        <v>14</v>
      </c>
      <c r="I81" s="76">
        <v>12</v>
      </c>
      <c r="J81" s="96">
        <f>1+1+2+2+5+1</f>
        <v>12</v>
      </c>
      <c r="K81" s="77">
        <f>678.11+678.11+4865.7+5265.72+4915.15+2243.02</f>
        <v>18645.810000000001</v>
      </c>
      <c r="L81" s="77">
        <f>678.11+678.11+4865.7+5265.72+4915.15+2243.02</f>
        <v>18645.810000000001</v>
      </c>
      <c r="M81" s="78">
        <f t="shared" si="3"/>
        <v>0</v>
      </c>
      <c r="N81" s="100">
        <f>1</f>
        <v>1</v>
      </c>
      <c r="O81" s="81">
        <f>4395.5</f>
        <v>4395.5</v>
      </c>
      <c r="P81" s="81">
        <f>4395.5</f>
        <v>4395.5</v>
      </c>
      <c r="Q81" s="79">
        <f t="shared" si="2"/>
        <v>0</v>
      </c>
    </row>
    <row r="82" spans="1:17" s="13" customFormat="1" ht="30" x14ac:dyDescent="0.25">
      <c r="A82" s="229"/>
      <c r="B82" s="62" t="s">
        <v>56</v>
      </c>
      <c r="C82" s="181" t="s">
        <v>304</v>
      </c>
      <c r="D82" s="182" t="s">
        <v>386</v>
      </c>
      <c r="E82" s="183" t="s">
        <v>18</v>
      </c>
      <c r="F82" s="73" t="s">
        <v>476</v>
      </c>
      <c r="G82" s="230" t="s">
        <v>113</v>
      </c>
      <c r="H82" s="181">
        <v>14</v>
      </c>
      <c r="I82" s="234">
        <v>11</v>
      </c>
      <c r="J82" s="98">
        <v>13</v>
      </c>
      <c r="K82" s="77">
        <v>22467</v>
      </c>
      <c r="L82" s="77">
        <v>20460</v>
      </c>
      <c r="M82" s="78">
        <f t="shared" si="3"/>
        <v>2007</v>
      </c>
      <c r="N82" s="100"/>
      <c r="O82" s="224">
        <v>7612</v>
      </c>
      <c r="P82" s="224">
        <v>7612</v>
      </c>
      <c r="Q82" s="232">
        <f t="shared" ref="Q82:Q148" si="4">O82-P82</f>
        <v>0</v>
      </c>
    </row>
    <row r="83" spans="1:17" s="13" customFormat="1" x14ac:dyDescent="0.25">
      <c r="A83" s="229"/>
      <c r="B83" s="62" t="s">
        <v>156</v>
      </c>
      <c r="C83" s="181" t="s">
        <v>304</v>
      </c>
      <c r="D83" s="182"/>
      <c r="E83" s="183" t="s">
        <v>20</v>
      </c>
      <c r="F83" s="73" t="s">
        <v>359</v>
      </c>
      <c r="G83" s="74" t="s">
        <v>112</v>
      </c>
      <c r="H83" s="75">
        <v>5</v>
      </c>
      <c r="I83" s="76">
        <v>2</v>
      </c>
      <c r="J83" s="96">
        <f>2</f>
        <v>2</v>
      </c>
      <c r="K83" s="77">
        <f>1690.48+993.47</f>
        <v>2683.95</v>
      </c>
      <c r="L83" s="77">
        <f>1690.48+993.47</f>
        <v>2683.95</v>
      </c>
      <c r="M83" s="78">
        <f t="shared" si="3"/>
        <v>0</v>
      </c>
      <c r="N83" s="100">
        <f>3+1+1</f>
        <v>5</v>
      </c>
      <c r="O83" s="81">
        <f>5488.54+2398.37+422.62+1605.6</f>
        <v>9915.130000000001</v>
      </c>
      <c r="P83" s="81">
        <f>5488.54+2398.37+422.62+1605.6</f>
        <v>9915.130000000001</v>
      </c>
      <c r="Q83" s="79">
        <f t="shared" si="4"/>
        <v>0</v>
      </c>
    </row>
    <row r="84" spans="1:17" s="15" customFormat="1" x14ac:dyDescent="0.25">
      <c r="A84" s="229"/>
      <c r="B84" s="62" t="s">
        <v>57</v>
      </c>
      <c r="C84" s="181" t="s">
        <v>17</v>
      </c>
      <c r="D84" s="182"/>
      <c r="E84" s="183" t="s">
        <v>20</v>
      </c>
      <c r="F84" s="73" t="s">
        <v>360</v>
      </c>
      <c r="G84" s="74" t="s">
        <v>112</v>
      </c>
      <c r="H84" s="75">
        <v>9</v>
      </c>
      <c r="I84" s="76">
        <v>8</v>
      </c>
      <c r="J84" s="96">
        <f>2+1+1+2+2+1</f>
        <v>9</v>
      </c>
      <c r="K84" s="77">
        <f>806.82+1728.9+422.62+2958.34+863.01+3197.13</f>
        <v>9976.82</v>
      </c>
      <c r="L84" s="77">
        <f>806.82+1728.9+422.62+2958.34+863.01</f>
        <v>6779.6900000000005</v>
      </c>
      <c r="M84" s="78">
        <f t="shared" si="3"/>
        <v>3197.1299999999992</v>
      </c>
      <c r="N84" s="100">
        <f>2+1+1+1</f>
        <v>5</v>
      </c>
      <c r="O84" s="81">
        <f>2745.3+4508.79</f>
        <v>7254.09</v>
      </c>
      <c r="P84" s="81">
        <f>2745.3</f>
        <v>2745.3</v>
      </c>
      <c r="Q84" s="232">
        <f t="shared" si="4"/>
        <v>4508.79</v>
      </c>
    </row>
    <row r="85" spans="1:17" s="15" customFormat="1" x14ac:dyDescent="0.25">
      <c r="A85" s="229"/>
      <c r="B85" s="62" t="s">
        <v>57</v>
      </c>
      <c r="C85" s="181" t="s">
        <v>17</v>
      </c>
      <c r="D85" s="182"/>
      <c r="E85" s="183" t="s">
        <v>20</v>
      </c>
      <c r="F85" s="73" t="s">
        <v>458</v>
      </c>
      <c r="G85" s="230" t="s">
        <v>114</v>
      </c>
      <c r="H85" s="181">
        <v>45</v>
      </c>
      <c r="I85" s="231">
        <v>19</v>
      </c>
      <c r="J85" s="190">
        <v>19</v>
      </c>
      <c r="K85" s="77">
        <v>50821.97</v>
      </c>
      <c r="L85" s="77">
        <v>50821.97</v>
      </c>
      <c r="M85" s="78">
        <f t="shared" si="3"/>
        <v>0</v>
      </c>
      <c r="N85" s="100">
        <v>20</v>
      </c>
      <c r="O85" s="224">
        <v>42687.199999999997</v>
      </c>
      <c r="P85" s="224">
        <v>42687.199999999997</v>
      </c>
      <c r="Q85" s="232">
        <f t="shared" si="4"/>
        <v>0</v>
      </c>
    </row>
    <row r="86" spans="1:17" s="13" customFormat="1" x14ac:dyDescent="0.25">
      <c r="A86" s="229"/>
      <c r="B86" s="62" t="s">
        <v>58</v>
      </c>
      <c r="C86" s="181" t="s">
        <v>17</v>
      </c>
      <c r="D86" s="182"/>
      <c r="E86" s="183" t="s">
        <v>20</v>
      </c>
      <c r="F86" s="73" t="s">
        <v>361</v>
      </c>
      <c r="G86" s="74" t="s">
        <v>112</v>
      </c>
      <c r="H86" s="75">
        <v>13</v>
      </c>
      <c r="I86" s="76">
        <v>9</v>
      </c>
      <c r="J86" s="96">
        <f>1+2+1+1+1+1+2</f>
        <v>9</v>
      </c>
      <c r="K86" s="77">
        <f>1892.47+3118.94+422.62+1324.62+12755.56</f>
        <v>19514.21</v>
      </c>
      <c r="L86" s="77">
        <f>1892.47+3118.94+422.62+1324.62+12755.56</f>
        <v>19514.21</v>
      </c>
      <c r="M86" s="78">
        <f t="shared" si="3"/>
        <v>0</v>
      </c>
      <c r="N86" s="100">
        <f>1+1+3+1</f>
        <v>6</v>
      </c>
      <c r="O86" s="81">
        <f>9196.24+2480.78+2954.11+15214.32</f>
        <v>29845.45</v>
      </c>
      <c r="P86" s="81">
        <f>9196.24+2480.78+2954.11+15214.32</f>
        <v>29845.45</v>
      </c>
      <c r="Q86" s="232">
        <f t="shared" si="4"/>
        <v>0</v>
      </c>
    </row>
    <row r="87" spans="1:17" s="13" customFormat="1" x14ac:dyDescent="0.25">
      <c r="A87" s="229"/>
      <c r="B87" s="62" t="s">
        <v>58</v>
      </c>
      <c r="C87" s="181" t="s">
        <v>17</v>
      </c>
      <c r="D87" s="182"/>
      <c r="E87" s="183" t="s">
        <v>20</v>
      </c>
      <c r="F87" s="73" t="s">
        <v>478</v>
      </c>
      <c r="G87" s="230" t="s">
        <v>114</v>
      </c>
      <c r="H87" s="181">
        <v>15</v>
      </c>
      <c r="I87" s="231">
        <v>3</v>
      </c>
      <c r="J87" s="190">
        <v>3</v>
      </c>
      <c r="K87" s="77">
        <v>3765.16</v>
      </c>
      <c r="L87" s="77">
        <v>3765.16</v>
      </c>
      <c r="M87" s="78">
        <f t="shared" si="3"/>
        <v>0</v>
      </c>
      <c r="N87" s="100">
        <v>21</v>
      </c>
      <c r="O87" s="224">
        <v>54215.77</v>
      </c>
      <c r="P87" s="224">
        <v>54215.77</v>
      </c>
      <c r="Q87" s="232">
        <f t="shared" si="4"/>
        <v>0</v>
      </c>
    </row>
    <row r="88" spans="1:17" s="13" customFormat="1" x14ac:dyDescent="0.25">
      <c r="A88" s="229"/>
      <c r="B88" s="62" t="s">
        <v>59</v>
      </c>
      <c r="C88" s="181" t="s">
        <v>17</v>
      </c>
      <c r="D88" s="182"/>
      <c r="E88" s="183" t="s">
        <v>20</v>
      </c>
      <c r="F88" s="73" t="s">
        <v>362</v>
      </c>
      <c r="G88" s="74" t="s">
        <v>112</v>
      </c>
      <c r="H88" s="75">
        <v>16</v>
      </c>
      <c r="I88" s="76">
        <v>11</v>
      </c>
      <c r="J88" s="96">
        <f>1+1+1+3+1+1+2+1+1</f>
        <v>12</v>
      </c>
      <c r="K88" s="77">
        <f>403.41+1431.16+845.24+998.92+3059.87+5898.13+2379.46+1845.14+2833.92</f>
        <v>19695.25</v>
      </c>
      <c r="L88" s="77">
        <f>403.41+1431.16+845.24+998.92+3059.87+5898.13+2379.46</f>
        <v>15016.189999999999</v>
      </c>
      <c r="M88" s="78">
        <f t="shared" si="3"/>
        <v>4679.0600000000013</v>
      </c>
      <c r="N88" s="100">
        <f>1+2+2+1+1+1+1+1</f>
        <v>10</v>
      </c>
      <c r="O88" s="81">
        <f>6646.05+1267.86+979.71</f>
        <v>8893.619999999999</v>
      </c>
      <c r="P88" s="81">
        <f>2353.23+5561.68+978.71</f>
        <v>8893.619999999999</v>
      </c>
      <c r="Q88" s="232">
        <f t="shared" si="4"/>
        <v>0</v>
      </c>
    </row>
    <row r="89" spans="1:17" s="13" customFormat="1" x14ac:dyDescent="0.25">
      <c r="A89" s="229"/>
      <c r="B89" s="62" t="s">
        <v>59</v>
      </c>
      <c r="C89" s="181" t="s">
        <v>17</v>
      </c>
      <c r="D89" s="182"/>
      <c r="E89" s="183" t="s">
        <v>20</v>
      </c>
      <c r="F89" s="73" t="s">
        <v>128</v>
      </c>
      <c r="G89" s="230" t="s">
        <v>114</v>
      </c>
      <c r="H89" s="181"/>
      <c r="I89" s="231"/>
      <c r="J89" s="190"/>
      <c r="K89" s="77"/>
      <c r="L89" s="77"/>
      <c r="M89" s="78">
        <f t="shared" si="3"/>
        <v>0</v>
      </c>
      <c r="N89" s="100"/>
      <c r="O89" s="224"/>
      <c r="P89" s="224"/>
      <c r="Q89" s="232">
        <f t="shared" si="4"/>
        <v>0</v>
      </c>
    </row>
    <row r="90" spans="1:17" s="13" customFormat="1" x14ac:dyDescent="0.25">
      <c r="A90" s="229"/>
      <c r="B90" s="27" t="s">
        <v>60</v>
      </c>
      <c r="C90" s="181" t="s">
        <v>17</v>
      </c>
      <c r="D90" s="182"/>
      <c r="E90" s="183" t="s">
        <v>20</v>
      </c>
      <c r="F90" s="73" t="s">
        <v>364</v>
      </c>
      <c r="G90" s="74" t="s">
        <v>112</v>
      </c>
      <c r="H90" s="75">
        <v>22</v>
      </c>
      <c r="I90" s="76">
        <v>12</v>
      </c>
      <c r="J90" s="96">
        <f>1+1+1+4+4+2+2</f>
        <v>15</v>
      </c>
      <c r="K90" s="77">
        <f>634.93+893.27+2930.22+8503.46+16092.98+5716.27</f>
        <v>34771.130000000005</v>
      </c>
      <c r="L90" s="77">
        <f>634.93+893.27+2930.22+8503.46+16092.98</f>
        <v>29054.86</v>
      </c>
      <c r="M90" s="78">
        <f t="shared" si="3"/>
        <v>5716.2700000000041</v>
      </c>
      <c r="N90" s="100">
        <f>4+1+3+1+1+2+2</f>
        <v>14</v>
      </c>
      <c r="O90" s="81">
        <f>15124.53+2065.75+8492.52+5828.3+7183.28+5512.5</f>
        <v>44206.879999999997</v>
      </c>
      <c r="P90" s="81">
        <f>15124.53+2065.75+8492.52+5828.3+7183.28</f>
        <v>38694.379999999997</v>
      </c>
      <c r="Q90" s="232">
        <f t="shared" si="4"/>
        <v>5512.5</v>
      </c>
    </row>
    <row r="91" spans="1:17" s="13" customFormat="1" x14ac:dyDescent="0.25">
      <c r="A91" s="229"/>
      <c r="B91" s="27" t="s">
        <v>60</v>
      </c>
      <c r="C91" s="181" t="s">
        <v>17</v>
      </c>
      <c r="D91" s="182"/>
      <c r="E91" s="183" t="s">
        <v>20</v>
      </c>
      <c r="F91" s="73" t="s">
        <v>479</v>
      </c>
      <c r="G91" s="230" t="s">
        <v>114</v>
      </c>
      <c r="H91" s="181">
        <v>17</v>
      </c>
      <c r="I91" s="231">
        <v>4</v>
      </c>
      <c r="J91" s="190">
        <v>4</v>
      </c>
      <c r="K91" s="77">
        <v>8197.2000000000007</v>
      </c>
      <c r="L91" s="77">
        <v>8197.2000000000007</v>
      </c>
      <c r="M91" s="78">
        <f t="shared" si="3"/>
        <v>0</v>
      </c>
      <c r="N91" s="100">
        <v>14</v>
      </c>
      <c r="O91" s="224">
        <v>44683.68</v>
      </c>
      <c r="P91" s="224">
        <v>44683.68</v>
      </c>
      <c r="Q91" s="232">
        <f t="shared" si="4"/>
        <v>0</v>
      </c>
    </row>
    <row r="92" spans="1:17" s="13" customFormat="1" x14ac:dyDescent="0.25">
      <c r="A92" s="229"/>
      <c r="B92" s="27" t="s">
        <v>493</v>
      </c>
      <c r="C92" s="181" t="s">
        <v>17</v>
      </c>
      <c r="D92" s="182"/>
      <c r="E92" s="183" t="s">
        <v>20</v>
      </c>
      <c r="F92" s="73" t="s">
        <v>496</v>
      </c>
      <c r="G92" s="230" t="s">
        <v>112</v>
      </c>
      <c r="H92" s="181">
        <v>18</v>
      </c>
      <c r="I92" s="231">
        <v>15</v>
      </c>
      <c r="J92" s="190">
        <f>3+2+1+3+1+2+1+3+3+1+1+1</f>
        <v>22</v>
      </c>
      <c r="K92" s="77">
        <f>3387.04+3467.41+1267.86+2218.74+8089.94+1924.71+5638.36+4883.04+2510.56+993.47+2561.63+693.66+4069.47</f>
        <v>41705.89</v>
      </c>
      <c r="L92" s="77">
        <f>3387.04+3467.41+1267.86+2218.74+8089.94+1924.71+5638.36+4883.04+2510.56+993.47</f>
        <v>34381.129999999997</v>
      </c>
      <c r="M92" s="78">
        <f t="shared" si="3"/>
        <v>7324.760000000002</v>
      </c>
      <c r="N92" s="100"/>
      <c r="O92" s="224"/>
      <c r="P92" s="224"/>
      <c r="Q92" s="232">
        <f t="shared" si="4"/>
        <v>0</v>
      </c>
    </row>
    <row r="93" spans="1:17" s="15" customFormat="1" x14ac:dyDescent="0.25">
      <c r="A93" s="229"/>
      <c r="B93" s="27" t="s">
        <v>61</v>
      </c>
      <c r="C93" s="181" t="s">
        <v>17</v>
      </c>
      <c r="D93" s="182"/>
      <c r="E93" s="183" t="s">
        <v>20</v>
      </c>
      <c r="F93" s="73" t="s">
        <v>363</v>
      </c>
      <c r="G93" s="74" t="s">
        <v>112</v>
      </c>
      <c r="H93" s="75"/>
      <c r="I93" s="76"/>
      <c r="J93" s="96"/>
      <c r="K93" s="77"/>
      <c r="L93" s="77"/>
      <c r="M93" s="78">
        <f t="shared" si="3"/>
        <v>0</v>
      </c>
      <c r="N93" s="100"/>
      <c r="O93" s="81"/>
      <c r="P93" s="81"/>
      <c r="Q93" s="232">
        <f t="shared" si="4"/>
        <v>0</v>
      </c>
    </row>
    <row r="94" spans="1:17" s="15" customFormat="1" x14ac:dyDescent="0.25">
      <c r="A94" s="229"/>
      <c r="B94" s="236" t="s">
        <v>306</v>
      </c>
      <c r="C94" s="181" t="s">
        <v>17</v>
      </c>
      <c r="D94" s="182"/>
      <c r="E94" s="183" t="s">
        <v>35</v>
      </c>
      <c r="F94" s="73" t="s">
        <v>365</v>
      </c>
      <c r="G94" s="230" t="s">
        <v>112</v>
      </c>
      <c r="H94" s="181">
        <v>45</v>
      </c>
      <c r="I94" s="231">
        <v>34</v>
      </c>
      <c r="J94" s="190">
        <f>1+2+1+3+3+2+3+1+2+1+3+4+3+6+2</f>
        <v>37</v>
      </c>
      <c r="K94" s="77">
        <f>1045.98+2658.7+35696.14+4892.46+1024.04+2384.53+10793.24+5320.79+2075.24+1324.62+1192.16+2649.24+3973.86+4633.65</f>
        <v>79664.649999999994</v>
      </c>
      <c r="L94" s="77">
        <f>1045.98+2658.7+35696.14+4892.46+1024.04+2384.53+10793.24+5320.79+2075.24+1324.62+1192.16+2649.24+3973.86</f>
        <v>75031</v>
      </c>
      <c r="M94" s="78">
        <f t="shared" si="3"/>
        <v>4633.6499999999942</v>
      </c>
      <c r="N94" s="114">
        <f>7+2+2+2+1+1+1+1</f>
        <v>17</v>
      </c>
      <c r="O94" s="224">
        <f>2313.84+6162.57+2330.32+1690.48+3706.14+3107.65+4960.7+5418.93</f>
        <v>29690.63</v>
      </c>
      <c r="P94" s="224">
        <f>2313.84+6162.57+2330.32+1690.48+3706.14+3107.65+4960.7</f>
        <v>24271.7</v>
      </c>
      <c r="Q94" s="232">
        <f t="shared" si="4"/>
        <v>5418.93</v>
      </c>
    </row>
    <row r="95" spans="1:17" s="13" customFormat="1" x14ac:dyDescent="0.25">
      <c r="A95" s="229"/>
      <c r="B95" s="62" t="s">
        <v>306</v>
      </c>
      <c r="C95" s="181" t="s">
        <v>17</v>
      </c>
      <c r="D95" s="182"/>
      <c r="E95" s="183" t="s">
        <v>27</v>
      </c>
      <c r="F95" s="73" t="s">
        <v>421</v>
      </c>
      <c r="G95" s="230" t="s">
        <v>117</v>
      </c>
      <c r="H95" s="181">
        <v>6</v>
      </c>
      <c r="I95" s="231">
        <v>2</v>
      </c>
      <c r="J95" s="96">
        <v>2</v>
      </c>
      <c r="K95" s="77">
        <v>5465.2</v>
      </c>
      <c r="L95" s="77"/>
      <c r="M95" s="78">
        <f t="shared" si="3"/>
        <v>5465.2</v>
      </c>
      <c r="N95" s="100"/>
      <c r="O95" s="77"/>
      <c r="P95" s="77"/>
      <c r="Q95" s="79">
        <f>O95-P95</f>
        <v>0</v>
      </c>
    </row>
    <row r="96" spans="1:17" s="13" customFormat="1" x14ac:dyDescent="0.25">
      <c r="A96" s="229"/>
      <c r="B96" s="27" t="s">
        <v>62</v>
      </c>
      <c r="C96" s="181" t="s">
        <v>17</v>
      </c>
      <c r="D96" s="182"/>
      <c r="E96" s="183" t="s">
        <v>35</v>
      </c>
      <c r="F96" s="73" t="s">
        <v>366</v>
      </c>
      <c r="G96" s="74" t="s">
        <v>112</v>
      </c>
      <c r="H96" s="75">
        <v>43</v>
      </c>
      <c r="I96" s="76">
        <v>34</v>
      </c>
      <c r="J96" s="96">
        <f>1+3+1+1+2+4+4+3+3+4+2+9</f>
        <v>37</v>
      </c>
      <c r="K96" s="77">
        <f>3613.4+1872.01+1394.65+3518.32+15902.72+5370.89+2686.97+19155.26+5281.5+2557.29+10376.48</f>
        <v>71729.490000000005</v>
      </c>
      <c r="L96" s="77">
        <f>3613.4+1872.01+1394.65+3518.32+15902.72+5370.89+2686.97+19155.26+5281.5+2557.29</f>
        <v>61353.01</v>
      </c>
      <c r="M96" s="78">
        <f t="shared" si="3"/>
        <v>10376.480000000003</v>
      </c>
      <c r="N96" s="100">
        <f>6+2+1+2+1+3+1+1</f>
        <v>17</v>
      </c>
      <c r="O96" s="81">
        <f>19511.33+1270.93+3979.74+2500.85+8530.18+845.24+12787.47+17476.07</f>
        <v>66901.81</v>
      </c>
      <c r="P96" s="81">
        <f>19511.33+1270.93+3979.74+2500.85+8530.18+845.24+12787.47+17476.07</f>
        <v>66901.81</v>
      </c>
      <c r="Q96" s="79">
        <f t="shared" si="4"/>
        <v>0</v>
      </c>
    </row>
    <row r="97" spans="1:17" s="13" customFormat="1" x14ac:dyDescent="0.25">
      <c r="A97" s="229"/>
      <c r="B97" s="27" t="s">
        <v>62</v>
      </c>
      <c r="C97" s="181" t="s">
        <v>17</v>
      </c>
      <c r="D97" s="182"/>
      <c r="E97" s="183" t="s">
        <v>35</v>
      </c>
      <c r="F97" s="73" t="s">
        <v>428</v>
      </c>
      <c r="G97" s="230" t="s">
        <v>117</v>
      </c>
      <c r="H97" s="181">
        <v>6</v>
      </c>
      <c r="I97" s="231"/>
      <c r="J97" s="96"/>
      <c r="K97" s="77">
        <v>5549.28</v>
      </c>
      <c r="L97" s="77"/>
      <c r="M97" s="78">
        <f t="shared" si="3"/>
        <v>5549.28</v>
      </c>
      <c r="N97" s="100">
        <v>10</v>
      </c>
      <c r="O97" s="224">
        <v>35030.800000000003</v>
      </c>
      <c r="P97" s="224">
        <v>35030.800000000003</v>
      </c>
      <c r="Q97" s="232">
        <f t="shared" si="4"/>
        <v>0</v>
      </c>
    </row>
    <row r="98" spans="1:17" s="13" customFormat="1" x14ac:dyDescent="0.25">
      <c r="A98" s="229"/>
      <c r="B98" s="27" t="s">
        <v>155</v>
      </c>
      <c r="C98" s="181" t="s">
        <v>17</v>
      </c>
      <c r="D98" s="182"/>
      <c r="E98" s="183" t="s">
        <v>20</v>
      </c>
      <c r="F98" s="73" t="s">
        <v>367</v>
      </c>
      <c r="G98" s="74" t="s">
        <v>112</v>
      </c>
      <c r="H98" s="75">
        <v>17</v>
      </c>
      <c r="I98" s="82">
        <v>10</v>
      </c>
      <c r="J98" s="96">
        <f>1+2+3+1+2+2+1+1+1</f>
        <v>14</v>
      </c>
      <c r="K98" s="77">
        <f>3117.56+2266.78+5307.72+3606.94+1494.21+6905.68+2817.8+364.27+1657.62</f>
        <v>27538.58</v>
      </c>
      <c r="L98" s="77">
        <f>3117.56+2266.78+5307.72+3606.94+1494.21+6905.68+2817.8+364.27</f>
        <v>25880.960000000003</v>
      </c>
      <c r="M98" s="78">
        <f t="shared" si="3"/>
        <v>1657.619999999999</v>
      </c>
      <c r="N98" s="100">
        <f>1+1+1+1+1</f>
        <v>5</v>
      </c>
      <c r="O98" s="81">
        <f>1798.06+2123.67+2959.73</f>
        <v>6881.46</v>
      </c>
      <c r="P98" s="81">
        <f>1798.06+2123.67+2959.73</f>
        <v>6881.46</v>
      </c>
      <c r="Q98" s="232">
        <f t="shared" si="4"/>
        <v>0</v>
      </c>
    </row>
    <row r="99" spans="1:17" s="13" customFormat="1" x14ac:dyDescent="0.25">
      <c r="A99" s="229"/>
      <c r="B99" s="27" t="s">
        <v>523</v>
      </c>
      <c r="C99" s="181"/>
      <c r="D99" s="182"/>
      <c r="E99" s="183"/>
      <c r="F99" s="73"/>
      <c r="G99" s="74" t="s">
        <v>114</v>
      </c>
      <c r="H99" s="75">
        <v>5</v>
      </c>
      <c r="I99" s="82"/>
      <c r="J99" s="96"/>
      <c r="K99" s="77"/>
      <c r="L99" s="77"/>
      <c r="M99" s="78"/>
      <c r="N99" s="100"/>
      <c r="O99" s="81"/>
      <c r="P99" s="81"/>
      <c r="Q99" s="232"/>
    </row>
    <row r="100" spans="1:17" s="13" customFormat="1" ht="15.75" x14ac:dyDescent="0.25">
      <c r="A100" s="229"/>
      <c r="B100" s="27" t="s">
        <v>155</v>
      </c>
      <c r="C100" s="181" t="s">
        <v>17</v>
      </c>
      <c r="D100" s="182"/>
      <c r="E100" s="183" t="s">
        <v>20</v>
      </c>
      <c r="F100" s="73" t="s">
        <v>459</v>
      </c>
      <c r="G100" s="230" t="s">
        <v>114</v>
      </c>
      <c r="H100" s="1">
        <v>18</v>
      </c>
      <c r="I100" s="231">
        <v>4</v>
      </c>
      <c r="J100" s="190">
        <v>4</v>
      </c>
      <c r="K100" s="77">
        <v>8816.51</v>
      </c>
      <c r="L100" s="77">
        <v>8816.51</v>
      </c>
      <c r="M100" s="78">
        <f t="shared" si="3"/>
        <v>0</v>
      </c>
      <c r="N100" s="100">
        <v>16</v>
      </c>
      <c r="O100" s="224">
        <v>36413.46</v>
      </c>
      <c r="P100" s="224">
        <v>36413.46</v>
      </c>
      <c r="Q100" s="232">
        <f t="shared" si="4"/>
        <v>0</v>
      </c>
    </row>
    <row r="101" spans="1:17" s="13" customFormat="1" x14ac:dyDescent="0.25">
      <c r="A101" s="229"/>
      <c r="B101" s="30" t="s">
        <v>66</v>
      </c>
      <c r="C101" s="181" t="s">
        <v>17</v>
      </c>
      <c r="D101" s="182"/>
      <c r="E101" s="183" t="s">
        <v>21</v>
      </c>
      <c r="F101" s="73" t="s">
        <v>368</v>
      </c>
      <c r="G101" s="74" t="s">
        <v>112</v>
      </c>
      <c r="H101" s="75">
        <v>43</v>
      </c>
      <c r="I101" s="76">
        <v>35</v>
      </c>
      <c r="J101" s="96">
        <f>1+3+2+3+2+1+2+1+3+7+4+3+2+3+4+5+7+1+1</f>
        <v>55</v>
      </c>
      <c r="K101" s="77">
        <f>1045.98+4309.04+3820.12+1872.01+4253.49+3044.79+1191.19+4942.84+9299.2+9796.16+4139.27+2886.87+11269.91+12820.57+18537.23+2815.43+1040.49</f>
        <v>97084.59</v>
      </c>
      <c r="L101" s="77">
        <f>1045.98+4309.04+3820.12+1872.01+4253.49+3044.79+1191.19+4942.84+9299.2+9796.16+4139.27+2886.87+11269.91+12820.57+18537.23</f>
        <v>93228.67</v>
      </c>
      <c r="M101" s="78">
        <f t="shared" si="3"/>
        <v>3855.9199999999983</v>
      </c>
      <c r="N101" s="100">
        <f>6+3+8+7+1+1+1+2+1+1+1+1+1+1+1</f>
        <v>36</v>
      </c>
      <c r="O101" s="81">
        <f>11911.17+23136+18060.17+1977.84+2091.97+19535.65+19124.11+3199.71+4430.07+5418.9+2717.24+5690.21</f>
        <v>117293.04000000001</v>
      </c>
      <c r="P101" s="81">
        <f>11911.17+23136+18060.17+1977.84+2091.97+19535.65+19124.11+3199.71+4430.07+5418.9+2717.24+5690.21</f>
        <v>117293.04000000001</v>
      </c>
      <c r="Q101" s="232">
        <f t="shared" si="4"/>
        <v>0</v>
      </c>
    </row>
    <row r="102" spans="1:17" s="13" customFormat="1" x14ac:dyDescent="0.25">
      <c r="A102" s="229"/>
      <c r="B102" s="30" t="s">
        <v>66</v>
      </c>
      <c r="C102" s="181" t="s">
        <v>17</v>
      </c>
      <c r="D102" s="182"/>
      <c r="E102" s="183" t="s">
        <v>21</v>
      </c>
      <c r="F102" s="73" t="s">
        <v>439</v>
      </c>
      <c r="G102" s="230" t="s">
        <v>118</v>
      </c>
      <c r="H102" s="181">
        <v>11</v>
      </c>
      <c r="I102" s="231">
        <v>4</v>
      </c>
      <c r="J102" s="96">
        <v>4</v>
      </c>
      <c r="K102" s="77">
        <v>7173.6</v>
      </c>
      <c r="L102" s="77">
        <v>7173.6</v>
      </c>
      <c r="M102" s="78">
        <f t="shared" si="3"/>
        <v>0</v>
      </c>
      <c r="N102" s="100">
        <v>24</v>
      </c>
      <c r="O102" s="224">
        <v>81462.58</v>
      </c>
      <c r="P102" s="224">
        <v>81462.58</v>
      </c>
      <c r="Q102" s="79">
        <f t="shared" si="4"/>
        <v>0</v>
      </c>
    </row>
    <row r="103" spans="1:17" s="13" customFormat="1" x14ac:dyDescent="0.25">
      <c r="A103" s="229"/>
      <c r="B103" s="62" t="s">
        <v>137</v>
      </c>
      <c r="C103" s="181" t="s">
        <v>17</v>
      </c>
      <c r="D103" s="182"/>
      <c r="E103" s="194" t="s">
        <v>35</v>
      </c>
      <c r="F103" s="73" t="s">
        <v>369</v>
      </c>
      <c r="G103" s="74" t="s">
        <v>112</v>
      </c>
      <c r="H103" s="75">
        <v>45</v>
      </c>
      <c r="I103" s="76">
        <v>32</v>
      </c>
      <c r="J103" s="96">
        <f>3+3+1+4+1+3+2+3+6+2+3+1+2</f>
        <v>34</v>
      </c>
      <c r="K103" s="77">
        <f>504.26+845.24+3380.96+422.62+2535.72+6256.62+883.08+2649.24+4395.33+2649.24+2863.99+1387.32</f>
        <v>28773.619999999995</v>
      </c>
      <c r="L103" s="77">
        <f>504.26+845.24+3380.96+422.62+2535.72+6256.62+883.08+2649.24+4395.33+2649.24+2863.99</f>
        <v>27386.299999999996</v>
      </c>
      <c r="M103" s="78">
        <f t="shared" si="3"/>
        <v>1387.3199999999997</v>
      </c>
      <c r="N103" s="100">
        <f>5+1+1+2+1</f>
        <v>10</v>
      </c>
      <c r="O103" s="81">
        <f>2617.36+422.62+3852.18+3380.96+422.62</f>
        <v>10695.74</v>
      </c>
      <c r="P103" s="81">
        <f>2617.36+422.62+3852.18+3380.96+422.62</f>
        <v>10695.74</v>
      </c>
      <c r="Q103" s="232">
        <f t="shared" si="4"/>
        <v>0</v>
      </c>
    </row>
    <row r="104" spans="1:17" s="13" customFormat="1" x14ac:dyDescent="0.25">
      <c r="A104" s="229"/>
      <c r="B104" s="62" t="s">
        <v>137</v>
      </c>
      <c r="C104" s="181" t="s">
        <v>17</v>
      </c>
      <c r="D104" s="182"/>
      <c r="E104" s="194" t="s">
        <v>35</v>
      </c>
      <c r="F104" s="73" t="s">
        <v>429</v>
      </c>
      <c r="G104" s="230" t="s">
        <v>117</v>
      </c>
      <c r="H104" s="181">
        <v>13</v>
      </c>
      <c r="I104" s="231">
        <v>8</v>
      </c>
      <c r="J104" s="190">
        <v>9</v>
      </c>
      <c r="K104" s="193">
        <v>16572.68</v>
      </c>
      <c r="L104" s="193">
        <v>11675.02</v>
      </c>
      <c r="M104" s="78">
        <f t="shared" si="3"/>
        <v>4897.66</v>
      </c>
      <c r="N104" s="114">
        <v>2</v>
      </c>
      <c r="O104" s="224">
        <v>10565.5</v>
      </c>
      <c r="P104" s="224">
        <v>10565.5</v>
      </c>
      <c r="Q104" s="79">
        <f t="shared" si="4"/>
        <v>0</v>
      </c>
    </row>
    <row r="105" spans="1:17" s="13" customFormat="1" x14ac:dyDescent="0.25">
      <c r="A105" s="229"/>
      <c r="B105" s="30" t="s">
        <v>67</v>
      </c>
      <c r="C105" s="181" t="s">
        <v>17</v>
      </c>
      <c r="D105" s="182"/>
      <c r="E105" s="194" t="s">
        <v>21</v>
      </c>
      <c r="F105" s="73" t="s">
        <v>370</v>
      </c>
      <c r="G105" s="74" t="s">
        <v>112</v>
      </c>
      <c r="H105" s="75">
        <v>43</v>
      </c>
      <c r="I105" s="76">
        <v>35</v>
      </c>
      <c r="J105" s="96">
        <f>2+1+1+2+1+1+2+2+1+2+5+5+2+5+3+2+1+2+3+3+1</f>
        <v>47</v>
      </c>
      <c r="K105" s="77">
        <f>3319.85+1198.9+864.45+7235.32+1947.89+5377.75+8701.73+3581.7+8737.54+7647.65+16410.46+4594.78+9980.74</f>
        <v>79598.760000000009</v>
      </c>
      <c r="L105" s="77">
        <f>3319.85+1198.9+864.45+7235.32+1947.89+5377.75+8701.73+3581.7+8737.54+7647.65+16410.46+4594.78</f>
        <v>69618.02</v>
      </c>
      <c r="M105" s="78">
        <f t="shared" si="3"/>
        <v>9980.7400000000052</v>
      </c>
      <c r="N105" s="100">
        <f>4+9+4+4+1+3+1+3+1+1+1+1+1+1+3+2+1</f>
        <v>41</v>
      </c>
      <c r="O105" s="81">
        <f>29696.65+38129.03+13567.9+20687.05+2022.79+8145.77+17250.05+1233.28+5568.04+11106.62+7079.38</f>
        <v>154486.56</v>
      </c>
      <c r="P105" s="81">
        <f>29696.65+38129.03+13567.9+20687.05+2022.79+8145.77+17250.05+1233.28+5568.04+11106.62+7079.38</f>
        <v>154486.56</v>
      </c>
      <c r="Q105" s="232">
        <f t="shared" si="4"/>
        <v>0</v>
      </c>
    </row>
    <row r="106" spans="1:17" s="13" customFormat="1" x14ac:dyDescent="0.25">
      <c r="A106" s="229"/>
      <c r="B106" s="30" t="s">
        <v>67</v>
      </c>
      <c r="C106" s="181" t="s">
        <v>17</v>
      </c>
      <c r="D106" s="182"/>
      <c r="E106" s="194" t="s">
        <v>21</v>
      </c>
      <c r="F106" s="73" t="s">
        <v>440</v>
      </c>
      <c r="G106" s="230" t="s">
        <v>118</v>
      </c>
      <c r="H106" s="181">
        <v>18</v>
      </c>
      <c r="I106" s="231">
        <v>3</v>
      </c>
      <c r="J106" s="96">
        <v>3</v>
      </c>
      <c r="K106" s="77">
        <v>12778.52</v>
      </c>
      <c r="L106" s="77">
        <v>12778.52</v>
      </c>
      <c r="M106" s="78">
        <f t="shared" si="3"/>
        <v>0</v>
      </c>
      <c r="N106" s="100">
        <v>22</v>
      </c>
      <c r="O106" s="224">
        <v>74857.98</v>
      </c>
      <c r="P106" s="224">
        <v>74857.98</v>
      </c>
      <c r="Q106" s="79">
        <f t="shared" si="4"/>
        <v>0</v>
      </c>
    </row>
    <row r="107" spans="1:17" s="13" customFormat="1" x14ac:dyDescent="0.25">
      <c r="A107" s="229"/>
      <c r="B107" s="30" t="s">
        <v>68</v>
      </c>
      <c r="C107" s="181" t="s">
        <v>17</v>
      </c>
      <c r="D107" s="182"/>
      <c r="E107" s="194" t="s">
        <v>32</v>
      </c>
      <c r="F107" s="73" t="s">
        <v>371</v>
      </c>
      <c r="G107" s="74" t="s">
        <v>112</v>
      </c>
      <c r="H107" s="75">
        <v>27</v>
      </c>
      <c r="I107" s="76">
        <v>21</v>
      </c>
      <c r="J107" s="96">
        <f>2+1+2+5+5+3+1+2+2+1+3</f>
        <v>27</v>
      </c>
      <c r="K107" s="77">
        <f>1128.59+422.62+1152.6+4557.81+10981.59+5362.88+4996.85+4352.15+3073.96+3697.9+1003.5+581.63+6475.68</f>
        <v>47787.76</v>
      </c>
      <c r="L107" s="77">
        <f>1128.59+422.62+1152.6+4557.81+10981.59+5362.88+4996.85+4352.15+3073.96+3697.9+1003.5+581.63</f>
        <v>41312.080000000002</v>
      </c>
      <c r="M107" s="78">
        <f t="shared" si="3"/>
        <v>6475.68</v>
      </c>
      <c r="N107" s="100">
        <f>6+5+1+4+2+2+1+1+1</f>
        <v>23</v>
      </c>
      <c r="O107" s="81">
        <f>7813.73+8523.5+1452.28+12582.19+18077.76+4987.46+2373.79+1831.3</f>
        <v>57642.009999999995</v>
      </c>
      <c r="P107" s="81">
        <f>7813.73+8523.5+1452.28+12582.19+18077.76+4987.46+2373.79+1831.3</f>
        <v>57642.009999999995</v>
      </c>
      <c r="Q107" s="232">
        <f t="shared" si="4"/>
        <v>0</v>
      </c>
    </row>
    <row r="108" spans="1:17" s="13" customFormat="1" x14ac:dyDescent="0.25">
      <c r="A108" s="229"/>
      <c r="B108" s="30" t="s">
        <v>68</v>
      </c>
      <c r="C108" s="181" t="s">
        <v>17</v>
      </c>
      <c r="D108" s="182"/>
      <c r="E108" s="194" t="s">
        <v>32</v>
      </c>
      <c r="F108" s="73" t="s">
        <v>430</v>
      </c>
      <c r="G108" s="235" t="s">
        <v>117</v>
      </c>
      <c r="H108" s="181">
        <v>6</v>
      </c>
      <c r="I108" s="231">
        <v>2</v>
      </c>
      <c r="J108" s="96">
        <v>2</v>
      </c>
      <c r="K108" s="77">
        <v>3010.5</v>
      </c>
      <c r="L108" s="77">
        <v>3010.5</v>
      </c>
      <c r="M108" s="78">
        <f t="shared" si="3"/>
        <v>0</v>
      </c>
      <c r="N108" s="100"/>
      <c r="O108" s="77"/>
      <c r="P108" s="77"/>
      <c r="Q108" s="79">
        <f t="shared" si="4"/>
        <v>0</v>
      </c>
    </row>
    <row r="109" spans="1:17" s="15" customFormat="1" x14ac:dyDescent="0.25">
      <c r="A109" s="229"/>
      <c r="B109" s="27" t="s">
        <v>69</v>
      </c>
      <c r="C109" s="181" t="s">
        <v>17</v>
      </c>
      <c r="D109" s="182"/>
      <c r="E109" s="183" t="s">
        <v>20</v>
      </c>
      <c r="F109" s="73" t="s">
        <v>372</v>
      </c>
      <c r="G109" s="74" t="s">
        <v>112</v>
      </c>
      <c r="H109" s="75">
        <v>11</v>
      </c>
      <c r="I109" s="76">
        <v>7</v>
      </c>
      <c r="J109" s="96">
        <f>1+1+1+1+3+1+2</f>
        <v>10</v>
      </c>
      <c r="K109" s="77">
        <f>422.62+17390.69+3114.71+475.45+2326.92+1707.76+1946.39</f>
        <v>27384.539999999997</v>
      </c>
      <c r="L109" s="77">
        <f>422.62+17390.69+3114.71+475.45+2326.92+1707.76</f>
        <v>25438.149999999998</v>
      </c>
      <c r="M109" s="78">
        <f t="shared" si="3"/>
        <v>1946.3899999999994</v>
      </c>
      <c r="N109" s="100">
        <f>3+2+1+1+1+1</f>
        <v>9</v>
      </c>
      <c r="O109" s="77">
        <f>7210.31+3647.96+1306.28+1267.86+2697.06</f>
        <v>16129.470000000001</v>
      </c>
      <c r="P109" s="77">
        <f>7210.31+3647.96+1306.28+1267.86+2697.06</f>
        <v>16129.470000000001</v>
      </c>
      <c r="Q109" s="232">
        <f t="shared" si="4"/>
        <v>0</v>
      </c>
    </row>
    <row r="110" spans="1:17" s="15" customFormat="1" x14ac:dyDescent="0.25">
      <c r="A110" s="229"/>
      <c r="B110" s="236" t="s">
        <v>502</v>
      </c>
      <c r="C110" s="181" t="s">
        <v>17</v>
      </c>
      <c r="D110" s="182"/>
      <c r="E110" s="183" t="s">
        <v>20</v>
      </c>
      <c r="F110" s="73" t="s">
        <v>508</v>
      </c>
      <c r="G110" s="74" t="s">
        <v>112</v>
      </c>
      <c r="H110" s="75">
        <v>21</v>
      </c>
      <c r="I110" s="76">
        <v>14</v>
      </c>
      <c r="J110" s="96">
        <f>4+1+4+1+2+2+2+2</f>
        <v>18</v>
      </c>
      <c r="K110" s="77">
        <f>6145.3+993.47+5403.3+2759.63+2599.77+1043.64+1241.83+6209.8</f>
        <v>26396.74</v>
      </c>
      <c r="L110" s="77">
        <f>6145.3+993.47+5403.3+2759.63+2599.77</f>
        <v>17901.47</v>
      </c>
      <c r="M110" s="78">
        <f t="shared" si="3"/>
        <v>8495.27</v>
      </c>
      <c r="N110" s="100"/>
      <c r="O110" s="77"/>
      <c r="P110" s="77"/>
      <c r="Q110" s="232">
        <f t="shared" si="4"/>
        <v>0</v>
      </c>
    </row>
    <row r="111" spans="1:17" s="15" customFormat="1" x14ac:dyDescent="0.25">
      <c r="A111" s="229"/>
      <c r="B111" s="236" t="s">
        <v>502</v>
      </c>
      <c r="C111" s="181" t="s">
        <v>17</v>
      </c>
      <c r="D111" s="182"/>
      <c r="E111" s="183" t="s">
        <v>32</v>
      </c>
      <c r="F111" s="73" t="s">
        <v>511</v>
      </c>
      <c r="G111" s="235" t="s">
        <v>117</v>
      </c>
      <c r="H111" s="75">
        <v>11</v>
      </c>
      <c r="I111" s="76">
        <v>3</v>
      </c>
      <c r="J111" s="96">
        <v>3</v>
      </c>
      <c r="K111" s="77">
        <v>8532.7000000000007</v>
      </c>
      <c r="L111" s="77"/>
      <c r="M111" s="78">
        <f t="shared" si="3"/>
        <v>8532.7000000000007</v>
      </c>
      <c r="N111" s="100"/>
      <c r="O111" s="77"/>
      <c r="P111" s="77"/>
      <c r="Q111" s="232">
        <f t="shared" si="4"/>
        <v>0</v>
      </c>
    </row>
    <row r="112" spans="1:17" s="13" customFormat="1" x14ac:dyDescent="0.25">
      <c r="A112" s="229"/>
      <c r="B112" s="62" t="s">
        <v>70</v>
      </c>
      <c r="C112" s="181" t="s">
        <v>17</v>
      </c>
      <c r="D112" s="182"/>
      <c r="E112" s="183" t="s">
        <v>20</v>
      </c>
      <c r="F112" s="73" t="s">
        <v>373</v>
      </c>
      <c r="G112" s="74" t="s">
        <v>112</v>
      </c>
      <c r="H112" s="75">
        <v>22</v>
      </c>
      <c r="I112" s="76">
        <v>17</v>
      </c>
      <c r="J112" s="96">
        <f>2+2+2+3+1+2+1+1+3+2</f>
        <v>19</v>
      </c>
      <c r="K112" s="77">
        <f>19498+3011.17+8156.45+4593.85+883.08+4500.96+2774.64</f>
        <v>43418.15</v>
      </c>
      <c r="L112" s="77">
        <f>19498+3011.17+8156.45+4593.85+883.08+4500.96</f>
        <v>40643.51</v>
      </c>
      <c r="M112" s="78">
        <f t="shared" si="3"/>
        <v>2774.6399999999994</v>
      </c>
      <c r="N112" s="100">
        <f>2+3+4+2+1+1</f>
        <v>13</v>
      </c>
      <c r="O112" s="81">
        <f>7606.2+16795.84+3492.18</f>
        <v>27894.22</v>
      </c>
      <c r="P112" s="81">
        <f>7606.2+16795.84+3492.18</f>
        <v>27894.22</v>
      </c>
      <c r="Q112" s="79">
        <f t="shared" si="4"/>
        <v>0</v>
      </c>
    </row>
    <row r="113" spans="1:17" s="13" customFormat="1" x14ac:dyDescent="0.25">
      <c r="A113" s="229"/>
      <c r="B113" s="62" t="s">
        <v>70</v>
      </c>
      <c r="C113" s="181" t="s">
        <v>17</v>
      </c>
      <c r="D113" s="182"/>
      <c r="E113" s="183" t="s">
        <v>20</v>
      </c>
      <c r="F113" s="73" t="s">
        <v>460</v>
      </c>
      <c r="G113" s="230" t="s">
        <v>114</v>
      </c>
      <c r="H113" s="181">
        <v>48</v>
      </c>
      <c r="I113" s="231">
        <v>22</v>
      </c>
      <c r="J113" s="190">
        <v>22</v>
      </c>
      <c r="K113" s="77">
        <v>62930.74</v>
      </c>
      <c r="L113" s="77">
        <v>62930.74</v>
      </c>
      <c r="M113" s="78">
        <f t="shared" si="3"/>
        <v>0</v>
      </c>
      <c r="N113" s="100">
        <v>33</v>
      </c>
      <c r="O113" s="224">
        <v>79611.08</v>
      </c>
      <c r="P113" s="224">
        <v>79611.08</v>
      </c>
      <c r="Q113" s="232">
        <f t="shared" si="4"/>
        <v>0</v>
      </c>
    </row>
    <row r="114" spans="1:17" s="15" customFormat="1" x14ac:dyDescent="0.25">
      <c r="A114" s="229"/>
      <c r="B114" s="62" t="s">
        <v>71</v>
      </c>
      <c r="C114" s="181" t="s">
        <v>17</v>
      </c>
      <c r="D114" s="182"/>
      <c r="E114" s="183" t="s">
        <v>32</v>
      </c>
      <c r="F114" s="73" t="s">
        <v>374</v>
      </c>
      <c r="G114" s="74" t="s">
        <v>112</v>
      </c>
      <c r="H114" s="75">
        <v>29</v>
      </c>
      <c r="I114" s="76">
        <v>24</v>
      </c>
      <c r="J114" s="96">
        <f>3+1+2+1+1+3+3+1+3+4+1+2+3+1</f>
        <v>29</v>
      </c>
      <c r="K114" s="77">
        <f>1536.8+461.04+1748.88+633.93+3169.65+2435.83+13203.17+728.54+3984.13+1479.16+1118.94+4780.23+441.54</f>
        <v>35721.840000000004</v>
      </c>
      <c r="L114" s="77">
        <f>1536.8+461.04+1748.88+633.93+3169.65+2435.83+13203.17+728.54+3984.13+1479.16</f>
        <v>29381.130000000005</v>
      </c>
      <c r="M114" s="78">
        <f t="shared" si="3"/>
        <v>6340.7099999999991</v>
      </c>
      <c r="N114" s="100">
        <f>3+2+1+1+2+1+1</f>
        <v>11</v>
      </c>
      <c r="O114" s="81">
        <f>9567.93+3616.67+403.41+14275.52+10922.18+12907.41+5701.38</f>
        <v>57394.499999999993</v>
      </c>
      <c r="P114" s="81">
        <f>9567.93+3616.67+403.41+14275.52+10922.18+12907.41+5701.38</f>
        <v>57394.499999999993</v>
      </c>
      <c r="Q114" s="79">
        <f t="shared" si="4"/>
        <v>0</v>
      </c>
    </row>
    <row r="115" spans="1:17" s="15" customFormat="1" x14ac:dyDescent="0.25">
      <c r="A115" s="229"/>
      <c r="B115" s="62" t="s">
        <v>71</v>
      </c>
      <c r="C115" s="181" t="s">
        <v>17</v>
      </c>
      <c r="D115" s="182"/>
      <c r="E115" s="183" t="s">
        <v>32</v>
      </c>
      <c r="F115" s="73" t="s">
        <v>431</v>
      </c>
      <c r="G115" s="230" t="s">
        <v>115</v>
      </c>
      <c r="H115" s="181">
        <v>12</v>
      </c>
      <c r="I115" s="231">
        <v>7</v>
      </c>
      <c r="J115" s="96">
        <v>7</v>
      </c>
      <c r="K115" s="237">
        <v>13651.95</v>
      </c>
      <c r="L115" s="237">
        <v>13651.95</v>
      </c>
      <c r="M115" s="78">
        <f t="shared" si="3"/>
        <v>0</v>
      </c>
      <c r="N115" s="114">
        <f>5</f>
        <v>5</v>
      </c>
      <c r="O115" s="77">
        <v>6595.5</v>
      </c>
      <c r="P115" s="77">
        <v>6595.5</v>
      </c>
      <c r="Q115" s="232">
        <f t="shared" si="4"/>
        <v>0</v>
      </c>
    </row>
    <row r="116" spans="1:17" s="13" customFormat="1" x14ac:dyDescent="0.25">
      <c r="A116" s="229"/>
      <c r="B116" s="62" t="s">
        <v>319</v>
      </c>
      <c r="C116" s="181" t="s">
        <v>17</v>
      </c>
      <c r="D116" s="182"/>
      <c r="E116" s="183" t="s">
        <v>20</v>
      </c>
      <c r="F116" s="73" t="s">
        <v>375</v>
      </c>
      <c r="G116" s="74" t="s">
        <v>112</v>
      </c>
      <c r="H116" s="75">
        <v>48</v>
      </c>
      <c r="I116" s="76">
        <v>38</v>
      </c>
      <c r="J116" s="96">
        <f>2+1+4+3+6+2+7+1+2+1+1+7+1+6+3</f>
        <v>47</v>
      </c>
      <c r="K116" s="77">
        <f>710.77+1523.35+6753.23+7215.52+1437.48+28056.52+6091.99+2561.63+3510.24+1726.58+441.54+15673.73+993.47+7206.74+1390.85+14114.66</f>
        <v>99408.3</v>
      </c>
      <c r="L116" s="77">
        <f>710.77+1523.35+6753.23+7215.52+1437.48+28056.52+6091.99+2561.63+3510.24+1726.58+441.54+15673.73+993.47+7206.74</f>
        <v>83902.79</v>
      </c>
      <c r="M116" s="78">
        <f t="shared" si="3"/>
        <v>15505.510000000009</v>
      </c>
      <c r="N116" s="100">
        <f>3+1+2+1+2+1</f>
        <v>10</v>
      </c>
      <c r="O116" s="77">
        <f>13419.94+726.71+2846.77+3770.56+4653.31+2237.23</f>
        <v>27654.520000000004</v>
      </c>
      <c r="P116" s="77">
        <f>13419.94+726.71+2846.77+3770.56+4653.31+2237.23</f>
        <v>27654.520000000004</v>
      </c>
      <c r="Q116" s="79">
        <f>O116-P116</f>
        <v>0</v>
      </c>
    </row>
    <row r="117" spans="1:17" s="15" customFormat="1" x14ac:dyDescent="0.25">
      <c r="A117" s="229"/>
      <c r="B117" s="62" t="s">
        <v>150</v>
      </c>
      <c r="C117" s="181" t="s">
        <v>17</v>
      </c>
      <c r="D117" s="182"/>
      <c r="E117" s="183" t="s">
        <v>35</v>
      </c>
      <c r="F117" s="73" t="s">
        <v>376</v>
      </c>
      <c r="G117" s="74" t="s">
        <v>112</v>
      </c>
      <c r="H117" s="75">
        <v>42</v>
      </c>
      <c r="I117" s="76">
        <v>25</v>
      </c>
      <c r="J117" s="96">
        <f>1+1+2+2+1+3+1+4+4+1+3+1+1+1+1</f>
        <v>27</v>
      </c>
      <c r="K117" s="77">
        <f>1343.65+384.2+1690.4+4889.84+2417.43+2791.74+5298.48+5960.79+1192.16+3814.3+5575.23+5600.42+5111.52+12774.64</f>
        <v>58844.800000000003</v>
      </c>
      <c r="L117" s="77">
        <f>1343.65+384.2+1690.4+4889.84+2417.43+2791.74+5298.48+5960.79+1192.16+3814.3</f>
        <v>29782.989999999998</v>
      </c>
      <c r="M117" s="78">
        <f t="shared" si="3"/>
        <v>29061.810000000005</v>
      </c>
      <c r="N117" s="114">
        <f>8+1+1+2+3+1+1+1+1+1</f>
        <v>20</v>
      </c>
      <c r="O117" s="77">
        <f>5997.32+3719.39+3054.34+13138.17+6578.46+6198.68+2649.24+1516.77</f>
        <v>42852.369999999995</v>
      </c>
      <c r="P117" s="77">
        <f>5997.32+3719.39+3054.34+13138.17+6578.46+6198.68+2649.24</f>
        <v>41335.599999999999</v>
      </c>
      <c r="Q117" s="79">
        <f t="shared" si="4"/>
        <v>1516.7699999999968</v>
      </c>
    </row>
    <row r="118" spans="1:17" s="15" customFormat="1" x14ac:dyDescent="0.25">
      <c r="A118" s="229"/>
      <c r="B118" s="233" t="s">
        <v>150</v>
      </c>
      <c r="C118" s="181" t="s">
        <v>17</v>
      </c>
      <c r="D118" s="182"/>
      <c r="E118" s="183" t="s">
        <v>32</v>
      </c>
      <c r="F118" s="73" t="s">
        <v>487</v>
      </c>
      <c r="G118" s="230" t="s">
        <v>117</v>
      </c>
      <c r="H118" s="181">
        <v>6</v>
      </c>
      <c r="I118" s="231">
        <v>4</v>
      </c>
      <c r="J118" s="96">
        <v>6</v>
      </c>
      <c r="K118" s="77">
        <v>21694.2</v>
      </c>
      <c r="L118" s="77">
        <v>21694.2</v>
      </c>
      <c r="M118" s="78">
        <f t="shared" si="3"/>
        <v>0</v>
      </c>
      <c r="N118" s="100">
        <v>3</v>
      </c>
      <c r="O118" s="77">
        <v>9645.1</v>
      </c>
      <c r="P118" s="77">
        <v>9645.1</v>
      </c>
      <c r="Q118" s="232">
        <f t="shared" si="4"/>
        <v>0</v>
      </c>
    </row>
    <row r="119" spans="1:17" s="13" customFormat="1" x14ac:dyDescent="0.25">
      <c r="A119" s="229"/>
      <c r="B119" s="30" t="s">
        <v>72</v>
      </c>
      <c r="C119" s="181" t="s">
        <v>17</v>
      </c>
      <c r="D119" s="182"/>
      <c r="E119" s="183" t="s">
        <v>21</v>
      </c>
      <c r="F119" s="73" t="s">
        <v>377</v>
      </c>
      <c r="G119" s="74" t="s">
        <v>112</v>
      </c>
      <c r="H119" s="75">
        <v>33</v>
      </c>
      <c r="I119" s="76">
        <v>22</v>
      </c>
      <c r="J119" s="96">
        <f>1+1+1+1+6+2+1+2+3+1+1+4+1+3</f>
        <v>28</v>
      </c>
      <c r="K119" s="77">
        <f>633.93+1415.78+1610.18+1394.65+18140.86+2440.63+4140.81+3166.55+2165.55+10853.72+7398.8+2029.65</f>
        <v>55391.110000000015</v>
      </c>
      <c r="L119" s="77">
        <f>633.93+1415.78+1610.18+1394.65+18140.86+2440.63+4140.81+3166.55+2165.55+10853.72</f>
        <v>45962.660000000011</v>
      </c>
      <c r="M119" s="78">
        <f t="shared" si="3"/>
        <v>9428.4500000000044</v>
      </c>
      <c r="N119" s="100">
        <f>1+3+1+1+1+3+1+3+1+1+2+1+1+1</f>
        <v>21</v>
      </c>
      <c r="O119" s="81">
        <f>1950.74+10237.13+6595.95+3861.21+1348.53+10328.94+50451.86-19567+15859.78+3744.76+5149.77+2230.17</f>
        <v>92191.84</v>
      </c>
      <c r="P119" s="81">
        <f>1950.74+10237.13+6595.95+3861.21+1348.53+10328.94+50451.86-19567+15859.78+3744.76+5149.77</f>
        <v>89961.67</v>
      </c>
      <c r="Q119" s="79">
        <f t="shared" si="4"/>
        <v>2230.1699999999983</v>
      </c>
    </row>
    <row r="120" spans="1:17" s="13" customFormat="1" x14ac:dyDescent="0.25">
      <c r="A120" s="229"/>
      <c r="B120" s="30" t="s">
        <v>72</v>
      </c>
      <c r="C120" s="181" t="s">
        <v>17</v>
      </c>
      <c r="D120" s="182"/>
      <c r="E120" s="183" t="s">
        <v>21</v>
      </c>
      <c r="F120" s="73" t="s">
        <v>441</v>
      </c>
      <c r="G120" s="230" t="s">
        <v>118</v>
      </c>
      <c r="H120" s="181">
        <v>17</v>
      </c>
      <c r="I120" s="231">
        <v>4</v>
      </c>
      <c r="J120" s="96">
        <v>4</v>
      </c>
      <c r="K120" s="77">
        <v>5140.8</v>
      </c>
      <c r="L120" s="77">
        <v>1728.9</v>
      </c>
      <c r="M120" s="78">
        <f t="shared" si="3"/>
        <v>3411.9</v>
      </c>
      <c r="N120" s="100">
        <v>22</v>
      </c>
      <c r="O120" s="224">
        <v>65743.3</v>
      </c>
      <c r="P120" s="224">
        <v>63010.7</v>
      </c>
      <c r="Q120" s="232">
        <f t="shared" si="4"/>
        <v>2732.6000000000058</v>
      </c>
    </row>
    <row r="121" spans="1:17" s="15" customFormat="1" x14ac:dyDescent="0.25">
      <c r="A121" s="229"/>
      <c r="B121" s="30" t="s">
        <v>73</v>
      </c>
      <c r="C121" s="181" t="s">
        <v>17</v>
      </c>
      <c r="D121" s="182"/>
      <c r="E121" s="183" t="s">
        <v>74</v>
      </c>
      <c r="F121" s="73" t="s">
        <v>378</v>
      </c>
      <c r="G121" s="74" t="s">
        <v>112</v>
      </c>
      <c r="H121" s="75">
        <v>44</v>
      </c>
      <c r="I121" s="76">
        <v>35</v>
      </c>
      <c r="J121" s="96">
        <f>9+8+2+2+10+1+6+5+9+4</f>
        <v>56</v>
      </c>
      <c r="K121" s="77">
        <f>6305.33+12574.83+14899.84+13657.06+15923.24+7697.06+2858.97+10093.97+4780.23</f>
        <v>88790.53</v>
      </c>
      <c r="L121" s="77">
        <f>6305.33+12574.83+14899.84+13657.06+15923.24+7697.06+2858.97+10093.97</f>
        <v>84010.3</v>
      </c>
      <c r="M121" s="78">
        <f t="shared" si="3"/>
        <v>4780.2299999999959</v>
      </c>
      <c r="N121" s="100">
        <f>5+3+3+1+1+2+2</f>
        <v>17</v>
      </c>
      <c r="O121" s="81">
        <f>5416.39+9506.99+12269.39+7610.68+1915.68+16508.04+12449.36</f>
        <v>65676.53</v>
      </c>
      <c r="P121" s="81">
        <f>5416.39+9506.99+12269.39+7610.68+1915.68+16508.04+12449.36</f>
        <v>65676.53</v>
      </c>
      <c r="Q121" s="79">
        <f t="shared" si="4"/>
        <v>0</v>
      </c>
    </row>
    <row r="122" spans="1:17" s="15" customFormat="1" x14ac:dyDescent="0.25">
      <c r="A122" s="229"/>
      <c r="B122" s="30" t="s">
        <v>73</v>
      </c>
      <c r="C122" s="181" t="s">
        <v>17</v>
      </c>
      <c r="D122" s="182"/>
      <c r="E122" s="183" t="s">
        <v>74</v>
      </c>
      <c r="F122" s="73" t="s">
        <v>282</v>
      </c>
      <c r="G122" s="230" t="s">
        <v>114</v>
      </c>
      <c r="H122" s="181"/>
      <c r="I122" s="231"/>
      <c r="J122" s="190"/>
      <c r="K122" s="77"/>
      <c r="L122" s="77"/>
      <c r="M122" s="78">
        <f t="shared" si="3"/>
        <v>0</v>
      </c>
      <c r="N122" s="100">
        <v>1</v>
      </c>
      <c r="O122" s="224">
        <v>1728.9</v>
      </c>
      <c r="P122" s="224">
        <v>1728.9</v>
      </c>
      <c r="Q122" s="232">
        <f t="shared" si="4"/>
        <v>0</v>
      </c>
    </row>
    <row r="123" spans="1:17" s="13" customFormat="1" x14ac:dyDescent="0.25">
      <c r="A123" s="229"/>
      <c r="B123" s="30" t="s">
        <v>135</v>
      </c>
      <c r="C123" s="181" t="s">
        <v>17</v>
      </c>
      <c r="D123" s="182"/>
      <c r="E123" s="194" t="s">
        <v>35</v>
      </c>
      <c r="F123" s="73" t="s">
        <v>379</v>
      </c>
      <c r="G123" s="74" t="s">
        <v>112</v>
      </c>
      <c r="H123" s="75">
        <v>44</v>
      </c>
      <c r="I123" s="76">
        <v>40</v>
      </c>
      <c r="J123" s="96">
        <f>1+6+5+3+3+5+1+5+4+4+1+4</f>
        <v>42</v>
      </c>
      <c r="K123" s="77">
        <f>697.32+4374.12+5747.44+4426.94+15712.05+4176.57+2649.24+4106.34+2207.7+441.54+8594.46</f>
        <v>53133.72</v>
      </c>
      <c r="L123" s="77">
        <f>697.32+4374.12+5747.44+4426.94+15712.05+4176.57+2649.24+4106.34+2207.7</f>
        <v>44097.72</v>
      </c>
      <c r="M123" s="78">
        <f t="shared" si="3"/>
        <v>9036</v>
      </c>
      <c r="N123" s="100">
        <f>2+5+1+2+2+2+1</f>
        <v>15</v>
      </c>
      <c r="O123" s="81">
        <f>6432.89+2283.68+4932.13+377</f>
        <v>14025.7</v>
      </c>
      <c r="P123" s="81">
        <f>6432.89+2283.68+4932.13+377</f>
        <v>14025.7</v>
      </c>
      <c r="Q123" s="232">
        <f t="shared" si="4"/>
        <v>0</v>
      </c>
    </row>
    <row r="124" spans="1:17" s="13" customFormat="1" x14ac:dyDescent="0.25">
      <c r="A124" s="229"/>
      <c r="B124" s="30" t="s">
        <v>135</v>
      </c>
      <c r="C124" s="181" t="s">
        <v>17</v>
      </c>
      <c r="D124" s="182"/>
      <c r="E124" s="194" t="s">
        <v>35</v>
      </c>
      <c r="F124" s="73" t="s">
        <v>432</v>
      </c>
      <c r="G124" s="230" t="s">
        <v>115</v>
      </c>
      <c r="H124" s="181">
        <v>2</v>
      </c>
      <c r="I124" s="231"/>
      <c r="J124" s="96"/>
      <c r="K124" s="77"/>
      <c r="L124" s="77"/>
      <c r="M124" s="78">
        <f t="shared" si="3"/>
        <v>0</v>
      </c>
      <c r="N124" s="100">
        <v>1</v>
      </c>
      <c r="O124" s="224">
        <v>2689.4</v>
      </c>
      <c r="P124" s="224">
        <v>2689.4</v>
      </c>
      <c r="Q124" s="79">
        <f t="shared" si="4"/>
        <v>0</v>
      </c>
    </row>
    <row r="125" spans="1:17" s="13" customFormat="1" x14ac:dyDescent="0.25">
      <c r="A125" s="229"/>
      <c r="B125" s="30" t="s">
        <v>145</v>
      </c>
      <c r="C125" s="181" t="s">
        <v>17</v>
      </c>
      <c r="D125" s="182"/>
      <c r="E125" s="194" t="s">
        <v>20</v>
      </c>
      <c r="F125" s="73" t="s">
        <v>380</v>
      </c>
      <c r="G125" s="74" t="s">
        <v>112</v>
      </c>
      <c r="H125" s="75">
        <v>19</v>
      </c>
      <c r="I125" s="82">
        <v>16</v>
      </c>
      <c r="J125" s="96">
        <f>2+1+1+2+2+5+3+2+3+1+1+2+2+1</f>
        <v>28</v>
      </c>
      <c r="K125" s="77">
        <f>5169.72+1100+538.84+4293.82+3949.22+3361.76+5643.1+4037.33+4704.3+6285.32+5025.28+2797.76</f>
        <v>46906.450000000004</v>
      </c>
      <c r="L125" s="77">
        <f>5169.72+1100+538.84+4293.82+3949.22+3361.76+5643.1+4037.33+4704.3+6285.32+5025.28</f>
        <v>44108.69</v>
      </c>
      <c r="M125" s="78">
        <f t="shared" si="3"/>
        <v>2797.760000000002</v>
      </c>
      <c r="N125" s="100">
        <f>1+1+2+1+2+1</f>
        <v>8</v>
      </c>
      <c r="O125" s="81">
        <f>5120.23+3915.15+1114.12+14002.49+7111.04</f>
        <v>31263.03</v>
      </c>
      <c r="P125" s="81">
        <f>5120.23+3915.15+1114.12+14002.49+7111.04</f>
        <v>31263.03</v>
      </c>
      <c r="Q125" s="232">
        <f t="shared" si="4"/>
        <v>0</v>
      </c>
    </row>
    <row r="126" spans="1:17" s="13" customFormat="1" x14ac:dyDescent="0.25">
      <c r="A126" s="229"/>
      <c r="B126" s="30" t="s">
        <v>145</v>
      </c>
      <c r="C126" s="181" t="s">
        <v>17</v>
      </c>
      <c r="D126" s="182"/>
      <c r="E126" s="194" t="s">
        <v>20</v>
      </c>
      <c r="F126" s="73" t="s">
        <v>461</v>
      </c>
      <c r="G126" s="230" t="s">
        <v>114</v>
      </c>
      <c r="H126" s="181">
        <v>8</v>
      </c>
      <c r="I126" s="231">
        <v>5</v>
      </c>
      <c r="J126" s="190">
        <v>5</v>
      </c>
      <c r="K126" s="77">
        <v>6135.7</v>
      </c>
      <c r="L126" s="77">
        <v>6135.7</v>
      </c>
      <c r="M126" s="78">
        <f t="shared" si="3"/>
        <v>0</v>
      </c>
      <c r="N126" s="100">
        <v>11</v>
      </c>
      <c r="O126" s="224">
        <v>24338.15</v>
      </c>
      <c r="P126" s="224">
        <v>24338.15</v>
      </c>
      <c r="Q126" s="232">
        <f t="shared" si="4"/>
        <v>0</v>
      </c>
    </row>
    <row r="127" spans="1:17" s="13" customFormat="1" x14ac:dyDescent="0.25">
      <c r="A127" s="229"/>
      <c r="B127" s="62" t="s">
        <v>76</v>
      </c>
      <c r="C127" s="181" t="s">
        <v>17</v>
      </c>
      <c r="D127" s="182"/>
      <c r="E127" s="183" t="s">
        <v>20</v>
      </c>
      <c r="F127" s="73" t="s">
        <v>381</v>
      </c>
      <c r="G127" s="74" t="s">
        <v>112</v>
      </c>
      <c r="H127" s="75">
        <v>33</v>
      </c>
      <c r="I127" s="76">
        <v>24</v>
      </c>
      <c r="J127" s="96">
        <f>1+6+3+1+3+1+2+2+2+1+1+6+1+1</f>
        <v>31</v>
      </c>
      <c r="K127" s="77">
        <f>6556.06+2806.39+2697.06+1267.86+11775.51+1557.35+2113.1+4117.36+1673.84+1724.01+1457.08+3514.26+14440.84+3761.12</f>
        <v>59461.840000000004</v>
      </c>
      <c r="L127" s="77">
        <f>6556.06+2806.39+2697.06+1267.86+11775.51+1557.35+2113.1+4117.36+1673.84+1724.01+1457.08+3514.26+14440.84</f>
        <v>55700.72</v>
      </c>
      <c r="M127" s="78">
        <f t="shared" si="3"/>
        <v>3761.1200000000026</v>
      </c>
      <c r="N127" s="100">
        <f>5+6+2+1+1+1+1+2+2+1+1</f>
        <v>23</v>
      </c>
      <c r="O127" s="81">
        <f>11527.9+19846.52+1011.91+9641+2451.87+10072.83+11307.66+2243.83+6181.56+5655.45+1404.9</f>
        <v>81345.429999999993</v>
      </c>
      <c r="P127" s="81">
        <f>11527.9+19846.52+1011.91+9641+2451.87+10072.83+11307.66+2243.83+6181.56+5655.45+1404.9</f>
        <v>81345.429999999993</v>
      </c>
      <c r="Q127" s="232">
        <f t="shared" si="4"/>
        <v>0</v>
      </c>
    </row>
    <row r="128" spans="1:17" s="13" customFormat="1" x14ac:dyDescent="0.25">
      <c r="A128" s="229"/>
      <c r="B128" s="62" t="s">
        <v>76</v>
      </c>
      <c r="C128" s="181" t="s">
        <v>17</v>
      </c>
      <c r="D128" s="182"/>
      <c r="E128" s="183" t="s">
        <v>20</v>
      </c>
      <c r="F128" s="73" t="s">
        <v>462</v>
      </c>
      <c r="G128" s="230" t="s">
        <v>114</v>
      </c>
      <c r="H128" s="181">
        <v>18</v>
      </c>
      <c r="I128" s="231">
        <v>6</v>
      </c>
      <c r="J128" s="190">
        <v>6</v>
      </c>
      <c r="K128" s="77">
        <v>11144.6</v>
      </c>
      <c r="L128" s="77">
        <v>11144.6</v>
      </c>
      <c r="M128" s="78">
        <f t="shared" si="3"/>
        <v>0</v>
      </c>
      <c r="N128" s="100">
        <v>9</v>
      </c>
      <c r="O128" s="224">
        <v>30007.39</v>
      </c>
      <c r="P128" s="224">
        <v>30007.39</v>
      </c>
      <c r="Q128" s="232">
        <f t="shared" si="4"/>
        <v>0</v>
      </c>
    </row>
    <row r="129" spans="1:17" s="13" customFormat="1" x14ac:dyDescent="0.25">
      <c r="A129" s="229"/>
      <c r="B129" s="30" t="s">
        <v>77</v>
      </c>
      <c r="C129" s="181" t="s">
        <v>17</v>
      </c>
      <c r="D129" s="182"/>
      <c r="E129" s="183" t="s">
        <v>32</v>
      </c>
      <c r="F129" s="73" t="s">
        <v>388</v>
      </c>
      <c r="G129" s="74" t="s">
        <v>112</v>
      </c>
      <c r="H129" s="75">
        <v>26</v>
      </c>
      <c r="I129" s="76">
        <v>21</v>
      </c>
      <c r="J129" s="96">
        <f>2+2+2+6+1+1+1+7+3+1+3+2</f>
        <v>31</v>
      </c>
      <c r="K129" s="77">
        <f>2440.63+1507.02+2101.48+13625.7+1324.62+2083.47+13864.31+3415.51+3090.78+1773.79</f>
        <v>45227.310000000005</v>
      </c>
      <c r="L129" s="77">
        <f>2440.63+1507.02+2101.48+13625.7+1324.62+2083.47+13864.31</f>
        <v>36947.230000000003</v>
      </c>
      <c r="M129" s="78">
        <f t="shared" si="3"/>
        <v>8280.0800000000017</v>
      </c>
      <c r="N129" s="100">
        <f>5+2+3+3+1+1</f>
        <v>15</v>
      </c>
      <c r="O129" s="81">
        <f>11716.73+6848.82+4046.18+11166.34+8845.95</f>
        <v>42624.020000000004</v>
      </c>
      <c r="P129" s="81">
        <f>11716.73+6848.82+4046.18+11166.34+8845.95</f>
        <v>42624.020000000004</v>
      </c>
      <c r="Q129" s="232">
        <f t="shared" si="4"/>
        <v>0</v>
      </c>
    </row>
    <row r="130" spans="1:17" s="13" customFormat="1" x14ac:dyDescent="0.25">
      <c r="A130" s="229"/>
      <c r="B130" s="30" t="s">
        <v>77</v>
      </c>
      <c r="C130" s="181" t="s">
        <v>17</v>
      </c>
      <c r="D130" s="182"/>
      <c r="E130" s="183" t="s">
        <v>32</v>
      </c>
      <c r="F130" s="73" t="s">
        <v>433</v>
      </c>
      <c r="G130" s="230" t="s">
        <v>117</v>
      </c>
      <c r="H130" s="181">
        <v>6</v>
      </c>
      <c r="I130" s="231">
        <v>2</v>
      </c>
      <c r="J130" s="96">
        <v>3</v>
      </c>
      <c r="K130" s="77">
        <v>7262.7</v>
      </c>
      <c r="L130" s="77">
        <v>4530.1000000000004</v>
      </c>
      <c r="M130" s="78">
        <f t="shared" si="3"/>
        <v>2732.5999999999995</v>
      </c>
      <c r="N130" s="100">
        <v>7</v>
      </c>
      <c r="O130" s="224">
        <v>18164.11</v>
      </c>
      <c r="P130" s="224">
        <v>18164.11</v>
      </c>
      <c r="Q130" s="79">
        <f t="shared" si="4"/>
        <v>0</v>
      </c>
    </row>
    <row r="131" spans="1:17" s="13" customFormat="1" x14ac:dyDescent="0.25">
      <c r="A131" s="229"/>
      <c r="B131" s="30" t="s">
        <v>321</v>
      </c>
      <c r="C131" s="181" t="s">
        <v>17</v>
      </c>
      <c r="D131" s="182"/>
      <c r="E131" s="183" t="s">
        <v>21</v>
      </c>
      <c r="F131" s="73" t="s">
        <v>489</v>
      </c>
      <c r="G131" s="230" t="s">
        <v>112</v>
      </c>
      <c r="H131" s="181">
        <v>9</v>
      </c>
      <c r="I131" s="231">
        <v>2</v>
      </c>
      <c r="J131" s="96">
        <f>1+1</f>
        <v>2</v>
      </c>
      <c r="K131" s="77">
        <f>2547.89+1766.16</f>
        <v>4314.05</v>
      </c>
      <c r="L131" s="77">
        <f>2547.89+1766.16</f>
        <v>4314.05</v>
      </c>
      <c r="M131" s="78">
        <f t="shared" si="3"/>
        <v>0</v>
      </c>
      <c r="N131" s="100"/>
      <c r="O131" s="224"/>
      <c r="P131" s="224"/>
      <c r="Q131" s="79">
        <f t="shared" si="4"/>
        <v>0</v>
      </c>
    </row>
    <row r="132" spans="1:17" s="13" customFormat="1" ht="30" x14ac:dyDescent="0.25">
      <c r="A132" s="229"/>
      <c r="B132" s="62" t="s">
        <v>79</v>
      </c>
      <c r="C132" s="181" t="s">
        <v>304</v>
      </c>
      <c r="D132" s="182" t="s">
        <v>385</v>
      </c>
      <c r="E132" s="183" t="s">
        <v>18</v>
      </c>
      <c r="F132" s="73" t="s">
        <v>389</v>
      </c>
      <c r="G132" s="74" t="s">
        <v>112</v>
      </c>
      <c r="H132" s="75">
        <v>26</v>
      </c>
      <c r="I132" s="76">
        <v>20</v>
      </c>
      <c r="J132" s="98">
        <f>2+5+2+3+2+2+5+2+2</f>
        <v>25</v>
      </c>
      <c r="K132" s="77">
        <f>2091.97+3190.2+5703.08+6368.88+4029.68+4560.06+5101.32+1108.47</f>
        <v>32153.660000000003</v>
      </c>
      <c r="L132" s="77">
        <f>2091.97+3190.2+5703.08+6368.88+4029.68+4560.06+5101.32</f>
        <v>31045.190000000002</v>
      </c>
      <c r="M132" s="78">
        <f t="shared" si="3"/>
        <v>1108.4700000000012</v>
      </c>
      <c r="N132" s="100">
        <f>2+2+1+2+1+1+3+1+2</f>
        <v>15</v>
      </c>
      <c r="O132" s="81">
        <f>1547.4+4166.12+7835.61+1675.01+4717.63+6039.62+18829.39+23135.63+18613.81</f>
        <v>86560.22</v>
      </c>
      <c r="P132" s="81">
        <f>1547.4+4166.12+7835.61+1675.01+4717.63+6039.62+18829.39+23135.63+18613.81</f>
        <v>86560.22</v>
      </c>
      <c r="Q132" s="232">
        <f t="shared" si="4"/>
        <v>0</v>
      </c>
    </row>
    <row r="133" spans="1:17" s="13" customFormat="1" ht="30" x14ac:dyDescent="0.25">
      <c r="A133" s="229"/>
      <c r="B133" s="62" t="s">
        <v>79</v>
      </c>
      <c r="C133" s="181" t="s">
        <v>304</v>
      </c>
      <c r="D133" s="182" t="s">
        <v>475</v>
      </c>
      <c r="E133" s="183" t="s">
        <v>18</v>
      </c>
      <c r="F133" s="73" t="s">
        <v>329</v>
      </c>
      <c r="G133" s="271" t="s">
        <v>116</v>
      </c>
      <c r="H133" s="181">
        <v>49</v>
      </c>
      <c r="I133" s="234">
        <v>37</v>
      </c>
      <c r="J133" s="98">
        <v>43</v>
      </c>
      <c r="K133" s="224">
        <v>84241</v>
      </c>
      <c r="L133" s="224">
        <v>82168</v>
      </c>
      <c r="M133" s="78">
        <f t="shared" si="3"/>
        <v>2073</v>
      </c>
      <c r="N133" s="100">
        <v>18</v>
      </c>
      <c r="O133" s="224">
        <v>56913</v>
      </c>
      <c r="P133" s="224">
        <v>56311</v>
      </c>
      <c r="Q133" s="79">
        <f t="shared" si="4"/>
        <v>602</v>
      </c>
    </row>
    <row r="134" spans="1:17" s="13" customFormat="1" x14ac:dyDescent="0.25">
      <c r="A134" s="229"/>
      <c r="B134" s="62" t="s">
        <v>151</v>
      </c>
      <c r="C134" s="181" t="s">
        <v>17</v>
      </c>
      <c r="D134" s="182"/>
      <c r="E134" s="183" t="s">
        <v>32</v>
      </c>
      <c r="F134" s="73" t="s">
        <v>390</v>
      </c>
      <c r="G134" s="74" t="s">
        <v>112</v>
      </c>
      <c r="H134" s="75">
        <v>80</v>
      </c>
      <c r="I134" s="82">
        <v>68</v>
      </c>
      <c r="J134" s="96">
        <f>1+3+3+5+3+9+4+6+3+2+6+5+3+8+4+5+2+7+6+3+5</f>
        <v>93</v>
      </c>
      <c r="K134" s="81">
        <f>2317+4640.19+5864.19+10765+12519.53+4514.35+14486.46+3421.94+27163.56+5180.87+3460.57+13888.56+16894.73+15998.7+5115.33+11177.05</f>
        <v>157408.02999999997</v>
      </c>
      <c r="L134" s="81">
        <f>2317+4640.19+5864.19+10765+12519.53+4514.35+14486.46+3421.94+27163.56+5180.87+3460.57+13888.56+16894.73</f>
        <v>125116.95</v>
      </c>
      <c r="M134" s="78">
        <f t="shared" si="3"/>
        <v>32291.079999999973</v>
      </c>
      <c r="N134" s="100">
        <f>9+3+5+1+4+4+1+2+1+1</f>
        <v>31</v>
      </c>
      <c r="O134" s="81">
        <f>10726.94+18822.65+5703.53+12846.53+1320.36+4050.1+22728.38+3733.09+1243.37</f>
        <v>81174.95</v>
      </c>
      <c r="P134" s="81">
        <f>10726.94+18822.65+5703.53+12846.53+1320.36+4050.1+22728.38+3733.09</f>
        <v>79931.58</v>
      </c>
      <c r="Q134" s="232">
        <f t="shared" si="4"/>
        <v>1243.3699999999953</v>
      </c>
    </row>
    <row r="135" spans="1:17" s="13" customFormat="1" x14ac:dyDescent="0.25">
      <c r="A135" s="229"/>
      <c r="B135" s="62" t="s">
        <v>151</v>
      </c>
      <c r="C135" s="181" t="s">
        <v>17</v>
      </c>
      <c r="D135" s="182"/>
      <c r="E135" s="183" t="s">
        <v>32</v>
      </c>
      <c r="F135" s="73" t="s">
        <v>434</v>
      </c>
      <c r="G135" s="230" t="s">
        <v>117</v>
      </c>
      <c r="H135" s="181">
        <v>16</v>
      </c>
      <c r="I135" s="231">
        <v>6</v>
      </c>
      <c r="J135" s="96">
        <v>6</v>
      </c>
      <c r="K135" s="77">
        <v>7392.05</v>
      </c>
      <c r="L135" s="77">
        <v>5920.65</v>
      </c>
      <c r="M135" s="78">
        <f t="shared" si="3"/>
        <v>1471.4000000000005</v>
      </c>
      <c r="N135" s="100">
        <v>14</v>
      </c>
      <c r="O135" s="224">
        <v>27060.1</v>
      </c>
      <c r="P135" s="224">
        <v>24537.7</v>
      </c>
      <c r="Q135" s="79">
        <f t="shared" si="4"/>
        <v>2522.3999999999978</v>
      </c>
    </row>
    <row r="136" spans="1:17" s="13" customFormat="1" x14ac:dyDescent="0.25">
      <c r="A136" s="229"/>
      <c r="B136" s="62" t="s">
        <v>80</v>
      </c>
      <c r="C136" s="181" t="s">
        <v>17</v>
      </c>
      <c r="D136" s="182"/>
      <c r="E136" s="183" t="s">
        <v>81</v>
      </c>
      <c r="F136" s="73" t="s">
        <v>417</v>
      </c>
      <c r="G136" s="74" t="s">
        <v>112</v>
      </c>
      <c r="H136" s="75"/>
      <c r="I136" s="76"/>
      <c r="J136" s="96"/>
      <c r="K136" s="77">
        <f>749.19+8649.27+4869.81</f>
        <v>14268.27</v>
      </c>
      <c r="L136" s="77">
        <f>749.19+8649.27</f>
        <v>9398.4600000000009</v>
      </c>
      <c r="M136" s="78">
        <f t="shared" si="3"/>
        <v>4869.8099999999995</v>
      </c>
      <c r="N136" s="100">
        <f>2+2+1</f>
        <v>5</v>
      </c>
      <c r="O136" s="81">
        <f>3040.94+9398.46</f>
        <v>12439.4</v>
      </c>
      <c r="P136" s="81">
        <f>3040.94+9398.46</f>
        <v>12439.4</v>
      </c>
      <c r="Q136" s="232">
        <f t="shared" si="4"/>
        <v>0</v>
      </c>
    </row>
    <row r="137" spans="1:17" s="13" customFormat="1" x14ac:dyDescent="0.25">
      <c r="A137" s="229"/>
      <c r="B137" s="62" t="s">
        <v>80</v>
      </c>
      <c r="C137" s="181" t="s">
        <v>17</v>
      </c>
      <c r="D137" s="182"/>
      <c r="E137" s="183" t="s">
        <v>81</v>
      </c>
      <c r="F137" s="73" t="s">
        <v>285</v>
      </c>
      <c r="G137" s="230" t="s">
        <v>114</v>
      </c>
      <c r="H137" s="181"/>
      <c r="I137" s="231"/>
      <c r="J137" s="190"/>
      <c r="K137" s="77"/>
      <c r="L137" s="77"/>
      <c r="M137" s="78">
        <f t="shared" si="3"/>
        <v>0</v>
      </c>
      <c r="N137" s="100">
        <v>27</v>
      </c>
      <c r="O137" s="224">
        <v>62268.31</v>
      </c>
      <c r="P137" s="224">
        <v>62268.31</v>
      </c>
      <c r="Q137" s="232">
        <f t="shared" si="4"/>
        <v>0</v>
      </c>
    </row>
    <row r="138" spans="1:17" s="13" customFormat="1" x14ac:dyDescent="0.25">
      <c r="A138" s="229"/>
      <c r="B138" s="30" t="s">
        <v>82</v>
      </c>
      <c r="C138" s="181" t="s">
        <v>17</v>
      </c>
      <c r="D138" s="182"/>
      <c r="E138" s="183" t="s">
        <v>20</v>
      </c>
      <c r="F138" s="73" t="s">
        <v>394</v>
      </c>
      <c r="G138" s="74" t="s">
        <v>112</v>
      </c>
      <c r="H138" s="75">
        <v>20</v>
      </c>
      <c r="I138" s="76">
        <v>17</v>
      </c>
      <c r="J138" s="96">
        <f>4+3+2+2+1+1+1+1+1+2+1</f>
        <v>19</v>
      </c>
      <c r="K138" s="77">
        <f>20254+3953.39+602.1+1457.08+1445.04+964.61</f>
        <v>28676.22</v>
      </c>
      <c r="L138" s="77">
        <f>20254+3953.39+602.1+1457.08</f>
        <v>26266.57</v>
      </c>
      <c r="M138" s="78">
        <f t="shared" si="3"/>
        <v>2409.6500000000015</v>
      </c>
      <c r="N138" s="100">
        <f>3+5+1+1+1</f>
        <v>11</v>
      </c>
      <c r="O138" s="81">
        <f>5975.84+23579.15+1426.34+3500</f>
        <v>34481.33</v>
      </c>
      <c r="P138" s="81">
        <f>5975.84+23579.15+1426.34+3500</f>
        <v>34481.33</v>
      </c>
      <c r="Q138" s="232">
        <f t="shared" si="4"/>
        <v>0</v>
      </c>
    </row>
    <row r="139" spans="1:17" s="13" customFormat="1" x14ac:dyDescent="0.25">
      <c r="A139" s="229"/>
      <c r="B139" s="30" t="s">
        <v>82</v>
      </c>
      <c r="C139" s="181" t="s">
        <v>17</v>
      </c>
      <c r="D139" s="182"/>
      <c r="E139" s="183" t="s">
        <v>20</v>
      </c>
      <c r="F139" s="73" t="s">
        <v>463</v>
      </c>
      <c r="G139" s="230" t="s">
        <v>114</v>
      </c>
      <c r="H139" s="181">
        <v>34</v>
      </c>
      <c r="I139" s="231">
        <v>9</v>
      </c>
      <c r="J139" s="190">
        <v>9</v>
      </c>
      <c r="K139" s="77">
        <v>16086.18</v>
      </c>
      <c r="L139" s="77">
        <v>16086.18</v>
      </c>
      <c r="M139" s="78">
        <f t="shared" si="3"/>
        <v>0</v>
      </c>
      <c r="N139" s="100">
        <v>14</v>
      </c>
      <c r="O139" s="224">
        <v>48620.71</v>
      </c>
      <c r="P139" s="224">
        <v>48620.71</v>
      </c>
      <c r="Q139" s="232">
        <f t="shared" si="4"/>
        <v>0</v>
      </c>
    </row>
    <row r="140" spans="1:17" s="13" customFormat="1" x14ac:dyDescent="0.25">
      <c r="A140" s="229"/>
      <c r="B140" s="30" t="s">
        <v>309</v>
      </c>
      <c r="C140" s="181" t="s">
        <v>17</v>
      </c>
      <c r="D140" s="182"/>
      <c r="E140" s="183" t="s">
        <v>20</v>
      </c>
      <c r="F140" s="73" t="s">
        <v>391</v>
      </c>
      <c r="G140" s="230" t="s">
        <v>112</v>
      </c>
      <c r="H140" s="181">
        <v>23</v>
      </c>
      <c r="I140" s="231">
        <v>16</v>
      </c>
      <c r="J140" s="190">
        <f>1+5+2+1+1+1+2+1+1+1+1</f>
        <v>17</v>
      </c>
      <c r="K140" s="77">
        <f>3606.1+3402.77+2649.24+993.47+441.54+8488+4287.75+3090.78+1040.49+5044.8</f>
        <v>33044.94</v>
      </c>
      <c r="L140" s="77">
        <f>3606.1+3402.77+2649.24+993.47+441.54+8488+4287.75+3090.78</f>
        <v>26959.65</v>
      </c>
      <c r="M140" s="78">
        <f t="shared" si="3"/>
        <v>6085.2900000000009</v>
      </c>
      <c r="N140" s="100">
        <f>1+5+1+3</f>
        <v>10</v>
      </c>
      <c r="O140" s="224">
        <f>3088.97+13147.65+1267.86+5955.71</f>
        <v>23460.19</v>
      </c>
      <c r="P140" s="224">
        <f>3088.97+13147.65+1267.86+5955.71</f>
        <v>23460.19</v>
      </c>
      <c r="Q140" s="232">
        <f t="shared" si="4"/>
        <v>0</v>
      </c>
    </row>
    <row r="141" spans="1:17" s="13" customFormat="1" x14ac:dyDescent="0.25">
      <c r="A141" s="229"/>
      <c r="B141" s="30" t="s">
        <v>152</v>
      </c>
      <c r="C141" s="181" t="s">
        <v>17</v>
      </c>
      <c r="D141" s="182"/>
      <c r="E141" s="183" t="s">
        <v>35</v>
      </c>
      <c r="F141" s="73" t="s">
        <v>392</v>
      </c>
      <c r="G141" s="74" t="s">
        <v>112</v>
      </c>
      <c r="H141" s="75">
        <v>7</v>
      </c>
      <c r="I141" s="76">
        <v>6</v>
      </c>
      <c r="J141" s="96">
        <f>1+1+2+1+1+1+2</f>
        <v>9</v>
      </c>
      <c r="K141" s="77">
        <f>403.41+845.24+2113.1+2649.24</f>
        <v>6010.99</v>
      </c>
      <c r="L141" s="77">
        <f>403.41+845.24+2113.1+2649.24</f>
        <v>6010.99</v>
      </c>
      <c r="M141" s="78">
        <f t="shared" si="3"/>
        <v>0</v>
      </c>
      <c r="N141" s="100">
        <f>2+2+2+1+1+1+2</f>
        <v>11</v>
      </c>
      <c r="O141" s="81">
        <f>1690.48+3050.26+3661.61+4648.82+1267.86+1690.48+9282.42+4052.53</f>
        <v>29344.46</v>
      </c>
      <c r="P141" s="81">
        <f>1690.48+3050.26+3661.61+4648.82+1267.86+1690.48+9282.42+4052.53</f>
        <v>29344.46</v>
      </c>
      <c r="Q141" s="232">
        <f t="shared" si="4"/>
        <v>0</v>
      </c>
    </row>
    <row r="142" spans="1:17" s="13" customFormat="1" x14ac:dyDescent="0.25">
      <c r="A142" s="229"/>
      <c r="B142" s="30" t="s">
        <v>83</v>
      </c>
      <c r="C142" s="181" t="s">
        <v>17</v>
      </c>
      <c r="D142" s="182"/>
      <c r="E142" s="183" t="s">
        <v>20</v>
      </c>
      <c r="F142" s="73" t="s">
        <v>393</v>
      </c>
      <c r="G142" s="74" t="s">
        <v>112</v>
      </c>
      <c r="H142" s="75">
        <v>17</v>
      </c>
      <c r="I142" s="76">
        <v>11</v>
      </c>
      <c r="J142" s="96">
        <f>1+1+2+1+1+1+1+1+1+1+1</f>
        <v>12</v>
      </c>
      <c r="K142" s="77">
        <f>768.4+2535.72+845.24+14407.5+883.08+883.08+2185.62</f>
        <v>22508.640000000003</v>
      </c>
      <c r="L142" s="77">
        <f>768.4+2535.72+845.24+14407.5+883.08+883.08</f>
        <v>20323.020000000004</v>
      </c>
      <c r="M142" s="78">
        <f t="shared" si="3"/>
        <v>2185.619999999999</v>
      </c>
      <c r="N142" s="100">
        <f>1+2+1+1+1+2</f>
        <v>8</v>
      </c>
      <c r="O142" s="81">
        <f>5837.09+1922.92+4288.54+1686.25</f>
        <v>13734.8</v>
      </c>
      <c r="P142" s="81">
        <f>5837.09+1922.92+4288.54+1686.25</f>
        <v>13734.8</v>
      </c>
      <c r="Q142" s="232">
        <f t="shared" si="4"/>
        <v>0</v>
      </c>
    </row>
    <row r="143" spans="1:17" s="13" customFormat="1" x14ac:dyDescent="0.25">
      <c r="A143" s="229"/>
      <c r="B143" s="30" t="s">
        <v>83</v>
      </c>
      <c r="C143" s="181" t="s">
        <v>17</v>
      </c>
      <c r="D143" s="182"/>
      <c r="E143" s="183" t="s">
        <v>20</v>
      </c>
      <c r="F143" s="73" t="s">
        <v>464</v>
      </c>
      <c r="G143" s="230" t="s">
        <v>114</v>
      </c>
      <c r="H143" s="181">
        <v>39</v>
      </c>
      <c r="I143" s="231">
        <v>23</v>
      </c>
      <c r="J143" s="190">
        <v>23</v>
      </c>
      <c r="K143" s="77">
        <v>60040.41</v>
      </c>
      <c r="L143" s="77">
        <v>60040.41</v>
      </c>
      <c r="M143" s="78">
        <f t="shared" ref="M143:M196" si="5">K143-L143</f>
        <v>0</v>
      </c>
      <c r="N143" s="100">
        <v>31</v>
      </c>
      <c r="O143" s="224">
        <v>114176.52</v>
      </c>
      <c r="P143" s="224">
        <v>114176.52</v>
      </c>
      <c r="Q143" s="232">
        <f t="shared" si="4"/>
        <v>0</v>
      </c>
    </row>
    <row r="144" spans="1:17" s="13" customFormat="1" ht="45" x14ac:dyDescent="0.25">
      <c r="A144" s="229"/>
      <c r="B144" s="30" t="s">
        <v>85</v>
      </c>
      <c r="C144" s="181" t="s">
        <v>304</v>
      </c>
      <c r="D144" s="182" t="s">
        <v>415</v>
      </c>
      <c r="E144" s="183" t="s">
        <v>20</v>
      </c>
      <c r="F144" s="73" t="s">
        <v>395</v>
      </c>
      <c r="G144" s="74" t="s">
        <v>112</v>
      </c>
      <c r="H144" s="75">
        <v>21</v>
      </c>
      <c r="I144" s="76">
        <v>12</v>
      </c>
      <c r="J144" s="98">
        <f>2+1+1+1+3</f>
        <v>8</v>
      </c>
      <c r="K144" s="77">
        <f>4800.58+2591.84+7239.38+3534.03+9709.14</f>
        <v>27874.969999999998</v>
      </c>
      <c r="L144" s="77">
        <f>4800.58+2591.84+7239.38+3534.03</f>
        <v>18165.829999999998</v>
      </c>
      <c r="M144" s="78">
        <f t="shared" si="5"/>
        <v>9709.14</v>
      </c>
      <c r="N144" s="100">
        <f>2+1+2+1</f>
        <v>6</v>
      </c>
      <c r="O144" s="81">
        <f>3917.73+8936.21+5669.37+31185.72+18292.46</f>
        <v>68001.489999999991</v>
      </c>
      <c r="P144" s="81">
        <f>3917.73+8936.21+5669.37+31185.72+18292.46</f>
        <v>68001.489999999991</v>
      </c>
      <c r="Q144" s="79">
        <f t="shared" si="4"/>
        <v>0</v>
      </c>
    </row>
    <row r="145" spans="1:17" s="13" customFormat="1" x14ac:dyDescent="0.25">
      <c r="A145" s="229"/>
      <c r="B145" s="27" t="s">
        <v>86</v>
      </c>
      <c r="C145" s="181" t="s">
        <v>17</v>
      </c>
      <c r="D145" s="182"/>
      <c r="E145" s="194" t="s">
        <v>20</v>
      </c>
      <c r="F145" s="73" t="s">
        <v>396</v>
      </c>
      <c r="G145" s="74" t="s">
        <v>112</v>
      </c>
      <c r="H145" s="75">
        <v>33</v>
      </c>
      <c r="I145" s="76">
        <v>23</v>
      </c>
      <c r="J145" s="96">
        <f>1+3+1+7+2+2+5+5+1+3+6</f>
        <v>36</v>
      </c>
      <c r="K145" s="77">
        <f>950.9+5134.06+2091.97+528.03+8954.46+5719.74+9578.1+2631.85+7667.14+14069.47</f>
        <v>57325.719999999994</v>
      </c>
      <c r="L145" s="77">
        <f>950.9+5134.06+2091.97+528.03+8954.46+5719.74+9578.1+2631.85+7667.14</f>
        <v>43256.249999999993</v>
      </c>
      <c r="M145" s="78">
        <f t="shared" si="5"/>
        <v>14069.470000000001</v>
      </c>
      <c r="N145" s="100">
        <f>15+4+2+1+2+2+1</f>
        <v>27</v>
      </c>
      <c r="O145" s="81">
        <f>30236.61+18366.75+8887.09+1077.68+8961.95</f>
        <v>67530.080000000002</v>
      </c>
      <c r="P145" s="81">
        <f>30236.61+18366.75+8887.09+1077.68+8961.95</f>
        <v>67530.080000000002</v>
      </c>
      <c r="Q145" s="232">
        <f t="shared" si="4"/>
        <v>0</v>
      </c>
    </row>
    <row r="146" spans="1:17" s="13" customFormat="1" x14ac:dyDescent="0.25">
      <c r="A146" s="229"/>
      <c r="B146" s="27" t="s">
        <v>86</v>
      </c>
      <c r="C146" s="181" t="s">
        <v>17</v>
      </c>
      <c r="D146" s="182"/>
      <c r="E146" s="194" t="s">
        <v>20</v>
      </c>
      <c r="F146" s="73" t="s">
        <v>465</v>
      </c>
      <c r="G146" s="230" t="s">
        <v>114</v>
      </c>
      <c r="H146" s="181">
        <v>9</v>
      </c>
      <c r="I146" s="231">
        <v>4</v>
      </c>
      <c r="J146" s="190">
        <v>4</v>
      </c>
      <c r="K146" s="77">
        <v>8549.82</v>
      </c>
      <c r="L146" s="77">
        <v>8549.82</v>
      </c>
      <c r="M146" s="78">
        <f t="shared" si="5"/>
        <v>0</v>
      </c>
      <c r="N146" s="100">
        <v>10</v>
      </c>
      <c r="O146" s="224">
        <v>22234.03</v>
      </c>
      <c r="P146" s="224">
        <v>22234.03</v>
      </c>
      <c r="Q146" s="232">
        <f t="shared" si="4"/>
        <v>0</v>
      </c>
    </row>
    <row r="147" spans="1:17" s="13" customFormat="1" x14ac:dyDescent="0.25">
      <c r="A147" s="229"/>
      <c r="B147" s="27" t="s">
        <v>87</v>
      </c>
      <c r="C147" s="181" t="s">
        <v>17</v>
      </c>
      <c r="D147" s="182"/>
      <c r="E147" s="194" t="s">
        <v>20</v>
      </c>
      <c r="F147" s="73" t="s">
        <v>520</v>
      </c>
      <c r="G147" s="294" t="s">
        <v>112</v>
      </c>
      <c r="H147" s="181">
        <v>4</v>
      </c>
      <c r="I147" s="231">
        <v>4</v>
      </c>
      <c r="J147" s="190">
        <f>2+2+2</f>
        <v>6</v>
      </c>
      <c r="K147" s="77">
        <f>2595.26+2848.63</f>
        <v>5443.89</v>
      </c>
      <c r="L147" s="77"/>
      <c r="M147" s="78"/>
      <c r="N147" s="100"/>
      <c r="O147" s="224"/>
      <c r="P147" s="224"/>
      <c r="Q147" s="232"/>
    </row>
    <row r="148" spans="1:17" s="13" customFormat="1" x14ac:dyDescent="0.25">
      <c r="A148" s="229"/>
      <c r="B148" s="62" t="s">
        <v>312</v>
      </c>
      <c r="C148" s="181" t="s">
        <v>17</v>
      </c>
      <c r="D148" s="182"/>
      <c r="E148" s="194" t="s">
        <v>20</v>
      </c>
      <c r="F148" s="73" t="s">
        <v>320</v>
      </c>
      <c r="G148" s="74" t="s">
        <v>112</v>
      </c>
      <c r="H148" s="75">
        <v>25</v>
      </c>
      <c r="I148" s="76">
        <v>21</v>
      </c>
      <c r="J148" s="96">
        <f>1+1+1+2+3+4+4+3+1</f>
        <v>20</v>
      </c>
      <c r="K148" s="77">
        <f>3319.49+845.24+4965.79+4415.4+3090.78+9754.02+1261.2</f>
        <v>27651.920000000002</v>
      </c>
      <c r="L148" s="77">
        <f>3319.49+845.24+4965.79+4415.4+3090.78</f>
        <v>16636.7</v>
      </c>
      <c r="M148" s="78">
        <f t="shared" si="5"/>
        <v>11015.220000000001</v>
      </c>
      <c r="N148" s="100">
        <f>5+6+1+1+1</f>
        <v>14</v>
      </c>
      <c r="O148" s="81">
        <f>4226.2+6627.45+4360.59+6336.1+12649.24</f>
        <v>34199.58</v>
      </c>
      <c r="P148" s="81">
        <f>4226.2+6627.45+4360.59+6336.1</f>
        <v>21550.34</v>
      </c>
      <c r="Q148" s="232">
        <f t="shared" si="4"/>
        <v>12649.240000000002</v>
      </c>
    </row>
    <row r="149" spans="1:17" s="13" customFormat="1" x14ac:dyDescent="0.25">
      <c r="A149" s="229"/>
      <c r="B149" s="62" t="s">
        <v>312</v>
      </c>
      <c r="C149" s="181"/>
      <c r="D149" s="182"/>
      <c r="E149" s="194"/>
      <c r="F149" s="73"/>
      <c r="G149" s="74" t="s">
        <v>114</v>
      </c>
      <c r="H149" s="75">
        <v>2</v>
      </c>
      <c r="I149" s="76"/>
      <c r="J149" s="96"/>
      <c r="K149" s="77"/>
      <c r="L149" s="77"/>
      <c r="M149" s="78"/>
      <c r="N149" s="100"/>
      <c r="O149" s="81"/>
      <c r="P149" s="81"/>
      <c r="Q149" s="232"/>
    </row>
    <row r="150" spans="1:17" s="13" customFormat="1" x14ac:dyDescent="0.25">
      <c r="A150" s="229"/>
      <c r="B150" s="62" t="s">
        <v>494</v>
      </c>
      <c r="C150" s="181" t="s">
        <v>17</v>
      </c>
      <c r="D150" s="182"/>
      <c r="E150" s="194" t="s">
        <v>20</v>
      </c>
      <c r="F150" s="73" t="s">
        <v>497</v>
      </c>
      <c r="G150" s="74" t="s">
        <v>112</v>
      </c>
      <c r="H150" s="75">
        <v>19</v>
      </c>
      <c r="I150" s="76">
        <v>13</v>
      </c>
      <c r="J150" s="96">
        <f>1+1+1+1+2+1+2+2+3</f>
        <v>14</v>
      </c>
      <c r="K150" s="77">
        <f>3379+5494.06+576.3+2417.43+3057.66+2384.32+1986.93</f>
        <v>19295.7</v>
      </c>
      <c r="L150" s="77">
        <f>3379+5494.06+576.3+2417.43+3057.66+2384.32+1986.93</f>
        <v>19295.7</v>
      </c>
      <c r="M150" s="78">
        <f t="shared" si="5"/>
        <v>0</v>
      </c>
      <c r="N150" s="100"/>
      <c r="O150" s="81">
        <f>13638.29</f>
        <v>13638.29</v>
      </c>
      <c r="P150" s="81"/>
      <c r="Q150" s="232">
        <f t="shared" ref="Q150:Q197" si="6">O150-P150</f>
        <v>13638.29</v>
      </c>
    </row>
    <row r="151" spans="1:17" s="13" customFormat="1" x14ac:dyDescent="0.25">
      <c r="A151" s="229"/>
      <c r="B151" s="62" t="s">
        <v>494</v>
      </c>
      <c r="C151" s="181" t="s">
        <v>17</v>
      </c>
      <c r="D151" s="182"/>
      <c r="E151" s="194" t="s">
        <v>20</v>
      </c>
      <c r="F151" s="73" t="s">
        <v>507</v>
      </c>
      <c r="G151" s="74" t="s">
        <v>114</v>
      </c>
      <c r="H151" s="75">
        <v>49</v>
      </c>
      <c r="I151" s="76">
        <v>10</v>
      </c>
      <c r="J151" s="96">
        <v>10</v>
      </c>
      <c r="K151" s="77">
        <v>24597.26</v>
      </c>
      <c r="L151" s="77">
        <v>24597.26</v>
      </c>
      <c r="M151" s="78">
        <f t="shared" si="5"/>
        <v>0</v>
      </c>
      <c r="N151" s="100"/>
      <c r="O151" s="81"/>
      <c r="P151" s="81"/>
      <c r="Q151" s="232">
        <f t="shared" si="6"/>
        <v>0</v>
      </c>
    </row>
    <row r="152" spans="1:17" s="13" customFormat="1" x14ac:dyDescent="0.25">
      <c r="A152" s="229"/>
      <c r="B152" s="62" t="s">
        <v>521</v>
      </c>
      <c r="C152" s="181"/>
      <c r="D152" s="182"/>
      <c r="E152" s="194"/>
      <c r="F152" s="73" t="s">
        <v>524</v>
      </c>
      <c r="G152" s="74" t="s">
        <v>112</v>
      </c>
      <c r="H152" s="75">
        <v>3</v>
      </c>
      <c r="I152" s="76">
        <v>1</v>
      </c>
      <c r="J152" s="96">
        <f>2</f>
        <v>2</v>
      </c>
      <c r="K152" s="77">
        <f>2107.31</f>
        <v>2107.31</v>
      </c>
      <c r="L152" s="77"/>
      <c r="M152" s="78"/>
      <c r="N152" s="100"/>
      <c r="O152" s="81"/>
      <c r="P152" s="81"/>
      <c r="Q152" s="232"/>
    </row>
    <row r="153" spans="1:17" s="13" customFormat="1" x14ac:dyDescent="0.25">
      <c r="A153" s="229"/>
      <c r="B153" s="62" t="s">
        <v>521</v>
      </c>
      <c r="C153" s="181"/>
      <c r="D153" s="182"/>
      <c r="E153" s="194"/>
      <c r="F153" s="73"/>
      <c r="G153" s="74" t="s">
        <v>116</v>
      </c>
      <c r="H153" s="75">
        <v>2</v>
      </c>
      <c r="I153" s="76"/>
      <c r="J153" s="96"/>
      <c r="K153" s="77">
        <v>0</v>
      </c>
      <c r="L153" s="77">
        <v>0</v>
      </c>
      <c r="M153" s="78"/>
      <c r="N153" s="100"/>
      <c r="O153" s="81"/>
      <c r="P153" s="81"/>
      <c r="Q153" s="232"/>
    </row>
    <row r="154" spans="1:17" s="13" customFormat="1" x14ac:dyDescent="0.25">
      <c r="A154" s="229"/>
      <c r="B154" s="30" t="s">
        <v>88</v>
      </c>
      <c r="C154" s="181" t="s">
        <v>17</v>
      </c>
      <c r="D154" s="182"/>
      <c r="E154" s="183" t="s">
        <v>89</v>
      </c>
      <c r="F154" s="73" t="s">
        <v>397</v>
      </c>
      <c r="G154" s="74" t="s">
        <v>112</v>
      </c>
      <c r="H154" s="75">
        <v>37</v>
      </c>
      <c r="I154" s="76">
        <v>25</v>
      </c>
      <c r="J154" s="96">
        <f>1+3+1+2+4+1+2+5+2+1+3</f>
        <v>25</v>
      </c>
      <c r="K154" s="77">
        <f>4226.2+2394.91+6485.1+556.71+4126.31+9704.16+1282.67+1282.67+2185.62+3512.26+441.54+4213</f>
        <v>40411.149999999994</v>
      </c>
      <c r="L154" s="77">
        <f>4226.2+2394.91+6485.1+556.71+4126.31+9704.16+1282.67+1282.67+2185.62</f>
        <v>32244.349999999995</v>
      </c>
      <c r="M154" s="78">
        <f t="shared" si="5"/>
        <v>8166.7999999999993</v>
      </c>
      <c r="N154" s="100">
        <f>4+1+3+1+2+2+1+1+2</f>
        <v>17</v>
      </c>
      <c r="O154" s="81">
        <f>11967.83+2831.55+10544.37+9418.99+3799.13+1798.04+2548.4-12193.52+4083.77</f>
        <v>34798.559999999998</v>
      </c>
      <c r="P154" s="81">
        <f>11967.83+2831.55+10544.37+9418.99+3799.13+1798.04+2548.4-12193.52+4083.77</f>
        <v>34798.559999999998</v>
      </c>
      <c r="Q154" s="79">
        <f t="shared" si="6"/>
        <v>0</v>
      </c>
    </row>
    <row r="155" spans="1:17" s="13" customFormat="1" x14ac:dyDescent="0.25">
      <c r="A155" s="229"/>
      <c r="B155" s="30" t="s">
        <v>88</v>
      </c>
      <c r="C155" s="181" t="s">
        <v>17</v>
      </c>
      <c r="D155" s="182"/>
      <c r="E155" s="183" t="s">
        <v>89</v>
      </c>
      <c r="F155" s="73" t="s">
        <v>442</v>
      </c>
      <c r="G155" s="230" t="s">
        <v>118</v>
      </c>
      <c r="H155" s="181">
        <v>7</v>
      </c>
      <c r="I155" s="231">
        <v>4</v>
      </c>
      <c r="J155" s="96">
        <v>4</v>
      </c>
      <c r="K155" s="77">
        <v>7937.26</v>
      </c>
      <c r="L155" s="77">
        <v>7937.26</v>
      </c>
      <c r="M155" s="78">
        <f>K155-L155</f>
        <v>0</v>
      </c>
      <c r="N155" s="100">
        <v>5</v>
      </c>
      <c r="O155" s="224">
        <v>22002.55</v>
      </c>
      <c r="P155" s="224">
        <v>22002.55</v>
      </c>
      <c r="Q155" s="232">
        <f t="shared" si="6"/>
        <v>0</v>
      </c>
    </row>
    <row r="156" spans="1:17" s="13" customFormat="1" x14ac:dyDescent="0.25">
      <c r="A156" s="229"/>
      <c r="B156" s="30" t="s">
        <v>88</v>
      </c>
      <c r="C156" s="181" t="s">
        <v>17</v>
      </c>
      <c r="D156" s="182"/>
      <c r="E156" s="194" t="s">
        <v>505</v>
      </c>
      <c r="F156" s="73" t="s">
        <v>506</v>
      </c>
      <c r="G156" s="230" t="s">
        <v>114</v>
      </c>
      <c r="H156" s="181">
        <v>9</v>
      </c>
      <c r="I156" s="231">
        <v>4</v>
      </c>
      <c r="J156" s="96">
        <v>4</v>
      </c>
      <c r="K156" s="77">
        <v>11656.54</v>
      </c>
      <c r="L156" s="77">
        <v>11656.54</v>
      </c>
      <c r="M156" s="78">
        <f t="shared" si="5"/>
        <v>0</v>
      </c>
      <c r="N156" s="100"/>
      <c r="O156" s="224"/>
      <c r="P156" s="224"/>
      <c r="Q156" s="232">
        <f t="shared" si="6"/>
        <v>0</v>
      </c>
    </row>
    <row r="157" spans="1:17" s="13" customFormat="1" x14ac:dyDescent="0.25">
      <c r="A157" s="229"/>
      <c r="B157" s="30" t="s">
        <v>90</v>
      </c>
      <c r="C157" s="181" t="s">
        <v>17</v>
      </c>
      <c r="D157" s="182"/>
      <c r="E157" s="194" t="s">
        <v>20</v>
      </c>
      <c r="F157" s="73" t="s">
        <v>398</v>
      </c>
      <c r="G157" s="74" t="s">
        <v>112</v>
      </c>
      <c r="H157" s="75">
        <v>17</v>
      </c>
      <c r="I157" s="76">
        <v>8</v>
      </c>
      <c r="J157" s="96">
        <f>1+1+1+4+1+2</f>
        <v>10</v>
      </c>
      <c r="K157" s="77">
        <f>422.62+4662.44+7580.13+2408.4+8770.77+8080.63</f>
        <v>31924.99</v>
      </c>
      <c r="L157" s="77">
        <f>422.62+4662.44+7580.13+2408.4+8770.77</f>
        <v>23844.36</v>
      </c>
      <c r="M157" s="78">
        <f t="shared" si="5"/>
        <v>8080.630000000001</v>
      </c>
      <c r="N157" s="100">
        <f>1+1+1+1+2+1</f>
        <v>7</v>
      </c>
      <c r="O157" s="81">
        <f>2122.67+787.61+15453.48+6194.26+37549.5</f>
        <v>62107.519999999997</v>
      </c>
      <c r="P157" s="81">
        <f>2122.67+787.61+15453.48+6194.26+37549.5</f>
        <v>62107.519999999997</v>
      </c>
      <c r="Q157" s="79">
        <f t="shared" si="6"/>
        <v>0</v>
      </c>
    </row>
    <row r="158" spans="1:17" s="13" customFormat="1" x14ac:dyDescent="0.25">
      <c r="A158" s="229"/>
      <c r="B158" s="30" t="s">
        <v>90</v>
      </c>
      <c r="C158" s="181" t="s">
        <v>17</v>
      </c>
      <c r="D158" s="182"/>
      <c r="E158" s="194" t="s">
        <v>20</v>
      </c>
      <c r="F158" s="73" t="s">
        <v>466</v>
      </c>
      <c r="G158" s="230" t="s">
        <v>114</v>
      </c>
      <c r="H158" s="181">
        <v>30</v>
      </c>
      <c r="I158" s="231">
        <v>12</v>
      </c>
      <c r="J158" s="190">
        <v>12</v>
      </c>
      <c r="K158" s="77">
        <v>24517.56</v>
      </c>
      <c r="L158" s="77">
        <v>24517.56</v>
      </c>
      <c r="M158" s="78">
        <f t="shared" si="5"/>
        <v>0</v>
      </c>
      <c r="N158" s="100">
        <v>31</v>
      </c>
      <c r="O158" s="224">
        <v>115855.1</v>
      </c>
      <c r="P158" s="224">
        <v>115855.1</v>
      </c>
      <c r="Q158" s="232">
        <f t="shared" si="6"/>
        <v>0</v>
      </c>
    </row>
    <row r="159" spans="1:17" s="13" customFormat="1" x14ac:dyDescent="0.25">
      <c r="A159" s="229"/>
      <c r="B159" s="30" t="s">
        <v>91</v>
      </c>
      <c r="C159" s="181" t="s">
        <v>17</v>
      </c>
      <c r="D159" s="182"/>
      <c r="E159" s="194" t="s">
        <v>20</v>
      </c>
      <c r="F159" s="73"/>
      <c r="G159" s="74" t="s">
        <v>112</v>
      </c>
      <c r="H159" s="75"/>
      <c r="I159" s="76"/>
      <c r="J159" s="96"/>
      <c r="K159" s="77"/>
      <c r="L159" s="77"/>
      <c r="M159" s="78">
        <f t="shared" si="5"/>
        <v>0</v>
      </c>
      <c r="N159" s="100"/>
      <c r="O159" s="81"/>
      <c r="P159" s="81"/>
      <c r="Q159" s="79">
        <f t="shared" si="6"/>
        <v>0</v>
      </c>
    </row>
    <row r="160" spans="1:17" s="13" customFormat="1" x14ac:dyDescent="0.25">
      <c r="A160" s="229"/>
      <c r="B160" s="62" t="s">
        <v>138</v>
      </c>
      <c r="C160" s="181" t="s">
        <v>17</v>
      </c>
      <c r="D160" s="182"/>
      <c r="E160" s="194" t="s">
        <v>20</v>
      </c>
      <c r="F160" s="73" t="s">
        <v>467</v>
      </c>
      <c r="G160" s="230" t="s">
        <v>114</v>
      </c>
      <c r="H160" s="181">
        <v>21</v>
      </c>
      <c r="I160" s="231">
        <v>3</v>
      </c>
      <c r="J160" s="190">
        <v>3</v>
      </c>
      <c r="K160" s="193">
        <v>5542.2</v>
      </c>
      <c r="L160" s="193">
        <v>5542.2</v>
      </c>
      <c r="M160" s="78">
        <f t="shared" si="5"/>
        <v>0</v>
      </c>
      <c r="N160" s="114">
        <v>8</v>
      </c>
      <c r="O160" s="224">
        <v>16429.099999999999</v>
      </c>
      <c r="P160" s="224">
        <v>16429.099999999999</v>
      </c>
      <c r="Q160" s="232">
        <f t="shared" si="6"/>
        <v>0</v>
      </c>
    </row>
    <row r="161" spans="1:17" s="13" customFormat="1" x14ac:dyDescent="0.25">
      <c r="A161" s="229"/>
      <c r="B161" s="62" t="s">
        <v>138</v>
      </c>
      <c r="C161" s="181" t="s">
        <v>17</v>
      </c>
      <c r="D161" s="182"/>
      <c r="E161" s="194" t="s">
        <v>20</v>
      </c>
      <c r="F161" s="73" t="s">
        <v>400</v>
      </c>
      <c r="G161" s="74" t="s">
        <v>112</v>
      </c>
      <c r="H161" s="75">
        <v>16</v>
      </c>
      <c r="I161" s="82">
        <v>12</v>
      </c>
      <c r="J161" s="96">
        <f>3+1+1+2+2+3+1</f>
        <v>13</v>
      </c>
      <c r="K161" s="77">
        <f>2224.52+9639.33+3232.07+1625.67+1324.62+2604.08+4869.81</f>
        <v>25520.100000000002</v>
      </c>
      <c r="L161" s="77">
        <f>2224.52+9639.33+3232.07+1625.67+1324.62+2604.08</f>
        <v>20650.29</v>
      </c>
      <c r="M161" s="78">
        <f t="shared" si="5"/>
        <v>4869.8100000000013</v>
      </c>
      <c r="N161" s="100">
        <f>5+4+2</f>
        <v>11</v>
      </c>
      <c r="O161" s="81">
        <f>8995.87+8641.99+5740.02</f>
        <v>23377.88</v>
      </c>
      <c r="P161" s="81">
        <f>8995.87+8641.99+5740.02</f>
        <v>23377.88</v>
      </c>
      <c r="Q161" s="79">
        <f t="shared" si="6"/>
        <v>0</v>
      </c>
    </row>
    <row r="162" spans="1:17" s="13" customFormat="1" x14ac:dyDescent="0.25">
      <c r="A162" s="229"/>
      <c r="B162" s="62" t="s">
        <v>157</v>
      </c>
      <c r="C162" s="181" t="s">
        <v>17</v>
      </c>
      <c r="D162" s="182"/>
      <c r="E162" s="194" t="s">
        <v>20</v>
      </c>
      <c r="F162" s="73" t="s">
        <v>401</v>
      </c>
      <c r="G162" s="74" t="s">
        <v>112</v>
      </c>
      <c r="H162" s="75">
        <v>15</v>
      </c>
      <c r="I162" s="82"/>
      <c r="J162" s="96"/>
      <c r="K162" s="77"/>
      <c r="L162" s="77"/>
      <c r="M162" s="78">
        <f t="shared" si="5"/>
        <v>0</v>
      </c>
      <c r="N162" s="100"/>
      <c r="O162" s="81"/>
      <c r="P162" s="81"/>
      <c r="Q162" s="232">
        <f t="shared" si="6"/>
        <v>0</v>
      </c>
    </row>
    <row r="163" spans="1:17" s="13" customFormat="1" x14ac:dyDescent="0.25">
      <c r="A163" s="229"/>
      <c r="B163" s="62" t="s">
        <v>515</v>
      </c>
      <c r="C163" s="181" t="s">
        <v>17</v>
      </c>
      <c r="D163" s="182"/>
      <c r="E163" s="194" t="s">
        <v>20</v>
      </c>
      <c r="F163" s="73" t="s">
        <v>519</v>
      </c>
      <c r="G163" s="74" t="s">
        <v>112</v>
      </c>
      <c r="H163" s="75">
        <v>16</v>
      </c>
      <c r="I163" s="82">
        <v>6</v>
      </c>
      <c r="J163" s="96">
        <f>1+1+2+4</f>
        <v>8</v>
      </c>
      <c r="K163" s="77">
        <f>1091.81+1091.81+662.31+4766.43+6324.61</f>
        <v>13936.970000000001</v>
      </c>
      <c r="L163" s="77">
        <f>1091.81+1091.81+662.31</f>
        <v>2845.93</v>
      </c>
      <c r="M163" s="78">
        <f t="shared" si="5"/>
        <v>11091.04</v>
      </c>
      <c r="N163" s="100"/>
      <c r="O163" s="81"/>
      <c r="P163" s="81"/>
      <c r="Q163" s="232"/>
    </row>
    <row r="164" spans="1:17" s="15" customFormat="1" x14ac:dyDescent="0.25">
      <c r="A164" s="229"/>
      <c r="B164" s="62" t="s">
        <v>92</v>
      </c>
      <c r="C164" s="181" t="s">
        <v>17</v>
      </c>
      <c r="D164" s="182"/>
      <c r="E164" s="194" t="s">
        <v>20</v>
      </c>
      <c r="F164" s="73" t="s">
        <v>402</v>
      </c>
      <c r="G164" s="74" t="s">
        <v>112</v>
      </c>
      <c r="H164" s="75">
        <v>16</v>
      </c>
      <c r="I164" s="76">
        <v>12</v>
      </c>
      <c r="J164" s="96">
        <f>1+2+5+2+2</f>
        <v>12</v>
      </c>
      <c r="K164" s="77">
        <f>1951.74+1335.1+2996.76+883.08+842.94+868.07</f>
        <v>8877.69</v>
      </c>
      <c r="L164" s="77">
        <f>1951.74+1335.1+2996.76+883.08+842.94+868.07</f>
        <v>8877.69</v>
      </c>
      <c r="M164" s="78">
        <f t="shared" si="5"/>
        <v>0</v>
      </c>
      <c r="N164" s="100">
        <f>4+1+1</f>
        <v>6</v>
      </c>
      <c r="O164" s="81">
        <f>12624.74+2697.06+1225.93</f>
        <v>16547.73</v>
      </c>
      <c r="P164" s="81">
        <f>12624.74+2697.06+1225.93</f>
        <v>16547.73</v>
      </c>
      <c r="Q164" s="232">
        <f t="shared" si="6"/>
        <v>0</v>
      </c>
    </row>
    <row r="165" spans="1:17" s="15" customFormat="1" x14ac:dyDescent="0.25">
      <c r="A165" s="229"/>
      <c r="B165" s="62" t="s">
        <v>92</v>
      </c>
      <c r="C165" s="181" t="s">
        <v>17</v>
      </c>
      <c r="D165" s="182"/>
      <c r="E165" s="194" t="s">
        <v>20</v>
      </c>
      <c r="F165" s="73" t="s">
        <v>129</v>
      </c>
      <c r="G165" s="230" t="s">
        <v>114</v>
      </c>
      <c r="H165" s="181"/>
      <c r="I165" s="231"/>
      <c r="J165" s="190"/>
      <c r="K165" s="77"/>
      <c r="L165" s="77"/>
      <c r="M165" s="78">
        <f t="shared" si="5"/>
        <v>0</v>
      </c>
      <c r="N165" s="114"/>
      <c r="O165" s="224"/>
      <c r="P165" s="224"/>
      <c r="Q165" s="232">
        <f t="shared" si="6"/>
        <v>0</v>
      </c>
    </row>
    <row r="166" spans="1:17" s="13" customFormat="1" x14ac:dyDescent="0.25">
      <c r="A166" s="229"/>
      <c r="B166" s="30" t="s">
        <v>93</v>
      </c>
      <c r="C166" s="181" t="s">
        <v>17</v>
      </c>
      <c r="D166" s="182"/>
      <c r="E166" s="183" t="s">
        <v>94</v>
      </c>
      <c r="F166" s="73" t="s">
        <v>403</v>
      </c>
      <c r="G166" s="74" t="s">
        <v>112</v>
      </c>
      <c r="H166" s="75">
        <v>7</v>
      </c>
      <c r="I166" s="76">
        <v>2</v>
      </c>
      <c r="J166" s="96">
        <f>2</f>
        <v>2</v>
      </c>
      <c r="K166" s="77">
        <f>2336.84</f>
        <v>2336.84</v>
      </c>
      <c r="L166" s="77">
        <f>2336.84</f>
        <v>2336.84</v>
      </c>
      <c r="M166" s="78">
        <f t="shared" si="5"/>
        <v>0</v>
      </c>
      <c r="N166" s="100">
        <f>3+8</f>
        <v>11</v>
      </c>
      <c r="O166" s="81">
        <f>20117.75</f>
        <v>20117.75</v>
      </c>
      <c r="P166" s="81">
        <f>20117.75</f>
        <v>20117.75</v>
      </c>
      <c r="Q166" s="232">
        <f t="shared" si="6"/>
        <v>0</v>
      </c>
    </row>
    <row r="167" spans="1:17" s="13" customFormat="1" x14ac:dyDescent="0.25">
      <c r="A167" s="229"/>
      <c r="B167" s="30" t="s">
        <v>93</v>
      </c>
      <c r="C167" s="181" t="s">
        <v>17</v>
      </c>
      <c r="D167" s="182"/>
      <c r="E167" s="183" t="s">
        <v>94</v>
      </c>
      <c r="F167" s="73" t="s">
        <v>130</v>
      </c>
      <c r="G167" s="230" t="s">
        <v>114</v>
      </c>
      <c r="H167" s="181"/>
      <c r="I167" s="231"/>
      <c r="J167" s="190"/>
      <c r="K167" s="77"/>
      <c r="L167" s="77"/>
      <c r="M167" s="78">
        <f t="shared" si="5"/>
        <v>0</v>
      </c>
      <c r="N167" s="100"/>
      <c r="O167" s="224"/>
      <c r="P167" s="224"/>
      <c r="Q167" s="232">
        <f t="shared" si="6"/>
        <v>0</v>
      </c>
    </row>
    <row r="168" spans="1:17" s="13" customFormat="1" x14ac:dyDescent="0.25">
      <c r="A168" s="229"/>
      <c r="B168" s="30" t="s">
        <v>93</v>
      </c>
      <c r="C168" s="181" t="s">
        <v>17</v>
      </c>
      <c r="D168" s="182"/>
      <c r="E168" s="183" t="s">
        <v>94</v>
      </c>
      <c r="F168" s="73" t="s">
        <v>240</v>
      </c>
      <c r="G168" s="230" t="s">
        <v>118</v>
      </c>
      <c r="H168" s="181"/>
      <c r="I168" s="231"/>
      <c r="J168" s="96"/>
      <c r="K168" s="77"/>
      <c r="L168" s="77"/>
      <c r="M168" s="78">
        <f t="shared" si="5"/>
        <v>0</v>
      </c>
      <c r="N168" s="100"/>
      <c r="O168" s="224"/>
      <c r="P168" s="317" t="s">
        <v>305</v>
      </c>
      <c r="Q168" s="232" t="e">
        <f t="shared" si="6"/>
        <v>#VALUE!</v>
      </c>
    </row>
    <row r="169" spans="1:17" s="13" customFormat="1" x14ac:dyDescent="0.25">
      <c r="A169" s="229"/>
      <c r="B169" s="30" t="s">
        <v>95</v>
      </c>
      <c r="C169" s="181" t="s">
        <v>17</v>
      </c>
      <c r="D169" s="182"/>
      <c r="E169" s="194" t="s">
        <v>20</v>
      </c>
      <c r="F169" s="73" t="s">
        <v>404</v>
      </c>
      <c r="G169" s="74" t="s">
        <v>112</v>
      </c>
      <c r="H169" s="75">
        <v>28</v>
      </c>
      <c r="I169" s="76">
        <v>19</v>
      </c>
      <c r="J169" s="96">
        <f>1+4+4+5+2+1+1+9</f>
        <v>27</v>
      </c>
      <c r="K169" s="77">
        <f>1061.35+5770.05+5238.9+6606.04+6345.59+3388.62+25533.48</f>
        <v>53944.03</v>
      </c>
      <c r="L169" s="77">
        <f>1061.35+5770.05+5238.9+6606.04+6345.59+3388.62</f>
        <v>28410.55</v>
      </c>
      <c r="M169" s="78">
        <f t="shared" si="5"/>
        <v>25533.48</v>
      </c>
      <c r="N169" s="100">
        <f>1+6+1+4+1+1+1+1</f>
        <v>16</v>
      </c>
      <c r="O169" s="81">
        <f>11603.82+7559.28+6777.29+24757.02+4991.61</f>
        <v>55689.020000000004</v>
      </c>
      <c r="P169" s="81">
        <f>11603.82+7559.28+6777.29+24757.02+4991.61</f>
        <v>55689.020000000004</v>
      </c>
      <c r="Q169" s="79">
        <f t="shared" si="6"/>
        <v>0</v>
      </c>
    </row>
    <row r="170" spans="1:17" s="13" customFormat="1" x14ac:dyDescent="0.25">
      <c r="A170" s="229"/>
      <c r="B170" s="30" t="s">
        <v>95</v>
      </c>
      <c r="C170" s="181" t="s">
        <v>17</v>
      </c>
      <c r="D170" s="182"/>
      <c r="E170" s="194" t="s">
        <v>20</v>
      </c>
      <c r="F170" s="73" t="s">
        <v>291</v>
      </c>
      <c r="G170" s="230" t="s">
        <v>114</v>
      </c>
      <c r="H170" s="181">
        <v>14</v>
      </c>
      <c r="I170" s="231">
        <v>5</v>
      </c>
      <c r="J170" s="190">
        <v>5</v>
      </c>
      <c r="K170" s="77">
        <v>6270.46</v>
      </c>
      <c r="L170" s="77">
        <v>6270.46</v>
      </c>
      <c r="M170" s="78">
        <f t="shared" si="5"/>
        <v>0</v>
      </c>
      <c r="N170" s="100">
        <v>14</v>
      </c>
      <c r="O170" s="224">
        <v>32601.05</v>
      </c>
      <c r="P170" s="224">
        <v>32601.05</v>
      </c>
      <c r="Q170" s="232">
        <f t="shared" si="6"/>
        <v>0</v>
      </c>
    </row>
    <row r="171" spans="1:17" s="13" customFormat="1" x14ac:dyDescent="0.25">
      <c r="A171" s="229"/>
      <c r="B171" s="30" t="s">
        <v>96</v>
      </c>
      <c r="C171" s="181" t="s">
        <v>17</v>
      </c>
      <c r="D171" s="182"/>
      <c r="E171" s="194" t="s">
        <v>97</v>
      </c>
      <c r="F171" s="73" t="s">
        <v>405</v>
      </c>
      <c r="G171" s="74" t="s">
        <v>112</v>
      </c>
      <c r="H171" s="75">
        <v>1</v>
      </c>
      <c r="I171" s="76">
        <v>1</v>
      </c>
      <c r="J171" s="96">
        <f>2</f>
        <v>2</v>
      </c>
      <c r="K171" s="77">
        <f>3187.92</f>
        <v>3187.92</v>
      </c>
      <c r="L171" s="77">
        <f>3187.92</f>
        <v>3187.92</v>
      </c>
      <c r="M171" s="78">
        <f t="shared" si="5"/>
        <v>0</v>
      </c>
      <c r="N171" s="103">
        <f>1+2+1+2</f>
        <v>6</v>
      </c>
      <c r="O171" s="77">
        <f>1742.31+9358.48+3187.92</f>
        <v>14288.71</v>
      </c>
      <c r="P171" s="77">
        <f>1742.31+9358.48+3187.92</f>
        <v>14288.71</v>
      </c>
      <c r="Q171" s="79">
        <f t="shared" si="6"/>
        <v>0</v>
      </c>
    </row>
    <row r="172" spans="1:17" s="13" customFormat="1" x14ac:dyDescent="0.25">
      <c r="A172" s="229"/>
      <c r="B172" s="30" t="s">
        <v>96</v>
      </c>
      <c r="C172" s="181" t="s">
        <v>17</v>
      </c>
      <c r="D172" s="182"/>
      <c r="E172" s="194" t="s">
        <v>97</v>
      </c>
      <c r="F172" s="73" t="s">
        <v>468</v>
      </c>
      <c r="G172" s="230" t="s">
        <v>114</v>
      </c>
      <c r="H172" s="181">
        <v>1</v>
      </c>
      <c r="I172" s="231">
        <v>1</v>
      </c>
      <c r="J172" s="190">
        <v>1</v>
      </c>
      <c r="K172" s="77">
        <v>1204.2</v>
      </c>
      <c r="L172" s="77">
        <v>1204.2</v>
      </c>
      <c r="M172" s="78">
        <f t="shared" si="5"/>
        <v>0</v>
      </c>
      <c r="N172" s="100">
        <v>8</v>
      </c>
      <c r="O172" s="224">
        <v>18393.400000000001</v>
      </c>
      <c r="P172" s="224">
        <v>18393.400000000001</v>
      </c>
      <c r="Q172" s="232">
        <f t="shared" si="6"/>
        <v>0</v>
      </c>
    </row>
    <row r="173" spans="1:17" s="13" customFormat="1" x14ac:dyDescent="0.25">
      <c r="A173" s="229"/>
      <c r="B173" s="30" t="s">
        <v>98</v>
      </c>
      <c r="C173" s="181" t="s">
        <v>17</v>
      </c>
      <c r="D173" s="182"/>
      <c r="E173" s="194" t="s">
        <v>35</v>
      </c>
      <c r="F173" s="73" t="s">
        <v>406</v>
      </c>
      <c r="G173" s="74" t="s">
        <v>112</v>
      </c>
      <c r="H173" s="75">
        <v>51</v>
      </c>
      <c r="I173" s="76">
        <v>37</v>
      </c>
      <c r="J173" s="96">
        <f>1+2+1+1+4+4+1+2+1+5+5+3+3+3</f>
        <v>36</v>
      </c>
      <c r="K173" s="77">
        <f>845.24+1764.25+8353.03+1298.98+7610.68+13826.64+2752.31+9720.26+116979.76-2616.91+4851.2+993.47+3498.2+12402.65+4634.4-1014.35+4887.04</f>
        <v>190786.85</v>
      </c>
      <c r="L173" s="77">
        <f>845.24+1764.25+8353.03+1298.98+7610.68+13826.64+2752.31+9720.26+116979.76-2616.91+4851.2+993.47+3498.2+12402.65</f>
        <v>182279.76</v>
      </c>
      <c r="M173" s="78">
        <f t="shared" si="5"/>
        <v>8507.0899999999965</v>
      </c>
      <c r="N173" s="100">
        <f>9+1+1+4+2+1+2+4+2+1+1+1+1+1</f>
        <v>31</v>
      </c>
      <c r="O173" s="81">
        <f>76864.27+883.08+47501.34+5480.06+4025.41+1535.36</f>
        <v>136289.51999999999</v>
      </c>
      <c r="P173" s="81">
        <f>76864.27+883.08+47501.34+5480.06+4025.41</f>
        <v>134754.16</v>
      </c>
      <c r="Q173" s="79">
        <f t="shared" si="6"/>
        <v>1535.359999999986</v>
      </c>
    </row>
    <row r="174" spans="1:17" s="13" customFormat="1" x14ac:dyDescent="0.25">
      <c r="A174" s="229"/>
      <c r="B174" s="30" t="s">
        <v>98</v>
      </c>
      <c r="C174" s="181" t="s">
        <v>17</v>
      </c>
      <c r="D174" s="182"/>
      <c r="E174" s="194" t="s">
        <v>35</v>
      </c>
      <c r="F174" s="73" t="s">
        <v>435</v>
      </c>
      <c r="G174" s="235" t="s">
        <v>117</v>
      </c>
      <c r="H174" s="181">
        <v>9</v>
      </c>
      <c r="I174" s="231">
        <v>2</v>
      </c>
      <c r="J174" s="96">
        <v>2</v>
      </c>
      <c r="K174" s="77">
        <v>2486.83</v>
      </c>
      <c r="L174" s="77">
        <v>2486.83</v>
      </c>
      <c r="M174" s="78">
        <f t="shared" si="5"/>
        <v>0</v>
      </c>
      <c r="N174" s="100">
        <v>5</v>
      </c>
      <c r="O174" s="77">
        <v>21893.25</v>
      </c>
      <c r="P174" s="77">
        <v>18950.45</v>
      </c>
      <c r="Q174" s="232">
        <f t="shared" si="6"/>
        <v>2942.7999999999993</v>
      </c>
    </row>
    <row r="175" spans="1:17" s="13" customFormat="1" x14ac:dyDescent="0.25">
      <c r="A175" s="229"/>
      <c r="B175" s="30" t="s">
        <v>488</v>
      </c>
      <c r="C175" s="181" t="s">
        <v>17</v>
      </c>
      <c r="D175" s="182"/>
      <c r="E175" s="194" t="s">
        <v>97</v>
      </c>
      <c r="F175" s="73" t="s">
        <v>498</v>
      </c>
      <c r="G175" s="235" t="s">
        <v>112</v>
      </c>
      <c r="H175" s="181">
        <v>18</v>
      </c>
      <c r="I175" s="231">
        <v>14</v>
      </c>
      <c r="J175" s="96">
        <f>4+1+1+2+3+1+1+1</f>
        <v>14</v>
      </c>
      <c r="K175" s="77">
        <f>1535.8+576.3+802.8+4667.08+421.47+2865.59</f>
        <v>10869.04</v>
      </c>
      <c r="L175" s="77">
        <f>1535.8+576.3+802.8+4667.08+421.47</f>
        <v>8003.45</v>
      </c>
      <c r="M175" s="78">
        <f t="shared" si="5"/>
        <v>2865.5900000000011</v>
      </c>
      <c r="N175" s="100"/>
      <c r="O175" s="77"/>
      <c r="P175" s="77"/>
      <c r="Q175" s="232"/>
    </row>
    <row r="176" spans="1:17" s="15" customFormat="1" x14ac:dyDescent="0.25">
      <c r="A176" s="229"/>
      <c r="B176" s="30" t="s">
        <v>99</v>
      </c>
      <c r="C176" s="181" t="s">
        <v>17</v>
      </c>
      <c r="D176" s="182"/>
      <c r="E176" s="183" t="s">
        <v>32</v>
      </c>
      <c r="F176" s="73" t="s">
        <v>418</v>
      </c>
      <c r="G176" s="74" t="s">
        <v>112</v>
      </c>
      <c r="H176" s="75"/>
      <c r="I176" s="76"/>
      <c r="J176" s="96"/>
      <c r="K176" s="77">
        <f>4781.21</f>
        <v>4781.21</v>
      </c>
      <c r="L176" s="77"/>
      <c r="M176" s="78">
        <f t="shared" si="5"/>
        <v>4781.21</v>
      </c>
      <c r="N176" s="100"/>
      <c r="O176" s="81"/>
      <c r="P176" s="81"/>
      <c r="Q176" s="79">
        <f t="shared" si="6"/>
        <v>0</v>
      </c>
    </row>
    <row r="177" spans="1:17" s="15" customFormat="1" x14ac:dyDescent="0.25">
      <c r="A177" s="229"/>
      <c r="B177" s="30" t="s">
        <v>99</v>
      </c>
      <c r="C177" s="181" t="s">
        <v>17</v>
      </c>
      <c r="D177" s="182"/>
      <c r="E177" s="183" t="s">
        <v>32</v>
      </c>
      <c r="F177" s="73" t="s">
        <v>423</v>
      </c>
      <c r="G177" s="235" t="s">
        <v>117</v>
      </c>
      <c r="H177" s="181"/>
      <c r="I177" s="231"/>
      <c r="J177" s="190"/>
      <c r="K177" s="77"/>
      <c r="L177" s="77"/>
      <c r="M177" s="78">
        <f t="shared" si="5"/>
        <v>0</v>
      </c>
      <c r="N177" s="114"/>
      <c r="O177" s="77"/>
      <c r="P177" s="77"/>
      <c r="Q177" s="232">
        <f t="shared" si="6"/>
        <v>0</v>
      </c>
    </row>
    <row r="178" spans="1:17" s="15" customFormat="1" ht="30" x14ac:dyDescent="0.25">
      <c r="A178" s="229"/>
      <c r="B178" s="30" t="s">
        <v>144</v>
      </c>
      <c r="C178" s="181" t="s">
        <v>304</v>
      </c>
      <c r="D178" s="182" t="s">
        <v>313</v>
      </c>
      <c r="E178" s="194" t="s">
        <v>97</v>
      </c>
      <c r="F178" s="73" t="s">
        <v>407</v>
      </c>
      <c r="G178" s="66" t="s">
        <v>112</v>
      </c>
      <c r="H178" s="75">
        <v>26</v>
      </c>
      <c r="I178" s="76">
        <v>21</v>
      </c>
      <c r="J178" s="98">
        <f>2+2+1+3+1+1+5+2+1+4+2+4+1+1+1</f>
        <v>31</v>
      </c>
      <c r="K178" s="77">
        <f>950.9+1449.39+2272.32+2785.92+5112.01+6655.23+3700.19+4208.95+6370.42+4132.77+2677.53</f>
        <v>40315.630000000005</v>
      </c>
      <c r="L178" s="77">
        <f>950.9+1449.39+2272.32+2785.92+5112.01+6655.23+3700.19+4208.95+6370.42</f>
        <v>33505.33</v>
      </c>
      <c r="M178" s="78">
        <f t="shared" si="5"/>
        <v>6810.3000000000029</v>
      </c>
      <c r="N178" s="100">
        <f>3+2+1+1+1+1+1+1</f>
        <v>11</v>
      </c>
      <c r="O178" s="77">
        <f>5020.57+5566.06+2694.94+845.24+2460.18</f>
        <v>16586.990000000002</v>
      </c>
      <c r="P178" s="77">
        <f>5020.57+5566.06+2694.94+845.24+2460.18</f>
        <v>16586.990000000002</v>
      </c>
      <c r="Q178" s="79">
        <f t="shared" si="6"/>
        <v>0</v>
      </c>
    </row>
    <row r="179" spans="1:17" s="15" customFormat="1" x14ac:dyDescent="0.25">
      <c r="A179" s="229"/>
      <c r="B179" s="30" t="s">
        <v>488</v>
      </c>
      <c r="C179" s="181"/>
      <c r="D179" s="182"/>
      <c r="E179" s="194"/>
      <c r="F179" s="73" t="s">
        <v>509</v>
      </c>
      <c r="G179" s="66" t="s">
        <v>114</v>
      </c>
      <c r="H179" s="75">
        <v>36</v>
      </c>
      <c r="I179" s="76">
        <v>16</v>
      </c>
      <c r="J179" s="98">
        <v>16</v>
      </c>
      <c r="K179" s="77">
        <v>36014.74</v>
      </c>
      <c r="L179" s="77">
        <v>36014.74</v>
      </c>
      <c r="M179" s="78">
        <f t="shared" si="5"/>
        <v>0</v>
      </c>
      <c r="N179" s="100"/>
      <c r="O179" s="77"/>
      <c r="P179" s="77"/>
      <c r="Q179" s="232">
        <f t="shared" si="6"/>
        <v>0</v>
      </c>
    </row>
    <row r="180" spans="1:17" s="15" customFormat="1" x14ac:dyDescent="0.25">
      <c r="A180" s="229"/>
      <c r="B180" s="30" t="s">
        <v>514</v>
      </c>
      <c r="C180" s="181"/>
      <c r="D180" s="182"/>
      <c r="E180" s="194" t="s">
        <v>18</v>
      </c>
      <c r="F180" s="73"/>
      <c r="G180" s="66" t="s">
        <v>116</v>
      </c>
      <c r="H180" s="75">
        <v>11</v>
      </c>
      <c r="I180" s="76">
        <v>3</v>
      </c>
      <c r="J180" s="98">
        <v>3</v>
      </c>
      <c r="K180" s="77">
        <v>5464</v>
      </c>
      <c r="L180" s="77">
        <v>3572</v>
      </c>
      <c r="M180" s="78">
        <f t="shared" si="5"/>
        <v>1892</v>
      </c>
      <c r="N180" s="100"/>
      <c r="O180" s="77"/>
      <c r="P180" s="77"/>
      <c r="Q180" s="232"/>
    </row>
    <row r="181" spans="1:17" s="15" customFormat="1" x14ac:dyDescent="0.25">
      <c r="A181" s="229"/>
      <c r="B181" s="30" t="s">
        <v>488</v>
      </c>
      <c r="C181" s="181"/>
      <c r="D181" s="182"/>
      <c r="E181" s="194"/>
      <c r="F181" s="73" t="s">
        <v>512</v>
      </c>
      <c r="G181" s="66" t="s">
        <v>116</v>
      </c>
      <c r="H181" s="75">
        <v>14</v>
      </c>
      <c r="I181" s="76">
        <v>9</v>
      </c>
      <c r="J181" s="98">
        <v>9</v>
      </c>
      <c r="K181" s="77">
        <v>23128</v>
      </c>
      <c r="L181" s="77">
        <v>20353</v>
      </c>
      <c r="M181" s="78">
        <f t="shared" si="5"/>
        <v>2775</v>
      </c>
      <c r="N181" s="100"/>
      <c r="O181" s="77"/>
      <c r="P181" s="77"/>
      <c r="Q181" s="79"/>
    </row>
    <row r="182" spans="1:17" s="15" customFormat="1" ht="30" x14ac:dyDescent="0.25">
      <c r="A182" s="229"/>
      <c r="B182" s="238" t="s">
        <v>144</v>
      </c>
      <c r="C182" s="181" t="s">
        <v>446</v>
      </c>
      <c r="D182" s="182" t="s">
        <v>313</v>
      </c>
      <c r="E182" s="183" t="s">
        <v>20</v>
      </c>
      <c r="F182" s="73" t="s">
        <v>485</v>
      </c>
      <c r="G182" s="235" t="s">
        <v>114</v>
      </c>
      <c r="H182" s="181">
        <v>55</v>
      </c>
      <c r="I182" s="234">
        <v>24</v>
      </c>
      <c r="J182" s="202">
        <v>24</v>
      </c>
      <c r="K182" s="77">
        <v>57178.03</v>
      </c>
      <c r="L182" s="77">
        <v>53164.03</v>
      </c>
      <c r="M182" s="78">
        <f t="shared" si="5"/>
        <v>4014</v>
      </c>
      <c r="N182" s="100">
        <v>22</v>
      </c>
      <c r="O182" s="224">
        <v>55283.8</v>
      </c>
      <c r="P182" s="224">
        <v>55283.8</v>
      </c>
      <c r="Q182" s="232">
        <f t="shared" ref="Q182" si="7">O182-P182</f>
        <v>0</v>
      </c>
    </row>
    <row r="183" spans="1:17" s="21" customFormat="1" ht="45" x14ac:dyDescent="0.25">
      <c r="A183" s="181"/>
      <c r="B183" s="30" t="s">
        <v>100</v>
      </c>
      <c r="C183" s="181" t="s">
        <v>304</v>
      </c>
      <c r="D183" s="182" t="s">
        <v>416</v>
      </c>
      <c r="E183" s="194" t="s">
        <v>20</v>
      </c>
      <c r="F183" s="73" t="s">
        <v>408</v>
      </c>
      <c r="G183" s="27" t="s">
        <v>112</v>
      </c>
      <c r="H183" s="75">
        <v>38</v>
      </c>
      <c r="I183" s="76">
        <v>24</v>
      </c>
      <c r="J183" s="98">
        <f>5+1+4+6+4+2+4+3+2</f>
        <v>31</v>
      </c>
      <c r="K183" s="86">
        <f>6524.55+600.31+19349.45+15377.18+2248.86+20883.06+17880.3</f>
        <v>82863.710000000006</v>
      </c>
      <c r="L183" s="86">
        <f>6524.55+600.31+19349.45+15377.18+2248.86+10883.06</f>
        <v>54983.41</v>
      </c>
      <c r="M183" s="78">
        <f t="shared" si="5"/>
        <v>27880.300000000003</v>
      </c>
      <c r="N183" s="100">
        <f>1+3+2+3+1+1+1</f>
        <v>12</v>
      </c>
      <c r="O183" s="87">
        <f>10770.58+2113.01+3508.24+19305.88+22849.19+23443.77</f>
        <v>81990.670000000013</v>
      </c>
      <c r="P183" s="87">
        <f>10770.58+2113.01+3508.24+19305.88+22849.19+23443.77</f>
        <v>81990.670000000013</v>
      </c>
      <c r="Q183" s="79">
        <f t="shared" si="6"/>
        <v>0</v>
      </c>
    </row>
    <row r="184" spans="1:17" s="21" customFormat="1" ht="60" x14ac:dyDescent="0.25">
      <c r="A184" s="181"/>
      <c r="B184" s="30" t="s">
        <v>100</v>
      </c>
      <c r="C184" s="203" t="s">
        <v>125</v>
      </c>
      <c r="D184" s="182" t="s">
        <v>126</v>
      </c>
      <c r="E184" s="194" t="s">
        <v>20</v>
      </c>
      <c r="F184" s="73" t="s">
        <v>486</v>
      </c>
      <c r="G184" s="236" t="s">
        <v>114</v>
      </c>
      <c r="H184" s="181">
        <v>13</v>
      </c>
      <c r="I184" s="234">
        <v>3</v>
      </c>
      <c r="J184" s="202">
        <v>3</v>
      </c>
      <c r="K184" s="86">
        <v>17316</v>
      </c>
      <c r="L184" s="86">
        <v>17316</v>
      </c>
      <c r="M184" s="78">
        <f t="shared" si="5"/>
        <v>0</v>
      </c>
      <c r="N184" s="100">
        <v>2</v>
      </c>
      <c r="O184" s="239">
        <v>71568.429999999993</v>
      </c>
      <c r="P184" s="239">
        <v>71568.429999999993</v>
      </c>
      <c r="Q184" s="232">
        <f t="shared" si="6"/>
        <v>0</v>
      </c>
    </row>
    <row r="185" spans="1:17" s="13" customFormat="1" x14ac:dyDescent="0.25">
      <c r="A185" s="229"/>
      <c r="B185" s="62" t="s">
        <v>101</v>
      </c>
      <c r="C185" s="181" t="s">
        <v>17</v>
      </c>
      <c r="D185" s="182"/>
      <c r="E185" s="194" t="s">
        <v>20</v>
      </c>
      <c r="F185" s="73" t="s">
        <v>409</v>
      </c>
      <c r="G185" s="74" t="s">
        <v>112</v>
      </c>
      <c r="H185" s="75">
        <v>20</v>
      </c>
      <c r="I185" s="76">
        <v>8</v>
      </c>
      <c r="J185" s="96">
        <f>1+5+1+1+2+2+1</f>
        <v>13</v>
      </c>
      <c r="K185" s="77">
        <v>9863.65</v>
      </c>
      <c r="L185" s="77">
        <v>9863.65</v>
      </c>
      <c r="M185" s="78">
        <f t="shared" si="5"/>
        <v>0</v>
      </c>
      <c r="N185" s="100">
        <f>5+2+1+1+1</f>
        <v>10</v>
      </c>
      <c r="O185" s="81">
        <v>25277.53</v>
      </c>
      <c r="P185" s="81">
        <v>25277.53</v>
      </c>
      <c r="Q185" s="79">
        <f t="shared" si="6"/>
        <v>0</v>
      </c>
    </row>
    <row r="186" spans="1:17" s="13" customFormat="1" x14ac:dyDescent="0.25">
      <c r="A186" s="229"/>
      <c r="B186" s="62" t="s">
        <v>146</v>
      </c>
      <c r="C186" s="181" t="s">
        <v>17</v>
      </c>
      <c r="D186" s="182"/>
      <c r="E186" s="194" t="s">
        <v>20</v>
      </c>
      <c r="F186" s="73" t="s">
        <v>410</v>
      </c>
      <c r="G186" s="74" t="s">
        <v>112</v>
      </c>
      <c r="H186" s="75">
        <v>25</v>
      </c>
      <c r="I186" s="76">
        <v>16</v>
      </c>
      <c r="J186" s="96">
        <f>4+1+1+2+1+2+1+1+1+1+1+1</f>
        <v>17</v>
      </c>
      <c r="K186" s="77">
        <f>4610.77+1568.98+1854.88+422.62+1334.13+2599.07+5262.18+1092.81+1092.81+481.68+1092.81+6709.63+1342.68</f>
        <v>29465.050000000007</v>
      </c>
      <c r="L186" s="77">
        <f>4610.77+1568.98+1854.88+422.62+1334.13+2599.07+5262.18+1092.81+1092.81+481.68+1092.81</f>
        <v>21412.740000000005</v>
      </c>
      <c r="M186" s="78">
        <f t="shared" si="5"/>
        <v>8052.3100000000013</v>
      </c>
      <c r="N186" s="100">
        <f>5+1+1+2+1+1+1+3</f>
        <v>15</v>
      </c>
      <c r="O186" s="81">
        <f>13579.06+1287.07+2636.18+26196.83+1204.2+14475.9</f>
        <v>59379.24</v>
      </c>
      <c r="P186" s="81">
        <f>13579.06+1287.07+2636.18+26196.83+1204.2</f>
        <v>44903.34</v>
      </c>
      <c r="Q186" s="232">
        <f t="shared" si="6"/>
        <v>14475.900000000001</v>
      </c>
    </row>
    <row r="187" spans="1:17" s="13" customFormat="1" x14ac:dyDescent="0.25">
      <c r="A187" s="229"/>
      <c r="B187" s="62" t="s">
        <v>146</v>
      </c>
      <c r="C187" s="181" t="s">
        <v>17</v>
      </c>
      <c r="D187" s="182"/>
      <c r="E187" s="183" t="s">
        <v>21</v>
      </c>
      <c r="F187" s="73" t="s">
        <v>443</v>
      </c>
      <c r="G187" s="230" t="s">
        <v>118</v>
      </c>
      <c r="H187" s="181">
        <v>19</v>
      </c>
      <c r="I187" s="234">
        <v>7</v>
      </c>
      <c r="J187" s="190">
        <v>7</v>
      </c>
      <c r="K187" s="193">
        <v>13074.18</v>
      </c>
      <c r="L187" s="193">
        <v>13074.18</v>
      </c>
      <c r="M187" s="78">
        <f t="shared" si="5"/>
        <v>0</v>
      </c>
      <c r="N187" s="114">
        <v>6</v>
      </c>
      <c r="O187" s="224">
        <v>7525.02</v>
      </c>
      <c r="P187" s="224">
        <v>3363.06</v>
      </c>
      <c r="Q187" s="79">
        <f t="shared" si="6"/>
        <v>4161.9600000000009</v>
      </c>
    </row>
    <row r="188" spans="1:17" s="13" customFormat="1" x14ac:dyDescent="0.25">
      <c r="A188" s="229"/>
      <c r="B188" s="27" t="s">
        <v>102</v>
      </c>
      <c r="C188" s="181" t="s">
        <v>17</v>
      </c>
      <c r="D188" s="182"/>
      <c r="E188" s="194" t="s">
        <v>20</v>
      </c>
      <c r="F188" s="73" t="s">
        <v>411</v>
      </c>
      <c r="G188" s="74" t="s">
        <v>112</v>
      </c>
      <c r="H188" s="75">
        <v>19</v>
      </c>
      <c r="I188" s="76">
        <v>13</v>
      </c>
      <c r="J188" s="96">
        <f>1+1+2+1+2+1+3+3</f>
        <v>14</v>
      </c>
      <c r="K188" s="77">
        <f>845.24+845.24+1690.48+1394.65+2689.38+1324.62+3005.86</f>
        <v>11795.470000000001</v>
      </c>
      <c r="L188" s="77">
        <f>845.24+845.24+1690.48+1394.65+2689.38+1324.62</f>
        <v>8789.61</v>
      </c>
      <c r="M188" s="78">
        <f t="shared" si="5"/>
        <v>3005.8600000000006</v>
      </c>
      <c r="N188" s="100">
        <f>3+1+1+1+1</f>
        <v>7</v>
      </c>
      <c r="O188" s="81">
        <f>7808.21+30833.77-12193.52+9963.17+5385.9+14660.89</f>
        <v>56458.420000000006</v>
      </c>
      <c r="P188" s="81">
        <f>7808.21+30833.77-12193.52+9963.17+5385.9+14660.89</f>
        <v>56458.420000000006</v>
      </c>
      <c r="Q188" s="232">
        <f t="shared" si="6"/>
        <v>0</v>
      </c>
    </row>
    <row r="189" spans="1:17" s="13" customFormat="1" x14ac:dyDescent="0.25">
      <c r="A189" s="229"/>
      <c r="B189" s="27" t="s">
        <v>102</v>
      </c>
      <c r="C189" s="181" t="s">
        <v>17</v>
      </c>
      <c r="D189" s="182"/>
      <c r="E189" s="194" t="s">
        <v>20</v>
      </c>
      <c r="F189" s="73" t="s">
        <v>469</v>
      </c>
      <c r="G189" s="230" t="s">
        <v>114</v>
      </c>
      <c r="H189" s="181">
        <v>13</v>
      </c>
      <c r="I189" s="231">
        <v>5</v>
      </c>
      <c r="J189" s="190">
        <v>5</v>
      </c>
      <c r="K189" s="77">
        <v>7690.26</v>
      </c>
      <c r="L189" s="77">
        <v>7690.26</v>
      </c>
      <c r="M189" s="78">
        <f t="shared" si="5"/>
        <v>0</v>
      </c>
      <c r="N189" s="100">
        <v>8</v>
      </c>
      <c r="O189" s="224">
        <v>31795.42</v>
      </c>
      <c r="P189" s="224">
        <v>31795.42</v>
      </c>
      <c r="Q189" s="232">
        <f t="shared" si="6"/>
        <v>0</v>
      </c>
    </row>
    <row r="190" spans="1:17" s="13" customFormat="1" x14ac:dyDescent="0.25">
      <c r="A190" s="229"/>
      <c r="B190" s="27" t="s">
        <v>103</v>
      </c>
      <c r="C190" s="181" t="s">
        <v>17</v>
      </c>
      <c r="D190" s="182"/>
      <c r="E190" s="183" t="s">
        <v>20</v>
      </c>
      <c r="F190" s="73" t="s">
        <v>412</v>
      </c>
      <c r="G190" s="74" t="s">
        <v>112</v>
      </c>
      <c r="H190" s="75">
        <v>19</v>
      </c>
      <c r="I190" s="76">
        <v>13</v>
      </c>
      <c r="J190" s="96">
        <f>4+1+2+3+1+1+5</f>
        <v>17</v>
      </c>
      <c r="K190" s="77">
        <f>16248.67+1092.81+2003.49+401.4+421.47+4260.23+4260.23+10744.38</f>
        <v>39432.68</v>
      </c>
      <c r="L190" s="77">
        <f>16248.67+1092.81+2003.49+401.4+421.47</f>
        <v>20167.840000000004</v>
      </c>
      <c r="M190" s="78">
        <f t="shared" si="5"/>
        <v>19264.839999999997</v>
      </c>
      <c r="N190" s="100">
        <f>7+2+1+1+2+1+1+3+3</f>
        <v>21</v>
      </c>
      <c r="O190" s="77">
        <f>20193.14+7541.5+685.38+1766.16+4899.88+4899.88</f>
        <v>39985.939999999995</v>
      </c>
      <c r="P190" s="77">
        <f>20193.14+7541.5+685.38+1766.16</f>
        <v>30186.18</v>
      </c>
      <c r="Q190" s="232">
        <f t="shared" si="6"/>
        <v>9799.7599999999948</v>
      </c>
    </row>
    <row r="191" spans="1:17" s="13" customFormat="1" x14ac:dyDescent="0.25">
      <c r="A191" s="229"/>
      <c r="B191" s="27" t="s">
        <v>103</v>
      </c>
      <c r="C191" s="181" t="s">
        <v>17</v>
      </c>
      <c r="D191" s="182"/>
      <c r="E191" s="183" t="s">
        <v>20</v>
      </c>
      <c r="F191" s="73" t="s">
        <v>470</v>
      </c>
      <c r="G191" s="230" t="s">
        <v>114</v>
      </c>
      <c r="H191" s="181">
        <v>20</v>
      </c>
      <c r="I191" s="231">
        <v>6</v>
      </c>
      <c r="J191" s="190">
        <v>6</v>
      </c>
      <c r="K191" s="77">
        <v>10158.299999999999</v>
      </c>
      <c r="L191" s="77">
        <v>10158.299999999999</v>
      </c>
      <c r="M191" s="78">
        <f t="shared" si="5"/>
        <v>0</v>
      </c>
      <c r="N191" s="100">
        <v>5</v>
      </c>
      <c r="O191" s="224">
        <v>14245.19</v>
      </c>
      <c r="P191" s="224">
        <v>14245.19</v>
      </c>
      <c r="Q191" s="232">
        <f t="shared" si="6"/>
        <v>0</v>
      </c>
    </row>
    <row r="192" spans="1:17" s="15" customFormat="1" x14ac:dyDescent="0.25">
      <c r="A192" s="229"/>
      <c r="B192" s="27" t="s">
        <v>104</v>
      </c>
      <c r="C192" s="181" t="s">
        <v>17</v>
      </c>
      <c r="D192" s="182"/>
      <c r="E192" s="183" t="s">
        <v>20</v>
      </c>
      <c r="F192" s="73" t="s">
        <v>413</v>
      </c>
      <c r="G192" s="74" t="s">
        <v>112</v>
      </c>
      <c r="H192" s="75">
        <v>21</v>
      </c>
      <c r="I192" s="76">
        <v>19</v>
      </c>
      <c r="J192" s="96">
        <f>3+1+2+4+1+1+1+5+5+1</f>
        <v>24</v>
      </c>
      <c r="K192" s="77">
        <f>5112.82+422.64+8302.14+1605.5+1092.81+1390.85+7796.86+7659.42+13342.05</f>
        <v>46725.09</v>
      </c>
      <c r="L192" s="77">
        <f>5112.82+422.64+8302.14+1605.5+1092.81+1390.85+7796.86</f>
        <v>25723.62</v>
      </c>
      <c r="M192" s="78">
        <f t="shared" si="5"/>
        <v>21001.469999999998</v>
      </c>
      <c r="N192" s="100">
        <f>4+1+1+2+1+1+1</f>
        <v>11</v>
      </c>
      <c r="O192" s="81">
        <f>7087.22+3426.18+3496.22+2266.91</f>
        <v>16276.529999999999</v>
      </c>
      <c r="P192" s="81">
        <f>7087.22+3426.18+3496.22</f>
        <v>14009.619999999999</v>
      </c>
      <c r="Q192" s="232">
        <f t="shared" si="6"/>
        <v>2266.91</v>
      </c>
    </row>
    <row r="193" spans="1:20" s="15" customFormat="1" x14ac:dyDescent="0.25">
      <c r="A193" s="229"/>
      <c r="B193" s="27" t="s">
        <v>104</v>
      </c>
      <c r="C193" s="181" t="s">
        <v>17</v>
      </c>
      <c r="D193" s="182"/>
      <c r="E193" s="183" t="s">
        <v>20</v>
      </c>
      <c r="F193" s="73" t="s">
        <v>471</v>
      </c>
      <c r="G193" s="230" t="s">
        <v>114</v>
      </c>
      <c r="H193" s="181">
        <v>47</v>
      </c>
      <c r="I193" s="231">
        <v>19</v>
      </c>
      <c r="J193" s="190">
        <v>19</v>
      </c>
      <c r="K193" s="77">
        <v>41748.910000000003</v>
      </c>
      <c r="L193" s="77">
        <v>41748.910000000003</v>
      </c>
      <c r="M193" s="78">
        <f t="shared" si="5"/>
        <v>0</v>
      </c>
      <c r="N193" s="114">
        <v>20</v>
      </c>
      <c r="O193" s="224">
        <v>50922.05</v>
      </c>
      <c r="P193" s="224">
        <v>50922.05</v>
      </c>
      <c r="Q193" s="232">
        <f t="shared" si="6"/>
        <v>0</v>
      </c>
    </row>
    <row r="194" spans="1:20" s="13" customFormat="1" x14ac:dyDescent="0.25">
      <c r="A194" s="229"/>
      <c r="B194" s="30" t="s">
        <v>26</v>
      </c>
      <c r="C194" s="181" t="s">
        <v>17</v>
      </c>
      <c r="D194" s="182"/>
      <c r="E194" s="183" t="s">
        <v>32</v>
      </c>
      <c r="F194" s="73" t="s">
        <v>246</v>
      </c>
      <c r="G194" s="74" t="s">
        <v>117</v>
      </c>
      <c r="H194" s="75"/>
      <c r="I194" s="76"/>
      <c r="J194" s="96"/>
      <c r="K194" s="77"/>
      <c r="L194" s="77"/>
      <c r="M194" s="78">
        <f t="shared" si="5"/>
        <v>0</v>
      </c>
      <c r="N194" s="100">
        <v>5</v>
      </c>
      <c r="O194" s="81">
        <v>7808.15</v>
      </c>
      <c r="P194" s="81">
        <v>7808.15</v>
      </c>
      <c r="Q194" s="232">
        <f t="shared" si="6"/>
        <v>0</v>
      </c>
    </row>
    <row r="195" spans="1:20" s="13" customFormat="1" x14ac:dyDescent="0.25">
      <c r="A195" s="229"/>
      <c r="B195" s="30" t="s">
        <v>105</v>
      </c>
      <c r="C195" s="181" t="s">
        <v>17</v>
      </c>
      <c r="D195" s="182"/>
      <c r="E195" s="194" t="s">
        <v>35</v>
      </c>
      <c r="F195" s="73" t="s">
        <v>518</v>
      </c>
      <c r="G195" s="74" t="s">
        <v>112</v>
      </c>
      <c r="H195" s="75">
        <v>10</v>
      </c>
      <c r="I195" s="76"/>
      <c r="J195" s="96"/>
      <c r="K195" s="77"/>
      <c r="L195" s="77"/>
      <c r="M195" s="78"/>
      <c r="N195" s="100"/>
      <c r="O195" s="81"/>
      <c r="P195" s="81"/>
      <c r="Q195" s="232"/>
    </row>
    <row r="196" spans="1:20" s="13" customFormat="1" x14ac:dyDescent="0.25">
      <c r="A196" s="229"/>
      <c r="B196" s="62" t="s">
        <v>106</v>
      </c>
      <c r="C196" s="181" t="s">
        <v>17</v>
      </c>
      <c r="D196" s="205"/>
      <c r="E196" s="194" t="s">
        <v>20</v>
      </c>
      <c r="F196" s="73" t="s">
        <v>414</v>
      </c>
      <c r="G196" s="74" t="s">
        <v>112</v>
      </c>
      <c r="H196" s="75">
        <v>22</v>
      </c>
      <c r="I196" s="76">
        <v>11</v>
      </c>
      <c r="J196" s="96">
        <f>1+4+2+2+1+4</f>
        <v>14</v>
      </c>
      <c r="K196" s="77">
        <f>4901.5+2119.39+5027.75</f>
        <v>12048.64</v>
      </c>
      <c r="L196" s="77">
        <f>4901.5+2119.39+5027.75</f>
        <v>12048.64</v>
      </c>
      <c r="M196" s="78">
        <f t="shared" si="5"/>
        <v>0</v>
      </c>
      <c r="N196" s="100">
        <f>3+1+1+1+1</f>
        <v>7</v>
      </c>
      <c r="O196" s="81">
        <f>49473.81+3066.27+1501.24</f>
        <v>54041.319999999992</v>
      </c>
      <c r="P196" s="81">
        <f>49473.81+3066.27+1501.24</f>
        <v>54041.319999999992</v>
      </c>
      <c r="Q196" s="232">
        <f t="shared" si="6"/>
        <v>0</v>
      </c>
      <c r="T196" s="141"/>
    </row>
    <row r="197" spans="1:20" x14ac:dyDescent="0.25">
      <c r="A197" s="356"/>
      <c r="B197" s="66"/>
      <c r="C197" s="357"/>
      <c r="D197" s="235"/>
      <c r="E197" s="235"/>
      <c r="F197" s="73"/>
      <c r="G197" s="235" t="s">
        <v>131</v>
      </c>
      <c r="H197" s="240">
        <f>SUM(H10:H196)</f>
        <v>3736</v>
      </c>
      <c r="I197" s="355">
        <f>SUM(I10:I196)</f>
        <v>2270</v>
      </c>
      <c r="J197" s="208">
        <f>SUM(J10:J196)</f>
        <v>2780</v>
      </c>
      <c r="K197" s="209">
        <f>SUM(K10:K196)</f>
        <v>5435270.9349999996</v>
      </c>
      <c r="L197" s="209">
        <f>SUM(L10:L196)</f>
        <v>4660420.2250000024</v>
      </c>
      <c r="M197" s="210">
        <f>K197-L197</f>
        <v>774850.70999999717</v>
      </c>
      <c r="N197" s="208">
        <f>SUM(N10:N196)</f>
        <v>1978</v>
      </c>
      <c r="O197" s="241">
        <f>SUM(O10:O196)</f>
        <v>6310495.669999999</v>
      </c>
      <c r="P197" s="241">
        <f>SUM(P10:P196)</f>
        <v>6143738.5000000009</v>
      </c>
      <c r="Q197" s="79">
        <f t="shared" si="6"/>
        <v>166757.16999999806</v>
      </c>
    </row>
    <row r="198" spans="1:20" x14ac:dyDescent="0.25">
      <c r="K198" s="91" t="s">
        <v>305</v>
      </c>
    </row>
    <row r="199" spans="1:20" ht="45" x14ac:dyDescent="0.25">
      <c r="B199" s="324" t="s">
        <v>522</v>
      </c>
      <c r="F199" s="104" t="s">
        <v>317</v>
      </c>
      <c r="M199" s="142"/>
      <c r="N199" s="277"/>
      <c r="O199" s="278"/>
      <c r="P199" s="279"/>
      <c r="Q199" s="133"/>
    </row>
    <row r="200" spans="1:20" x14ac:dyDescent="0.25"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216"/>
      <c r="N200" s="6"/>
      <c r="O200" s="6"/>
      <c r="P200" s="6"/>
      <c r="Q200" s="6"/>
    </row>
    <row r="201" spans="1:20" x14ac:dyDescent="0.25">
      <c r="M201" s="216"/>
      <c r="T201" s="141"/>
    </row>
    <row r="202" spans="1:20" x14ac:dyDescent="0.25">
      <c r="M202" s="216"/>
    </row>
    <row r="203" spans="1:20" x14ac:dyDescent="0.25">
      <c r="M203" s="216"/>
    </row>
    <row r="204" spans="1:20" x14ac:dyDescent="0.25">
      <c r="M204" s="216"/>
    </row>
  </sheetData>
  <autoFilter ref="A8:Q199"/>
  <mergeCells count="7">
    <mergeCell ref="O1:Q1"/>
    <mergeCell ref="A3:Q3"/>
    <mergeCell ref="A4:Q4"/>
    <mergeCell ref="A5:Q5"/>
    <mergeCell ref="B7:G7"/>
    <mergeCell ref="H7:M7"/>
    <mergeCell ref="N7:Q7"/>
  </mergeCells>
  <pageMargins left="0.7" right="0.7" top="0.75" bottom="0.75" header="0.3" footer="0.3"/>
  <pageSetup paperSize="9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204"/>
  <sheetViews>
    <sheetView tabSelected="1" workbookViewId="0"/>
  </sheetViews>
  <sheetFormatPr defaultRowHeight="15" x14ac:dyDescent="0.25"/>
  <cols>
    <col min="1" max="1" width="1.85546875" style="6" customWidth="1"/>
    <col min="2" max="2" width="38.28515625" style="88" customWidth="1"/>
    <col min="3" max="3" width="6.5703125" style="19" customWidth="1"/>
    <col min="4" max="4" width="17.42578125" style="19" customWidth="1"/>
    <col min="5" max="5" width="19" style="19" customWidth="1"/>
    <col min="6" max="6" width="19" style="89" customWidth="1"/>
    <col min="7" max="7" width="20.140625" style="89" customWidth="1"/>
    <col min="8" max="9" width="15.7109375" style="90" customWidth="1"/>
    <col min="10" max="10" width="15.7109375" style="99" customWidth="1"/>
    <col min="11" max="13" width="15.7109375" style="91" customWidth="1"/>
    <col min="14" max="14" width="15.7109375" style="99" customWidth="1"/>
    <col min="15" max="17" width="15.7109375" style="92" customWidth="1"/>
    <col min="18" max="18" width="11" style="6" customWidth="1"/>
    <col min="19" max="19" width="9.140625" style="6"/>
    <col min="20" max="20" width="10.42578125" style="6" bestFit="1" customWidth="1"/>
    <col min="21" max="16384" width="9.140625" style="6"/>
  </cols>
  <sheetData>
    <row r="1" spans="1:17" s="105" customFormat="1" x14ac:dyDescent="0.25">
      <c r="A1" s="60"/>
      <c r="B1" s="60"/>
      <c r="C1" s="225"/>
      <c r="D1" s="225"/>
      <c r="E1" s="225"/>
      <c r="F1" s="63"/>
      <c r="G1" s="63"/>
      <c r="H1" s="64"/>
      <c r="I1" s="64"/>
      <c r="J1" s="93"/>
      <c r="K1" s="65"/>
      <c r="L1" s="65"/>
      <c r="M1" s="65"/>
      <c r="N1" s="93"/>
      <c r="O1" s="362" t="s">
        <v>15</v>
      </c>
      <c r="P1" s="362"/>
      <c r="Q1" s="362"/>
    </row>
    <row r="2" spans="1:17" s="105" customFormat="1" x14ac:dyDescent="0.25">
      <c r="A2" s="360"/>
      <c r="B2" s="360"/>
      <c r="C2" s="361"/>
      <c r="D2" s="361"/>
      <c r="E2" s="361"/>
      <c r="F2" s="66"/>
      <c r="G2" s="66"/>
      <c r="H2" s="359"/>
      <c r="I2" s="359"/>
      <c r="J2" s="94"/>
      <c r="K2" s="67"/>
      <c r="L2" s="67"/>
      <c r="M2" s="67"/>
      <c r="N2" s="94"/>
      <c r="O2" s="68"/>
      <c r="P2" s="68"/>
      <c r="Q2" s="68"/>
    </row>
    <row r="3" spans="1:17" s="105" customFormat="1" x14ac:dyDescent="0.25">
      <c r="A3" s="380" t="s">
        <v>318</v>
      </c>
      <c r="B3" s="367"/>
      <c r="C3" s="380"/>
      <c r="D3" s="380"/>
      <c r="E3" s="380"/>
      <c r="F3" s="367"/>
      <c r="G3" s="367"/>
      <c r="H3" s="366"/>
      <c r="I3" s="366"/>
      <c r="J3" s="367"/>
      <c r="K3" s="367"/>
      <c r="L3" s="367"/>
      <c r="M3" s="367"/>
      <c r="N3" s="367"/>
      <c r="O3" s="367"/>
      <c r="P3" s="367"/>
      <c r="Q3" s="367"/>
    </row>
    <row r="4" spans="1:17" s="105" customFormat="1" x14ac:dyDescent="0.25">
      <c r="A4" s="381">
        <v>43830</v>
      </c>
      <c r="B4" s="373"/>
      <c r="C4" s="382"/>
      <c r="D4" s="382"/>
      <c r="E4" s="382"/>
      <c r="F4" s="373"/>
      <c r="G4" s="373"/>
      <c r="H4" s="372"/>
      <c r="I4" s="372"/>
      <c r="J4" s="373"/>
      <c r="K4" s="373"/>
      <c r="L4" s="373"/>
      <c r="M4" s="373"/>
      <c r="N4" s="373"/>
      <c r="O4" s="373"/>
      <c r="P4" s="373"/>
      <c r="Q4" s="373"/>
    </row>
    <row r="5" spans="1:17" s="105" customFormat="1" x14ac:dyDescent="0.25">
      <c r="A5" s="367" t="s">
        <v>14</v>
      </c>
      <c r="B5" s="367"/>
      <c r="C5" s="367"/>
      <c r="D5" s="367"/>
      <c r="E5" s="367"/>
      <c r="F5" s="367"/>
      <c r="G5" s="367"/>
      <c r="H5" s="366"/>
      <c r="I5" s="366"/>
      <c r="J5" s="367"/>
      <c r="K5" s="367"/>
      <c r="L5" s="367"/>
      <c r="M5" s="367"/>
      <c r="N5" s="367"/>
      <c r="O5" s="367"/>
      <c r="P5" s="367"/>
      <c r="Q5" s="367"/>
    </row>
    <row r="6" spans="1:17" s="105" customFormat="1" x14ac:dyDescent="0.25">
      <c r="A6" s="360"/>
      <c r="B6" s="360"/>
      <c r="C6" s="361"/>
      <c r="D6" s="361"/>
      <c r="E6" s="361"/>
      <c r="F6" s="66"/>
      <c r="G6" s="66"/>
      <c r="H6" s="359"/>
      <c r="I6" s="359"/>
      <c r="J6" s="94"/>
      <c r="K6" s="67"/>
      <c r="L6" s="67"/>
      <c r="M6" s="67"/>
      <c r="N6" s="94"/>
      <c r="O6" s="68"/>
      <c r="P6" s="68"/>
      <c r="Q6" s="68"/>
    </row>
    <row r="7" spans="1:17" x14ac:dyDescent="0.25">
      <c r="A7" s="227" t="s">
        <v>0</v>
      </c>
      <c r="B7" s="367" t="s">
        <v>10</v>
      </c>
      <c r="C7" s="380"/>
      <c r="D7" s="380"/>
      <c r="E7" s="380"/>
      <c r="F7" s="367"/>
      <c r="G7" s="367"/>
      <c r="H7" s="366" t="s">
        <v>472</v>
      </c>
      <c r="I7" s="366"/>
      <c r="J7" s="367"/>
      <c r="K7" s="367"/>
      <c r="L7" s="367"/>
      <c r="M7" s="367"/>
      <c r="N7" s="367" t="s">
        <v>132</v>
      </c>
      <c r="O7" s="367"/>
      <c r="P7" s="367"/>
      <c r="Q7" s="367"/>
    </row>
    <row r="8" spans="1:17" ht="195" x14ac:dyDescent="0.25">
      <c r="A8" s="227"/>
      <c r="B8" s="360" t="s">
        <v>4</v>
      </c>
      <c r="C8" s="361" t="s">
        <v>1</v>
      </c>
      <c r="D8" s="361" t="s">
        <v>3</v>
      </c>
      <c r="E8" s="361" t="s">
        <v>2</v>
      </c>
      <c r="F8" s="360" t="s">
        <v>6</v>
      </c>
      <c r="G8" s="66" t="s">
        <v>5</v>
      </c>
      <c r="H8" s="360" t="s">
        <v>7</v>
      </c>
      <c r="I8" s="360" t="s">
        <v>8</v>
      </c>
      <c r="J8" s="94" t="s">
        <v>9</v>
      </c>
      <c r="K8" s="67" t="s">
        <v>11</v>
      </c>
      <c r="L8" s="67" t="s">
        <v>12</v>
      </c>
      <c r="M8" s="67" t="s">
        <v>13</v>
      </c>
      <c r="N8" s="94" t="s">
        <v>9</v>
      </c>
      <c r="O8" s="68" t="s">
        <v>11</v>
      </c>
      <c r="P8" s="68" t="s">
        <v>12</v>
      </c>
      <c r="Q8" s="68" t="s">
        <v>13</v>
      </c>
    </row>
    <row r="9" spans="1:17" x14ac:dyDescent="0.25">
      <c r="A9" s="228">
        <v>1</v>
      </c>
      <c r="B9" s="61">
        <f>A9+1</f>
        <v>2</v>
      </c>
      <c r="C9" s="228">
        <f t="shared" ref="C9:Q9" si="0">B9+1</f>
        <v>3</v>
      </c>
      <c r="D9" s="228">
        <f t="shared" si="0"/>
        <v>4</v>
      </c>
      <c r="E9" s="228">
        <f t="shared" si="0"/>
        <v>5</v>
      </c>
      <c r="F9" s="69">
        <f t="shared" si="0"/>
        <v>6</v>
      </c>
      <c r="G9" s="69">
        <f t="shared" si="0"/>
        <v>7</v>
      </c>
      <c r="H9" s="70">
        <f t="shared" si="0"/>
        <v>8</v>
      </c>
      <c r="I9" s="70">
        <f t="shared" si="0"/>
        <v>9</v>
      </c>
      <c r="J9" s="95">
        <f t="shared" si="0"/>
        <v>10</v>
      </c>
      <c r="K9" s="71">
        <f t="shared" si="0"/>
        <v>11</v>
      </c>
      <c r="L9" s="71">
        <f t="shared" si="0"/>
        <v>12</v>
      </c>
      <c r="M9" s="71">
        <f t="shared" si="0"/>
        <v>13</v>
      </c>
      <c r="N9" s="95">
        <f t="shared" si="0"/>
        <v>14</v>
      </c>
      <c r="O9" s="72">
        <f t="shared" si="0"/>
        <v>15</v>
      </c>
      <c r="P9" s="72">
        <f t="shared" si="0"/>
        <v>16</v>
      </c>
      <c r="Q9" s="72">
        <f t="shared" si="0"/>
        <v>17</v>
      </c>
    </row>
    <row r="10" spans="1:17" s="13" customFormat="1" ht="30" x14ac:dyDescent="0.25">
      <c r="A10" s="229"/>
      <c r="B10" s="62" t="s">
        <v>16</v>
      </c>
      <c r="C10" s="181" t="s">
        <v>304</v>
      </c>
      <c r="D10" s="182" t="s">
        <v>315</v>
      </c>
      <c r="E10" s="183" t="s">
        <v>18</v>
      </c>
      <c r="F10" s="73" t="s">
        <v>322</v>
      </c>
      <c r="G10" s="74" t="s">
        <v>112</v>
      </c>
      <c r="H10" s="75">
        <v>19</v>
      </c>
      <c r="I10" s="76">
        <v>11</v>
      </c>
      <c r="J10" s="98">
        <f>2+1+3+3+1+3</f>
        <v>13</v>
      </c>
      <c r="K10" s="77">
        <f>4792.51+1138.19+504.26+11366.06+4859.68+3954.5+12023.46+3259.34+6673.56+3108.52</f>
        <v>51680.079999999994</v>
      </c>
      <c r="L10" s="77">
        <f>4792.51+1138.19+504.26+11366.06+4859.68+3954.5+12023.46+3259.34+6673.56+3108.52</f>
        <v>51680.079999999994</v>
      </c>
      <c r="M10" s="224">
        <f>K10-L10</f>
        <v>0</v>
      </c>
      <c r="N10" s="100">
        <f>2+5+1+2+1+1</f>
        <v>12</v>
      </c>
      <c r="O10" s="77">
        <f>9108.77+6924.32+22366.06+8197.52</f>
        <v>46596.67</v>
      </c>
      <c r="P10" s="77">
        <f>9108.77+6924.32+22366.06+8197.52</f>
        <v>46596.67</v>
      </c>
      <c r="Q10" s="79">
        <f>O10-P10</f>
        <v>0</v>
      </c>
    </row>
    <row r="11" spans="1:17" s="13" customFormat="1" ht="30" x14ac:dyDescent="0.25">
      <c r="A11" s="229"/>
      <c r="B11" s="62" t="s">
        <v>16</v>
      </c>
      <c r="C11" s="181" t="s">
        <v>304</v>
      </c>
      <c r="D11" s="182" t="s">
        <v>315</v>
      </c>
      <c r="E11" s="183" t="s">
        <v>18</v>
      </c>
      <c r="F11" s="73" t="s">
        <v>322</v>
      </c>
      <c r="G11" s="230" t="s">
        <v>116</v>
      </c>
      <c r="H11" s="181">
        <v>16</v>
      </c>
      <c r="I11" s="231">
        <v>11</v>
      </c>
      <c r="J11" s="96">
        <v>11</v>
      </c>
      <c r="K11" s="224">
        <v>18636</v>
      </c>
      <c r="L11" s="224">
        <v>18636</v>
      </c>
      <c r="M11" s="224">
        <f>K11-L11</f>
        <v>0</v>
      </c>
      <c r="N11" s="100"/>
      <c r="O11" s="224">
        <v>2945</v>
      </c>
      <c r="P11" s="224">
        <v>2945</v>
      </c>
      <c r="Q11" s="232">
        <f t="shared" ref="Q11:Q81" si="1">O11-P11</f>
        <v>0</v>
      </c>
    </row>
    <row r="12" spans="1:17" s="13" customFormat="1" x14ac:dyDescent="0.25">
      <c r="A12" s="229"/>
      <c r="B12" s="62" t="s">
        <v>490</v>
      </c>
      <c r="C12" s="181" t="s">
        <v>304</v>
      </c>
      <c r="D12" s="182"/>
      <c r="E12" s="183"/>
      <c r="F12" s="189" t="s">
        <v>501</v>
      </c>
      <c r="G12" s="230" t="s">
        <v>112</v>
      </c>
      <c r="H12" s="181">
        <v>25</v>
      </c>
      <c r="I12" s="231">
        <v>19</v>
      </c>
      <c r="J12" s="96">
        <f>5+1+3+1+1+2+2+1+1+2+1</f>
        <v>20</v>
      </c>
      <c r="K12" s="224">
        <f>8352.39+384.2+1463.8+3720.67+546.41+5470.48+13100.4+2207.7+4647.18+8101.05+7814.05+1040.49+3402.36</f>
        <v>60251.18</v>
      </c>
      <c r="L12" s="224">
        <f>8352.39+384.2+1463.8+3720.67+546.41+5470.48+13100.4+2207.7+4647.18+8101.05+7814.05+1040.49+3402.36</f>
        <v>60251.18</v>
      </c>
      <c r="M12" s="224">
        <f t="shared" ref="M12:M75" si="2">K12-L12</f>
        <v>0</v>
      </c>
      <c r="N12" s="100"/>
      <c r="O12" s="224"/>
      <c r="P12" s="224"/>
      <c r="Q12" s="79">
        <f t="shared" si="1"/>
        <v>0</v>
      </c>
    </row>
    <row r="13" spans="1:17" s="15" customFormat="1" x14ac:dyDescent="0.25">
      <c r="A13" s="229"/>
      <c r="B13" s="62" t="s">
        <v>19</v>
      </c>
      <c r="C13" s="181" t="s">
        <v>17</v>
      </c>
      <c r="D13" s="182"/>
      <c r="E13" s="183" t="s">
        <v>20</v>
      </c>
      <c r="F13" s="73" t="s">
        <v>323</v>
      </c>
      <c r="G13" s="74" t="s">
        <v>112</v>
      </c>
      <c r="H13" s="75">
        <v>18</v>
      </c>
      <c r="I13" s="76">
        <v>15</v>
      </c>
      <c r="J13" s="96">
        <f>1+2+5+2+1+5+1+3+1+2+1</f>
        <v>24</v>
      </c>
      <c r="K13" s="77">
        <f>422.62+4792.51+1796.14+1373.52+5511.59+1707.76+662.31+2561.63</f>
        <v>18828.080000000002</v>
      </c>
      <c r="L13" s="77">
        <f>422.62+4792.51+1796.14+1373.52+5511.59+1707.76+662.31+2561.63</f>
        <v>18828.080000000002</v>
      </c>
      <c r="M13" s="224">
        <f t="shared" si="2"/>
        <v>0</v>
      </c>
      <c r="N13" s="100">
        <f>8+3+1+2</f>
        <v>14</v>
      </c>
      <c r="O13" s="81">
        <f>6459.36+7124.45</f>
        <v>13583.81</v>
      </c>
      <c r="P13" s="81">
        <f>6459.36+7124.45</f>
        <v>13583.81</v>
      </c>
      <c r="Q13" s="79">
        <f t="shared" si="1"/>
        <v>0</v>
      </c>
    </row>
    <row r="14" spans="1:17" s="15" customFormat="1" x14ac:dyDescent="0.25">
      <c r="A14" s="229"/>
      <c r="B14" s="62" t="s">
        <v>19</v>
      </c>
      <c r="C14" s="181" t="s">
        <v>17</v>
      </c>
      <c r="D14" s="182"/>
      <c r="E14" s="183" t="s">
        <v>20</v>
      </c>
      <c r="F14" s="73" t="s">
        <v>451</v>
      </c>
      <c r="G14" s="230" t="s">
        <v>114</v>
      </c>
      <c r="H14" s="181">
        <v>18</v>
      </c>
      <c r="I14" s="231">
        <v>7</v>
      </c>
      <c r="J14" s="190">
        <v>7</v>
      </c>
      <c r="K14" s="77">
        <v>11142.12</v>
      </c>
      <c r="L14" s="77">
        <v>11142.12</v>
      </c>
      <c r="M14" s="224">
        <f t="shared" si="2"/>
        <v>0</v>
      </c>
      <c r="N14" s="100">
        <v>10</v>
      </c>
      <c r="O14" s="224">
        <v>18093.599999999999</v>
      </c>
      <c r="P14" s="224">
        <v>18093.599999999999</v>
      </c>
      <c r="Q14" s="232">
        <f t="shared" si="1"/>
        <v>0</v>
      </c>
    </row>
    <row r="15" spans="1:17" s="15" customFormat="1" x14ac:dyDescent="0.25">
      <c r="A15" s="229"/>
      <c r="B15" s="62" t="s">
        <v>153</v>
      </c>
      <c r="C15" s="181" t="s">
        <v>17</v>
      </c>
      <c r="D15" s="182"/>
      <c r="E15" s="183" t="s">
        <v>20</v>
      </c>
      <c r="F15" s="73" t="s">
        <v>324</v>
      </c>
      <c r="G15" s="74" t="s">
        <v>112</v>
      </c>
      <c r="H15" s="75">
        <v>21</v>
      </c>
      <c r="I15" s="82">
        <v>15</v>
      </c>
      <c r="J15" s="96">
        <f>1+1+2+1+1+2+1+1+1+1+2+1+1+1</f>
        <v>17</v>
      </c>
      <c r="K15" s="77">
        <f>950.9+2451.87+3074.57+845.24+1977.86+1284.48+883.08+401.4+1357.13+421.47+6324.86+2980.4+504.48</f>
        <v>23457.739999999998</v>
      </c>
      <c r="L15" s="77">
        <f>950.9+2451.87+3074.57+845.24+1977.86+1284.48+883.08+401.4+1357.13+421.47+6324.86+2980.4+504.48</f>
        <v>23457.739999999998</v>
      </c>
      <c r="M15" s="224">
        <f t="shared" si="2"/>
        <v>0</v>
      </c>
      <c r="N15" s="114">
        <f>1+2+1+2+1+1</f>
        <v>8</v>
      </c>
      <c r="O15" s="81">
        <f>422.62+945.61+2484.69+7964.81+1536.8+2498.17</f>
        <v>15852.699999999999</v>
      </c>
      <c r="P15" s="81">
        <f>422.62+945.61+2484.69+7964.81+1536.8+2498.17</f>
        <v>15852.699999999999</v>
      </c>
      <c r="Q15" s="79">
        <f t="shared" si="1"/>
        <v>0</v>
      </c>
    </row>
    <row r="16" spans="1:17" s="15" customFormat="1" x14ac:dyDescent="0.25">
      <c r="A16" s="229"/>
      <c r="B16" s="233" t="s">
        <v>153</v>
      </c>
      <c r="C16" s="181" t="s">
        <v>17</v>
      </c>
      <c r="D16" s="182"/>
      <c r="E16" s="183" t="s">
        <v>20</v>
      </c>
      <c r="F16" s="73" t="s">
        <v>452</v>
      </c>
      <c r="G16" s="230" t="s">
        <v>114</v>
      </c>
      <c r="H16" s="181">
        <v>24</v>
      </c>
      <c r="I16" s="231">
        <v>7</v>
      </c>
      <c r="J16" s="190">
        <v>7</v>
      </c>
      <c r="K16" s="77">
        <v>20595.29</v>
      </c>
      <c r="L16" s="77">
        <v>20595.29</v>
      </c>
      <c r="M16" s="224">
        <f t="shared" si="2"/>
        <v>0</v>
      </c>
      <c r="N16" s="100">
        <v>10</v>
      </c>
      <c r="O16" s="224">
        <v>28910.6</v>
      </c>
      <c r="P16" s="224">
        <v>28910.6</v>
      </c>
      <c r="Q16" s="232">
        <f t="shared" si="1"/>
        <v>0</v>
      </c>
    </row>
    <row r="17" spans="1:17" s="13" customFormat="1" x14ac:dyDescent="0.25">
      <c r="A17" s="229"/>
      <c r="B17" s="30" t="s">
        <v>22</v>
      </c>
      <c r="C17" s="181" t="s">
        <v>17</v>
      </c>
      <c r="D17" s="182"/>
      <c r="E17" s="183" t="s">
        <v>23</v>
      </c>
      <c r="F17" s="73" t="s">
        <v>325</v>
      </c>
      <c r="G17" s="74" t="s">
        <v>112</v>
      </c>
      <c r="H17" s="75">
        <v>66</v>
      </c>
      <c r="I17" s="76">
        <v>10</v>
      </c>
      <c r="J17" s="96">
        <f>1+2+1+9</f>
        <v>13</v>
      </c>
      <c r="K17" s="77">
        <f>2698.64+1402.33+11601.84+8586.48</f>
        <v>24289.29</v>
      </c>
      <c r="L17" s="77">
        <f>2698.64+1402.33+11601.84+8586.48</f>
        <v>24289.29</v>
      </c>
      <c r="M17" s="224">
        <f t="shared" si="2"/>
        <v>0</v>
      </c>
      <c r="N17" s="100">
        <f>14+3+7+1+1</f>
        <v>26</v>
      </c>
      <c r="O17" s="81">
        <f>22716.4+4171.06+18768.39+8172.47</f>
        <v>53828.320000000007</v>
      </c>
      <c r="P17" s="81">
        <f>22716.4+4171.06+18768.39+8172.47</f>
        <v>53828.320000000007</v>
      </c>
      <c r="Q17" s="79">
        <f t="shared" si="1"/>
        <v>0</v>
      </c>
    </row>
    <row r="18" spans="1:17" s="13" customFormat="1" x14ac:dyDescent="0.25">
      <c r="A18" s="229"/>
      <c r="B18" s="30" t="s">
        <v>154</v>
      </c>
      <c r="C18" s="181" t="s">
        <v>17</v>
      </c>
      <c r="D18" s="182"/>
      <c r="E18" s="183" t="s">
        <v>20</v>
      </c>
      <c r="F18" s="73" t="s">
        <v>453</v>
      </c>
      <c r="G18" s="230" t="s">
        <v>114</v>
      </c>
      <c r="H18" s="181">
        <v>34</v>
      </c>
      <c r="I18" s="234">
        <v>7</v>
      </c>
      <c r="J18" s="190">
        <v>7</v>
      </c>
      <c r="K18" s="193">
        <v>11385.4</v>
      </c>
      <c r="L18" s="193">
        <v>11385.4</v>
      </c>
      <c r="M18" s="224">
        <f t="shared" si="2"/>
        <v>0</v>
      </c>
      <c r="N18" s="114">
        <v>19</v>
      </c>
      <c r="O18" s="224">
        <v>54158.27</v>
      </c>
      <c r="P18" s="224">
        <v>54158.27</v>
      </c>
      <c r="Q18" s="232">
        <f t="shared" si="1"/>
        <v>0</v>
      </c>
    </row>
    <row r="19" spans="1:17" s="13" customFormat="1" x14ac:dyDescent="0.25">
      <c r="A19" s="229"/>
      <c r="B19" s="30" t="s">
        <v>154</v>
      </c>
      <c r="C19" s="181" t="s">
        <v>17</v>
      </c>
      <c r="D19" s="182"/>
      <c r="E19" s="183" t="s">
        <v>20</v>
      </c>
      <c r="F19" s="73" t="s">
        <v>326</v>
      </c>
      <c r="G19" s="74" t="s">
        <v>112</v>
      </c>
      <c r="H19" s="75">
        <v>37</v>
      </c>
      <c r="I19" s="76">
        <v>29</v>
      </c>
      <c r="J19" s="96">
        <f>1+1+2+2+2+6+1+4+1+2+2+3+1+1+1+3+1+2+1+1+2+1</f>
        <v>41</v>
      </c>
      <c r="K19" s="77">
        <f>950.9+864.46+845.24+405.02+739.59+6850.57+12952.58+883.08+2185.62+1053.68+5958.27+6539.59+4664.82+441.54+1890.34+4360.21+1196.04</f>
        <v>52781.55</v>
      </c>
      <c r="L19" s="77">
        <f>950.9+864.46+845.24+405.02+739.59+6850.57+12952.58+883.08+2185.62+1053.68+5958.27+6539.59+4664.82+441.54+1890.34+4360.21+1196.04</f>
        <v>52781.55</v>
      </c>
      <c r="M19" s="224">
        <f t="shared" si="2"/>
        <v>0</v>
      </c>
      <c r="N19" s="100">
        <f>6+3+1+1+1+2+1+1</f>
        <v>16</v>
      </c>
      <c r="O19" s="81">
        <f>6681.33+7017+1523.5+9094.74+3532.32</f>
        <v>27848.89</v>
      </c>
      <c r="P19" s="81">
        <f>6681.33+7017+1523.5+9094.74+3532.32</f>
        <v>27848.89</v>
      </c>
      <c r="Q19" s="79">
        <f t="shared" si="1"/>
        <v>0</v>
      </c>
    </row>
    <row r="20" spans="1:17" s="13" customFormat="1" x14ac:dyDescent="0.25">
      <c r="A20" s="229"/>
      <c r="B20" s="62" t="s">
        <v>24</v>
      </c>
      <c r="C20" s="181" t="s">
        <v>17</v>
      </c>
      <c r="D20" s="182"/>
      <c r="E20" s="183" t="s">
        <v>20</v>
      </c>
      <c r="F20" s="73" t="s">
        <v>327</v>
      </c>
      <c r="G20" s="74" t="s">
        <v>112</v>
      </c>
      <c r="H20" s="75">
        <v>14</v>
      </c>
      <c r="I20" s="76">
        <v>6</v>
      </c>
      <c r="J20" s="96">
        <f>3+1+1+2+1</f>
        <v>8</v>
      </c>
      <c r="K20" s="77">
        <f>1191.02+5267.46+462.44</f>
        <v>6920.9199999999992</v>
      </c>
      <c r="L20" s="77">
        <f>1191.02+5267.46+462.44</f>
        <v>6920.9199999999992</v>
      </c>
      <c r="M20" s="224">
        <f t="shared" si="2"/>
        <v>0</v>
      </c>
      <c r="N20" s="100">
        <f>1+1+1</f>
        <v>3</v>
      </c>
      <c r="O20" s="81">
        <f>576.3+1810.93</f>
        <v>2387.23</v>
      </c>
      <c r="P20" s="81">
        <f>576.3+1810.93</f>
        <v>2387.23</v>
      </c>
      <c r="Q20" s="232">
        <f t="shared" si="1"/>
        <v>0</v>
      </c>
    </row>
    <row r="21" spans="1:17" s="13" customFormat="1" x14ac:dyDescent="0.25">
      <c r="A21" s="229"/>
      <c r="B21" s="62" t="s">
        <v>24</v>
      </c>
      <c r="C21" s="181" t="s">
        <v>17</v>
      </c>
      <c r="D21" s="182"/>
      <c r="E21" s="183" t="s">
        <v>20</v>
      </c>
      <c r="F21" s="73" t="s">
        <v>454</v>
      </c>
      <c r="G21" s="230" t="s">
        <v>114</v>
      </c>
      <c r="H21" s="181">
        <v>20</v>
      </c>
      <c r="I21" s="231">
        <v>6</v>
      </c>
      <c r="J21" s="190">
        <v>6</v>
      </c>
      <c r="K21" s="77">
        <v>21621.35</v>
      </c>
      <c r="L21" s="77">
        <v>21621.35</v>
      </c>
      <c r="M21" s="224">
        <f t="shared" si="2"/>
        <v>0</v>
      </c>
      <c r="N21" s="100">
        <v>18</v>
      </c>
      <c r="O21" s="224">
        <v>38146.300000000003</v>
      </c>
      <c r="P21" s="224">
        <v>38146.300000000003</v>
      </c>
      <c r="Q21" s="232">
        <f t="shared" si="1"/>
        <v>0</v>
      </c>
    </row>
    <row r="22" spans="1:17" s="13" customFormat="1" x14ac:dyDescent="0.25">
      <c r="A22" s="229"/>
      <c r="B22" s="62" t="s">
        <v>25</v>
      </c>
      <c r="C22" s="181" t="s">
        <v>17</v>
      </c>
      <c r="D22" s="182"/>
      <c r="E22" s="183" t="s">
        <v>20</v>
      </c>
      <c r="F22" s="73" t="s">
        <v>328</v>
      </c>
      <c r="G22" s="74" t="s">
        <v>112</v>
      </c>
      <c r="H22" s="75">
        <v>21</v>
      </c>
      <c r="I22" s="76">
        <v>13</v>
      </c>
      <c r="J22" s="96">
        <f>1+1+1+1+1+1+1+2+1+2+1+1</f>
        <v>14</v>
      </c>
      <c r="K22" s="173">
        <f>403.41+1605.6+3697.9+1204.2+1092.81+3022.24+4486.05+4612.57+1457.08+421.47</f>
        <v>22003.33</v>
      </c>
      <c r="L22" s="173">
        <f>403.41+1605.6+3697.9+1204.2+1092.81+3022.24+4486.05+4612.57+1457.08+421.47</f>
        <v>22003.33</v>
      </c>
      <c r="M22" s="224">
        <f t="shared" si="2"/>
        <v>0</v>
      </c>
      <c r="N22" s="100">
        <f>6+1+2+2+1+2+3</f>
        <v>17</v>
      </c>
      <c r="O22" s="81">
        <f>14526.7+5595.3+2440.62+2839.24+10715.74+17795.2</f>
        <v>53912.800000000003</v>
      </c>
      <c r="P22" s="81">
        <f>14526.7+5595.3+2440.62+2839.24+10715.74+17795.2</f>
        <v>53912.800000000003</v>
      </c>
      <c r="Q22" s="232">
        <f t="shared" si="1"/>
        <v>0</v>
      </c>
    </row>
    <row r="23" spans="1:17" s="13" customFormat="1" x14ac:dyDescent="0.25">
      <c r="A23" s="229"/>
      <c r="B23" s="62" t="s">
        <v>25</v>
      </c>
      <c r="C23" s="181" t="s">
        <v>17</v>
      </c>
      <c r="D23" s="182"/>
      <c r="E23" s="183" t="s">
        <v>20</v>
      </c>
      <c r="F23" s="73" t="s">
        <v>455</v>
      </c>
      <c r="G23" s="230" t="s">
        <v>114</v>
      </c>
      <c r="H23" s="181">
        <v>6</v>
      </c>
      <c r="I23" s="231">
        <v>1</v>
      </c>
      <c r="J23" s="190">
        <f>1</f>
        <v>1</v>
      </c>
      <c r="K23" s="77">
        <v>1605.6</v>
      </c>
      <c r="L23" s="77">
        <v>1605.6</v>
      </c>
      <c r="M23" s="224">
        <f t="shared" si="2"/>
        <v>0</v>
      </c>
      <c r="N23" s="100">
        <v>3</v>
      </c>
      <c r="O23" s="224">
        <v>7219.8</v>
      </c>
      <c r="P23" s="224">
        <v>7219.8</v>
      </c>
      <c r="Q23" s="232">
        <f t="shared" si="1"/>
        <v>0</v>
      </c>
    </row>
    <row r="24" spans="1:17" s="13" customFormat="1" x14ac:dyDescent="0.25">
      <c r="A24" s="229"/>
      <c r="B24" s="62" t="s">
        <v>516</v>
      </c>
      <c r="C24" s="181" t="s">
        <v>17</v>
      </c>
      <c r="D24" s="182"/>
      <c r="E24" s="183" t="s">
        <v>20</v>
      </c>
      <c r="F24" s="73" t="s">
        <v>517</v>
      </c>
      <c r="G24" s="287" t="s">
        <v>112</v>
      </c>
      <c r="H24" s="181">
        <v>12</v>
      </c>
      <c r="I24" s="231">
        <v>5</v>
      </c>
      <c r="J24" s="190">
        <f>2+3</f>
        <v>5</v>
      </c>
      <c r="K24" s="77">
        <f>1604.6+4056.86</f>
        <v>5661.46</v>
      </c>
      <c r="L24" s="77">
        <f>1604.6+4056.86</f>
        <v>5661.46</v>
      </c>
      <c r="M24" s="224">
        <f t="shared" si="2"/>
        <v>0</v>
      </c>
      <c r="N24" s="100"/>
      <c r="O24" s="224"/>
      <c r="P24" s="224"/>
      <c r="Q24" s="232"/>
    </row>
    <row r="25" spans="1:17" s="13" customFormat="1" x14ac:dyDescent="0.25">
      <c r="A25" s="229"/>
      <c r="B25" s="62" t="s">
        <v>26</v>
      </c>
      <c r="C25" s="181" t="s">
        <v>17</v>
      </c>
      <c r="D25" s="182"/>
      <c r="E25" s="183" t="s">
        <v>27</v>
      </c>
      <c r="F25" s="73" t="s">
        <v>329</v>
      </c>
      <c r="G25" s="74" t="s">
        <v>112</v>
      </c>
      <c r="H25" s="75">
        <v>25</v>
      </c>
      <c r="I25" s="76">
        <v>18</v>
      </c>
      <c r="J25" s="96">
        <f>2+2+4+1+4+1+1+3+4+3</f>
        <v>25</v>
      </c>
      <c r="K25" s="77">
        <f>845.24+1056.55+5121.1+26225.35+422.62+16490.35+1457.08+1479.16+11270.02+6163.9+7014.64</f>
        <v>77546.009999999995</v>
      </c>
      <c r="L25" s="77">
        <f>845.24+1056.55+5121.1+26225.35+422.62+16490.35+1457.08+1479.16+11270.02+6163.9+7014.64</f>
        <v>77546.009999999995</v>
      </c>
      <c r="M25" s="224">
        <f t="shared" si="2"/>
        <v>0</v>
      </c>
      <c r="N25" s="100">
        <f>6+1+1+2+1+1</f>
        <v>12</v>
      </c>
      <c r="O25" s="81">
        <f>17838.53+2535.75+7238.9+9569.44</f>
        <v>37182.620000000003</v>
      </c>
      <c r="P25" s="81">
        <f>17838.53+2535.75+7238.9+9569.44</f>
        <v>37182.620000000003</v>
      </c>
      <c r="Q25" s="232">
        <f t="shared" si="1"/>
        <v>0</v>
      </c>
    </row>
    <row r="26" spans="1:17" s="15" customFormat="1" x14ac:dyDescent="0.25">
      <c r="A26" s="229"/>
      <c r="B26" s="62" t="s">
        <v>28</v>
      </c>
      <c r="C26" s="181" t="s">
        <v>17</v>
      </c>
      <c r="D26" s="182"/>
      <c r="E26" s="194" t="s">
        <v>29</v>
      </c>
      <c r="F26" s="73" t="s">
        <v>330</v>
      </c>
      <c r="G26" s="74" t="s">
        <v>112</v>
      </c>
      <c r="H26" s="75">
        <v>16</v>
      </c>
      <c r="I26" s="76">
        <v>12</v>
      </c>
      <c r="J26" s="96">
        <f>2+1+2+1+1+1+2+1+2+2+2</f>
        <v>17</v>
      </c>
      <c r="K26" s="77">
        <f>6135.14+2440.63+9722.07+968.96+2258.48+3607.78+10269+19480.76+2759.62+4365.86</f>
        <v>62008.299999999996</v>
      </c>
      <c r="L26" s="77">
        <f>6135.14+2440.63+9722.07+968.96+2258.48+3607.78+10269+19480.76+2759.62+4365.86</f>
        <v>62008.299999999996</v>
      </c>
      <c r="M26" s="224">
        <f t="shared" si="2"/>
        <v>0</v>
      </c>
      <c r="N26" s="100">
        <f>3+2+4+3+1+1+3+1+1</f>
        <v>19</v>
      </c>
      <c r="O26" s="81">
        <f>5310.83+4630.52+14679.01+36087.29+8956.5+10112.26+3030.29+9937.51+6456.51</f>
        <v>99200.719999999972</v>
      </c>
      <c r="P26" s="81">
        <f>5310.83+4630.52+14679.01+36087.29+8956.5+10112.26+3030.29+9937.51+6456.51</f>
        <v>99200.719999999972</v>
      </c>
      <c r="Q26" s="232">
        <f t="shared" si="1"/>
        <v>0</v>
      </c>
    </row>
    <row r="27" spans="1:17" s="15" customFormat="1" x14ac:dyDescent="0.25">
      <c r="A27" s="229"/>
      <c r="B27" s="62" t="s">
        <v>28</v>
      </c>
      <c r="C27" s="181" t="s">
        <v>17</v>
      </c>
      <c r="D27" s="182"/>
      <c r="E27" s="194" t="s">
        <v>29</v>
      </c>
      <c r="F27" s="73" t="s">
        <v>420</v>
      </c>
      <c r="G27" s="235" t="s">
        <v>117</v>
      </c>
      <c r="H27" s="181">
        <v>2</v>
      </c>
      <c r="I27" s="231"/>
      <c r="J27" s="96"/>
      <c r="K27" s="77"/>
      <c r="L27" s="77"/>
      <c r="M27" s="224">
        <f t="shared" si="2"/>
        <v>0</v>
      </c>
      <c r="N27" s="100">
        <v>3</v>
      </c>
      <c r="O27" s="224">
        <v>6579.54</v>
      </c>
      <c r="P27" s="224">
        <v>6579.54</v>
      </c>
      <c r="Q27" s="79">
        <f t="shared" si="1"/>
        <v>0</v>
      </c>
    </row>
    <row r="28" spans="1:17" s="15" customFormat="1" x14ac:dyDescent="0.25">
      <c r="A28" s="229"/>
      <c r="B28" s="233" t="s">
        <v>500</v>
      </c>
      <c r="C28" s="181" t="s">
        <v>17</v>
      </c>
      <c r="D28" s="182"/>
      <c r="E28" s="194"/>
      <c r="F28" s="73" t="s">
        <v>503</v>
      </c>
      <c r="G28" s="235" t="s">
        <v>112</v>
      </c>
      <c r="H28" s="181">
        <v>36</v>
      </c>
      <c r="I28" s="231">
        <v>24</v>
      </c>
      <c r="J28" s="96">
        <f>2+2+2+1+3+5+2+1+5+1+6+1+1+1</f>
        <v>33</v>
      </c>
      <c r="K28" s="77">
        <f>1202.51+3555.1+602.1+708.47+7232.25+1003.5+1938.63+15028.21+1324.62+9088.69+401.4+441+2469.38</f>
        <v>44995.86</v>
      </c>
      <c r="L28" s="77">
        <f>1202.51+3555.1+602.1+708.47+7232.25+1003.5+1938.63+15028.21+1324.62+9088.69+401.4+441+2469.38</f>
        <v>44995.86</v>
      </c>
      <c r="M28" s="224">
        <f t="shared" si="2"/>
        <v>0</v>
      </c>
      <c r="N28" s="100">
        <f>1</f>
        <v>1</v>
      </c>
      <c r="O28" s="224"/>
      <c r="P28" s="224"/>
      <c r="Q28" s="79">
        <f t="shared" si="1"/>
        <v>0</v>
      </c>
    </row>
    <row r="29" spans="1:17" s="13" customFormat="1" x14ac:dyDescent="0.25">
      <c r="A29" s="229"/>
      <c r="B29" s="27" t="s">
        <v>30</v>
      </c>
      <c r="C29" s="181" t="s">
        <v>17</v>
      </c>
      <c r="D29" s="182"/>
      <c r="E29" s="194" t="s">
        <v>21</v>
      </c>
      <c r="F29" s="73" t="s">
        <v>333</v>
      </c>
      <c r="G29" s="74" t="s">
        <v>112</v>
      </c>
      <c r="H29" s="75">
        <v>35</v>
      </c>
      <c r="I29" s="76">
        <v>22</v>
      </c>
      <c r="J29" s="96">
        <f>3+1+3+1+4+1+1+2+1+3+3+3+2+3</f>
        <v>31</v>
      </c>
      <c r="K29" s="77">
        <f>16637.24+1045.98+2789.73+1629.68+3146.97+1646.5+5064.97+2424.05+3009.5+3535.13+4093.86</f>
        <v>45023.61</v>
      </c>
      <c r="L29" s="77">
        <f>16637.24+1045.98+2789.73+1629.68+3146.97+1646.5+5064.97+2424.05+3009.5+3535.13+4093.86</f>
        <v>45023.61</v>
      </c>
      <c r="M29" s="224">
        <f t="shared" si="2"/>
        <v>0</v>
      </c>
      <c r="N29" s="100">
        <f>9+1+3+1+1+1+2+1+1+2+1+1+2+1+1+1+1</f>
        <v>30</v>
      </c>
      <c r="O29" s="81">
        <f>77047.8+15703.07+7288.94+1341.33+1730.62+7169.16+2550.18+2613.94</f>
        <v>115445.04</v>
      </c>
      <c r="P29" s="81">
        <f>77047.8+15703.07+7288.94+1341.33+1730.62+7169.16+2550.18+2613.94</f>
        <v>115445.04</v>
      </c>
      <c r="Q29" s="79">
        <f>O29-P29</f>
        <v>0</v>
      </c>
    </row>
    <row r="30" spans="1:17" s="13" customFormat="1" x14ac:dyDescent="0.25">
      <c r="A30" s="229"/>
      <c r="B30" s="27" t="s">
        <v>491</v>
      </c>
      <c r="C30" s="181" t="s">
        <v>17</v>
      </c>
      <c r="D30" s="182"/>
      <c r="E30" s="183" t="s">
        <v>20</v>
      </c>
      <c r="F30" s="73" t="s">
        <v>495</v>
      </c>
      <c r="G30" s="74" t="s">
        <v>112</v>
      </c>
      <c r="H30" s="75">
        <v>17</v>
      </c>
      <c r="I30" s="76">
        <v>13</v>
      </c>
      <c r="J30" s="96">
        <f>2+2+1+1+1+1+1+1+3</f>
        <v>13</v>
      </c>
      <c r="K30" s="77">
        <f>1727.9+2093.89+728.54+3535.53+2649.24+401.4+802.8+1505.25</f>
        <v>13444.55</v>
      </c>
      <c r="L30" s="77">
        <f>1727.9+2093.89+728.54+3535.53+2649.24+401.4+802.8+1505.25</f>
        <v>13444.55</v>
      </c>
      <c r="M30" s="224">
        <f t="shared" si="2"/>
        <v>0</v>
      </c>
      <c r="N30" s="100"/>
      <c r="O30" s="81"/>
      <c r="P30" s="81"/>
      <c r="Q30" s="79">
        <f t="shared" si="1"/>
        <v>0</v>
      </c>
    </row>
    <row r="31" spans="1:17" s="13" customFormat="1" x14ac:dyDescent="0.25">
      <c r="A31" s="229"/>
      <c r="B31" s="27" t="s">
        <v>491</v>
      </c>
      <c r="C31" s="181" t="s">
        <v>17</v>
      </c>
      <c r="D31" s="182"/>
      <c r="E31" s="183" t="s">
        <v>20</v>
      </c>
      <c r="F31" s="73" t="s">
        <v>504</v>
      </c>
      <c r="G31" s="74" t="s">
        <v>114</v>
      </c>
      <c r="H31" s="75">
        <v>15</v>
      </c>
      <c r="I31" s="76">
        <v>3</v>
      </c>
      <c r="J31" s="96">
        <v>3</v>
      </c>
      <c r="K31" s="77">
        <v>4144.16</v>
      </c>
      <c r="L31" s="77">
        <v>4144.16</v>
      </c>
      <c r="M31" s="224">
        <f t="shared" si="2"/>
        <v>0</v>
      </c>
      <c r="N31" s="100"/>
      <c r="O31" s="81"/>
      <c r="P31" s="81"/>
      <c r="Q31" s="232">
        <f t="shared" si="1"/>
        <v>0</v>
      </c>
    </row>
    <row r="32" spans="1:17" s="13" customFormat="1" x14ac:dyDescent="0.25">
      <c r="A32" s="229"/>
      <c r="B32" s="27" t="s">
        <v>491</v>
      </c>
      <c r="C32" s="181" t="s">
        <v>17</v>
      </c>
      <c r="D32" s="182"/>
      <c r="E32" s="183"/>
      <c r="F32" s="73" t="s">
        <v>510</v>
      </c>
      <c r="G32" s="235" t="s">
        <v>117</v>
      </c>
      <c r="H32" s="75">
        <v>1</v>
      </c>
      <c r="I32" s="76"/>
      <c r="J32" s="96"/>
      <c r="K32" s="77"/>
      <c r="L32" s="77"/>
      <c r="M32" s="224">
        <f t="shared" si="2"/>
        <v>0</v>
      </c>
      <c r="N32" s="100"/>
      <c r="O32" s="81"/>
      <c r="P32" s="81"/>
      <c r="Q32" s="232">
        <f t="shared" si="1"/>
        <v>0</v>
      </c>
    </row>
    <row r="33" spans="1:17" s="13" customFormat="1" x14ac:dyDescent="0.25">
      <c r="A33" s="229"/>
      <c r="B33" s="30" t="s">
        <v>31</v>
      </c>
      <c r="C33" s="181" t="s">
        <v>17</v>
      </c>
      <c r="D33" s="182"/>
      <c r="E33" s="183" t="s">
        <v>32</v>
      </c>
      <c r="F33" s="73" t="s">
        <v>331</v>
      </c>
      <c r="G33" s="74" t="s">
        <v>112</v>
      </c>
      <c r="H33" s="75">
        <v>30</v>
      </c>
      <c r="I33" s="76">
        <v>18</v>
      </c>
      <c r="J33" s="96">
        <f>1+2+3+1+4+3+3+3+1+3+1+1</f>
        <v>26</v>
      </c>
      <c r="K33" s="77">
        <f>633.93+1045.98+5377.62+950.9+6004.09+4598.82+8410.14+1846.04+4737.83+728.54+3120.88+2125.41+3254.15</f>
        <v>42834.329999999994</v>
      </c>
      <c r="L33" s="77">
        <f>633.93+1045.98+5377.62+950.9+6004.09+4598.82+8410.14+1846.04+4737.83+728.54+3120.88+2125.41+3254.15</f>
        <v>42834.329999999994</v>
      </c>
      <c r="M33" s="224">
        <f t="shared" si="2"/>
        <v>0</v>
      </c>
      <c r="N33" s="100">
        <f>1+3+3+1+1+2+1</f>
        <v>12</v>
      </c>
      <c r="O33" s="81">
        <f>2299.8+15239.58+6152.75+2720.49+1483.38+7043.49+11175.04</f>
        <v>46114.530000000006</v>
      </c>
      <c r="P33" s="81">
        <f>2299.8+15239.58+6152.75+2720.49+1483.38+7043.49+11175.04</f>
        <v>46114.530000000006</v>
      </c>
      <c r="Q33" s="232">
        <f t="shared" si="1"/>
        <v>0</v>
      </c>
    </row>
    <row r="34" spans="1:17" s="13" customFormat="1" x14ac:dyDescent="0.25">
      <c r="A34" s="229"/>
      <c r="B34" s="30" t="s">
        <v>31</v>
      </c>
      <c r="C34" s="181" t="s">
        <v>17</v>
      </c>
      <c r="D34" s="182"/>
      <c r="E34" s="183" t="s">
        <v>32</v>
      </c>
      <c r="F34" s="73" t="s">
        <v>422</v>
      </c>
      <c r="G34" s="235" t="s">
        <v>117</v>
      </c>
      <c r="H34" s="181">
        <v>18</v>
      </c>
      <c r="I34" s="231">
        <v>8</v>
      </c>
      <c r="J34" s="96">
        <v>9</v>
      </c>
      <c r="K34" s="77">
        <v>24391.25</v>
      </c>
      <c r="L34" s="77">
        <v>24391.25</v>
      </c>
      <c r="M34" s="224">
        <f t="shared" si="2"/>
        <v>0</v>
      </c>
      <c r="N34" s="100">
        <v>10</v>
      </c>
      <c r="O34" s="77">
        <v>21507.42</v>
      </c>
      <c r="P34" s="77">
        <v>21507.42</v>
      </c>
      <c r="Q34" s="232">
        <f t="shared" si="1"/>
        <v>0</v>
      </c>
    </row>
    <row r="35" spans="1:17" s="15" customFormat="1" x14ac:dyDescent="0.25">
      <c r="A35" s="229"/>
      <c r="B35" s="62" t="s">
        <v>33</v>
      </c>
      <c r="C35" s="181" t="s">
        <v>17</v>
      </c>
      <c r="D35" s="182"/>
      <c r="E35" s="183" t="s">
        <v>20</v>
      </c>
      <c r="F35" s="73" t="s">
        <v>332</v>
      </c>
      <c r="G35" s="74" t="s">
        <v>112</v>
      </c>
      <c r="H35" s="75">
        <v>15</v>
      </c>
      <c r="I35" s="76">
        <v>12</v>
      </c>
      <c r="J35" s="96">
        <f>1+1+1+1+1+2+1+1+1+1+1+1+2</f>
        <v>15</v>
      </c>
      <c r="K35" s="77">
        <f>845.245+5363.43+5912.72+845.24+12887.16+2852.15+6514.08+2058.13+5167.78+1324.62+3058.67+2312.2</f>
        <v>49141.424999999996</v>
      </c>
      <c r="L35" s="77">
        <f>845.245+5363.43+5912.72+845.24+12887.16+2852.15+6514.08+2058.13+5167.78+1324.62+3058.67+2312.2</f>
        <v>49141.424999999996</v>
      </c>
      <c r="M35" s="224">
        <f t="shared" si="2"/>
        <v>0</v>
      </c>
      <c r="N35" s="100">
        <f>2+1+1+1+1+2+1+1+1+1</f>
        <v>12</v>
      </c>
      <c r="O35" s="81">
        <f>845.24+1613.64+3380.96+3639.33+1152.6+1518.9+536.01</f>
        <v>12686.68</v>
      </c>
      <c r="P35" s="81">
        <f>845.24+1613.64+3380.96+3639.33+1152.6+1518.9+536.01</f>
        <v>12686.68</v>
      </c>
      <c r="Q35" s="79">
        <f t="shared" si="1"/>
        <v>0</v>
      </c>
    </row>
    <row r="36" spans="1:17" s="15" customFormat="1" x14ac:dyDescent="0.25">
      <c r="A36" s="229"/>
      <c r="B36" s="62" t="s">
        <v>33</v>
      </c>
      <c r="C36" s="181" t="s">
        <v>17</v>
      </c>
      <c r="D36" s="182"/>
      <c r="E36" s="183" t="s">
        <v>20</v>
      </c>
      <c r="F36" s="73" t="s">
        <v>481</v>
      </c>
      <c r="G36" s="230" t="s">
        <v>114</v>
      </c>
      <c r="H36" s="181">
        <v>11</v>
      </c>
      <c r="I36" s="231">
        <v>1</v>
      </c>
      <c r="J36" s="190">
        <v>1</v>
      </c>
      <c r="K36" s="77">
        <v>3472.11</v>
      </c>
      <c r="L36" s="77">
        <v>3472.11</v>
      </c>
      <c r="M36" s="224">
        <f t="shared" si="2"/>
        <v>0</v>
      </c>
      <c r="N36" s="100">
        <v>18</v>
      </c>
      <c r="O36" s="224">
        <v>58641.82</v>
      </c>
      <c r="P36" s="224">
        <v>58641.82</v>
      </c>
      <c r="Q36" s="232">
        <f t="shared" si="1"/>
        <v>0</v>
      </c>
    </row>
    <row r="37" spans="1:17" s="15" customFormat="1" x14ac:dyDescent="0.25">
      <c r="A37" s="229"/>
      <c r="B37" s="62" t="s">
        <v>147</v>
      </c>
      <c r="C37" s="181" t="s">
        <v>17</v>
      </c>
      <c r="D37" s="182"/>
      <c r="E37" s="183" t="s">
        <v>29</v>
      </c>
      <c r="F37" s="73" t="s">
        <v>334</v>
      </c>
      <c r="G37" s="74" t="s">
        <v>112</v>
      </c>
      <c r="H37" s="75">
        <v>13</v>
      </c>
      <c r="I37" s="234">
        <v>11</v>
      </c>
      <c r="J37" s="96">
        <f>1+1+2+1+3+4+1+1</f>
        <v>14</v>
      </c>
      <c r="K37" s="77">
        <f>1854.88+2824.48+3058.67+5384.79+14792.98</f>
        <v>27915.8</v>
      </c>
      <c r="L37" s="77">
        <f>1854.88+2824.48+3058.67+5384.79+14792.98</f>
        <v>27915.8</v>
      </c>
      <c r="M37" s="224">
        <f t="shared" si="2"/>
        <v>0</v>
      </c>
      <c r="N37" s="114">
        <f>1+1+1</f>
        <v>3</v>
      </c>
      <c r="O37" s="81">
        <f>1394.65+2473.17+1961.49</f>
        <v>5829.31</v>
      </c>
      <c r="P37" s="81">
        <f>1394.65+2473.17+1961.49</f>
        <v>5829.31</v>
      </c>
      <c r="Q37" s="79">
        <f t="shared" si="1"/>
        <v>0</v>
      </c>
    </row>
    <row r="38" spans="1:17" s="15" customFormat="1" x14ac:dyDescent="0.25">
      <c r="A38" s="229"/>
      <c r="B38" s="233" t="s">
        <v>147</v>
      </c>
      <c r="C38" s="181" t="s">
        <v>17</v>
      </c>
      <c r="D38" s="182"/>
      <c r="E38" s="183" t="s">
        <v>29</v>
      </c>
      <c r="F38" s="73" t="s">
        <v>423</v>
      </c>
      <c r="G38" s="230" t="s">
        <v>117</v>
      </c>
      <c r="H38" s="181">
        <v>19</v>
      </c>
      <c r="I38" s="231">
        <v>6</v>
      </c>
      <c r="J38" s="96">
        <v>6</v>
      </c>
      <c r="K38" s="77">
        <v>11051.1</v>
      </c>
      <c r="L38" s="77">
        <v>11051.1</v>
      </c>
      <c r="M38" s="224">
        <f t="shared" si="2"/>
        <v>0</v>
      </c>
      <c r="N38" s="100">
        <v>5</v>
      </c>
      <c r="O38" s="224">
        <v>9961.4500000000007</v>
      </c>
      <c r="P38" s="224">
        <v>9961.4500000000007</v>
      </c>
      <c r="Q38" s="232">
        <f t="shared" si="1"/>
        <v>0</v>
      </c>
    </row>
    <row r="39" spans="1:17" s="13" customFormat="1" x14ac:dyDescent="0.25">
      <c r="A39" s="229"/>
      <c r="B39" s="62" t="s">
        <v>34</v>
      </c>
      <c r="C39" s="181" t="s">
        <v>17</v>
      </c>
      <c r="D39" s="182"/>
      <c r="E39" s="194" t="s">
        <v>35</v>
      </c>
      <c r="F39" s="73" t="s">
        <v>335</v>
      </c>
      <c r="G39" s="74" t="s">
        <v>112</v>
      </c>
      <c r="H39" s="75">
        <v>42</v>
      </c>
      <c r="I39" s="76">
        <v>28</v>
      </c>
      <c r="J39" s="96">
        <f>4+2+2+7+4+1+1+2+5+1+2</f>
        <v>31</v>
      </c>
      <c r="K39" s="77">
        <f>8288.4+1267.86+845.24+13964.6+11418.26+21175.62+1092.81+2207.7+6312.67+3928.83+708.47+1988.49</f>
        <v>73198.95</v>
      </c>
      <c r="L39" s="77">
        <f>8288.4+1267.86+845.24+13964.6+11418.26+21175.62+1092.81+2207.7+6312.67+3928.83+708.47+1988.49</f>
        <v>73198.95</v>
      </c>
      <c r="M39" s="224">
        <f t="shared" si="2"/>
        <v>0</v>
      </c>
      <c r="N39" s="100">
        <f>4+4+6+1+3+1+3+1+2+1+1+2</f>
        <v>29</v>
      </c>
      <c r="O39" s="81">
        <f>23915.04+21171.88+6399.1+11460.81+1501.24+2795.71+8800.35</f>
        <v>76044.13</v>
      </c>
      <c r="P39" s="81">
        <f>23915.04+21171.88+6399.1+11460.81+1501.24+2795.71+8800.35</f>
        <v>76044.13</v>
      </c>
      <c r="Q39" s="79">
        <f t="shared" si="1"/>
        <v>0</v>
      </c>
    </row>
    <row r="40" spans="1:17" s="13" customFormat="1" x14ac:dyDescent="0.25">
      <c r="A40" s="229"/>
      <c r="B40" s="62" t="s">
        <v>34</v>
      </c>
      <c r="C40" s="181" t="s">
        <v>17</v>
      </c>
      <c r="D40" s="182"/>
      <c r="E40" s="194" t="s">
        <v>35</v>
      </c>
      <c r="F40" s="73" t="s">
        <v>424</v>
      </c>
      <c r="G40" s="235" t="s">
        <v>117</v>
      </c>
      <c r="H40" s="181">
        <v>3</v>
      </c>
      <c r="I40" s="231">
        <v>1</v>
      </c>
      <c r="J40" s="96">
        <v>3</v>
      </c>
      <c r="K40" s="77">
        <v>5246.9</v>
      </c>
      <c r="L40" s="77">
        <v>5246.9</v>
      </c>
      <c r="M40" s="224">
        <f t="shared" si="2"/>
        <v>0</v>
      </c>
      <c r="N40" s="100">
        <v>3</v>
      </c>
      <c r="O40" s="224">
        <v>9220.7999999999993</v>
      </c>
      <c r="P40" s="224">
        <v>9220.7999999999993</v>
      </c>
      <c r="Q40" s="232">
        <f t="shared" si="1"/>
        <v>0</v>
      </c>
    </row>
    <row r="41" spans="1:17" s="13" customFormat="1" x14ac:dyDescent="0.25">
      <c r="A41" s="229"/>
      <c r="B41" s="27" t="s">
        <v>36</v>
      </c>
      <c r="C41" s="181" t="s">
        <v>17</v>
      </c>
      <c r="D41" s="182"/>
      <c r="E41" s="194" t="s">
        <v>32</v>
      </c>
      <c r="F41" s="73" t="s">
        <v>336</v>
      </c>
      <c r="G41" s="74" t="s">
        <v>112</v>
      </c>
      <c r="H41" s="75">
        <v>37</v>
      </c>
      <c r="I41" s="76">
        <v>29</v>
      </c>
      <c r="J41" s="96">
        <f>1+3+4+2+2+7+6+2+5+2+2+2+2</f>
        <v>40</v>
      </c>
      <c r="K41" s="77">
        <f>2091.97+4201.22+3643.94+998.92+6188.59+7556.35+3399.86+9711+5191.85+1920.7+1435.01+2415.05</f>
        <v>48754.46</v>
      </c>
      <c r="L41" s="77">
        <f>2091.97+4201.22+3643.94+998.92+6188.59+7556.35+3399.86+9711+5191.85+1920.7+1435.01+2415.05</f>
        <v>48754.46</v>
      </c>
      <c r="M41" s="224">
        <f t="shared" si="2"/>
        <v>0</v>
      </c>
      <c r="N41" s="100">
        <f>4+2+5+1+1+4+1+1</f>
        <v>19</v>
      </c>
      <c r="O41" s="81">
        <f>26828.22+3116.2+14162+4691+13237.22+22342.31+1888.86</f>
        <v>86265.81</v>
      </c>
      <c r="P41" s="81">
        <f>26828.22+3116.2+14162+4691+13237.22+22342.31+1888.86</f>
        <v>86265.81</v>
      </c>
      <c r="Q41" s="79">
        <f t="shared" si="1"/>
        <v>0</v>
      </c>
    </row>
    <row r="42" spans="1:17" s="13" customFormat="1" x14ac:dyDescent="0.25">
      <c r="A42" s="229"/>
      <c r="B42" s="27" t="s">
        <v>38</v>
      </c>
      <c r="C42" s="181" t="s">
        <v>17</v>
      </c>
      <c r="D42" s="182"/>
      <c r="E42" s="183" t="s">
        <v>20</v>
      </c>
      <c r="F42" s="73" t="s">
        <v>338</v>
      </c>
      <c r="G42" s="74" t="s">
        <v>112</v>
      </c>
      <c r="H42" s="75">
        <v>57</v>
      </c>
      <c r="I42" s="76">
        <v>49</v>
      </c>
      <c r="J42" s="96">
        <f>5+9+3+4+4+2+3+3+11+3+4+4+1+5+7+3</f>
        <v>71</v>
      </c>
      <c r="K42" s="77">
        <f>4427.07+14262.52+23391.74+11108.38+9141.17+3923.07+23674.29+5445.61+18020.8+33401.88+11286.84</f>
        <v>158083.37</v>
      </c>
      <c r="L42" s="77">
        <f>4427.07+14262.52+23391.74+11108.38+9141.17+3923.07+23674.29+5445.61+18020.8+33401.88+11286.84</f>
        <v>158083.37</v>
      </c>
      <c r="M42" s="224">
        <f t="shared" si="2"/>
        <v>0</v>
      </c>
      <c r="N42" s="100">
        <f>1+14+2+2+2+3+1+1+2+1+1</f>
        <v>30</v>
      </c>
      <c r="O42" s="81">
        <f>34449.99+27363.78+23604.86+16739.26+15240.34+16003.48+4203.85+21715.1</f>
        <v>159320.66</v>
      </c>
      <c r="P42" s="81">
        <f>34449.99+27363.78+23604.86+16739.26+15240.34+16003.48+4203.85+21715.1</f>
        <v>159320.66</v>
      </c>
      <c r="Q42" s="79">
        <f t="shared" si="1"/>
        <v>0</v>
      </c>
    </row>
    <row r="43" spans="1:17" s="13" customFormat="1" x14ac:dyDescent="0.25">
      <c r="A43" s="229"/>
      <c r="B43" s="27" t="s">
        <v>38</v>
      </c>
      <c r="C43" s="181" t="s">
        <v>17</v>
      </c>
      <c r="D43" s="182"/>
      <c r="E43" s="183" t="s">
        <v>20</v>
      </c>
      <c r="F43" s="73" t="s">
        <v>268</v>
      </c>
      <c r="G43" s="230" t="s">
        <v>114</v>
      </c>
      <c r="H43" s="181"/>
      <c r="I43" s="231"/>
      <c r="J43" s="190"/>
      <c r="K43" s="77"/>
      <c r="L43" s="77"/>
      <c r="M43" s="224">
        <f t="shared" si="2"/>
        <v>0</v>
      </c>
      <c r="N43" s="100"/>
      <c r="O43" s="224"/>
      <c r="P43" s="224"/>
      <c r="Q43" s="232">
        <f t="shared" si="1"/>
        <v>0</v>
      </c>
    </row>
    <row r="44" spans="1:17" s="13" customFormat="1" x14ac:dyDescent="0.25">
      <c r="A44" s="229"/>
      <c r="B44" s="27" t="s">
        <v>38</v>
      </c>
      <c r="C44" s="181" t="s">
        <v>17</v>
      </c>
      <c r="D44" s="182"/>
      <c r="E44" s="183" t="s">
        <v>18</v>
      </c>
      <c r="F44" s="73" t="s">
        <v>324</v>
      </c>
      <c r="G44" s="230" t="s">
        <v>116</v>
      </c>
      <c r="H44" s="181">
        <v>6</v>
      </c>
      <c r="I44" s="231">
        <v>3</v>
      </c>
      <c r="J44" s="190">
        <v>3</v>
      </c>
      <c r="K44" s="77">
        <v>4098</v>
      </c>
      <c r="L44" s="77">
        <v>4098</v>
      </c>
      <c r="M44" s="224">
        <f t="shared" si="2"/>
        <v>0</v>
      </c>
      <c r="N44" s="100"/>
      <c r="O44" s="224"/>
      <c r="P44" s="224"/>
      <c r="Q44" s="232">
        <f t="shared" si="1"/>
        <v>0</v>
      </c>
    </row>
    <row r="45" spans="1:17" s="13" customFormat="1" x14ac:dyDescent="0.25">
      <c r="A45" s="229"/>
      <c r="B45" s="62" t="s">
        <v>39</v>
      </c>
      <c r="C45" s="181" t="s">
        <v>17</v>
      </c>
      <c r="D45" s="182"/>
      <c r="E45" s="183" t="s">
        <v>20</v>
      </c>
      <c r="F45" s="73" t="s">
        <v>269</v>
      </c>
      <c r="G45" s="230" t="s">
        <v>114</v>
      </c>
      <c r="H45" s="181"/>
      <c r="I45" s="231"/>
      <c r="J45" s="190"/>
      <c r="K45" s="77"/>
      <c r="L45" s="77"/>
      <c r="M45" s="224">
        <f t="shared" si="2"/>
        <v>0</v>
      </c>
      <c r="N45" s="100"/>
      <c r="O45" s="224"/>
      <c r="P45" s="224"/>
      <c r="Q45" s="232">
        <f t="shared" si="1"/>
        <v>0</v>
      </c>
    </row>
    <row r="46" spans="1:17" s="13" customFormat="1" x14ac:dyDescent="0.25">
      <c r="A46" s="229"/>
      <c r="B46" s="27" t="s">
        <v>40</v>
      </c>
      <c r="C46" s="181" t="s">
        <v>17</v>
      </c>
      <c r="D46" s="182"/>
      <c r="E46" s="194" t="s">
        <v>41</v>
      </c>
      <c r="F46" s="73" t="s">
        <v>339</v>
      </c>
      <c r="G46" s="74" t="s">
        <v>112</v>
      </c>
      <c r="H46" s="75">
        <v>35</v>
      </c>
      <c r="I46" s="76">
        <v>28</v>
      </c>
      <c r="J46" s="96">
        <f>1+1+3+9+4+4+3+2+1+1+2+3+3+5+4+1</f>
        <v>47</v>
      </c>
      <c r="K46" s="77">
        <f>1045.98+12271.86+15658.52+8166.35+6035.99+8024.36+2759.63+3460.61+3962.12+3444.02+17333.58+11032.73+15915.1+2094.51</f>
        <v>111205.35999999999</v>
      </c>
      <c r="L46" s="77">
        <f>1045.98+12271.86+15658.52+8166.35+6035.99+8024.36+2759.63+3460.61+3962.12+3444.02+17333.58+11032.73+15915.1+2094.51</f>
        <v>111205.35999999999</v>
      </c>
      <c r="M46" s="224">
        <f t="shared" si="2"/>
        <v>0</v>
      </c>
      <c r="N46" s="100">
        <f>3+13+6+5+4+2+1+1+1+1+1+1</f>
        <v>39</v>
      </c>
      <c r="O46" s="81">
        <f>17269.31+39990.78+16582.12+23492.44+7068.31+4243.84+1574.64+8785.1</f>
        <v>119006.54</v>
      </c>
      <c r="P46" s="81">
        <f>17269.31+39990.78+16582.12+23492.44+7068.31+4243.84+1574.64+8785.1</f>
        <v>119006.54</v>
      </c>
      <c r="Q46" s="79">
        <f t="shared" si="1"/>
        <v>0</v>
      </c>
    </row>
    <row r="47" spans="1:17" s="13" customFormat="1" x14ac:dyDescent="0.25">
      <c r="A47" s="229"/>
      <c r="B47" s="27" t="s">
        <v>40</v>
      </c>
      <c r="C47" s="181" t="s">
        <v>17</v>
      </c>
      <c r="D47" s="182"/>
      <c r="E47" s="194" t="s">
        <v>41</v>
      </c>
      <c r="F47" s="73" t="s">
        <v>482</v>
      </c>
      <c r="G47" s="230" t="s">
        <v>114</v>
      </c>
      <c r="H47" s="181"/>
      <c r="I47" s="231"/>
      <c r="J47" s="190"/>
      <c r="K47" s="77"/>
      <c r="L47" s="77"/>
      <c r="M47" s="224">
        <f t="shared" si="2"/>
        <v>0</v>
      </c>
      <c r="N47" s="100">
        <v>1</v>
      </c>
      <c r="O47" s="224">
        <v>3073.6</v>
      </c>
      <c r="P47" s="224">
        <v>3073.6</v>
      </c>
      <c r="Q47" s="232">
        <f t="shared" si="1"/>
        <v>0</v>
      </c>
    </row>
    <row r="48" spans="1:17" s="13" customFormat="1" x14ac:dyDescent="0.25">
      <c r="A48" s="229"/>
      <c r="B48" s="27" t="s">
        <v>148</v>
      </c>
      <c r="C48" s="181" t="s">
        <v>17</v>
      </c>
      <c r="D48" s="182"/>
      <c r="E48" s="183" t="s">
        <v>20</v>
      </c>
      <c r="F48" s="73" t="s">
        <v>340</v>
      </c>
      <c r="G48" s="74" t="s">
        <v>112</v>
      </c>
      <c r="H48" s="75">
        <v>25</v>
      </c>
      <c r="I48" s="82">
        <v>17</v>
      </c>
      <c r="J48" s="96">
        <f>1+2+1+4+4+2+3+1+1</f>
        <v>19</v>
      </c>
      <c r="K48" s="77">
        <f>537.88+2110.03+6723.98+8914.21+1204.2+602.1+903.15+1324.62+602.1</f>
        <v>22922.269999999997</v>
      </c>
      <c r="L48" s="77">
        <f>537.88+2110.03+6723.98+8914.21+1204.2+602.1+903.15+1324.62+602.1</f>
        <v>22922.269999999997</v>
      </c>
      <c r="M48" s="224">
        <f t="shared" si="2"/>
        <v>0</v>
      </c>
      <c r="N48" s="100">
        <f>6+5+3+1+1+1+1+1</f>
        <v>19</v>
      </c>
      <c r="O48" s="81">
        <f>9370.6+9456.38+8868.69+5367.27+11572.62+5889.04</f>
        <v>50524.600000000006</v>
      </c>
      <c r="P48" s="81">
        <f>9370.6+9456.38+8868.69+5367.27+11572.62+5889.04</f>
        <v>50524.600000000006</v>
      </c>
      <c r="Q48" s="79">
        <f t="shared" si="1"/>
        <v>0</v>
      </c>
    </row>
    <row r="49" spans="1:17" s="13" customFormat="1" x14ac:dyDescent="0.25">
      <c r="A49" s="229"/>
      <c r="B49" s="27" t="s">
        <v>148</v>
      </c>
      <c r="C49" s="181" t="s">
        <v>17</v>
      </c>
      <c r="D49" s="182"/>
      <c r="E49" s="194" t="s">
        <v>32</v>
      </c>
      <c r="F49" s="73" t="s">
        <v>425</v>
      </c>
      <c r="G49" s="230" t="s">
        <v>117</v>
      </c>
      <c r="H49" s="181">
        <v>19</v>
      </c>
      <c r="I49" s="231">
        <v>8</v>
      </c>
      <c r="J49" s="96">
        <v>8</v>
      </c>
      <c r="K49" s="77">
        <v>23166.82</v>
      </c>
      <c r="L49" s="77">
        <v>23166.82</v>
      </c>
      <c r="M49" s="224">
        <f t="shared" si="2"/>
        <v>0</v>
      </c>
      <c r="N49" s="100">
        <v>4</v>
      </c>
      <c r="O49" s="224">
        <v>12851.49</v>
      </c>
      <c r="P49" s="224">
        <v>12851.49</v>
      </c>
      <c r="Q49" s="232">
        <f t="shared" si="1"/>
        <v>0</v>
      </c>
    </row>
    <row r="50" spans="1:17" s="13" customFormat="1" x14ac:dyDescent="0.25">
      <c r="A50" s="229"/>
      <c r="B50" s="30" t="s">
        <v>42</v>
      </c>
      <c r="C50" s="181" t="s">
        <v>17</v>
      </c>
      <c r="D50" s="182"/>
      <c r="E50" s="183" t="s">
        <v>23</v>
      </c>
      <c r="F50" s="73" t="s">
        <v>341</v>
      </c>
      <c r="G50" s="74" t="s">
        <v>112</v>
      </c>
      <c r="H50" s="75">
        <v>36</v>
      </c>
      <c r="I50" s="76">
        <v>30</v>
      </c>
      <c r="J50" s="96">
        <f>5+3+5+3+8+3+8+5</f>
        <v>40</v>
      </c>
      <c r="K50" s="77">
        <f>7156.22+3849.11+8154.25+4149.36+15912.38+18649.91</f>
        <v>57871.229999999996</v>
      </c>
      <c r="L50" s="77">
        <f>7156.22+3849.11+8154.25+4149.36+15912.38+18649.91</f>
        <v>57871.229999999996</v>
      </c>
      <c r="M50" s="224">
        <f t="shared" si="2"/>
        <v>0</v>
      </c>
      <c r="N50" s="100">
        <f>4+6+9+2+4+2+2+3+3+2</f>
        <v>37</v>
      </c>
      <c r="O50" s="81">
        <f>5364.2+26170.88+2849.25+18965.6+9565.56+9423.5+18214.56</f>
        <v>90553.549999999988</v>
      </c>
      <c r="P50" s="81">
        <f>5364.2+26170.88+2849.25+18965.6+9565.56+9423.5+18214.56</f>
        <v>90553.549999999988</v>
      </c>
      <c r="Q50" s="79">
        <f t="shared" si="1"/>
        <v>0</v>
      </c>
    </row>
    <row r="51" spans="1:17" s="13" customFormat="1" x14ac:dyDescent="0.25">
      <c r="A51" s="229"/>
      <c r="B51" s="30" t="s">
        <v>42</v>
      </c>
      <c r="C51" s="181" t="s">
        <v>17</v>
      </c>
      <c r="D51" s="182"/>
      <c r="E51" s="183" t="s">
        <v>23</v>
      </c>
      <c r="F51" s="73" t="s">
        <v>437</v>
      </c>
      <c r="G51" s="230" t="s">
        <v>118</v>
      </c>
      <c r="H51" s="181">
        <v>2</v>
      </c>
      <c r="I51" s="231"/>
      <c r="J51" s="96"/>
      <c r="K51" s="77"/>
      <c r="L51" s="77"/>
      <c r="M51" s="224">
        <f t="shared" si="2"/>
        <v>0</v>
      </c>
      <c r="N51" s="100">
        <v>1</v>
      </c>
      <c r="O51" s="224">
        <v>7766.4</v>
      </c>
      <c r="P51" s="224">
        <v>7766.4</v>
      </c>
      <c r="Q51" s="232">
        <f t="shared" si="1"/>
        <v>0</v>
      </c>
    </row>
    <row r="52" spans="1:17" s="13" customFormat="1" x14ac:dyDescent="0.25">
      <c r="A52" s="229"/>
      <c r="B52" s="30" t="s">
        <v>173</v>
      </c>
      <c r="C52" s="181" t="s">
        <v>17</v>
      </c>
      <c r="D52" s="182"/>
      <c r="E52" s="230" t="s">
        <v>118</v>
      </c>
      <c r="F52" s="73" t="s">
        <v>342</v>
      </c>
      <c r="G52" s="74" t="s">
        <v>112</v>
      </c>
      <c r="H52" s="75">
        <v>4</v>
      </c>
      <c r="I52" s="76">
        <v>4</v>
      </c>
      <c r="J52" s="96">
        <f>1+2+1</f>
        <v>4</v>
      </c>
      <c r="K52" s="77">
        <f>6833.76+696.36</f>
        <v>7530.12</v>
      </c>
      <c r="L52" s="77">
        <f>6833.76+696.36</f>
        <v>7530.12</v>
      </c>
      <c r="M52" s="224">
        <f t="shared" si="2"/>
        <v>0</v>
      </c>
      <c r="N52" s="100">
        <f>4+2</f>
        <v>6</v>
      </c>
      <c r="O52" s="81">
        <f>5931.9+4183.92+3158.95</f>
        <v>13274.77</v>
      </c>
      <c r="P52" s="81">
        <f>5931.9+4183.92+3158.95</f>
        <v>13274.77</v>
      </c>
      <c r="Q52" s="79">
        <f t="shared" si="1"/>
        <v>0</v>
      </c>
    </row>
    <row r="53" spans="1:17" s="13" customFormat="1" x14ac:dyDescent="0.25">
      <c r="A53" s="229"/>
      <c r="B53" s="62" t="s">
        <v>143</v>
      </c>
      <c r="C53" s="181" t="s">
        <v>64</v>
      </c>
      <c r="D53" s="182" t="s">
        <v>444</v>
      </c>
      <c r="E53" s="183" t="s">
        <v>20</v>
      </c>
      <c r="F53" s="73" t="s">
        <v>445</v>
      </c>
      <c r="G53" s="230" t="s">
        <v>114</v>
      </c>
      <c r="H53" s="181">
        <v>43</v>
      </c>
      <c r="I53" s="234">
        <v>22</v>
      </c>
      <c r="J53" s="190">
        <v>22</v>
      </c>
      <c r="K53" s="193">
        <v>49089.4</v>
      </c>
      <c r="L53" s="193">
        <v>49089.4</v>
      </c>
      <c r="M53" s="224">
        <f t="shared" si="2"/>
        <v>0</v>
      </c>
      <c r="N53" s="114">
        <v>18</v>
      </c>
      <c r="O53" s="224">
        <v>27390.400000000001</v>
      </c>
      <c r="P53" s="224">
        <v>27390.400000000001</v>
      </c>
      <c r="Q53" s="232">
        <f t="shared" si="1"/>
        <v>0</v>
      </c>
    </row>
    <row r="54" spans="1:17" s="13" customFormat="1" x14ac:dyDescent="0.25">
      <c r="A54" s="229"/>
      <c r="B54" s="30" t="s">
        <v>158</v>
      </c>
      <c r="C54" s="181" t="s">
        <v>17</v>
      </c>
      <c r="D54" s="182"/>
      <c r="E54" s="194" t="s">
        <v>32</v>
      </c>
      <c r="F54" s="73" t="s">
        <v>426</v>
      </c>
      <c r="G54" s="230" t="s">
        <v>117</v>
      </c>
      <c r="H54" s="181">
        <v>13</v>
      </c>
      <c r="I54" s="234">
        <v>8</v>
      </c>
      <c r="J54" s="190">
        <v>9</v>
      </c>
      <c r="K54" s="193">
        <v>20263.34</v>
      </c>
      <c r="L54" s="193">
        <v>20263.34</v>
      </c>
      <c r="M54" s="224">
        <f t="shared" si="2"/>
        <v>0</v>
      </c>
      <c r="N54" s="114">
        <v>5</v>
      </c>
      <c r="O54" s="224">
        <v>16813.7</v>
      </c>
      <c r="P54" s="224">
        <v>16813.7</v>
      </c>
      <c r="Q54" s="232">
        <f t="shared" si="1"/>
        <v>0</v>
      </c>
    </row>
    <row r="55" spans="1:17" s="15" customFormat="1" x14ac:dyDescent="0.25">
      <c r="A55" s="229"/>
      <c r="B55" s="62" t="s">
        <v>43</v>
      </c>
      <c r="C55" s="181" t="s">
        <v>17</v>
      </c>
      <c r="D55" s="182"/>
      <c r="E55" s="183" t="s">
        <v>18</v>
      </c>
      <c r="F55" s="73" t="s">
        <v>344</v>
      </c>
      <c r="G55" s="74" t="s">
        <v>112</v>
      </c>
      <c r="H55" s="75">
        <v>43</v>
      </c>
      <c r="I55" s="76">
        <v>32</v>
      </c>
      <c r="J55" s="96">
        <f>1+2+2+5+2+3+2+3+3+3+5+2+4</f>
        <v>37</v>
      </c>
      <c r="K55" s="77">
        <f>1776.93+926.88+3328.29+3172.19+9832.29+3539.2+3058.67+13375.29+3775.58+5775.23</f>
        <v>48560.55</v>
      </c>
      <c r="L55" s="77">
        <f>1776.93+926.88+3328.29+3172.19+9832.29+3539.2+3058.67+13375.29+3775.58+5775.23</f>
        <v>48560.55</v>
      </c>
      <c r="M55" s="224">
        <f t="shared" si="2"/>
        <v>0</v>
      </c>
      <c r="N55" s="100">
        <f>1+5+4+1+1+1+1+1+2+1</f>
        <v>18</v>
      </c>
      <c r="O55" s="81">
        <f>1223.8+3810.29+4959.02+10043.87+2769.48+2146.91+11926.24-1465.64+1516.77</f>
        <v>36930.74</v>
      </c>
      <c r="P55" s="81">
        <f>1223.8+3810.29+4959.02+10043.87+2769.48+2146.91+11926.24-1465.64+1516.77</f>
        <v>36930.74</v>
      </c>
      <c r="Q55" s="79">
        <f t="shared" si="1"/>
        <v>0</v>
      </c>
    </row>
    <row r="56" spans="1:17" s="15" customFormat="1" ht="30" x14ac:dyDescent="0.25">
      <c r="A56" s="229"/>
      <c r="B56" s="62" t="s">
        <v>43</v>
      </c>
      <c r="C56" s="181" t="s">
        <v>304</v>
      </c>
      <c r="D56" s="182" t="s">
        <v>473</v>
      </c>
      <c r="E56" s="183" t="s">
        <v>18</v>
      </c>
      <c r="F56" s="73" t="s">
        <v>323</v>
      </c>
      <c r="G56" s="271" t="s">
        <v>116</v>
      </c>
      <c r="H56" s="181">
        <v>36</v>
      </c>
      <c r="I56" s="234">
        <v>29</v>
      </c>
      <c r="J56" s="98">
        <v>31</v>
      </c>
      <c r="K56" s="77">
        <v>42171</v>
      </c>
      <c r="L56" s="77">
        <v>42171</v>
      </c>
      <c r="M56" s="224">
        <f t="shared" si="2"/>
        <v>0</v>
      </c>
      <c r="N56" s="114">
        <v>22</v>
      </c>
      <c r="O56" s="224">
        <v>71748</v>
      </c>
      <c r="P56" s="224">
        <v>71748</v>
      </c>
      <c r="Q56" s="232">
        <f t="shared" si="1"/>
        <v>0</v>
      </c>
    </row>
    <row r="57" spans="1:17" s="13" customFormat="1" x14ac:dyDescent="0.25">
      <c r="A57" s="229"/>
      <c r="B57" s="30" t="s">
        <v>44</v>
      </c>
      <c r="C57" s="181" t="s">
        <v>17</v>
      </c>
      <c r="D57" s="182"/>
      <c r="E57" s="183" t="s">
        <v>20</v>
      </c>
      <c r="F57" s="73" t="s">
        <v>345</v>
      </c>
      <c r="G57" s="74" t="s">
        <v>112</v>
      </c>
      <c r="H57" s="75">
        <v>24</v>
      </c>
      <c r="I57" s="76">
        <v>16</v>
      </c>
      <c r="J57" s="96">
        <f>1+1+1+4+2+1+1+1+3+4</f>
        <v>19</v>
      </c>
      <c r="K57" s="77">
        <f>2422.38+1267.86+15410.58+1534.35+708.47+883.08+3910.61+496.73+12652.53</f>
        <v>39286.590000000004</v>
      </c>
      <c r="L57" s="77">
        <f>2422.38+1267.86+15410.58+1534.35+708.47+883.08+3910.61+496.73+12652.53</f>
        <v>39286.590000000004</v>
      </c>
      <c r="M57" s="224">
        <f t="shared" si="2"/>
        <v>0</v>
      </c>
      <c r="N57" s="100">
        <f>1+11</f>
        <v>12</v>
      </c>
      <c r="O57" s="81">
        <f>421.62+4603.39+10559.77+72902.04+3435.31</f>
        <v>91922.12999999999</v>
      </c>
      <c r="P57" s="81">
        <f>421.62+4603.39+10559.77+72902.04+3435.31</f>
        <v>91922.12999999999</v>
      </c>
      <c r="Q57" s="79">
        <f t="shared" si="1"/>
        <v>0</v>
      </c>
    </row>
    <row r="58" spans="1:17" s="13" customFormat="1" x14ac:dyDescent="0.25">
      <c r="A58" s="229"/>
      <c r="B58" s="30" t="s">
        <v>44</v>
      </c>
      <c r="C58" s="181" t="s">
        <v>17</v>
      </c>
      <c r="D58" s="182"/>
      <c r="E58" s="183" t="s">
        <v>20</v>
      </c>
      <c r="F58" s="73" t="s">
        <v>483</v>
      </c>
      <c r="G58" s="230" t="s">
        <v>114</v>
      </c>
      <c r="H58" s="181"/>
      <c r="I58" s="231"/>
      <c r="J58" s="190"/>
      <c r="K58" s="77"/>
      <c r="L58" s="77"/>
      <c r="M58" s="224">
        <f t="shared" si="2"/>
        <v>0</v>
      </c>
      <c r="N58" s="100">
        <v>3</v>
      </c>
      <c r="O58" s="224">
        <v>12543.8</v>
      </c>
      <c r="P58" s="224">
        <v>12543.8</v>
      </c>
      <c r="Q58" s="232">
        <f t="shared" si="1"/>
        <v>0</v>
      </c>
    </row>
    <row r="59" spans="1:17" s="13" customFormat="1" x14ac:dyDescent="0.25">
      <c r="A59" s="229"/>
      <c r="B59" s="30" t="s">
        <v>492</v>
      </c>
      <c r="C59" s="181" t="s">
        <v>17</v>
      </c>
      <c r="D59" s="182"/>
      <c r="E59" s="183" t="s">
        <v>20</v>
      </c>
      <c r="F59" s="73" t="s">
        <v>499</v>
      </c>
      <c r="G59" s="230" t="s">
        <v>112</v>
      </c>
      <c r="H59" s="181">
        <v>10</v>
      </c>
      <c r="I59" s="231">
        <v>8</v>
      </c>
      <c r="J59" s="190">
        <f>1+8</f>
        <v>9</v>
      </c>
      <c r="K59" s="77">
        <f>1044.98+2096.62</f>
        <v>3141.6</v>
      </c>
      <c r="L59" s="77">
        <f>1044.98+2096.62</f>
        <v>3141.6</v>
      </c>
      <c r="M59" s="224">
        <f t="shared" si="2"/>
        <v>0</v>
      </c>
      <c r="N59" s="100"/>
      <c r="O59" s="224"/>
      <c r="P59" s="224"/>
      <c r="Q59" s="79">
        <f t="shared" si="1"/>
        <v>0</v>
      </c>
    </row>
    <row r="60" spans="1:17" s="13" customFormat="1" x14ac:dyDescent="0.25">
      <c r="A60" s="229"/>
      <c r="B60" s="27" t="s">
        <v>45</v>
      </c>
      <c r="C60" s="181" t="s">
        <v>17</v>
      </c>
      <c r="D60" s="182"/>
      <c r="E60" s="183" t="s">
        <v>20</v>
      </c>
      <c r="F60" s="73" t="s">
        <v>346</v>
      </c>
      <c r="G60" s="74" t="s">
        <v>112</v>
      </c>
      <c r="H60" s="75"/>
      <c r="I60" s="76"/>
      <c r="J60" s="96"/>
      <c r="K60" s="77"/>
      <c r="L60" s="77"/>
      <c r="M60" s="224">
        <f t="shared" si="2"/>
        <v>0</v>
      </c>
      <c r="N60" s="100">
        <f>1</f>
        <v>1</v>
      </c>
      <c r="O60" s="81">
        <f>17995.91+2729.8</f>
        <v>20725.71</v>
      </c>
      <c r="P60" s="81">
        <f>17995.91+2729.8</f>
        <v>20725.71</v>
      </c>
      <c r="Q60" s="79">
        <f t="shared" si="1"/>
        <v>0</v>
      </c>
    </row>
    <row r="61" spans="1:17" s="13" customFormat="1" x14ac:dyDescent="0.25">
      <c r="A61" s="229"/>
      <c r="B61" s="27" t="s">
        <v>45</v>
      </c>
      <c r="C61" s="181" t="s">
        <v>17</v>
      </c>
      <c r="D61" s="182"/>
      <c r="E61" s="183" t="s">
        <v>20</v>
      </c>
      <c r="F61" s="73" t="s">
        <v>484</v>
      </c>
      <c r="G61" s="230" t="s">
        <v>114</v>
      </c>
      <c r="H61" s="181"/>
      <c r="I61" s="231"/>
      <c r="J61" s="190"/>
      <c r="K61" s="77"/>
      <c r="L61" s="77"/>
      <c r="M61" s="224">
        <f t="shared" si="2"/>
        <v>0</v>
      </c>
      <c r="N61" s="100"/>
      <c r="O61" s="224"/>
      <c r="P61" s="224"/>
      <c r="Q61" s="232">
        <f t="shared" si="1"/>
        <v>0</v>
      </c>
    </row>
    <row r="62" spans="1:17" s="15" customFormat="1" x14ac:dyDescent="0.25">
      <c r="A62" s="229"/>
      <c r="B62" s="27" t="s">
        <v>46</v>
      </c>
      <c r="C62" s="181" t="s">
        <v>17</v>
      </c>
      <c r="D62" s="182"/>
      <c r="E62" s="183" t="s">
        <v>20</v>
      </c>
      <c r="F62" s="73" t="s">
        <v>347</v>
      </c>
      <c r="G62" s="74" t="s">
        <v>112</v>
      </c>
      <c r="H62" s="75">
        <v>23</v>
      </c>
      <c r="I62" s="76">
        <v>20</v>
      </c>
      <c r="J62" s="96">
        <f>1+2+3+2+4+1+4+2+1+5+1+1+4+1+4</f>
        <v>36</v>
      </c>
      <c r="K62" s="77">
        <f>1045.98+1068.08+8157.32+1778.85+9152.67+11156.63+11271.63+1490.2+9025.41+10714.36+1457.08+12068.04+1457.08+8407.25+662.31</f>
        <v>88912.89</v>
      </c>
      <c r="L62" s="77">
        <f>1045.98+1068.08+8157.32+1778.85+9152.67+11156.63+11271.63+1490.2+9025.41+10714.36+1457.08+12068.04+1457.08+8407.25+662.31</f>
        <v>88912.89</v>
      </c>
      <c r="M62" s="224">
        <f t="shared" si="2"/>
        <v>0</v>
      </c>
      <c r="N62" s="100">
        <f>4+4+1+1+1+2</f>
        <v>13</v>
      </c>
      <c r="O62" s="81">
        <f>10759.2+10685.34+7362.04+22509.72</f>
        <v>51316.3</v>
      </c>
      <c r="P62" s="81">
        <f>10759.2+10685.34+7362.04+22509.72</f>
        <v>51316.3</v>
      </c>
      <c r="Q62" s="79">
        <f t="shared" si="1"/>
        <v>0</v>
      </c>
    </row>
    <row r="63" spans="1:17" s="15" customFormat="1" x14ac:dyDescent="0.25">
      <c r="A63" s="229"/>
      <c r="B63" s="27" t="s">
        <v>46</v>
      </c>
      <c r="C63" s="181" t="s">
        <v>17</v>
      </c>
      <c r="D63" s="182"/>
      <c r="E63" s="183" t="s">
        <v>20</v>
      </c>
      <c r="F63" s="73" t="s">
        <v>273</v>
      </c>
      <c r="G63" s="230" t="s">
        <v>114</v>
      </c>
      <c r="H63" s="181">
        <v>6</v>
      </c>
      <c r="I63" s="231">
        <v>2</v>
      </c>
      <c r="J63" s="190">
        <v>2</v>
      </c>
      <c r="K63" s="77">
        <v>2583.3000000000002</v>
      </c>
      <c r="L63" s="77">
        <v>2583.3000000000002</v>
      </c>
      <c r="M63" s="224">
        <f t="shared" si="2"/>
        <v>0</v>
      </c>
      <c r="N63" s="100">
        <v>3</v>
      </c>
      <c r="O63" s="224">
        <v>9356.9</v>
      </c>
      <c r="P63" s="224">
        <v>9356.9</v>
      </c>
      <c r="Q63" s="232">
        <f t="shared" si="1"/>
        <v>0</v>
      </c>
    </row>
    <row r="64" spans="1:17" s="13" customFormat="1" ht="45" x14ac:dyDescent="0.25">
      <c r="A64" s="229"/>
      <c r="B64" s="30" t="s">
        <v>47</v>
      </c>
      <c r="C64" s="181" t="s">
        <v>304</v>
      </c>
      <c r="D64" s="182" t="s">
        <v>474</v>
      </c>
      <c r="E64" s="183" t="s">
        <v>18</v>
      </c>
      <c r="F64" s="73" t="s">
        <v>348</v>
      </c>
      <c r="G64" s="74" t="s">
        <v>112</v>
      </c>
      <c r="H64" s="75">
        <v>77</v>
      </c>
      <c r="I64" s="76">
        <v>54</v>
      </c>
      <c r="J64" s="98">
        <f>1+1+3+21+7+2+5+2+7+15+14+7+2+5+5+5</f>
        <v>102</v>
      </c>
      <c r="K64" s="77">
        <f>30728.27+19236.99+22614.7+52735.68+23845.61+7108.96+19683.78</f>
        <v>175953.99</v>
      </c>
      <c r="L64" s="77">
        <f>30728.27+19236.99+22614.7+52735.68+23845.61+7108.96+19683.78</f>
        <v>175953.99</v>
      </c>
      <c r="M64" s="224">
        <f t="shared" si="2"/>
        <v>0</v>
      </c>
      <c r="N64" s="100">
        <f>7+3+4+10+6+1+2+1+3+2+5+1+2</f>
        <v>47</v>
      </c>
      <c r="O64" s="81">
        <f>8477.51+15159.83+14079.46+15414.2+17995.91+2065.56+1859.53+9543.86+1728.53+14526.84+19728.1+2207.7</f>
        <v>122787.02999999998</v>
      </c>
      <c r="P64" s="81">
        <f>8477.51+15159.83+14079.46+15414.2+17995.91+2065.56+1859.53+9543.86+1728.53+14526.84+19728.1+2207.7</f>
        <v>122787.02999999998</v>
      </c>
      <c r="Q64" s="79">
        <f t="shared" si="1"/>
        <v>0</v>
      </c>
    </row>
    <row r="65" spans="1:17" s="13" customFormat="1" ht="45" x14ac:dyDescent="0.25">
      <c r="A65" s="229">
        <v>22</v>
      </c>
      <c r="B65" s="62" t="s">
        <v>120</v>
      </c>
      <c r="C65" s="181" t="s">
        <v>304</v>
      </c>
      <c r="D65" s="182" t="s">
        <v>474</v>
      </c>
      <c r="E65" s="183" t="s">
        <v>18</v>
      </c>
      <c r="F65" s="73" t="s">
        <v>334</v>
      </c>
      <c r="G65" s="230" t="s">
        <v>116</v>
      </c>
      <c r="H65" s="181">
        <v>36</v>
      </c>
      <c r="I65" s="234">
        <v>27</v>
      </c>
      <c r="J65" s="98">
        <v>29</v>
      </c>
      <c r="K65" s="77">
        <v>52289</v>
      </c>
      <c r="L65" s="77">
        <v>52289</v>
      </c>
      <c r="M65" s="224">
        <f t="shared" si="2"/>
        <v>0</v>
      </c>
      <c r="N65" s="100">
        <v>15</v>
      </c>
      <c r="O65" s="224">
        <v>60831</v>
      </c>
      <c r="P65" s="224">
        <v>60831</v>
      </c>
      <c r="Q65" s="232">
        <f t="shared" si="1"/>
        <v>0</v>
      </c>
    </row>
    <row r="66" spans="1:17" s="13" customFormat="1" x14ac:dyDescent="0.25">
      <c r="A66" s="229"/>
      <c r="B66" s="30" t="s">
        <v>134</v>
      </c>
      <c r="C66" s="181" t="s">
        <v>17</v>
      </c>
      <c r="D66" s="182"/>
      <c r="E66" s="183" t="s">
        <v>20</v>
      </c>
      <c r="F66" s="73" t="s">
        <v>349</v>
      </c>
      <c r="G66" s="74" t="s">
        <v>112</v>
      </c>
      <c r="H66" s="75">
        <v>25</v>
      </c>
      <c r="I66" s="76">
        <v>23</v>
      </c>
      <c r="J66" s="96">
        <f>1+4+1+1+2+1+1+7+1+1+2+1</f>
        <v>23</v>
      </c>
      <c r="K66" s="77">
        <f>7301.48+1473.89+1911.09+1690.48+845.24+6268.51+441.51+1983.45+3361.83+883.11+2668.51+2972.45+3953.39+2549.89+1534.35+1092.81</f>
        <v>40931.99</v>
      </c>
      <c r="L66" s="77">
        <f>7301.48+1473.89+1911.09+1690.48+845.24+6268.51+441.51+1983.45+3361.83+883.11+2668.51+2972.45+3953.39+2549.89+1534.35+1092.81</f>
        <v>40931.99</v>
      </c>
      <c r="M66" s="224">
        <f t="shared" si="2"/>
        <v>0</v>
      </c>
      <c r="N66" s="100">
        <f>4+1+1+1+1+1</f>
        <v>9</v>
      </c>
      <c r="O66" s="81">
        <f>5020.05+3215.31+12312.39+4648.82+32425.98+7889.42+3294.46</f>
        <v>68806.430000000008</v>
      </c>
      <c r="P66" s="81">
        <f>5020.05+3215.31+12312.39+4648.82+32425.98+7889.42+3294.46</f>
        <v>68806.430000000008</v>
      </c>
      <c r="Q66" s="79">
        <f t="shared" si="1"/>
        <v>0</v>
      </c>
    </row>
    <row r="67" spans="1:17" s="13" customFormat="1" x14ac:dyDescent="0.25">
      <c r="A67" s="229"/>
      <c r="B67" s="30" t="s">
        <v>134</v>
      </c>
      <c r="C67" s="181" t="s">
        <v>17</v>
      </c>
      <c r="D67" s="182"/>
      <c r="E67" s="183" t="s">
        <v>20</v>
      </c>
      <c r="F67" s="73" t="s">
        <v>456</v>
      </c>
      <c r="G67" s="230" t="s">
        <v>114</v>
      </c>
      <c r="H67" s="181">
        <v>30</v>
      </c>
      <c r="I67" s="231">
        <v>12</v>
      </c>
      <c r="J67" s="190">
        <v>12</v>
      </c>
      <c r="K67" s="77">
        <v>27329.05</v>
      </c>
      <c r="L67" s="77">
        <v>27329.05</v>
      </c>
      <c r="M67" s="224">
        <f t="shared" si="2"/>
        <v>0</v>
      </c>
      <c r="N67" s="100">
        <v>27</v>
      </c>
      <c r="O67" s="224">
        <v>61494.8</v>
      </c>
      <c r="P67" s="224">
        <v>61494.8</v>
      </c>
      <c r="Q67" s="232">
        <f t="shared" si="1"/>
        <v>0</v>
      </c>
    </row>
    <row r="68" spans="1:17" s="13" customFormat="1" x14ac:dyDescent="0.25">
      <c r="A68" s="229"/>
      <c r="B68" s="62" t="s">
        <v>48</v>
      </c>
      <c r="C68" s="181" t="s">
        <v>17</v>
      </c>
      <c r="D68" s="182"/>
      <c r="E68" s="183" t="s">
        <v>20</v>
      </c>
      <c r="F68" s="73" t="s">
        <v>350</v>
      </c>
      <c r="G68" s="74" t="s">
        <v>112</v>
      </c>
      <c r="H68" s="75">
        <v>24</v>
      </c>
      <c r="I68" s="76">
        <v>14</v>
      </c>
      <c r="J68" s="96">
        <f>1+1+2+1+3+2+6+3+2</f>
        <v>21</v>
      </c>
      <c r="K68" s="77">
        <f>4805.96+2585.78+3065.92+2588.55+14407.5+9289.05+3030.73+11469.98+21400.25+8116.46</f>
        <v>80760.180000000008</v>
      </c>
      <c r="L68" s="77">
        <f>4805.96+2585.78+3065.92+2588.55+14407.5+9289.05+3030.73+11469.98+21400.25+8116.46</f>
        <v>80760.180000000008</v>
      </c>
      <c r="M68" s="224">
        <f t="shared" si="2"/>
        <v>0</v>
      </c>
      <c r="N68" s="100">
        <f>2+1+2+1+3+2</f>
        <v>11</v>
      </c>
      <c r="O68" s="81">
        <f>23174.33+2535.72+11633.02+6993.42+20756.4+5079.09</f>
        <v>70171.98000000001</v>
      </c>
      <c r="P68" s="81">
        <f>23174.33+2535.72+11633.02+6993.42+20756.4+5079.09</f>
        <v>70171.98000000001</v>
      </c>
      <c r="Q68" s="79">
        <f t="shared" si="1"/>
        <v>0</v>
      </c>
    </row>
    <row r="69" spans="1:17" s="13" customFormat="1" x14ac:dyDescent="0.25">
      <c r="A69" s="229"/>
      <c r="B69" s="62" t="s">
        <v>49</v>
      </c>
      <c r="C69" s="181" t="s">
        <v>17</v>
      </c>
      <c r="D69" s="182"/>
      <c r="E69" s="183" t="s">
        <v>50</v>
      </c>
      <c r="F69" s="73" t="s">
        <v>351</v>
      </c>
      <c r="G69" s="74" t="s">
        <v>112</v>
      </c>
      <c r="H69" s="75">
        <v>31</v>
      </c>
      <c r="I69" s="76">
        <v>29</v>
      </c>
      <c r="J69" s="96">
        <f>1+4+8+6+5+1+2+2+5+3</f>
        <v>37</v>
      </c>
      <c r="K69" s="77">
        <f>525.65+1267.86+6544.72+13939.57+2896.54+9712.48+14471.86+991.75+8615.66+5704.78+21380.88+8559.49</f>
        <v>94611.24</v>
      </c>
      <c r="L69" s="77">
        <f>525.65+1267.86+6544.72+13939.57+2896.54+9712.48+14471.86+991.75+8615.66+5704.78+21380.88+8559.49</f>
        <v>94611.24</v>
      </c>
      <c r="M69" s="224">
        <f t="shared" si="2"/>
        <v>0</v>
      </c>
      <c r="N69" s="100">
        <f>5+1+3+1+1+1+1+1</f>
        <v>14</v>
      </c>
      <c r="O69" s="81">
        <f>7374+1806.93+7275.53+4666.9+2684.03+6682.03+10412.84+2217.14+10235.7</f>
        <v>53355.099999999991</v>
      </c>
      <c r="P69" s="81">
        <f>7374+1806.93+7275.53+4666.9+2684.03+6682.03+10412.84+2217.14+10235.7</f>
        <v>53355.099999999991</v>
      </c>
      <c r="Q69" s="232">
        <f t="shared" si="1"/>
        <v>0</v>
      </c>
    </row>
    <row r="70" spans="1:17" s="13" customFormat="1" x14ac:dyDescent="0.25">
      <c r="A70" s="229"/>
      <c r="B70" s="62" t="s">
        <v>49</v>
      </c>
      <c r="C70" s="181" t="s">
        <v>17</v>
      </c>
      <c r="D70" s="182"/>
      <c r="E70" s="183" t="s">
        <v>50</v>
      </c>
      <c r="F70" s="73" t="s">
        <v>427</v>
      </c>
      <c r="G70" s="230" t="s">
        <v>115</v>
      </c>
      <c r="H70" s="181">
        <v>22</v>
      </c>
      <c r="I70" s="231">
        <v>9</v>
      </c>
      <c r="J70" s="96">
        <v>10</v>
      </c>
      <c r="K70" s="77">
        <v>22221.53</v>
      </c>
      <c r="L70" s="77">
        <v>22221.53</v>
      </c>
      <c r="M70" s="224">
        <f t="shared" si="2"/>
        <v>0</v>
      </c>
      <c r="N70" s="100">
        <v>12</v>
      </c>
      <c r="O70" s="224">
        <v>26290.400000000001</v>
      </c>
      <c r="P70" s="224">
        <v>26290.400000000001</v>
      </c>
      <c r="Q70" s="79">
        <f t="shared" si="1"/>
        <v>0</v>
      </c>
    </row>
    <row r="71" spans="1:17" s="13" customFormat="1" x14ac:dyDescent="0.25">
      <c r="A71" s="229"/>
      <c r="B71" s="27" t="s">
        <v>51</v>
      </c>
      <c r="C71" s="181" t="s">
        <v>17</v>
      </c>
      <c r="D71" s="182"/>
      <c r="E71" s="183" t="s">
        <v>20</v>
      </c>
      <c r="F71" s="73" t="s">
        <v>186</v>
      </c>
      <c r="G71" s="74" t="s">
        <v>112</v>
      </c>
      <c r="H71" s="75"/>
      <c r="I71" s="76"/>
      <c r="J71" s="96"/>
      <c r="K71" s="77"/>
      <c r="L71" s="77"/>
      <c r="M71" s="224">
        <f t="shared" si="2"/>
        <v>0</v>
      </c>
      <c r="N71" s="100">
        <f>1</f>
        <v>1</v>
      </c>
      <c r="O71" s="81">
        <v>2451.87</v>
      </c>
      <c r="P71" s="81">
        <v>2451.87</v>
      </c>
      <c r="Q71" s="232">
        <f t="shared" si="1"/>
        <v>0</v>
      </c>
    </row>
    <row r="72" spans="1:17" s="13" customFormat="1" x14ac:dyDescent="0.25">
      <c r="A72" s="229"/>
      <c r="B72" s="27" t="s">
        <v>51</v>
      </c>
      <c r="C72" s="181" t="s">
        <v>17</v>
      </c>
      <c r="D72" s="182"/>
      <c r="E72" s="183" t="s">
        <v>20</v>
      </c>
      <c r="F72" s="73" t="s">
        <v>276</v>
      </c>
      <c r="G72" s="230" t="s">
        <v>114</v>
      </c>
      <c r="H72" s="181"/>
      <c r="I72" s="231"/>
      <c r="J72" s="190"/>
      <c r="K72" s="77"/>
      <c r="L72" s="77"/>
      <c r="M72" s="224">
        <f t="shared" si="2"/>
        <v>0</v>
      </c>
      <c r="N72" s="100">
        <v>3</v>
      </c>
      <c r="O72" s="224">
        <v>6763.6</v>
      </c>
      <c r="P72" s="224">
        <v>6763.6</v>
      </c>
      <c r="Q72" s="232">
        <f t="shared" si="1"/>
        <v>0</v>
      </c>
    </row>
    <row r="73" spans="1:17" s="13" customFormat="1" x14ac:dyDescent="0.25">
      <c r="A73" s="229"/>
      <c r="B73" s="62" t="s">
        <v>52</v>
      </c>
      <c r="C73" s="181" t="s">
        <v>17</v>
      </c>
      <c r="D73" s="182"/>
      <c r="E73" s="183" t="s">
        <v>20</v>
      </c>
      <c r="F73" s="73" t="s">
        <v>352</v>
      </c>
      <c r="G73" s="74" t="s">
        <v>112</v>
      </c>
      <c r="H73" s="75">
        <v>17</v>
      </c>
      <c r="I73" s="76">
        <v>13</v>
      </c>
      <c r="J73" s="96">
        <f>1+1+1+1+2+3+1+1+1+2+1+1</f>
        <v>16</v>
      </c>
      <c r="K73" s="77">
        <f>10714.2+2747.14+2138.07+6709.4+7033.21+883.08+708.47+8516.02+1766.16</f>
        <v>41215.75</v>
      </c>
      <c r="L73" s="77">
        <f>10714.2+2747.14+2138.07+6709.4+7033.21+883.08+708.47+8516.02+1766.16</f>
        <v>41215.75</v>
      </c>
      <c r="M73" s="224">
        <f t="shared" si="2"/>
        <v>0</v>
      </c>
      <c r="N73" s="100">
        <f>4+3+1+1+2+3+1+1+2+1</f>
        <v>19</v>
      </c>
      <c r="O73" s="81">
        <f>5977.15+48296.91+7596.86+1061.83+8902.9+6856.31+2935.36+8136.06+17654.09</f>
        <v>107417.47</v>
      </c>
      <c r="P73" s="81">
        <f>5977.15+48296.91+7596.86+1061.83+8902.9+6856.31+2935.36+8136.06+17654.09</f>
        <v>107417.47</v>
      </c>
      <c r="Q73" s="232">
        <f t="shared" si="1"/>
        <v>0</v>
      </c>
    </row>
    <row r="74" spans="1:17" s="13" customFormat="1" x14ac:dyDescent="0.25">
      <c r="A74" s="229"/>
      <c r="B74" s="62" t="s">
        <v>52</v>
      </c>
      <c r="C74" s="181" t="s">
        <v>17</v>
      </c>
      <c r="D74" s="182"/>
      <c r="E74" s="183" t="s">
        <v>20</v>
      </c>
      <c r="F74" s="73" t="s">
        <v>457</v>
      </c>
      <c r="G74" s="230" t="s">
        <v>114</v>
      </c>
      <c r="H74" s="181">
        <v>20</v>
      </c>
      <c r="I74" s="231">
        <v>6</v>
      </c>
      <c r="J74" s="190">
        <v>6</v>
      </c>
      <c r="K74" s="77">
        <v>23474.1</v>
      </c>
      <c r="L74" s="77">
        <v>23474.1</v>
      </c>
      <c r="M74" s="224">
        <f t="shared" si="2"/>
        <v>0</v>
      </c>
      <c r="N74" s="100">
        <v>23</v>
      </c>
      <c r="O74" s="264">
        <v>66614.92</v>
      </c>
      <c r="P74" s="264">
        <v>66614.92</v>
      </c>
      <c r="Q74" s="232">
        <f t="shared" si="1"/>
        <v>0</v>
      </c>
    </row>
    <row r="75" spans="1:17" s="13" customFormat="1" x14ac:dyDescent="0.25">
      <c r="A75" s="229"/>
      <c r="B75" s="27" t="s">
        <v>53</v>
      </c>
      <c r="C75" s="181" t="s">
        <v>17</v>
      </c>
      <c r="D75" s="182"/>
      <c r="E75" s="183" t="s">
        <v>20</v>
      </c>
      <c r="F75" s="73" t="s">
        <v>353</v>
      </c>
      <c r="G75" s="74" t="s">
        <v>112</v>
      </c>
      <c r="H75" s="75">
        <v>20</v>
      </c>
      <c r="I75" s="76">
        <v>12</v>
      </c>
      <c r="J75" s="96">
        <f>2+2+2+1+2+1+1+3+2</f>
        <v>16</v>
      </c>
      <c r="K75" s="77">
        <f>3655.66+6862.24+2535.72+3550.85+401.4+441.54+13534.2+10803.69</f>
        <v>41785.300000000003</v>
      </c>
      <c r="L75" s="77">
        <f>3655.66+6862.24+2535.72+3550.85+401.4+441.54+13534.2+10803.69</f>
        <v>41785.300000000003</v>
      </c>
      <c r="M75" s="224">
        <f t="shared" si="2"/>
        <v>0</v>
      </c>
      <c r="N75" s="100">
        <f>1+2+2+1+1+1+1</f>
        <v>9</v>
      </c>
      <c r="O75" s="81">
        <f>1743.3+3921.71+422.62+5626.45+37901.04+2861.75</f>
        <v>52476.87</v>
      </c>
      <c r="P75" s="81">
        <f>1743.3+3921.71+422.62+5626.45+37901.04+2861.75</f>
        <v>52476.87</v>
      </c>
      <c r="Q75" s="232">
        <f t="shared" si="1"/>
        <v>0</v>
      </c>
    </row>
    <row r="76" spans="1:17" s="13" customFormat="1" x14ac:dyDescent="0.25">
      <c r="A76" s="229"/>
      <c r="B76" s="27" t="s">
        <v>149</v>
      </c>
      <c r="C76" s="181" t="s">
        <v>17</v>
      </c>
      <c r="D76" s="182"/>
      <c r="E76" s="183" t="s">
        <v>383</v>
      </c>
      <c r="F76" s="73" t="s">
        <v>354</v>
      </c>
      <c r="G76" s="74" t="s">
        <v>112</v>
      </c>
      <c r="H76" s="75">
        <v>52</v>
      </c>
      <c r="I76" s="76">
        <v>33</v>
      </c>
      <c r="J76" s="96">
        <f>7+3+3+7+4+6</f>
        <v>30</v>
      </c>
      <c r="K76" s="77">
        <f>7743.07+4386.1+10376.2+18444.03+9897.12+13372.35</f>
        <v>64218.87</v>
      </c>
      <c r="L76" s="77">
        <f>7743.07+4386.1+10376.2+18444.03+9897.12+13372.35</f>
        <v>64218.87</v>
      </c>
      <c r="M76" s="224">
        <f t="shared" ref="M76:M139" si="3">K76-L76</f>
        <v>0</v>
      </c>
      <c r="N76" s="100">
        <f>2+2+2+1+8</f>
        <v>15</v>
      </c>
      <c r="O76" s="81">
        <f>3676.8+3431.65+6320.35+4068.03</f>
        <v>17496.830000000002</v>
      </c>
      <c r="P76" s="81">
        <f>3676.8+3431.65+6320.35+4068.03</f>
        <v>17496.830000000002</v>
      </c>
      <c r="Q76" s="79">
        <f t="shared" si="1"/>
        <v>0</v>
      </c>
    </row>
    <row r="77" spans="1:17" s="13" customFormat="1" x14ac:dyDescent="0.25">
      <c r="A77" s="229"/>
      <c r="B77" s="27" t="s">
        <v>149</v>
      </c>
      <c r="C77" s="181" t="s">
        <v>17</v>
      </c>
      <c r="D77" s="182"/>
      <c r="E77" s="183" t="s">
        <v>383</v>
      </c>
      <c r="F77" s="73" t="s">
        <v>438</v>
      </c>
      <c r="G77" s="230" t="s">
        <v>118</v>
      </c>
      <c r="H77" s="181">
        <v>26</v>
      </c>
      <c r="I77" s="234">
        <v>3</v>
      </c>
      <c r="J77" s="190">
        <v>3</v>
      </c>
      <c r="K77" s="193">
        <v>3988.2</v>
      </c>
      <c r="L77" s="193">
        <v>3988.2</v>
      </c>
      <c r="M77" s="224">
        <f t="shared" si="3"/>
        <v>0</v>
      </c>
      <c r="N77" s="114">
        <v>10</v>
      </c>
      <c r="O77" s="224">
        <v>9835.52</v>
      </c>
      <c r="P77" s="224">
        <v>9835.52</v>
      </c>
      <c r="Q77" s="232">
        <f t="shared" si="1"/>
        <v>0</v>
      </c>
    </row>
    <row r="78" spans="1:17" s="13" customFormat="1" x14ac:dyDescent="0.25">
      <c r="A78" s="229"/>
      <c r="B78" s="62" t="s">
        <v>107</v>
      </c>
      <c r="C78" s="181" t="s">
        <v>17</v>
      </c>
      <c r="D78" s="182"/>
      <c r="E78" s="194" t="s">
        <v>20</v>
      </c>
      <c r="F78" s="73" t="s">
        <v>355</v>
      </c>
      <c r="G78" s="74" t="s">
        <v>112</v>
      </c>
      <c r="H78" s="75">
        <v>25</v>
      </c>
      <c r="I78" s="76">
        <v>18</v>
      </c>
      <c r="J78" s="96">
        <f>1+3+3+2+1+2+1+1+6+3</f>
        <v>23</v>
      </c>
      <c r="K78" s="77">
        <f>666.63+7071.2+5333.38+13316.37+23091.24+4686.95+2216.53+401.4+401.4+9002.54+7650.44+6933.89</f>
        <v>80771.970000000016</v>
      </c>
      <c r="L78" s="77">
        <f>666.63+7071.2+5333.38+13316.37+23091.24+4686.95+2216.53+401.4+401.4+9002.54+7650.44+6933.89</f>
        <v>80771.970000000016</v>
      </c>
      <c r="M78" s="224">
        <f t="shared" si="3"/>
        <v>0</v>
      </c>
      <c r="N78" s="100">
        <f>2+6+1+1+2+1</f>
        <v>13</v>
      </c>
      <c r="O78" s="81">
        <f>7612.92+18804.48+9163.33+3260.98+6297.63+2609.1+642.24</f>
        <v>48390.68</v>
      </c>
      <c r="P78" s="81">
        <f>7612.92+18804.48+9163.33+3260.98+6297.63+2609.1+642.24</f>
        <v>48390.68</v>
      </c>
      <c r="Q78" s="79">
        <f t="shared" si="1"/>
        <v>0</v>
      </c>
    </row>
    <row r="79" spans="1:17" s="13" customFormat="1" x14ac:dyDescent="0.25">
      <c r="A79" s="229"/>
      <c r="B79" s="30" t="s">
        <v>54</v>
      </c>
      <c r="C79" s="181" t="s">
        <v>17</v>
      </c>
      <c r="D79" s="182"/>
      <c r="E79" s="194" t="s">
        <v>20</v>
      </c>
      <c r="F79" s="73" t="s">
        <v>356</v>
      </c>
      <c r="G79" s="74" t="s">
        <v>112</v>
      </c>
      <c r="H79" s="75"/>
      <c r="I79" s="76"/>
      <c r="J79" s="96"/>
      <c r="K79" s="77">
        <f>9075.37</f>
        <v>9075.3700000000008</v>
      </c>
      <c r="L79" s="77">
        <f>9075.37</f>
        <v>9075.3700000000008</v>
      </c>
      <c r="M79" s="224">
        <f t="shared" si="3"/>
        <v>0</v>
      </c>
      <c r="N79" s="100">
        <f>4+1+1+2+1</f>
        <v>9</v>
      </c>
      <c r="O79" s="81">
        <f>17895.28+17443.73+5473.41+2994.97</f>
        <v>43807.39</v>
      </c>
      <c r="P79" s="81">
        <f>17895.28+17443.73+5473.41+2994.97</f>
        <v>43807.39</v>
      </c>
      <c r="Q79" s="79">
        <f t="shared" si="1"/>
        <v>0</v>
      </c>
    </row>
    <row r="80" spans="1:17" s="13" customFormat="1" ht="30" x14ac:dyDescent="0.25">
      <c r="A80" s="229"/>
      <c r="B80" s="27" t="s">
        <v>55</v>
      </c>
      <c r="C80" s="181" t="s">
        <v>304</v>
      </c>
      <c r="D80" s="182" t="s">
        <v>387</v>
      </c>
      <c r="E80" s="183" t="s">
        <v>20</v>
      </c>
      <c r="F80" s="73" t="s">
        <v>357</v>
      </c>
      <c r="G80" s="74" t="s">
        <v>112</v>
      </c>
      <c r="H80" s="75">
        <v>36</v>
      </c>
      <c r="I80" s="76">
        <v>28</v>
      </c>
      <c r="J80" s="98">
        <f>3+1+1+2+1+1+1+3+3+1+3+1+3+3+3+1+3</f>
        <v>34</v>
      </c>
      <c r="K80" s="77">
        <f>1267.86+6667.8+5756.15+1180.38+4780.37+4352.43+2850.42+2493.42+1404.9+10097.91+883.08+8774.66+2561.63+8797.67+1858.48+3871.8+2260.39+2717.89+924.88</f>
        <v>73502.12000000001</v>
      </c>
      <c r="L80" s="77">
        <f>1267.86+6667.8+5756.15+1180.38+4780.37+4352.43+2850.42+2493.42+1404.9+10097.91+883.08+8774.66+2561.63+8797.67+1858.48+3871.8+2260.39+2717.89+924.88</f>
        <v>73502.12000000001</v>
      </c>
      <c r="M80" s="224">
        <f t="shared" si="3"/>
        <v>0</v>
      </c>
      <c r="N80" s="100">
        <f>2+1+2+2+2+1+2+1+1+1+1</f>
        <v>16</v>
      </c>
      <c r="O80" s="81">
        <f>34854.19+2113.1+6430.67+5463.42+39145.22+2535.72+5132.44+12985.86+3492.63+4013.52</f>
        <v>116166.77000000002</v>
      </c>
      <c r="P80" s="81">
        <f>34854.19+2113.1+6430.67+5463.42+39145.22+2535.72+5132.44+12985.86+3492.63+4013.52</f>
        <v>116166.77000000002</v>
      </c>
      <c r="Q80" s="232">
        <f t="shared" si="1"/>
        <v>0</v>
      </c>
    </row>
    <row r="81" spans="1:17" s="13" customFormat="1" ht="30" x14ac:dyDescent="0.25">
      <c r="A81" s="229"/>
      <c r="B81" s="62" t="s">
        <v>56</v>
      </c>
      <c r="C81" s="181" t="s">
        <v>17</v>
      </c>
      <c r="D81" s="182" t="s">
        <v>386</v>
      </c>
      <c r="E81" s="183" t="s">
        <v>18</v>
      </c>
      <c r="F81" s="73" t="s">
        <v>358</v>
      </c>
      <c r="G81" s="74" t="s">
        <v>112</v>
      </c>
      <c r="H81" s="75">
        <v>14</v>
      </c>
      <c r="I81" s="76">
        <v>12</v>
      </c>
      <c r="J81" s="96">
        <f>1+1+2+2+5+1</f>
        <v>12</v>
      </c>
      <c r="K81" s="77">
        <f>678.11+678.11+4865.7+5265.72+4915.15+2243.02</f>
        <v>18645.810000000001</v>
      </c>
      <c r="L81" s="77">
        <f>678.11+678.11+4865.7+5265.72+4915.15+2243.02</f>
        <v>18645.810000000001</v>
      </c>
      <c r="M81" s="224">
        <f t="shared" si="3"/>
        <v>0</v>
      </c>
      <c r="N81" s="100">
        <f>1</f>
        <v>1</v>
      </c>
      <c r="O81" s="81">
        <f>4395.5</f>
        <v>4395.5</v>
      </c>
      <c r="P81" s="81">
        <f>4395.5</f>
        <v>4395.5</v>
      </c>
      <c r="Q81" s="79">
        <f t="shared" si="1"/>
        <v>0</v>
      </c>
    </row>
    <row r="82" spans="1:17" s="13" customFormat="1" ht="30" x14ac:dyDescent="0.25">
      <c r="A82" s="229"/>
      <c r="B82" s="62" t="s">
        <v>56</v>
      </c>
      <c r="C82" s="181" t="s">
        <v>304</v>
      </c>
      <c r="D82" s="182" t="s">
        <v>386</v>
      </c>
      <c r="E82" s="183" t="s">
        <v>18</v>
      </c>
      <c r="F82" s="73" t="s">
        <v>476</v>
      </c>
      <c r="G82" s="230" t="s">
        <v>113</v>
      </c>
      <c r="H82" s="181">
        <v>14</v>
      </c>
      <c r="I82" s="234">
        <v>11</v>
      </c>
      <c r="J82" s="98">
        <v>13</v>
      </c>
      <c r="K82" s="77">
        <v>22467</v>
      </c>
      <c r="L82" s="77">
        <v>22467</v>
      </c>
      <c r="M82" s="224">
        <f t="shared" si="3"/>
        <v>0</v>
      </c>
      <c r="N82" s="100"/>
      <c r="O82" s="224">
        <v>7612</v>
      </c>
      <c r="P82" s="224">
        <v>7612</v>
      </c>
      <c r="Q82" s="232">
        <f t="shared" ref="Q82:Q148" si="4">O82-P82</f>
        <v>0</v>
      </c>
    </row>
    <row r="83" spans="1:17" s="13" customFormat="1" x14ac:dyDescent="0.25">
      <c r="A83" s="229"/>
      <c r="B83" s="62" t="s">
        <v>156</v>
      </c>
      <c r="C83" s="181" t="s">
        <v>304</v>
      </c>
      <c r="D83" s="182"/>
      <c r="E83" s="183" t="s">
        <v>20</v>
      </c>
      <c r="F83" s="73" t="s">
        <v>359</v>
      </c>
      <c r="G83" s="74" t="s">
        <v>112</v>
      </c>
      <c r="H83" s="75">
        <v>5</v>
      </c>
      <c r="I83" s="76">
        <v>2</v>
      </c>
      <c r="J83" s="96">
        <f>2</f>
        <v>2</v>
      </c>
      <c r="K83" s="77">
        <f>1690.48+993.47</f>
        <v>2683.95</v>
      </c>
      <c r="L83" s="77">
        <f>1690.48+993.47</f>
        <v>2683.95</v>
      </c>
      <c r="M83" s="224">
        <f t="shared" si="3"/>
        <v>0</v>
      </c>
      <c r="N83" s="100">
        <f>3+1+1</f>
        <v>5</v>
      </c>
      <c r="O83" s="81">
        <f>5488.54+2398.37+422.62+1605.6</f>
        <v>9915.130000000001</v>
      </c>
      <c r="P83" s="81">
        <f>5488.54+2398.37+422.62+1605.6</f>
        <v>9915.130000000001</v>
      </c>
      <c r="Q83" s="79">
        <f t="shared" si="4"/>
        <v>0</v>
      </c>
    </row>
    <row r="84" spans="1:17" s="15" customFormat="1" x14ac:dyDescent="0.25">
      <c r="A84" s="229"/>
      <c r="B84" s="62" t="s">
        <v>57</v>
      </c>
      <c r="C84" s="181" t="s">
        <v>17</v>
      </c>
      <c r="D84" s="182"/>
      <c r="E84" s="183" t="s">
        <v>20</v>
      </c>
      <c r="F84" s="73" t="s">
        <v>360</v>
      </c>
      <c r="G84" s="74" t="s">
        <v>112</v>
      </c>
      <c r="H84" s="75">
        <v>9</v>
      </c>
      <c r="I84" s="76">
        <v>8</v>
      </c>
      <c r="J84" s="96">
        <f>2+1+1+2+2+1</f>
        <v>9</v>
      </c>
      <c r="K84" s="77">
        <f>806.82+1728.9+422.62+2958.34+863.01+3197.13</f>
        <v>9976.82</v>
      </c>
      <c r="L84" s="77">
        <f>806.82+1728.9+422.62+2958.34+863.01+3197.13</f>
        <v>9976.82</v>
      </c>
      <c r="M84" s="224">
        <f t="shared" si="3"/>
        <v>0</v>
      </c>
      <c r="N84" s="100">
        <f>2+1+1+1</f>
        <v>5</v>
      </c>
      <c r="O84" s="81">
        <f>2745.3+4508.79</f>
        <v>7254.09</v>
      </c>
      <c r="P84" s="81">
        <f>2745.3+4508.79</f>
        <v>7254.09</v>
      </c>
      <c r="Q84" s="232">
        <f t="shared" si="4"/>
        <v>0</v>
      </c>
    </row>
    <row r="85" spans="1:17" s="15" customFormat="1" x14ac:dyDescent="0.25">
      <c r="A85" s="229"/>
      <c r="B85" s="62" t="s">
        <v>57</v>
      </c>
      <c r="C85" s="181" t="s">
        <v>17</v>
      </c>
      <c r="D85" s="182"/>
      <c r="E85" s="183" t="s">
        <v>20</v>
      </c>
      <c r="F85" s="73" t="s">
        <v>458</v>
      </c>
      <c r="G85" s="230" t="s">
        <v>114</v>
      </c>
      <c r="H85" s="181">
        <v>45</v>
      </c>
      <c r="I85" s="231">
        <v>21</v>
      </c>
      <c r="J85" s="190">
        <v>21</v>
      </c>
      <c r="K85" s="77">
        <v>52367.360000000001</v>
      </c>
      <c r="L85" s="77">
        <v>52367.360000000001</v>
      </c>
      <c r="M85" s="224">
        <f t="shared" si="3"/>
        <v>0</v>
      </c>
      <c r="N85" s="100">
        <v>20</v>
      </c>
      <c r="O85" s="224">
        <v>42687.199999999997</v>
      </c>
      <c r="P85" s="224">
        <v>42687.199999999997</v>
      </c>
      <c r="Q85" s="232">
        <f t="shared" si="4"/>
        <v>0</v>
      </c>
    </row>
    <row r="86" spans="1:17" s="13" customFormat="1" x14ac:dyDescent="0.25">
      <c r="A86" s="229"/>
      <c r="B86" s="62" t="s">
        <v>58</v>
      </c>
      <c r="C86" s="181" t="s">
        <v>17</v>
      </c>
      <c r="D86" s="182"/>
      <c r="E86" s="183" t="s">
        <v>20</v>
      </c>
      <c r="F86" s="73" t="s">
        <v>361</v>
      </c>
      <c r="G86" s="74" t="s">
        <v>112</v>
      </c>
      <c r="H86" s="75">
        <v>13</v>
      </c>
      <c r="I86" s="76">
        <v>9</v>
      </c>
      <c r="J86" s="96">
        <f>1+2+1+1+1+1+2</f>
        <v>9</v>
      </c>
      <c r="K86" s="77">
        <f>1892.47+3118.94+422.62+1324.62+12755.56</f>
        <v>19514.21</v>
      </c>
      <c r="L86" s="77">
        <f>1892.47+3118.94+422.62+1324.62+12755.56</f>
        <v>19514.21</v>
      </c>
      <c r="M86" s="224">
        <f t="shared" si="3"/>
        <v>0</v>
      </c>
      <c r="N86" s="100">
        <f>1+1+3+1</f>
        <v>6</v>
      </c>
      <c r="O86" s="81">
        <f>9196.24+2480.78+2954.11+15214.32</f>
        <v>29845.45</v>
      </c>
      <c r="P86" s="81">
        <f>9196.24+2480.78+2954.11+15214.32</f>
        <v>29845.45</v>
      </c>
      <c r="Q86" s="232">
        <f t="shared" si="4"/>
        <v>0</v>
      </c>
    </row>
    <row r="87" spans="1:17" s="13" customFormat="1" x14ac:dyDescent="0.25">
      <c r="A87" s="229"/>
      <c r="B87" s="62" t="s">
        <v>58</v>
      </c>
      <c r="C87" s="181" t="s">
        <v>17</v>
      </c>
      <c r="D87" s="182"/>
      <c r="E87" s="183" t="s">
        <v>20</v>
      </c>
      <c r="F87" s="73" t="s">
        <v>478</v>
      </c>
      <c r="G87" s="230" t="s">
        <v>114</v>
      </c>
      <c r="H87" s="181">
        <v>15</v>
      </c>
      <c r="I87" s="231">
        <v>3</v>
      </c>
      <c r="J87" s="190">
        <v>3</v>
      </c>
      <c r="K87" s="77">
        <v>3765.16</v>
      </c>
      <c r="L87" s="77">
        <v>3765.16</v>
      </c>
      <c r="M87" s="224">
        <f t="shared" si="3"/>
        <v>0</v>
      </c>
      <c r="N87" s="100">
        <v>21</v>
      </c>
      <c r="O87" s="224">
        <v>54215.77</v>
      </c>
      <c r="P87" s="224">
        <v>54215.77</v>
      </c>
      <c r="Q87" s="232">
        <f t="shared" si="4"/>
        <v>0</v>
      </c>
    </row>
    <row r="88" spans="1:17" s="13" customFormat="1" x14ac:dyDescent="0.25">
      <c r="A88" s="229"/>
      <c r="B88" s="62" t="s">
        <v>59</v>
      </c>
      <c r="C88" s="181" t="s">
        <v>17</v>
      </c>
      <c r="D88" s="182"/>
      <c r="E88" s="183" t="s">
        <v>20</v>
      </c>
      <c r="F88" s="73" t="s">
        <v>362</v>
      </c>
      <c r="G88" s="74" t="s">
        <v>112</v>
      </c>
      <c r="H88" s="75">
        <v>16</v>
      </c>
      <c r="I88" s="76">
        <v>11</v>
      </c>
      <c r="J88" s="96">
        <f>1+1+1+3+1+1+2+1+1</f>
        <v>12</v>
      </c>
      <c r="K88" s="77">
        <f>403.41+1431.16+845.24+998.92+3059.87+5898.13+2379.46+1845.14+2833.92</f>
        <v>19695.25</v>
      </c>
      <c r="L88" s="77">
        <f>403.41+1431.16+845.24+998.92+3059.87+5898.13+2379.46+1845.14+2833.92</f>
        <v>19695.25</v>
      </c>
      <c r="M88" s="224">
        <f t="shared" si="3"/>
        <v>0</v>
      </c>
      <c r="N88" s="100">
        <f>1+2+2+1+1+1+1+1</f>
        <v>10</v>
      </c>
      <c r="O88" s="81">
        <f>6646.05+1267.86+979.71</f>
        <v>8893.619999999999</v>
      </c>
      <c r="P88" s="81">
        <f>6646.05+1267.86+979.71</f>
        <v>8893.619999999999</v>
      </c>
      <c r="Q88" s="232">
        <f t="shared" si="4"/>
        <v>0</v>
      </c>
    </row>
    <row r="89" spans="1:17" s="13" customFormat="1" x14ac:dyDescent="0.25">
      <c r="A89" s="229"/>
      <c r="B89" s="62" t="s">
        <v>59</v>
      </c>
      <c r="C89" s="181" t="s">
        <v>17</v>
      </c>
      <c r="D89" s="182"/>
      <c r="E89" s="183" t="s">
        <v>20</v>
      </c>
      <c r="F89" s="73" t="s">
        <v>128</v>
      </c>
      <c r="G89" s="230" t="s">
        <v>114</v>
      </c>
      <c r="H89" s="181"/>
      <c r="I89" s="231"/>
      <c r="J89" s="190"/>
      <c r="K89" s="77"/>
      <c r="L89" s="77"/>
      <c r="M89" s="224">
        <f t="shared" si="3"/>
        <v>0</v>
      </c>
      <c r="N89" s="100"/>
      <c r="O89" s="224"/>
      <c r="P89" s="224"/>
      <c r="Q89" s="232">
        <f t="shared" si="4"/>
        <v>0</v>
      </c>
    </row>
    <row r="90" spans="1:17" s="13" customFormat="1" x14ac:dyDescent="0.25">
      <c r="A90" s="229"/>
      <c r="B90" s="27" t="s">
        <v>60</v>
      </c>
      <c r="C90" s="181" t="s">
        <v>17</v>
      </c>
      <c r="D90" s="182"/>
      <c r="E90" s="183" t="s">
        <v>20</v>
      </c>
      <c r="F90" s="73" t="s">
        <v>364</v>
      </c>
      <c r="G90" s="74" t="s">
        <v>112</v>
      </c>
      <c r="H90" s="75">
        <v>22</v>
      </c>
      <c r="I90" s="76">
        <v>12</v>
      </c>
      <c r="J90" s="96">
        <f>1+1+1+4+4+2+2</f>
        <v>15</v>
      </c>
      <c r="K90" s="77">
        <f>634.93+893.27+2930.22+8503.46+16092.98+5716.27</f>
        <v>34771.130000000005</v>
      </c>
      <c r="L90" s="77">
        <f>634.93+893.27+2930.22+8503.46+16092.98+5716.27</f>
        <v>34771.130000000005</v>
      </c>
      <c r="M90" s="224">
        <f t="shared" si="3"/>
        <v>0</v>
      </c>
      <c r="N90" s="100">
        <f>4+1+3+1+1+2+2</f>
        <v>14</v>
      </c>
      <c r="O90" s="81">
        <f>15124.53+2065.75+8492.52+5828.3+7183.28+5512.5</f>
        <v>44206.879999999997</v>
      </c>
      <c r="P90" s="81">
        <f>15124.53+2065.75+8492.52+5828.3+7183.28+5512.5</f>
        <v>44206.879999999997</v>
      </c>
      <c r="Q90" s="232">
        <f t="shared" si="4"/>
        <v>0</v>
      </c>
    </row>
    <row r="91" spans="1:17" s="13" customFormat="1" x14ac:dyDescent="0.25">
      <c r="A91" s="229"/>
      <c r="B91" s="27" t="s">
        <v>60</v>
      </c>
      <c r="C91" s="181" t="s">
        <v>17</v>
      </c>
      <c r="D91" s="182"/>
      <c r="E91" s="183" t="s">
        <v>20</v>
      </c>
      <c r="F91" s="73" t="s">
        <v>479</v>
      </c>
      <c r="G91" s="230" t="s">
        <v>114</v>
      </c>
      <c r="H91" s="181">
        <v>17</v>
      </c>
      <c r="I91" s="231">
        <v>4</v>
      </c>
      <c r="J91" s="190">
        <v>4</v>
      </c>
      <c r="K91" s="77">
        <v>8197.2000000000007</v>
      </c>
      <c r="L91" s="77">
        <v>8197.2000000000007</v>
      </c>
      <c r="M91" s="224">
        <f t="shared" si="3"/>
        <v>0</v>
      </c>
      <c r="N91" s="100">
        <v>14</v>
      </c>
      <c r="O91" s="224">
        <v>44683.68</v>
      </c>
      <c r="P91" s="224">
        <v>44683.68</v>
      </c>
      <c r="Q91" s="232">
        <f t="shared" si="4"/>
        <v>0</v>
      </c>
    </row>
    <row r="92" spans="1:17" s="13" customFormat="1" x14ac:dyDescent="0.25">
      <c r="A92" s="229"/>
      <c r="B92" s="27" t="s">
        <v>493</v>
      </c>
      <c r="C92" s="181" t="s">
        <v>17</v>
      </c>
      <c r="D92" s="182"/>
      <c r="E92" s="183" t="s">
        <v>20</v>
      </c>
      <c r="F92" s="73" t="s">
        <v>496</v>
      </c>
      <c r="G92" s="230" t="s">
        <v>112</v>
      </c>
      <c r="H92" s="181">
        <v>19</v>
      </c>
      <c r="I92" s="231">
        <v>15</v>
      </c>
      <c r="J92" s="190">
        <f>3+2+1+3+1+2+1+3+3+1+1+1</f>
        <v>22</v>
      </c>
      <c r="K92" s="77">
        <f>3387.04+3467.41+1267.86+2218.74+8089.94+1924.71+5638.36+4883.04+2510.56+993.47+2561.63+693.66+4069.47</f>
        <v>41705.89</v>
      </c>
      <c r="L92" s="77">
        <f>3387.04+3467.41+1267.86+2218.74+8089.94+1924.71+5638.36+4883.04+2510.56+993.47+2561.63+693.66+4069.47</f>
        <v>41705.89</v>
      </c>
      <c r="M92" s="224">
        <f t="shared" si="3"/>
        <v>0</v>
      </c>
      <c r="N92" s="100"/>
      <c r="O92" s="224"/>
      <c r="P92" s="224"/>
      <c r="Q92" s="232">
        <f t="shared" si="4"/>
        <v>0</v>
      </c>
    </row>
    <row r="93" spans="1:17" s="15" customFormat="1" x14ac:dyDescent="0.25">
      <c r="A93" s="229"/>
      <c r="B93" s="27" t="s">
        <v>61</v>
      </c>
      <c r="C93" s="181" t="s">
        <v>17</v>
      </c>
      <c r="D93" s="182"/>
      <c r="E93" s="183" t="s">
        <v>20</v>
      </c>
      <c r="F93" s="73" t="s">
        <v>363</v>
      </c>
      <c r="G93" s="74" t="s">
        <v>112</v>
      </c>
      <c r="H93" s="75"/>
      <c r="I93" s="76"/>
      <c r="J93" s="96"/>
      <c r="K93" s="77"/>
      <c r="L93" s="77"/>
      <c r="M93" s="224">
        <f t="shared" si="3"/>
        <v>0</v>
      </c>
      <c r="N93" s="100"/>
      <c r="O93" s="81"/>
      <c r="P93" s="81"/>
      <c r="Q93" s="232">
        <f t="shared" si="4"/>
        <v>0</v>
      </c>
    </row>
    <row r="94" spans="1:17" s="15" customFormat="1" x14ac:dyDescent="0.25">
      <c r="A94" s="229"/>
      <c r="B94" s="236" t="s">
        <v>306</v>
      </c>
      <c r="C94" s="181" t="s">
        <v>17</v>
      </c>
      <c r="D94" s="182"/>
      <c r="E94" s="183" t="s">
        <v>35</v>
      </c>
      <c r="F94" s="73" t="s">
        <v>365</v>
      </c>
      <c r="G94" s="230" t="s">
        <v>112</v>
      </c>
      <c r="H94" s="181">
        <v>45</v>
      </c>
      <c r="I94" s="231">
        <v>34</v>
      </c>
      <c r="J94" s="190">
        <f>1+2+1+3+3+2+3+1+2+1+3+4+3+6+2</f>
        <v>37</v>
      </c>
      <c r="K94" s="77">
        <f>1045.98+2658.7+35696.14+4892.46+1024.04+2384.53+10793.24+5320.79+2075.24+1324.62+1192.16+2649.24+3973.86+4633.65</f>
        <v>79664.649999999994</v>
      </c>
      <c r="L94" s="77">
        <f>1045.98+2658.7+35696.14+4892.46+1024.04+2384.53+10793.24+5320.79+2075.24+1324.62+1192.16+2649.24+3973.86+4633.65</f>
        <v>79664.649999999994</v>
      </c>
      <c r="M94" s="224">
        <f t="shared" si="3"/>
        <v>0</v>
      </c>
      <c r="N94" s="114">
        <f>7+2+2+2+1+1+1+1</f>
        <v>17</v>
      </c>
      <c r="O94" s="224">
        <f>2313.84+6162.57+2330.32+1690.48+3706.14+3107.65+4960.7+5418.93</f>
        <v>29690.63</v>
      </c>
      <c r="P94" s="224">
        <f>2313.84+6162.57+2330.32+1690.48+3706.14+3107.65+4960.7+5418.93</f>
        <v>29690.63</v>
      </c>
      <c r="Q94" s="232">
        <f t="shared" si="4"/>
        <v>0</v>
      </c>
    </row>
    <row r="95" spans="1:17" s="13" customFormat="1" x14ac:dyDescent="0.25">
      <c r="A95" s="229"/>
      <c r="B95" s="62" t="s">
        <v>306</v>
      </c>
      <c r="C95" s="181" t="s">
        <v>17</v>
      </c>
      <c r="D95" s="182"/>
      <c r="E95" s="183" t="s">
        <v>27</v>
      </c>
      <c r="F95" s="73" t="s">
        <v>421</v>
      </c>
      <c r="G95" s="230" t="s">
        <v>117</v>
      </c>
      <c r="H95" s="181">
        <v>6</v>
      </c>
      <c r="I95" s="231">
        <v>2</v>
      </c>
      <c r="J95" s="96">
        <v>2</v>
      </c>
      <c r="K95" s="77">
        <v>5465.2</v>
      </c>
      <c r="L95" s="77">
        <v>5465.2</v>
      </c>
      <c r="M95" s="224">
        <f t="shared" si="3"/>
        <v>0</v>
      </c>
      <c r="N95" s="100"/>
      <c r="O95" s="77"/>
      <c r="P95" s="77"/>
      <c r="Q95" s="79">
        <f>O95-P95</f>
        <v>0</v>
      </c>
    </row>
    <row r="96" spans="1:17" s="13" customFormat="1" x14ac:dyDescent="0.25">
      <c r="A96" s="229"/>
      <c r="B96" s="27" t="s">
        <v>62</v>
      </c>
      <c r="C96" s="181" t="s">
        <v>17</v>
      </c>
      <c r="D96" s="182"/>
      <c r="E96" s="183" t="s">
        <v>35</v>
      </c>
      <c r="F96" s="73" t="s">
        <v>366</v>
      </c>
      <c r="G96" s="74" t="s">
        <v>112</v>
      </c>
      <c r="H96" s="75">
        <v>43</v>
      </c>
      <c r="I96" s="76">
        <v>34</v>
      </c>
      <c r="J96" s="96">
        <f>1+3+1+1+2+4+4+3+3+4+2+9</f>
        <v>37</v>
      </c>
      <c r="K96" s="77">
        <f>3613.4+1872.01+1394.65+3518.32+15902.72+5370.89+2686.97+19155.26+5281.5+2557.29+10376.48</f>
        <v>71729.490000000005</v>
      </c>
      <c r="L96" s="77">
        <f>3613.4+1872.01+1394.65+3518.32+15902.72+5370.89+2686.97+19155.26+5281.5+2557.29+10376.48</f>
        <v>71729.490000000005</v>
      </c>
      <c r="M96" s="224">
        <f t="shared" si="3"/>
        <v>0</v>
      </c>
      <c r="N96" s="100">
        <f>6+2+1+2+1+3+1+1</f>
        <v>17</v>
      </c>
      <c r="O96" s="81">
        <f>19511.33+1270.93+3979.74+2500.85+8530.18+845.24+12787.47+17476.07</f>
        <v>66901.81</v>
      </c>
      <c r="P96" s="81">
        <f>19511.33+1270.93+3979.74+2500.85+8530.18+845.24+12787.47+17476.07</f>
        <v>66901.81</v>
      </c>
      <c r="Q96" s="79">
        <f t="shared" si="4"/>
        <v>0</v>
      </c>
    </row>
    <row r="97" spans="1:17" s="13" customFormat="1" x14ac:dyDescent="0.25">
      <c r="A97" s="229"/>
      <c r="B97" s="27" t="s">
        <v>62</v>
      </c>
      <c r="C97" s="181" t="s">
        <v>17</v>
      </c>
      <c r="D97" s="182"/>
      <c r="E97" s="183" t="s">
        <v>35</v>
      </c>
      <c r="F97" s="73" t="s">
        <v>428</v>
      </c>
      <c r="G97" s="230" t="s">
        <v>117</v>
      </c>
      <c r="H97" s="181">
        <v>6</v>
      </c>
      <c r="I97" s="231">
        <v>3</v>
      </c>
      <c r="J97" s="96">
        <v>3</v>
      </c>
      <c r="K97" s="77">
        <v>5549.28</v>
      </c>
      <c r="L97" s="77">
        <v>5549.28</v>
      </c>
      <c r="M97" s="224">
        <f t="shared" si="3"/>
        <v>0</v>
      </c>
      <c r="N97" s="100">
        <v>10</v>
      </c>
      <c r="O97" s="224">
        <v>35030.800000000003</v>
      </c>
      <c r="P97" s="224">
        <v>35030.800000000003</v>
      </c>
      <c r="Q97" s="232">
        <f t="shared" si="4"/>
        <v>0</v>
      </c>
    </row>
    <row r="98" spans="1:17" s="13" customFormat="1" x14ac:dyDescent="0.25">
      <c r="A98" s="229"/>
      <c r="B98" s="27" t="s">
        <v>155</v>
      </c>
      <c r="C98" s="181" t="s">
        <v>17</v>
      </c>
      <c r="D98" s="182"/>
      <c r="E98" s="183" t="s">
        <v>20</v>
      </c>
      <c r="F98" s="73" t="s">
        <v>367</v>
      </c>
      <c r="G98" s="74" t="s">
        <v>112</v>
      </c>
      <c r="H98" s="75">
        <v>18</v>
      </c>
      <c r="I98" s="82">
        <v>10</v>
      </c>
      <c r="J98" s="96">
        <f>1+2+3+1+2+2+1+1+1</f>
        <v>14</v>
      </c>
      <c r="K98" s="77">
        <f>3117.56+2266.78+5307.72+3606.94+1494.21+6905.68+2817.8+364.27+1657.62</f>
        <v>27538.58</v>
      </c>
      <c r="L98" s="77">
        <f>3117.56+2266.78+5307.72+3606.94+1494.21+6905.68+2817.8+364.27+1657.62</f>
        <v>27538.58</v>
      </c>
      <c r="M98" s="224">
        <f t="shared" si="3"/>
        <v>0</v>
      </c>
      <c r="N98" s="100">
        <f>1+1+1+1+1</f>
        <v>5</v>
      </c>
      <c r="O98" s="81">
        <f>1798.06+2123.67+2959.73</f>
        <v>6881.46</v>
      </c>
      <c r="P98" s="81">
        <f>1798.06+2123.67+2959.73</f>
        <v>6881.46</v>
      </c>
      <c r="Q98" s="232">
        <f t="shared" si="4"/>
        <v>0</v>
      </c>
    </row>
    <row r="99" spans="1:17" s="13" customFormat="1" x14ac:dyDescent="0.25">
      <c r="A99" s="229"/>
      <c r="B99" s="27" t="s">
        <v>523</v>
      </c>
      <c r="C99" s="181"/>
      <c r="D99" s="182"/>
      <c r="E99" s="183"/>
      <c r="F99" s="73"/>
      <c r="G99" s="74" t="s">
        <v>114</v>
      </c>
      <c r="H99" s="75">
        <v>5</v>
      </c>
      <c r="I99" s="82"/>
      <c r="J99" s="96"/>
      <c r="K99" s="77"/>
      <c r="L99" s="77"/>
      <c r="M99" s="224">
        <f t="shared" si="3"/>
        <v>0</v>
      </c>
      <c r="N99" s="100"/>
      <c r="O99" s="81"/>
      <c r="P99" s="81"/>
      <c r="Q99" s="232"/>
    </row>
    <row r="100" spans="1:17" s="13" customFormat="1" ht="15.75" x14ac:dyDescent="0.25">
      <c r="A100" s="229"/>
      <c r="B100" s="27" t="s">
        <v>155</v>
      </c>
      <c r="C100" s="181" t="s">
        <v>17</v>
      </c>
      <c r="D100" s="182"/>
      <c r="E100" s="183" t="s">
        <v>20</v>
      </c>
      <c r="F100" s="73" t="s">
        <v>459</v>
      </c>
      <c r="G100" s="230" t="s">
        <v>114</v>
      </c>
      <c r="H100" s="1">
        <v>18</v>
      </c>
      <c r="I100" s="231">
        <v>5</v>
      </c>
      <c r="J100" s="190">
        <v>5</v>
      </c>
      <c r="K100" s="77">
        <v>13230.71</v>
      </c>
      <c r="L100" s="77">
        <v>13230.71</v>
      </c>
      <c r="M100" s="224">
        <f t="shared" si="3"/>
        <v>0</v>
      </c>
      <c r="N100" s="100">
        <v>16</v>
      </c>
      <c r="O100" s="224">
        <v>36413.46</v>
      </c>
      <c r="P100" s="224">
        <v>36413.46</v>
      </c>
      <c r="Q100" s="232">
        <f t="shared" si="4"/>
        <v>0</v>
      </c>
    </row>
    <row r="101" spans="1:17" s="13" customFormat="1" x14ac:dyDescent="0.25">
      <c r="A101" s="229"/>
      <c r="B101" s="30" t="s">
        <v>66</v>
      </c>
      <c r="C101" s="181" t="s">
        <v>17</v>
      </c>
      <c r="D101" s="182"/>
      <c r="E101" s="183" t="s">
        <v>21</v>
      </c>
      <c r="F101" s="73" t="s">
        <v>368</v>
      </c>
      <c r="G101" s="74" t="s">
        <v>112</v>
      </c>
      <c r="H101" s="75">
        <v>43</v>
      </c>
      <c r="I101" s="76">
        <v>35</v>
      </c>
      <c r="J101" s="96">
        <f>1+3+2+3+2+1+2+1+3+7+4+3+2+3+4+5+7+1+1</f>
        <v>55</v>
      </c>
      <c r="K101" s="77">
        <f>1045.98+4309.04+3820.12+1872.01+4253.49+3044.79+1191.19+4942.84+9299.2+9796.16+4139.27+2886.87+11269.91+12820.57+18537.23+2815.43+1040.49</f>
        <v>97084.59</v>
      </c>
      <c r="L101" s="77">
        <f>1045.98+4309.04+3820.12+1872.01+4253.49+3044.79+1191.19+4942.84+9299.2+9796.16+4139.27+2886.87+11269.91+12820.57+18537.23+2815.43+1040.49</f>
        <v>97084.59</v>
      </c>
      <c r="M101" s="224">
        <f t="shared" si="3"/>
        <v>0</v>
      </c>
      <c r="N101" s="100">
        <f>6+3+8+7+1+1+1+2+1+1+1+1+1+1+1</f>
        <v>36</v>
      </c>
      <c r="O101" s="81">
        <f>11911.17+23136+18060.17+1977.84+2091.97+19535.65+19124.11+3199.71+4430.07+5418.9+2717.24+5690.21</f>
        <v>117293.04000000001</v>
      </c>
      <c r="P101" s="81">
        <f>11911.17+23136+18060.17+1977.84+2091.97+19535.65+19124.11+3199.71+4430.07+5418.9+2717.24+5690.21</f>
        <v>117293.04000000001</v>
      </c>
      <c r="Q101" s="232">
        <f t="shared" si="4"/>
        <v>0</v>
      </c>
    </row>
    <row r="102" spans="1:17" s="13" customFormat="1" x14ac:dyDescent="0.25">
      <c r="A102" s="229"/>
      <c r="B102" s="30" t="s">
        <v>66</v>
      </c>
      <c r="C102" s="181" t="s">
        <v>17</v>
      </c>
      <c r="D102" s="182"/>
      <c r="E102" s="183" t="s">
        <v>21</v>
      </c>
      <c r="F102" s="73" t="s">
        <v>439</v>
      </c>
      <c r="G102" s="230" t="s">
        <v>118</v>
      </c>
      <c r="H102" s="181">
        <v>11</v>
      </c>
      <c r="I102" s="231">
        <v>4</v>
      </c>
      <c r="J102" s="96">
        <v>4</v>
      </c>
      <c r="K102" s="77">
        <v>7173.6</v>
      </c>
      <c r="L102" s="77">
        <v>7173.6</v>
      </c>
      <c r="M102" s="224">
        <f t="shared" si="3"/>
        <v>0</v>
      </c>
      <c r="N102" s="100">
        <v>24</v>
      </c>
      <c r="O102" s="224">
        <v>81462.58</v>
      </c>
      <c r="P102" s="224">
        <v>81462.58</v>
      </c>
      <c r="Q102" s="79">
        <f t="shared" si="4"/>
        <v>0</v>
      </c>
    </row>
    <row r="103" spans="1:17" s="13" customFormat="1" x14ac:dyDescent="0.25">
      <c r="A103" s="229"/>
      <c r="B103" s="62" t="s">
        <v>137</v>
      </c>
      <c r="C103" s="181" t="s">
        <v>17</v>
      </c>
      <c r="D103" s="182"/>
      <c r="E103" s="194" t="s">
        <v>35</v>
      </c>
      <c r="F103" s="73" t="s">
        <v>369</v>
      </c>
      <c r="G103" s="74" t="s">
        <v>112</v>
      </c>
      <c r="H103" s="75">
        <v>45</v>
      </c>
      <c r="I103" s="76">
        <v>32</v>
      </c>
      <c r="J103" s="96">
        <f>3+3+1+4+1+3+2+3+6+2+3+1+2</f>
        <v>34</v>
      </c>
      <c r="K103" s="77">
        <f>504.26+845.24+3380.96+422.62+2535.72+6256.62+883.08+2649.24+4395.33+2649.24+2863.99+1387.32</f>
        <v>28773.619999999995</v>
      </c>
      <c r="L103" s="77">
        <f>504.26+845.24+3380.96+422.62+2535.72+6256.62+883.08+2649.24+4395.33+2649.24+2863.99+1387.32</f>
        <v>28773.619999999995</v>
      </c>
      <c r="M103" s="224">
        <f t="shared" si="3"/>
        <v>0</v>
      </c>
      <c r="N103" s="100">
        <f>5+1+1+2+1</f>
        <v>10</v>
      </c>
      <c r="O103" s="81">
        <f>2617.36+422.62+3852.18+3380.96+422.62</f>
        <v>10695.74</v>
      </c>
      <c r="P103" s="81">
        <f>2617.36+422.62+3852.18+3380.96+422.62</f>
        <v>10695.74</v>
      </c>
      <c r="Q103" s="232">
        <f t="shared" si="4"/>
        <v>0</v>
      </c>
    </row>
    <row r="104" spans="1:17" s="13" customFormat="1" x14ac:dyDescent="0.25">
      <c r="A104" s="229"/>
      <c r="B104" s="62" t="s">
        <v>137</v>
      </c>
      <c r="C104" s="181" t="s">
        <v>17</v>
      </c>
      <c r="D104" s="182"/>
      <c r="E104" s="194" t="s">
        <v>35</v>
      </c>
      <c r="F104" s="73" t="s">
        <v>429</v>
      </c>
      <c r="G104" s="230" t="s">
        <v>117</v>
      </c>
      <c r="H104" s="181">
        <v>13</v>
      </c>
      <c r="I104" s="231">
        <v>8</v>
      </c>
      <c r="J104" s="190">
        <v>9</v>
      </c>
      <c r="K104" s="193">
        <v>16572.68</v>
      </c>
      <c r="L104" s="193">
        <v>16572.68</v>
      </c>
      <c r="M104" s="224">
        <f t="shared" si="3"/>
        <v>0</v>
      </c>
      <c r="N104" s="114">
        <v>2</v>
      </c>
      <c r="O104" s="224">
        <v>10565.5</v>
      </c>
      <c r="P104" s="224">
        <v>10565.5</v>
      </c>
      <c r="Q104" s="79">
        <f t="shared" si="4"/>
        <v>0</v>
      </c>
    </row>
    <row r="105" spans="1:17" s="13" customFormat="1" x14ac:dyDescent="0.25">
      <c r="A105" s="229"/>
      <c r="B105" s="30" t="s">
        <v>67</v>
      </c>
      <c r="C105" s="181" t="s">
        <v>17</v>
      </c>
      <c r="D105" s="182"/>
      <c r="E105" s="194" t="s">
        <v>21</v>
      </c>
      <c r="F105" s="73" t="s">
        <v>370</v>
      </c>
      <c r="G105" s="74" t="s">
        <v>112</v>
      </c>
      <c r="H105" s="75">
        <v>43</v>
      </c>
      <c r="I105" s="76">
        <v>35</v>
      </c>
      <c r="J105" s="96">
        <f>2+1+1+2+1+1+2+2+1+2+5+5+2+5+3+2+1+2+3+3+1</f>
        <v>47</v>
      </c>
      <c r="K105" s="77">
        <f>3319.85+1198.9+864.45+7235.32+1947.89+5377.75+8701.73+3581.7+8737.54+7647.65+16410.46+4594.78+9980.74</f>
        <v>79598.760000000009</v>
      </c>
      <c r="L105" s="77">
        <f>3319.85+1198.9+864.45+7235.32+1947.89+5377.75+8701.73+3581.7+8737.54+7647.65+16410.46+4594.78+9980.74</f>
        <v>79598.760000000009</v>
      </c>
      <c r="M105" s="224">
        <f t="shared" si="3"/>
        <v>0</v>
      </c>
      <c r="N105" s="100">
        <f>4+9+4+4+1+3+1+3+1+1+1+1+1+1+3+2+1</f>
        <v>41</v>
      </c>
      <c r="O105" s="81">
        <f>29696.65+38129.03+13567.9+20687.05+2022.79+8145.77+17250.05+1233.28+5568.04+11106.62+7079.38</f>
        <v>154486.56</v>
      </c>
      <c r="P105" s="81">
        <f>29696.65+38129.03+13567.9+20687.05+2022.79+8145.77+17250.05+1233.28+5568.04+11106.62+7079.38</f>
        <v>154486.56</v>
      </c>
      <c r="Q105" s="232">
        <f t="shared" si="4"/>
        <v>0</v>
      </c>
    </row>
    <row r="106" spans="1:17" s="13" customFormat="1" x14ac:dyDescent="0.25">
      <c r="A106" s="229"/>
      <c r="B106" s="30" t="s">
        <v>67</v>
      </c>
      <c r="C106" s="181" t="s">
        <v>17</v>
      </c>
      <c r="D106" s="182"/>
      <c r="E106" s="194" t="s">
        <v>21</v>
      </c>
      <c r="F106" s="73" t="s">
        <v>440</v>
      </c>
      <c r="G106" s="230" t="s">
        <v>118</v>
      </c>
      <c r="H106" s="181">
        <v>20</v>
      </c>
      <c r="I106" s="231">
        <v>3</v>
      </c>
      <c r="J106" s="96">
        <v>3</v>
      </c>
      <c r="K106" s="77">
        <v>12778.52</v>
      </c>
      <c r="L106" s="77">
        <v>12778.52</v>
      </c>
      <c r="M106" s="224">
        <f t="shared" si="3"/>
        <v>0</v>
      </c>
      <c r="N106" s="100">
        <v>22</v>
      </c>
      <c r="O106" s="224">
        <v>74857.98</v>
      </c>
      <c r="P106" s="224">
        <v>74857.98</v>
      </c>
      <c r="Q106" s="79">
        <f t="shared" si="4"/>
        <v>0</v>
      </c>
    </row>
    <row r="107" spans="1:17" s="13" customFormat="1" x14ac:dyDescent="0.25">
      <c r="A107" s="229"/>
      <c r="B107" s="30" t="s">
        <v>68</v>
      </c>
      <c r="C107" s="181" t="s">
        <v>17</v>
      </c>
      <c r="D107" s="182"/>
      <c r="E107" s="194" t="s">
        <v>32</v>
      </c>
      <c r="F107" s="73" t="s">
        <v>371</v>
      </c>
      <c r="G107" s="74" t="s">
        <v>112</v>
      </c>
      <c r="H107" s="75">
        <v>28</v>
      </c>
      <c r="I107" s="76">
        <v>21</v>
      </c>
      <c r="J107" s="96">
        <f>2+1+2+5+5+3+1+2+2+1+3</f>
        <v>27</v>
      </c>
      <c r="K107" s="77">
        <f>1128.59+422.62+1152.6+4557.81+10981.59+5362.88+4996.85+4352.15+3073.96+3697.9+1003.5+581.63+6475.68</f>
        <v>47787.76</v>
      </c>
      <c r="L107" s="77">
        <f>1128.59+422.62+1152.6+4557.81+10981.59+5362.88+4996.85+4352.15+3073.96+3697.9+1003.5+581.63+6475.68</f>
        <v>47787.76</v>
      </c>
      <c r="M107" s="224">
        <f t="shared" si="3"/>
        <v>0</v>
      </c>
      <c r="N107" s="100">
        <f>6+5+1+4+2+2+1+1+1</f>
        <v>23</v>
      </c>
      <c r="O107" s="81">
        <f>7813.73+8523.5+1452.28+12582.19+18077.76+4987.46+2373.79+1831.3</f>
        <v>57642.009999999995</v>
      </c>
      <c r="P107" s="81">
        <f>7813.73+8523.5+1452.28+12582.19+18077.76+4987.46+2373.79+1831.3</f>
        <v>57642.009999999995</v>
      </c>
      <c r="Q107" s="232">
        <f t="shared" si="4"/>
        <v>0</v>
      </c>
    </row>
    <row r="108" spans="1:17" s="13" customFormat="1" x14ac:dyDescent="0.25">
      <c r="A108" s="229"/>
      <c r="B108" s="30" t="s">
        <v>68</v>
      </c>
      <c r="C108" s="181" t="s">
        <v>17</v>
      </c>
      <c r="D108" s="182"/>
      <c r="E108" s="194" t="s">
        <v>32</v>
      </c>
      <c r="F108" s="73" t="s">
        <v>430</v>
      </c>
      <c r="G108" s="235" t="s">
        <v>117</v>
      </c>
      <c r="H108" s="181">
        <v>6</v>
      </c>
      <c r="I108" s="231">
        <v>2</v>
      </c>
      <c r="J108" s="96">
        <v>2</v>
      </c>
      <c r="K108" s="77">
        <v>3010.5</v>
      </c>
      <c r="L108" s="77">
        <v>3010.5</v>
      </c>
      <c r="M108" s="224">
        <f t="shared" si="3"/>
        <v>0</v>
      </c>
      <c r="N108" s="100"/>
      <c r="O108" s="77"/>
      <c r="P108" s="77"/>
      <c r="Q108" s="79">
        <f t="shared" si="4"/>
        <v>0</v>
      </c>
    </row>
    <row r="109" spans="1:17" s="15" customFormat="1" x14ac:dyDescent="0.25">
      <c r="A109" s="229"/>
      <c r="B109" s="27" t="s">
        <v>69</v>
      </c>
      <c r="C109" s="181" t="s">
        <v>17</v>
      </c>
      <c r="D109" s="182"/>
      <c r="E109" s="183" t="s">
        <v>20</v>
      </c>
      <c r="F109" s="73" t="s">
        <v>372</v>
      </c>
      <c r="G109" s="74" t="s">
        <v>112</v>
      </c>
      <c r="H109" s="75">
        <v>11</v>
      </c>
      <c r="I109" s="76">
        <v>7</v>
      </c>
      <c r="J109" s="96">
        <f>1+1+1+1+3+1+2</f>
        <v>10</v>
      </c>
      <c r="K109" s="77">
        <f>422.62+17390.69+3114.71+475.45+2326.92+1707.76+1946.39</f>
        <v>27384.539999999997</v>
      </c>
      <c r="L109" s="77">
        <f>422.62+17390.69+3114.71+475.45+2326.92+1707.76+1946.39</f>
        <v>27384.539999999997</v>
      </c>
      <c r="M109" s="224">
        <f t="shared" si="3"/>
        <v>0</v>
      </c>
      <c r="N109" s="100">
        <f>3+2+1+1+1+1</f>
        <v>9</v>
      </c>
      <c r="O109" s="77">
        <f>7210.31+3647.96+1306.28+1267.86+2697.06</f>
        <v>16129.470000000001</v>
      </c>
      <c r="P109" s="77">
        <f>7210.31+3647.96+1306.28+1267.86+2697.06</f>
        <v>16129.470000000001</v>
      </c>
      <c r="Q109" s="232">
        <f t="shared" si="4"/>
        <v>0</v>
      </c>
    </row>
    <row r="110" spans="1:17" s="15" customFormat="1" x14ac:dyDescent="0.25">
      <c r="A110" s="229"/>
      <c r="B110" s="236" t="s">
        <v>502</v>
      </c>
      <c r="C110" s="181" t="s">
        <v>17</v>
      </c>
      <c r="D110" s="182"/>
      <c r="E110" s="183" t="s">
        <v>20</v>
      </c>
      <c r="F110" s="73" t="s">
        <v>508</v>
      </c>
      <c r="G110" s="74" t="s">
        <v>112</v>
      </c>
      <c r="H110" s="75">
        <v>21</v>
      </c>
      <c r="I110" s="76">
        <v>14</v>
      </c>
      <c r="J110" s="96">
        <f>4+1+4+1+2+2+2+2</f>
        <v>18</v>
      </c>
      <c r="K110" s="77">
        <f>6145.3+993.47+5403.3+2759.63+2599.77+1043.64+1241.83+6209.8</f>
        <v>26396.74</v>
      </c>
      <c r="L110" s="77">
        <f>6145.3+993.47+5403.3+2759.63+2599.77+1043.64+1241.83+6209.8</f>
        <v>26396.74</v>
      </c>
      <c r="M110" s="224">
        <f t="shared" si="3"/>
        <v>0</v>
      </c>
      <c r="N110" s="100"/>
      <c r="O110" s="77"/>
      <c r="P110" s="77"/>
      <c r="Q110" s="232">
        <f t="shared" si="4"/>
        <v>0</v>
      </c>
    </row>
    <row r="111" spans="1:17" s="15" customFormat="1" x14ac:dyDescent="0.25">
      <c r="A111" s="229"/>
      <c r="B111" s="236" t="s">
        <v>502</v>
      </c>
      <c r="C111" s="181" t="s">
        <v>17</v>
      </c>
      <c r="D111" s="182"/>
      <c r="E111" s="183" t="s">
        <v>32</v>
      </c>
      <c r="F111" s="73" t="s">
        <v>511</v>
      </c>
      <c r="G111" s="235" t="s">
        <v>117</v>
      </c>
      <c r="H111" s="75">
        <v>11</v>
      </c>
      <c r="I111" s="76">
        <v>3</v>
      </c>
      <c r="J111" s="96">
        <v>3</v>
      </c>
      <c r="K111" s="77">
        <v>8532.7000000000007</v>
      </c>
      <c r="L111" s="77">
        <v>8532.7000000000007</v>
      </c>
      <c r="M111" s="224">
        <f t="shared" si="3"/>
        <v>0</v>
      </c>
      <c r="N111" s="100"/>
      <c r="O111" s="77"/>
      <c r="P111" s="77"/>
      <c r="Q111" s="232">
        <f t="shared" si="4"/>
        <v>0</v>
      </c>
    </row>
    <row r="112" spans="1:17" s="13" customFormat="1" x14ac:dyDescent="0.25">
      <c r="A112" s="229"/>
      <c r="B112" s="62" t="s">
        <v>70</v>
      </c>
      <c r="C112" s="181" t="s">
        <v>17</v>
      </c>
      <c r="D112" s="182"/>
      <c r="E112" s="183" t="s">
        <v>20</v>
      </c>
      <c r="F112" s="73" t="s">
        <v>373</v>
      </c>
      <c r="G112" s="74" t="s">
        <v>112</v>
      </c>
      <c r="H112" s="75">
        <v>22</v>
      </c>
      <c r="I112" s="76">
        <v>17</v>
      </c>
      <c r="J112" s="96">
        <f>2+2+2+3+1+2+1+1+3+2</f>
        <v>19</v>
      </c>
      <c r="K112" s="77">
        <f>19498+3011.17+8156.45+4593.85+883.08+4500.96+2774.64</f>
        <v>43418.15</v>
      </c>
      <c r="L112" s="77">
        <f>19498+3011.17+8156.45+4593.85+883.08+4500.96+2774.64</f>
        <v>43418.15</v>
      </c>
      <c r="M112" s="224">
        <f t="shared" si="3"/>
        <v>0</v>
      </c>
      <c r="N112" s="100">
        <f>2+3+4+2+1+1</f>
        <v>13</v>
      </c>
      <c r="O112" s="81">
        <f>7606.2+16795.84+3492.18</f>
        <v>27894.22</v>
      </c>
      <c r="P112" s="81">
        <f>7606.2+16795.84+3492.18</f>
        <v>27894.22</v>
      </c>
      <c r="Q112" s="79">
        <f t="shared" si="4"/>
        <v>0</v>
      </c>
    </row>
    <row r="113" spans="1:17" s="13" customFormat="1" x14ac:dyDescent="0.25">
      <c r="A113" s="229"/>
      <c r="B113" s="62" t="s">
        <v>70</v>
      </c>
      <c r="C113" s="181" t="s">
        <v>17</v>
      </c>
      <c r="D113" s="182"/>
      <c r="E113" s="183" t="s">
        <v>20</v>
      </c>
      <c r="F113" s="73" t="s">
        <v>460</v>
      </c>
      <c r="G113" s="230" t="s">
        <v>114</v>
      </c>
      <c r="H113" s="181">
        <v>48</v>
      </c>
      <c r="I113" s="231">
        <v>26</v>
      </c>
      <c r="J113" s="190">
        <v>26</v>
      </c>
      <c r="K113" s="77">
        <v>71670.559999999998</v>
      </c>
      <c r="L113" s="77">
        <v>71670.559999999998</v>
      </c>
      <c r="M113" s="224">
        <f t="shared" si="3"/>
        <v>0</v>
      </c>
      <c r="N113" s="100">
        <v>33</v>
      </c>
      <c r="O113" s="224">
        <v>79611.08</v>
      </c>
      <c r="P113" s="224">
        <v>79611.08</v>
      </c>
      <c r="Q113" s="232">
        <f t="shared" si="4"/>
        <v>0</v>
      </c>
    </row>
    <row r="114" spans="1:17" s="15" customFormat="1" x14ac:dyDescent="0.25">
      <c r="A114" s="229"/>
      <c r="B114" s="62" t="s">
        <v>71</v>
      </c>
      <c r="C114" s="181" t="s">
        <v>17</v>
      </c>
      <c r="D114" s="182"/>
      <c r="E114" s="183" t="s">
        <v>32</v>
      </c>
      <c r="F114" s="73" t="s">
        <v>374</v>
      </c>
      <c r="G114" s="74" t="s">
        <v>112</v>
      </c>
      <c r="H114" s="75">
        <v>30</v>
      </c>
      <c r="I114" s="76">
        <v>24</v>
      </c>
      <c r="J114" s="96">
        <f>3+1+2+1+1+3+3+1+3+4+1+2+3+1</f>
        <v>29</v>
      </c>
      <c r="K114" s="77">
        <f>1536.8+461.04+1748.88+633.93+3169.65+2435.83+13203.17+728.54+3984.13+1479.16+1118.94+4780.23+441.54</f>
        <v>35721.840000000004</v>
      </c>
      <c r="L114" s="77">
        <f>1536.8+461.04+1748.88+633.93+3169.65+2435.83+13203.17+728.54+3984.13+1479.16+1118.94+4780.23+441.54</f>
        <v>35721.840000000004</v>
      </c>
      <c r="M114" s="224">
        <f t="shared" si="3"/>
        <v>0</v>
      </c>
      <c r="N114" s="100">
        <f>3+2+1+1+2+1+1</f>
        <v>11</v>
      </c>
      <c r="O114" s="81">
        <f>9567.93+3616.67+403.41+14275.52+10922.18+12907.41+5701.38</f>
        <v>57394.499999999993</v>
      </c>
      <c r="P114" s="81">
        <f>9567.93+3616.67+403.41+14275.52+10922.18+12907.41+5701.38</f>
        <v>57394.499999999993</v>
      </c>
      <c r="Q114" s="79">
        <f t="shared" si="4"/>
        <v>0</v>
      </c>
    </row>
    <row r="115" spans="1:17" s="15" customFormat="1" x14ac:dyDescent="0.25">
      <c r="A115" s="229"/>
      <c r="B115" s="62" t="s">
        <v>71</v>
      </c>
      <c r="C115" s="181" t="s">
        <v>17</v>
      </c>
      <c r="D115" s="182"/>
      <c r="E115" s="183" t="s">
        <v>32</v>
      </c>
      <c r="F115" s="73" t="s">
        <v>431</v>
      </c>
      <c r="G115" s="230" t="s">
        <v>115</v>
      </c>
      <c r="H115" s="181">
        <v>12</v>
      </c>
      <c r="I115" s="231">
        <v>7</v>
      </c>
      <c r="J115" s="96">
        <v>7</v>
      </c>
      <c r="K115" s="237">
        <v>13651.95</v>
      </c>
      <c r="L115" s="237">
        <v>13651.95</v>
      </c>
      <c r="M115" s="224">
        <f t="shared" si="3"/>
        <v>0</v>
      </c>
      <c r="N115" s="114">
        <f>5</f>
        <v>5</v>
      </c>
      <c r="O115" s="77">
        <v>6595.5</v>
      </c>
      <c r="P115" s="77">
        <v>6595.5</v>
      </c>
      <c r="Q115" s="232">
        <f t="shared" si="4"/>
        <v>0</v>
      </c>
    </row>
    <row r="116" spans="1:17" s="13" customFormat="1" x14ac:dyDescent="0.25">
      <c r="A116" s="229"/>
      <c r="B116" s="62" t="s">
        <v>319</v>
      </c>
      <c r="C116" s="181" t="s">
        <v>17</v>
      </c>
      <c r="D116" s="182"/>
      <c r="E116" s="183" t="s">
        <v>20</v>
      </c>
      <c r="F116" s="73" t="s">
        <v>375</v>
      </c>
      <c r="G116" s="74" t="s">
        <v>112</v>
      </c>
      <c r="H116" s="75">
        <v>48</v>
      </c>
      <c r="I116" s="76">
        <v>38</v>
      </c>
      <c r="J116" s="96">
        <f>2+1+4+3+6+2+7+1+2+1+1+7+1+6+3</f>
        <v>47</v>
      </c>
      <c r="K116" s="77">
        <f>710.77+1523.35+6753.23+7215.52+1437.48+28056.52+6091.99+2561.63+3510.24+1726.58+441.54+15673.73+993.47+7206.74+1390.85+14114.66</f>
        <v>99408.3</v>
      </c>
      <c r="L116" s="77">
        <f>710.77+1523.35+6753.23+7215.52+1437.48+28056.52+6091.99+2561.63+3510.24+1726.58+441.54+15673.73+993.47+7206.74+1390.85+14114.66</f>
        <v>99408.3</v>
      </c>
      <c r="M116" s="224">
        <f t="shared" si="3"/>
        <v>0</v>
      </c>
      <c r="N116" s="100">
        <f>3+1+2+1+2+1</f>
        <v>10</v>
      </c>
      <c r="O116" s="77">
        <f>13419.94+726.71+2846.77+3770.56+4653.31+2237.23</f>
        <v>27654.520000000004</v>
      </c>
      <c r="P116" s="77">
        <f>13419.94+726.71+2846.77+3770.56+4653.31+2237.23</f>
        <v>27654.520000000004</v>
      </c>
      <c r="Q116" s="79">
        <f>O116-P116</f>
        <v>0</v>
      </c>
    </row>
    <row r="117" spans="1:17" s="15" customFormat="1" x14ac:dyDescent="0.25">
      <c r="A117" s="229"/>
      <c r="B117" s="62" t="s">
        <v>150</v>
      </c>
      <c r="C117" s="181" t="s">
        <v>17</v>
      </c>
      <c r="D117" s="182"/>
      <c r="E117" s="183" t="s">
        <v>35</v>
      </c>
      <c r="F117" s="73" t="s">
        <v>376</v>
      </c>
      <c r="G117" s="74" t="s">
        <v>112</v>
      </c>
      <c r="H117" s="75">
        <v>42</v>
      </c>
      <c r="I117" s="76">
        <v>25</v>
      </c>
      <c r="J117" s="96">
        <f>1+1+2+2+1+3+1+4+4+1+3+1+1+1+1</f>
        <v>27</v>
      </c>
      <c r="K117" s="77">
        <f>1343.65+384.2+1690.4+4889.84+2417.43+2791.74+5298.48+5960.79+1192.16+3814.3+5575.23+5600.42+5111.52+12774.64</f>
        <v>58844.800000000003</v>
      </c>
      <c r="L117" s="77">
        <f>1343.65+384.2+1690.4+4889.84+2417.43+2791.74+5298.48+5960.79+1192.16+3814.3+5575.23+5600.42+5111.52+12774.64</f>
        <v>58844.800000000003</v>
      </c>
      <c r="M117" s="224">
        <f t="shared" si="3"/>
        <v>0</v>
      </c>
      <c r="N117" s="114">
        <f>8+1+1+2+3+1+1+1+1+1</f>
        <v>20</v>
      </c>
      <c r="O117" s="77">
        <f>5997.32+3719.39+3054.34+13138.17+6578.46+6198.68+2649.24+1516.77</f>
        <v>42852.369999999995</v>
      </c>
      <c r="P117" s="77">
        <f>5997.32+3719.39+3054.34+13138.17+6578.46+6198.68+2649.24+1516.77</f>
        <v>42852.369999999995</v>
      </c>
      <c r="Q117" s="79">
        <f t="shared" si="4"/>
        <v>0</v>
      </c>
    </row>
    <row r="118" spans="1:17" s="15" customFormat="1" x14ac:dyDescent="0.25">
      <c r="A118" s="229"/>
      <c r="B118" s="233" t="s">
        <v>150</v>
      </c>
      <c r="C118" s="181" t="s">
        <v>17</v>
      </c>
      <c r="D118" s="182"/>
      <c r="E118" s="183" t="s">
        <v>32</v>
      </c>
      <c r="F118" s="73" t="s">
        <v>487</v>
      </c>
      <c r="G118" s="230" t="s">
        <v>117</v>
      </c>
      <c r="H118" s="181">
        <v>6</v>
      </c>
      <c r="I118" s="231">
        <v>4</v>
      </c>
      <c r="J118" s="96">
        <v>6</v>
      </c>
      <c r="K118" s="77">
        <v>21694.2</v>
      </c>
      <c r="L118" s="77">
        <v>21694.2</v>
      </c>
      <c r="M118" s="224">
        <f t="shared" si="3"/>
        <v>0</v>
      </c>
      <c r="N118" s="100">
        <v>3</v>
      </c>
      <c r="O118" s="77">
        <v>9645.1</v>
      </c>
      <c r="P118" s="77">
        <v>9645.1</v>
      </c>
      <c r="Q118" s="232">
        <f t="shared" si="4"/>
        <v>0</v>
      </c>
    </row>
    <row r="119" spans="1:17" s="13" customFormat="1" x14ac:dyDescent="0.25">
      <c r="A119" s="229"/>
      <c r="B119" s="30" t="s">
        <v>72</v>
      </c>
      <c r="C119" s="181" t="s">
        <v>17</v>
      </c>
      <c r="D119" s="182"/>
      <c r="E119" s="183" t="s">
        <v>21</v>
      </c>
      <c r="F119" s="73" t="s">
        <v>377</v>
      </c>
      <c r="G119" s="74" t="s">
        <v>112</v>
      </c>
      <c r="H119" s="75">
        <v>33</v>
      </c>
      <c r="I119" s="76">
        <v>22</v>
      </c>
      <c r="J119" s="96">
        <f>1+1+1+1+6+2+1+2+3+1+1+4+1+3</f>
        <v>28</v>
      </c>
      <c r="K119" s="77">
        <f>633.93+1415.78+1610.18+1394.65+18140.86+2440.63+4140.81+3166.55+2165.55+10853.72+7398.8+2029.65</f>
        <v>55391.110000000015</v>
      </c>
      <c r="L119" s="77">
        <f>633.93+1415.78+1610.18+1394.65+18140.86+2440.63+4140.81+3166.55+2165.55+10853.72+7398.8+2029.65</f>
        <v>55391.110000000015</v>
      </c>
      <c r="M119" s="224">
        <f t="shared" si="3"/>
        <v>0</v>
      </c>
      <c r="N119" s="100">
        <f>1+3+1+1+1+3+1+3+1+1+2+1+1+1</f>
        <v>21</v>
      </c>
      <c r="O119" s="81">
        <f>1950.74+10237.13+6595.95+3861.21+1348.53+10328.94+50451.86-19567+15859.78+3744.76+5149.77+2230.17</f>
        <v>92191.84</v>
      </c>
      <c r="P119" s="81">
        <f>1950.74+10237.13+6595.95+3861.21+1348.53+10328.94+50451.86-19567+15859.78+3744.76+5149.77+2230.17</f>
        <v>92191.84</v>
      </c>
      <c r="Q119" s="79">
        <f t="shared" si="4"/>
        <v>0</v>
      </c>
    </row>
    <row r="120" spans="1:17" s="13" customFormat="1" x14ac:dyDescent="0.25">
      <c r="A120" s="229"/>
      <c r="B120" s="30" t="s">
        <v>72</v>
      </c>
      <c r="C120" s="181" t="s">
        <v>17</v>
      </c>
      <c r="D120" s="182"/>
      <c r="E120" s="183" t="s">
        <v>21</v>
      </c>
      <c r="F120" s="73" t="s">
        <v>441</v>
      </c>
      <c r="G120" s="230" t="s">
        <v>118</v>
      </c>
      <c r="H120" s="181">
        <v>18</v>
      </c>
      <c r="I120" s="231">
        <v>4</v>
      </c>
      <c r="J120" s="96">
        <v>4</v>
      </c>
      <c r="K120" s="77">
        <v>5140.8</v>
      </c>
      <c r="L120" s="77">
        <v>5140.8</v>
      </c>
      <c r="M120" s="224">
        <f t="shared" si="3"/>
        <v>0</v>
      </c>
      <c r="N120" s="100">
        <v>22</v>
      </c>
      <c r="O120" s="224">
        <v>65743.3</v>
      </c>
      <c r="P120" s="224">
        <v>65743.3</v>
      </c>
      <c r="Q120" s="232">
        <f t="shared" si="4"/>
        <v>0</v>
      </c>
    </row>
    <row r="121" spans="1:17" s="15" customFormat="1" x14ac:dyDescent="0.25">
      <c r="A121" s="229"/>
      <c r="B121" s="30" t="s">
        <v>73</v>
      </c>
      <c r="C121" s="181" t="s">
        <v>17</v>
      </c>
      <c r="D121" s="182"/>
      <c r="E121" s="183" t="s">
        <v>74</v>
      </c>
      <c r="F121" s="73" t="s">
        <v>378</v>
      </c>
      <c r="G121" s="74" t="s">
        <v>112</v>
      </c>
      <c r="H121" s="75">
        <v>46</v>
      </c>
      <c r="I121" s="76">
        <v>35</v>
      </c>
      <c r="J121" s="96">
        <f>9+8+2+2+10+1+6+5+9+4</f>
        <v>56</v>
      </c>
      <c r="K121" s="77">
        <f>6305.33+12574.83+14899.84+13657.06+15923.24+7697.06+2858.97+10093.97+4780.23</f>
        <v>88790.53</v>
      </c>
      <c r="L121" s="77">
        <f>6305.33+12574.83+14899.84+13657.06+15923.24+7697.06+2858.97+10093.97+4780.23</f>
        <v>88790.53</v>
      </c>
      <c r="M121" s="224">
        <f t="shared" si="3"/>
        <v>0</v>
      </c>
      <c r="N121" s="100">
        <f>5+3+3+1+1+2+2</f>
        <v>17</v>
      </c>
      <c r="O121" s="81">
        <f>5416.39+9506.99+12269.39+7610.68+1915.68+16508.04+12449.36</f>
        <v>65676.53</v>
      </c>
      <c r="P121" s="81">
        <f>5416.39+9506.99+12269.39+7610.68+1915.68+16508.04+12449.36</f>
        <v>65676.53</v>
      </c>
      <c r="Q121" s="79">
        <f t="shared" si="4"/>
        <v>0</v>
      </c>
    </row>
    <row r="122" spans="1:17" s="15" customFormat="1" x14ac:dyDescent="0.25">
      <c r="A122" s="229"/>
      <c r="B122" s="30" t="s">
        <v>73</v>
      </c>
      <c r="C122" s="181" t="s">
        <v>17</v>
      </c>
      <c r="D122" s="182"/>
      <c r="E122" s="183" t="s">
        <v>74</v>
      </c>
      <c r="F122" s="73" t="s">
        <v>282</v>
      </c>
      <c r="G122" s="230" t="s">
        <v>114</v>
      </c>
      <c r="H122" s="181"/>
      <c r="I122" s="231"/>
      <c r="J122" s="190"/>
      <c r="K122" s="77"/>
      <c r="L122" s="77"/>
      <c r="M122" s="224">
        <f t="shared" si="3"/>
        <v>0</v>
      </c>
      <c r="N122" s="100">
        <v>1</v>
      </c>
      <c r="O122" s="224">
        <v>1728.9</v>
      </c>
      <c r="P122" s="224">
        <v>1728.9</v>
      </c>
      <c r="Q122" s="232">
        <f t="shared" si="4"/>
        <v>0</v>
      </c>
    </row>
    <row r="123" spans="1:17" s="13" customFormat="1" x14ac:dyDescent="0.25">
      <c r="A123" s="229"/>
      <c r="B123" s="30" t="s">
        <v>135</v>
      </c>
      <c r="C123" s="181" t="s">
        <v>17</v>
      </c>
      <c r="D123" s="182"/>
      <c r="E123" s="194" t="s">
        <v>35</v>
      </c>
      <c r="F123" s="73" t="s">
        <v>379</v>
      </c>
      <c r="G123" s="74" t="s">
        <v>112</v>
      </c>
      <c r="H123" s="75">
        <v>45</v>
      </c>
      <c r="I123" s="76">
        <v>40</v>
      </c>
      <c r="J123" s="96">
        <f>1+6+5+3+3+5+1+5+4+4+1+4</f>
        <v>42</v>
      </c>
      <c r="K123" s="77">
        <f>697.32+4374.12+5747.44+4426.94+15712.05+4176.57+2649.24+4106.34+2207.7+441.54+8594.46</f>
        <v>53133.72</v>
      </c>
      <c r="L123" s="77">
        <f>697.32+4374.12+5747.44+4426.94+15712.05+4176.57+2649.24+4106.34+2207.7+441.54+8594.46</f>
        <v>53133.72</v>
      </c>
      <c r="M123" s="224">
        <f t="shared" si="3"/>
        <v>0</v>
      </c>
      <c r="N123" s="100">
        <f>2+5+1+2+2+2+1</f>
        <v>15</v>
      </c>
      <c r="O123" s="81">
        <f>6432.89+2283.68+4932.13+377</f>
        <v>14025.7</v>
      </c>
      <c r="P123" s="81">
        <f>6432.89+2283.68+4932.13+377</f>
        <v>14025.7</v>
      </c>
      <c r="Q123" s="232">
        <f t="shared" si="4"/>
        <v>0</v>
      </c>
    </row>
    <row r="124" spans="1:17" s="13" customFormat="1" x14ac:dyDescent="0.25">
      <c r="A124" s="229"/>
      <c r="B124" s="30" t="s">
        <v>135</v>
      </c>
      <c r="C124" s="181" t="s">
        <v>17</v>
      </c>
      <c r="D124" s="182"/>
      <c r="E124" s="194" t="s">
        <v>35</v>
      </c>
      <c r="F124" s="73" t="s">
        <v>432</v>
      </c>
      <c r="G124" s="230" t="s">
        <v>115</v>
      </c>
      <c r="H124" s="181">
        <v>2</v>
      </c>
      <c r="I124" s="231"/>
      <c r="J124" s="96"/>
      <c r="K124" s="77"/>
      <c r="L124" s="77"/>
      <c r="M124" s="224">
        <f t="shared" si="3"/>
        <v>0</v>
      </c>
      <c r="N124" s="100">
        <v>1</v>
      </c>
      <c r="O124" s="224">
        <v>2689.4</v>
      </c>
      <c r="P124" s="224">
        <v>2689.4</v>
      </c>
      <c r="Q124" s="79">
        <f t="shared" si="4"/>
        <v>0</v>
      </c>
    </row>
    <row r="125" spans="1:17" s="13" customFormat="1" x14ac:dyDescent="0.25">
      <c r="A125" s="229"/>
      <c r="B125" s="30" t="s">
        <v>145</v>
      </c>
      <c r="C125" s="181" t="s">
        <v>17</v>
      </c>
      <c r="D125" s="182"/>
      <c r="E125" s="194" t="s">
        <v>20</v>
      </c>
      <c r="F125" s="73" t="s">
        <v>380</v>
      </c>
      <c r="G125" s="74" t="s">
        <v>112</v>
      </c>
      <c r="H125" s="75">
        <v>19</v>
      </c>
      <c r="I125" s="82">
        <v>16</v>
      </c>
      <c r="J125" s="96">
        <f>2+1+1+2+2+5+3+2+3+1+1+2+2+1</f>
        <v>28</v>
      </c>
      <c r="K125" s="77">
        <f>5169.72+1100+538.84+4293.82+3949.22+3361.76+5643.1+4037.33+4704.3+6285.32+5025.28+2797.76</f>
        <v>46906.450000000004</v>
      </c>
      <c r="L125" s="77">
        <f>5169.72+1100+538.84+4293.82+3949.22+3361.76+5643.1+4037.33+4704.3+6285.32+5025.28+2797.76</f>
        <v>46906.450000000004</v>
      </c>
      <c r="M125" s="224">
        <f t="shared" si="3"/>
        <v>0</v>
      </c>
      <c r="N125" s="100">
        <f>1+1+2+1+2+1</f>
        <v>8</v>
      </c>
      <c r="O125" s="81">
        <f>5120.23+3915.15+1114.12+14002.49+7111.04</f>
        <v>31263.03</v>
      </c>
      <c r="P125" s="81">
        <f>5120.23+3915.15+1114.12+14002.49+7111.04</f>
        <v>31263.03</v>
      </c>
      <c r="Q125" s="232">
        <f t="shared" si="4"/>
        <v>0</v>
      </c>
    </row>
    <row r="126" spans="1:17" s="13" customFormat="1" x14ac:dyDescent="0.25">
      <c r="A126" s="229"/>
      <c r="B126" s="30" t="s">
        <v>145</v>
      </c>
      <c r="C126" s="181" t="s">
        <v>17</v>
      </c>
      <c r="D126" s="182"/>
      <c r="E126" s="194" t="s">
        <v>20</v>
      </c>
      <c r="F126" s="73" t="s">
        <v>461</v>
      </c>
      <c r="G126" s="230" t="s">
        <v>114</v>
      </c>
      <c r="H126" s="181">
        <v>8</v>
      </c>
      <c r="I126" s="231">
        <v>6</v>
      </c>
      <c r="J126" s="190">
        <v>6</v>
      </c>
      <c r="K126" s="77">
        <v>9012</v>
      </c>
      <c r="L126" s="77">
        <v>9012</v>
      </c>
      <c r="M126" s="224">
        <f t="shared" si="3"/>
        <v>0</v>
      </c>
      <c r="N126" s="100">
        <v>11</v>
      </c>
      <c r="O126" s="224">
        <v>24338.15</v>
      </c>
      <c r="P126" s="224">
        <v>24338.15</v>
      </c>
      <c r="Q126" s="232">
        <f t="shared" si="4"/>
        <v>0</v>
      </c>
    </row>
    <row r="127" spans="1:17" s="13" customFormat="1" x14ac:dyDescent="0.25">
      <c r="A127" s="229"/>
      <c r="B127" s="62" t="s">
        <v>76</v>
      </c>
      <c r="C127" s="181" t="s">
        <v>17</v>
      </c>
      <c r="D127" s="182"/>
      <c r="E127" s="183" t="s">
        <v>20</v>
      </c>
      <c r="F127" s="73" t="s">
        <v>381</v>
      </c>
      <c r="G127" s="74" t="s">
        <v>112</v>
      </c>
      <c r="H127" s="75">
        <v>33</v>
      </c>
      <c r="I127" s="76">
        <v>24</v>
      </c>
      <c r="J127" s="96">
        <f>1+6+3+1+3+1+2+2+2+1+1+6+1+1</f>
        <v>31</v>
      </c>
      <c r="K127" s="77">
        <f>6556.06+2806.39+2697.06+1267.86+11775.51+1557.35+2113.1+4117.36+1673.84+1724.01+1457.08+3514.26+14440.84+3761.12</f>
        <v>59461.840000000004</v>
      </c>
      <c r="L127" s="77">
        <f>6556.06+2806.39+2697.06+1267.86+11775.51+1557.35+2113.1+4117.36+1673.84+1724.01+1457.08+3514.26+14440.84+3761.12</f>
        <v>59461.840000000004</v>
      </c>
      <c r="M127" s="224">
        <f t="shared" si="3"/>
        <v>0</v>
      </c>
      <c r="N127" s="100">
        <f>5+6+2+1+1+1+1+2+2+1+1</f>
        <v>23</v>
      </c>
      <c r="O127" s="81">
        <f>11527.9+19846.52+1011.91+9641+2451.87+10072.83+11307.66+2243.83+6181.56+5655.45+1404.9</f>
        <v>81345.429999999993</v>
      </c>
      <c r="P127" s="81">
        <f>11527.9+19846.52+1011.91+9641+2451.87+10072.83+11307.66+2243.83+6181.56+5655.45+1404.9</f>
        <v>81345.429999999993</v>
      </c>
      <c r="Q127" s="232">
        <f t="shared" si="4"/>
        <v>0</v>
      </c>
    </row>
    <row r="128" spans="1:17" s="13" customFormat="1" x14ac:dyDescent="0.25">
      <c r="A128" s="229"/>
      <c r="B128" s="62" t="s">
        <v>76</v>
      </c>
      <c r="C128" s="181" t="s">
        <v>17</v>
      </c>
      <c r="D128" s="182"/>
      <c r="E128" s="183" t="s">
        <v>20</v>
      </c>
      <c r="F128" s="73" t="s">
        <v>462</v>
      </c>
      <c r="G128" s="230" t="s">
        <v>114</v>
      </c>
      <c r="H128" s="181">
        <v>18</v>
      </c>
      <c r="I128" s="231">
        <v>7</v>
      </c>
      <c r="J128" s="190">
        <v>7</v>
      </c>
      <c r="K128" s="77">
        <v>15253.6</v>
      </c>
      <c r="L128" s="77">
        <v>15253.6</v>
      </c>
      <c r="M128" s="224">
        <f t="shared" si="3"/>
        <v>0</v>
      </c>
      <c r="N128" s="100">
        <v>10</v>
      </c>
      <c r="O128" s="224">
        <v>39256.19</v>
      </c>
      <c r="P128" s="224">
        <v>39256.19</v>
      </c>
      <c r="Q128" s="232">
        <f t="shared" si="4"/>
        <v>0</v>
      </c>
    </row>
    <row r="129" spans="1:17" s="13" customFormat="1" x14ac:dyDescent="0.25">
      <c r="A129" s="229"/>
      <c r="B129" s="30" t="s">
        <v>77</v>
      </c>
      <c r="C129" s="181" t="s">
        <v>17</v>
      </c>
      <c r="D129" s="182"/>
      <c r="E129" s="183" t="s">
        <v>32</v>
      </c>
      <c r="F129" s="73" t="s">
        <v>388</v>
      </c>
      <c r="G129" s="74" t="s">
        <v>112</v>
      </c>
      <c r="H129" s="75">
        <v>29</v>
      </c>
      <c r="I129" s="76">
        <v>21</v>
      </c>
      <c r="J129" s="96">
        <f>2+2+2+6+1+1+1+7+3+1+3+2</f>
        <v>31</v>
      </c>
      <c r="K129" s="77">
        <f>2440.63+1507.02+2101.48+13625.7+1324.62+2083.47+13864.31+3415.51+3090.78+1773.79</f>
        <v>45227.310000000005</v>
      </c>
      <c r="L129" s="77">
        <f>2440.63+1507.02+2101.48+13625.7+1324.62+2083.47+13864.31+3415.51+3090.78+1773.79</f>
        <v>45227.310000000005</v>
      </c>
      <c r="M129" s="224">
        <f t="shared" si="3"/>
        <v>0</v>
      </c>
      <c r="N129" s="100">
        <f>5+2+3+3+1+1</f>
        <v>15</v>
      </c>
      <c r="O129" s="81">
        <f>11716.73+6848.82+4046.18+11166.34+8845.95</f>
        <v>42624.020000000004</v>
      </c>
      <c r="P129" s="81">
        <f>11716.73+6848.82+4046.18+11166.34+8845.95</f>
        <v>42624.020000000004</v>
      </c>
      <c r="Q129" s="232">
        <f t="shared" si="4"/>
        <v>0</v>
      </c>
    </row>
    <row r="130" spans="1:17" s="13" customFormat="1" x14ac:dyDescent="0.25">
      <c r="A130" s="229"/>
      <c r="B130" s="30" t="s">
        <v>77</v>
      </c>
      <c r="C130" s="181" t="s">
        <v>17</v>
      </c>
      <c r="D130" s="182"/>
      <c r="E130" s="183" t="s">
        <v>32</v>
      </c>
      <c r="F130" s="73" t="s">
        <v>433</v>
      </c>
      <c r="G130" s="230" t="s">
        <v>117</v>
      </c>
      <c r="H130" s="181">
        <v>6</v>
      </c>
      <c r="I130" s="231">
        <v>2</v>
      </c>
      <c r="J130" s="96">
        <v>3</v>
      </c>
      <c r="K130" s="77">
        <v>7262.7</v>
      </c>
      <c r="L130" s="77">
        <v>7262.7</v>
      </c>
      <c r="M130" s="224">
        <f t="shared" si="3"/>
        <v>0</v>
      </c>
      <c r="N130" s="100">
        <v>6</v>
      </c>
      <c r="O130" s="224">
        <v>18164.11</v>
      </c>
      <c r="P130" s="224">
        <v>18164.11</v>
      </c>
      <c r="Q130" s="79">
        <f t="shared" si="4"/>
        <v>0</v>
      </c>
    </row>
    <row r="131" spans="1:17" s="13" customFormat="1" x14ac:dyDescent="0.25">
      <c r="A131" s="229"/>
      <c r="B131" s="30" t="s">
        <v>321</v>
      </c>
      <c r="C131" s="181" t="s">
        <v>17</v>
      </c>
      <c r="D131" s="182"/>
      <c r="E131" s="183" t="s">
        <v>21</v>
      </c>
      <c r="F131" s="73" t="s">
        <v>489</v>
      </c>
      <c r="G131" s="230" t="s">
        <v>112</v>
      </c>
      <c r="H131" s="181">
        <v>9</v>
      </c>
      <c r="I131" s="231">
        <v>2</v>
      </c>
      <c r="J131" s="96">
        <f>1+1</f>
        <v>2</v>
      </c>
      <c r="K131" s="77">
        <f>2547.89+1766.16</f>
        <v>4314.05</v>
      </c>
      <c r="L131" s="77">
        <f>2547.89+1766.16</f>
        <v>4314.05</v>
      </c>
      <c r="M131" s="224">
        <f t="shared" si="3"/>
        <v>0</v>
      </c>
      <c r="N131" s="100"/>
      <c r="O131" s="224"/>
      <c r="P131" s="224"/>
      <c r="Q131" s="79">
        <f t="shared" si="4"/>
        <v>0</v>
      </c>
    </row>
    <row r="132" spans="1:17" s="13" customFormat="1" ht="30" x14ac:dyDescent="0.25">
      <c r="A132" s="229"/>
      <c r="B132" s="62" t="s">
        <v>79</v>
      </c>
      <c r="C132" s="181" t="s">
        <v>304</v>
      </c>
      <c r="D132" s="182" t="s">
        <v>385</v>
      </c>
      <c r="E132" s="183" t="s">
        <v>18</v>
      </c>
      <c r="F132" s="73" t="s">
        <v>389</v>
      </c>
      <c r="G132" s="74" t="s">
        <v>112</v>
      </c>
      <c r="H132" s="75">
        <v>27</v>
      </c>
      <c r="I132" s="76">
        <v>20</v>
      </c>
      <c r="J132" s="98">
        <f>2+5+2+3+2+2+5+2+2</f>
        <v>25</v>
      </c>
      <c r="K132" s="77">
        <f>2091.97+3190.2+5703.08+6368.88+4029.68+4560.06+5101.32+1108.47</f>
        <v>32153.660000000003</v>
      </c>
      <c r="L132" s="77">
        <f>2091.97+3190.2+5703.08+6368.88+4029.68+4560.06+5101.32+1108.47</f>
        <v>32153.660000000003</v>
      </c>
      <c r="M132" s="224">
        <f t="shared" si="3"/>
        <v>0</v>
      </c>
      <c r="N132" s="100">
        <f>2+2+1+2+1+1+3+1+2</f>
        <v>15</v>
      </c>
      <c r="O132" s="81">
        <f>1547.4+4166.12+7835.61+1675.01+4717.63+6039.62+18829.39+23135.63+18613.81</f>
        <v>86560.22</v>
      </c>
      <c r="P132" s="81">
        <f>1547.4+4166.12+7835.61+1675.01+4717.63+6039.62+18829.39+23135.63+18613.81</f>
        <v>86560.22</v>
      </c>
      <c r="Q132" s="232">
        <f t="shared" si="4"/>
        <v>0</v>
      </c>
    </row>
    <row r="133" spans="1:17" s="13" customFormat="1" ht="30" x14ac:dyDescent="0.25">
      <c r="A133" s="229"/>
      <c r="B133" s="62" t="s">
        <v>79</v>
      </c>
      <c r="C133" s="181" t="s">
        <v>304</v>
      </c>
      <c r="D133" s="182" t="s">
        <v>475</v>
      </c>
      <c r="E133" s="183" t="s">
        <v>18</v>
      </c>
      <c r="F133" s="73" t="s">
        <v>329</v>
      </c>
      <c r="G133" s="271" t="s">
        <v>116</v>
      </c>
      <c r="H133" s="181">
        <v>49</v>
      </c>
      <c r="I133" s="234">
        <v>37</v>
      </c>
      <c r="J133" s="98">
        <v>43</v>
      </c>
      <c r="K133" s="224">
        <v>84241</v>
      </c>
      <c r="L133" s="224">
        <v>84241</v>
      </c>
      <c r="M133" s="224">
        <f t="shared" si="3"/>
        <v>0</v>
      </c>
      <c r="N133" s="100">
        <v>18</v>
      </c>
      <c r="O133" s="224">
        <v>56913</v>
      </c>
      <c r="P133" s="224">
        <v>56913</v>
      </c>
      <c r="Q133" s="79">
        <f t="shared" si="4"/>
        <v>0</v>
      </c>
    </row>
    <row r="134" spans="1:17" s="13" customFormat="1" x14ac:dyDescent="0.25">
      <c r="A134" s="229"/>
      <c r="B134" s="62" t="s">
        <v>151</v>
      </c>
      <c r="C134" s="181" t="s">
        <v>17</v>
      </c>
      <c r="D134" s="182"/>
      <c r="E134" s="183" t="s">
        <v>32</v>
      </c>
      <c r="F134" s="73" t="s">
        <v>390</v>
      </c>
      <c r="G134" s="74" t="s">
        <v>112</v>
      </c>
      <c r="H134" s="75">
        <v>80</v>
      </c>
      <c r="I134" s="82">
        <v>68</v>
      </c>
      <c r="J134" s="96">
        <f>1+3+3+5+3+9+4+6+3+2+6+5+3+8+4+5+2+7+6+3+5</f>
        <v>93</v>
      </c>
      <c r="K134" s="81">
        <f>2317+4640.19+5864.19+10765+12519.53+4514.35+14486.46+3421.94+27163.56+5180.87+3460.57+13888.56+16894.73+15998.7+5115.33+11177.05</f>
        <v>157408.02999999997</v>
      </c>
      <c r="L134" s="81">
        <f>2317+4640.19+5864.19+10765+12519.53+4514.35+14486.46+3421.94+27163.56+5180.87+3460.57+13888.56+16894.73+15998.7+5115.33+11177.05</f>
        <v>157408.02999999997</v>
      </c>
      <c r="M134" s="224">
        <f t="shared" si="3"/>
        <v>0</v>
      </c>
      <c r="N134" s="100">
        <f>9+3+5+1+4+4+1+2+1+1</f>
        <v>31</v>
      </c>
      <c r="O134" s="81">
        <f>10726.94+18822.65+5703.53+12846.53+1320.36+4050.1+22728.38+3733.09+1243.37</f>
        <v>81174.95</v>
      </c>
      <c r="P134" s="81">
        <f>10726.94+18822.65+5703.53+12846.53+1320.36+4050.1+22728.38+3733.09+1243.37</f>
        <v>81174.95</v>
      </c>
      <c r="Q134" s="232">
        <f t="shared" si="4"/>
        <v>0</v>
      </c>
    </row>
    <row r="135" spans="1:17" s="13" customFormat="1" x14ac:dyDescent="0.25">
      <c r="A135" s="229"/>
      <c r="B135" s="62" t="s">
        <v>151</v>
      </c>
      <c r="C135" s="181" t="s">
        <v>17</v>
      </c>
      <c r="D135" s="182"/>
      <c r="E135" s="183" t="s">
        <v>32</v>
      </c>
      <c r="F135" s="73" t="s">
        <v>434</v>
      </c>
      <c r="G135" s="230" t="s">
        <v>117</v>
      </c>
      <c r="H135" s="181">
        <v>16</v>
      </c>
      <c r="I135" s="231">
        <v>6</v>
      </c>
      <c r="J135" s="96">
        <v>6</v>
      </c>
      <c r="K135" s="77">
        <v>7392.05</v>
      </c>
      <c r="L135" s="77">
        <v>7392.05</v>
      </c>
      <c r="M135" s="224">
        <f t="shared" si="3"/>
        <v>0</v>
      </c>
      <c r="N135" s="100">
        <v>14</v>
      </c>
      <c r="O135" s="224">
        <v>27060.1</v>
      </c>
      <c r="P135" s="224">
        <v>27060.1</v>
      </c>
      <c r="Q135" s="79">
        <f t="shared" si="4"/>
        <v>0</v>
      </c>
    </row>
    <row r="136" spans="1:17" s="13" customFormat="1" x14ac:dyDescent="0.25">
      <c r="A136" s="229"/>
      <c r="B136" s="62" t="s">
        <v>80</v>
      </c>
      <c r="C136" s="181" t="s">
        <v>17</v>
      </c>
      <c r="D136" s="182"/>
      <c r="E136" s="183" t="s">
        <v>81</v>
      </c>
      <c r="F136" s="73" t="s">
        <v>417</v>
      </c>
      <c r="G136" s="74" t="s">
        <v>112</v>
      </c>
      <c r="H136" s="75"/>
      <c r="I136" s="76"/>
      <c r="J136" s="96"/>
      <c r="K136" s="77">
        <f>749.19+8649.27+4869.81</f>
        <v>14268.27</v>
      </c>
      <c r="L136" s="77">
        <f>749.19+8649.27+4869.81</f>
        <v>14268.27</v>
      </c>
      <c r="M136" s="224">
        <f t="shared" si="3"/>
        <v>0</v>
      </c>
      <c r="N136" s="100">
        <f>2+2+1</f>
        <v>5</v>
      </c>
      <c r="O136" s="81">
        <f>3040.94+9398.46</f>
        <v>12439.4</v>
      </c>
      <c r="P136" s="81">
        <f>3040.94+9398.46</f>
        <v>12439.4</v>
      </c>
      <c r="Q136" s="232">
        <f t="shared" si="4"/>
        <v>0</v>
      </c>
    </row>
    <row r="137" spans="1:17" s="13" customFormat="1" x14ac:dyDescent="0.25">
      <c r="A137" s="229"/>
      <c r="B137" s="62" t="s">
        <v>80</v>
      </c>
      <c r="C137" s="181" t="s">
        <v>17</v>
      </c>
      <c r="D137" s="182"/>
      <c r="E137" s="183" t="s">
        <v>81</v>
      </c>
      <c r="F137" s="73" t="s">
        <v>285</v>
      </c>
      <c r="G137" s="230" t="s">
        <v>114</v>
      </c>
      <c r="H137" s="181"/>
      <c r="I137" s="231"/>
      <c r="J137" s="190"/>
      <c r="K137" s="77"/>
      <c r="L137" s="77"/>
      <c r="M137" s="224">
        <f t="shared" si="3"/>
        <v>0</v>
      </c>
      <c r="N137" s="100">
        <v>27</v>
      </c>
      <c r="O137" s="224">
        <v>73708.210000000006</v>
      </c>
      <c r="P137" s="224">
        <v>73708.210000000006</v>
      </c>
      <c r="Q137" s="232">
        <f t="shared" si="4"/>
        <v>0</v>
      </c>
    </row>
    <row r="138" spans="1:17" s="13" customFormat="1" x14ac:dyDescent="0.25">
      <c r="A138" s="229"/>
      <c r="B138" s="30" t="s">
        <v>82</v>
      </c>
      <c r="C138" s="181" t="s">
        <v>17</v>
      </c>
      <c r="D138" s="182"/>
      <c r="E138" s="183" t="s">
        <v>20</v>
      </c>
      <c r="F138" s="73" t="s">
        <v>394</v>
      </c>
      <c r="G138" s="74" t="s">
        <v>112</v>
      </c>
      <c r="H138" s="75">
        <v>20</v>
      </c>
      <c r="I138" s="76">
        <v>17</v>
      </c>
      <c r="J138" s="96">
        <f>4+3+2+2+1+1+1+1+1+2+1</f>
        <v>19</v>
      </c>
      <c r="K138" s="77">
        <f>20254+3953.39+602.1+1457.08+1445.04+964.61</f>
        <v>28676.22</v>
      </c>
      <c r="L138" s="77">
        <f>20254+3953.39+602.1+1457.08+1445.04+964.61</f>
        <v>28676.22</v>
      </c>
      <c r="M138" s="224">
        <f t="shared" si="3"/>
        <v>0</v>
      </c>
      <c r="N138" s="100">
        <f>3+5+1+1+1</f>
        <v>11</v>
      </c>
      <c r="O138" s="81">
        <f>5975.84+23579.15+1426.34+3500</f>
        <v>34481.33</v>
      </c>
      <c r="P138" s="81">
        <f>5975.84+23579.15+1426.34+3500</f>
        <v>34481.33</v>
      </c>
      <c r="Q138" s="232">
        <f t="shared" si="4"/>
        <v>0</v>
      </c>
    </row>
    <row r="139" spans="1:17" s="13" customFormat="1" x14ac:dyDescent="0.25">
      <c r="A139" s="229"/>
      <c r="B139" s="30" t="s">
        <v>82</v>
      </c>
      <c r="C139" s="181" t="s">
        <v>17</v>
      </c>
      <c r="D139" s="182"/>
      <c r="E139" s="183" t="s">
        <v>20</v>
      </c>
      <c r="F139" s="73" t="s">
        <v>463</v>
      </c>
      <c r="G139" s="230" t="s">
        <v>114</v>
      </c>
      <c r="H139" s="181">
        <v>34</v>
      </c>
      <c r="I139" s="231">
        <v>9</v>
      </c>
      <c r="J139" s="190">
        <v>9</v>
      </c>
      <c r="K139" s="77">
        <v>24716.28</v>
      </c>
      <c r="L139" s="77">
        <v>24716.28</v>
      </c>
      <c r="M139" s="224">
        <f t="shared" si="3"/>
        <v>0</v>
      </c>
      <c r="N139" s="100">
        <v>14</v>
      </c>
      <c r="O139" s="224">
        <v>48620.71</v>
      </c>
      <c r="P139" s="224">
        <v>48620.71</v>
      </c>
      <c r="Q139" s="232">
        <f t="shared" si="4"/>
        <v>0</v>
      </c>
    </row>
    <row r="140" spans="1:17" s="13" customFormat="1" x14ac:dyDescent="0.25">
      <c r="A140" s="229"/>
      <c r="B140" s="30" t="s">
        <v>309</v>
      </c>
      <c r="C140" s="181" t="s">
        <v>17</v>
      </c>
      <c r="D140" s="182"/>
      <c r="E140" s="183" t="s">
        <v>20</v>
      </c>
      <c r="F140" s="73" t="s">
        <v>391</v>
      </c>
      <c r="G140" s="230" t="s">
        <v>112</v>
      </c>
      <c r="H140" s="181">
        <v>23</v>
      </c>
      <c r="I140" s="231">
        <v>16</v>
      </c>
      <c r="J140" s="190">
        <f>1+5+2+1+1+1+2+1+1+1+1</f>
        <v>17</v>
      </c>
      <c r="K140" s="77">
        <f>3606.1+3402.77+2649.24+993.47+441.54+8488+4287.75+3090.78+1040.49+5044.8</f>
        <v>33044.94</v>
      </c>
      <c r="L140" s="77">
        <f>3606.1+3402.77+2649.24+993.47+441.54+8488+4287.75+3090.78+1040.49+5044.8</f>
        <v>33044.94</v>
      </c>
      <c r="M140" s="224">
        <f t="shared" ref="M140:M196" si="5">K140-L140</f>
        <v>0</v>
      </c>
      <c r="N140" s="100">
        <f>1+5+1+3</f>
        <v>10</v>
      </c>
      <c r="O140" s="224">
        <f>3088.97+13147.65+1267.86+5955.71</f>
        <v>23460.19</v>
      </c>
      <c r="P140" s="224">
        <f>3088.97+13147.65+1267.86+5955.71</f>
        <v>23460.19</v>
      </c>
      <c r="Q140" s="232">
        <f t="shared" si="4"/>
        <v>0</v>
      </c>
    </row>
    <row r="141" spans="1:17" s="13" customFormat="1" x14ac:dyDescent="0.25">
      <c r="A141" s="229"/>
      <c r="B141" s="30" t="s">
        <v>152</v>
      </c>
      <c r="C141" s="181" t="s">
        <v>17</v>
      </c>
      <c r="D141" s="182"/>
      <c r="E141" s="183" t="s">
        <v>35</v>
      </c>
      <c r="F141" s="73" t="s">
        <v>392</v>
      </c>
      <c r="G141" s="74" t="s">
        <v>112</v>
      </c>
      <c r="H141" s="75">
        <v>7</v>
      </c>
      <c r="I141" s="76">
        <v>6</v>
      </c>
      <c r="J141" s="96">
        <f>1+1+2+1+1+1+2</f>
        <v>9</v>
      </c>
      <c r="K141" s="77">
        <f>403.41+845.24+2113.1+2649.24</f>
        <v>6010.99</v>
      </c>
      <c r="L141" s="77">
        <f>403.41+845.24+2113.1+2649.24</f>
        <v>6010.99</v>
      </c>
      <c r="M141" s="224">
        <f t="shared" si="5"/>
        <v>0</v>
      </c>
      <c r="N141" s="100">
        <f>2+2+2+1+1+1+2</f>
        <v>11</v>
      </c>
      <c r="O141" s="81">
        <f>1690.48+3050.26+3661.61+4648.82+1267.86+1690.48+9282.42+4052.53</f>
        <v>29344.46</v>
      </c>
      <c r="P141" s="81">
        <f>1690.48+3050.26+3661.61+4648.82+1267.86+1690.48+9282.42+4052.53</f>
        <v>29344.46</v>
      </c>
      <c r="Q141" s="232">
        <f t="shared" si="4"/>
        <v>0</v>
      </c>
    </row>
    <row r="142" spans="1:17" s="13" customFormat="1" x14ac:dyDescent="0.25">
      <c r="A142" s="229"/>
      <c r="B142" s="30" t="s">
        <v>83</v>
      </c>
      <c r="C142" s="181" t="s">
        <v>17</v>
      </c>
      <c r="D142" s="182"/>
      <c r="E142" s="183" t="s">
        <v>20</v>
      </c>
      <c r="F142" s="73" t="s">
        <v>393</v>
      </c>
      <c r="G142" s="74" t="s">
        <v>112</v>
      </c>
      <c r="H142" s="75">
        <v>18</v>
      </c>
      <c r="I142" s="76">
        <v>11</v>
      </c>
      <c r="J142" s="96">
        <f>1+1+2+1+1+1+1+1+1+1+1</f>
        <v>12</v>
      </c>
      <c r="K142" s="77">
        <f>768.4+2535.72+845.24+14407.5+883.08+883.08+2185.62</f>
        <v>22508.640000000003</v>
      </c>
      <c r="L142" s="77">
        <f>768.4+2535.72+845.24+14407.5+883.08+883.08+2185.62</f>
        <v>22508.640000000003</v>
      </c>
      <c r="M142" s="224">
        <f t="shared" si="5"/>
        <v>0</v>
      </c>
      <c r="N142" s="100">
        <f>1+2+1+1+1+2</f>
        <v>8</v>
      </c>
      <c r="O142" s="81">
        <f>5837.09+1922.92+4288.54+1686.25</f>
        <v>13734.8</v>
      </c>
      <c r="P142" s="81">
        <f>5837.09+1922.92+4288.54+1686.25</f>
        <v>13734.8</v>
      </c>
      <c r="Q142" s="232">
        <f t="shared" si="4"/>
        <v>0</v>
      </c>
    </row>
    <row r="143" spans="1:17" s="13" customFormat="1" x14ac:dyDescent="0.25">
      <c r="A143" s="229"/>
      <c r="B143" s="30" t="s">
        <v>83</v>
      </c>
      <c r="C143" s="181" t="s">
        <v>17</v>
      </c>
      <c r="D143" s="182"/>
      <c r="E143" s="183" t="s">
        <v>20</v>
      </c>
      <c r="F143" s="73" t="s">
        <v>464</v>
      </c>
      <c r="G143" s="230" t="s">
        <v>114</v>
      </c>
      <c r="H143" s="181">
        <v>39</v>
      </c>
      <c r="I143" s="231">
        <v>26</v>
      </c>
      <c r="J143" s="190">
        <v>26</v>
      </c>
      <c r="K143" s="77">
        <v>72427.25</v>
      </c>
      <c r="L143" s="77">
        <v>72427.25</v>
      </c>
      <c r="M143" s="224">
        <f t="shared" si="5"/>
        <v>0</v>
      </c>
      <c r="N143" s="100">
        <v>31</v>
      </c>
      <c r="O143" s="224">
        <v>114176.52</v>
      </c>
      <c r="P143" s="224">
        <v>114176.52</v>
      </c>
      <c r="Q143" s="232">
        <f t="shared" si="4"/>
        <v>0</v>
      </c>
    </row>
    <row r="144" spans="1:17" s="13" customFormat="1" ht="45" x14ac:dyDescent="0.25">
      <c r="A144" s="229"/>
      <c r="B144" s="30" t="s">
        <v>85</v>
      </c>
      <c r="C144" s="181" t="s">
        <v>304</v>
      </c>
      <c r="D144" s="182" t="s">
        <v>415</v>
      </c>
      <c r="E144" s="183" t="s">
        <v>20</v>
      </c>
      <c r="F144" s="73" t="s">
        <v>395</v>
      </c>
      <c r="G144" s="74" t="s">
        <v>112</v>
      </c>
      <c r="H144" s="75">
        <v>22</v>
      </c>
      <c r="I144" s="76">
        <v>12</v>
      </c>
      <c r="J144" s="98">
        <f>2+1+1+1+3</f>
        <v>8</v>
      </c>
      <c r="K144" s="77">
        <f>4800.58+2591.84+7239.38+3534.03+9709.14</f>
        <v>27874.969999999998</v>
      </c>
      <c r="L144" s="77">
        <f>4800.58+2591.84+7239.38+3534.03+9709.14</f>
        <v>27874.969999999998</v>
      </c>
      <c r="M144" s="224">
        <f t="shared" si="5"/>
        <v>0</v>
      </c>
      <c r="N144" s="100">
        <f>2+1+2+1</f>
        <v>6</v>
      </c>
      <c r="O144" s="81">
        <f>3917.73+8936.21+5669.37+31185.72+18292.46</f>
        <v>68001.489999999991</v>
      </c>
      <c r="P144" s="81">
        <f>3917.73+8936.21+5669.37+31185.72+18292.46</f>
        <v>68001.489999999991</v>
      </c>
      <c r="Q144" s="79">
        <f t="shared" si="4"/>
        <v>0</v>
      </c>
    </row>
    <row r="145" spans="1:17" s="13" customFormat="1" x14ac:dyDescent="0.25">
      <c r="A145" s="229"/>
      <c r="B145" s="27" t="s">
        <v>86</v>
      </c>
      <c r="C145" s="181" t="s">
        <v>17</v>
      </c>
      <c r="D145" s="182"/>
      <c r="E145" s="194" t="s">
        <v>20</v>
      </c>
      <c r="F145" s="73" t="s">
        <v>396</v>
      </c>
      <c r="G145" s="74" t="s">
        <v>112</v>
      </c>
      <c r="H145" s="75">
        <v>33</v>
      </c>
      <c r="I145" s="76">
        <v>23</v>
      </c>
      <c r="J145" s="96">
        <f>1+3+1+7+2+2+5+5+1+3+6</f>
        <v>36</v>
      </c>
      <c r="K145" s="77">
        <f>950.9+5134.06+2091.97+528.03+8954.46+5719.74+9578.1+2631.85+7667.14+14069.47</f>
        <v>57325.719999999994</v>
      </c>
      <c r="L145" s="77">
        <f>950.9+5134.06+2091.97+528.03+8954.46+5719.74+9578.1+2631.85+7667.14+14069.47</f>
        <v>57325.719999999994</v>
      </c>
      <c r="M145" s="224">
        <f t="shared" si="5"/>
        <v>0</v>
      </c>
      <c r="N145" s="100">
        <f>15+4+2+1+2+2+1</f>
        <v>27</v>
      </c>
      <c r="O145" s="81">
        <f>30236.61+18366.75+8887.09+1077.68+8961.95</f>
        <v>67530.080000000002</v>
      </c>
      <c r="P145" s="81">
        <f>30236.61+18366.75+8887.09+1077.68+8961.95</f>
        <v>67530.080000000002</v>
      </c>
      <c r="Q145" s="232">
        <f t="shared" si="4"/>
        <v>0</v>
      </c>
    </row>
    <row r="146" spans="1:17" s="13" customFormat="1" x14ac:dyDescent="0.25">
      <c r="A146" s="229"/>
      <c r="B146" s="27" t="s">
        <v>86</v>
      </c>
      <c r="C146" s="181" t="s">
        <v>17</v>
      </c>
      <c r="D146" s="182"/>
      <c r="E146" s="194" t="s">
        <v>20</v>
      </c>
      <c r="F146" s="73" t="s">
        <v>465</v>
      </c>
      <c r="G146" s="230" t="s">
        <v>114</v>
      </c>
      <c r="H146" s="181">
        <v>9</v>
      </c>
      <c r="I146" s="231">
        <v>5</v>
      </c>
      <c r="J146" s="190">
        <v>5</v>
      </c>
      <c r="K146" s="77">
        <v>11282.42</v>
      </c>
      <c r="L146" s="77">
        <v>11282.42</v>
      </c>
      <c r="M146" s="224">
        <f t="shared" si="5"/>
        <v>0</v>
      </c>
      <c r="N146" s="100">
        <v>10</v>
      </c>
      <c r="O146" s="224">
        <v>22234.03</v>
      </c>
      <c r="P146" s="224">
        <v>22234.03</v>
      </c>
      <c r="Q146" s="232">
        <f t="shared" si="4"/>
        <v>0</v>
      </c>
    </row>
    <row r="147" spans="1:17" s="13" customFormat="1" x14ac:dyDescent="0.25">
      <c r="A147" s="229"/>
      <c r="B147" s="27" t="s">
        <v>87</v>
      </c>
      <c r="C147" s="181" t="s">
        <v>17</v>
      </c>
      <c r="D147" s="182"/>
      <c r="E147" s="194" t="s">
        <v>20</v>
      </c>
      <c r="F147" s="73" t="s">
        <v>520</v>
      </c>
      <c r="G147" s="294" t="s">
        <v>112</v>
      </c>
      <c r="H147" s="181">
        <v>4</v>
      </c>
      <c r="I147" s="231">
        <v>4</v>
      </c>
      <c r="J147" s="190">
        <f>2+2+2</f>
        <v>6</v>
      </c>
      <c r="K147" s="77">
        <f>2595.26+2848.63</f>
        <v>5443.89</v>
      </c>
      <c r="L147" s="77">
        <f>2595.26+2848.63</f>
        <v>5443.89</v>
      </c>
      <c r="M147" s="224">
        <f t="shared" si="5"/>
        <v>0</v>
      </c>
      <c r="N147" s="100"/>
      <c r="O147" s="224"/>
      <c r="P147" s="224"/>
      <c r="Q147" s="232"/>
    </row>
    <row r="148" spans="1:17" s="13" customFormat="1" x14ac:dyDescent="0.25">
      <c r="A148" s="229"/>
      <c r="B148" s="62" t="s">
        <v>312</v>
      </c>
      <c r="C148" s="181" t="s">
        <v>17</v>
      </c>
      <c r="D148" s="182"/>
      <c r="E148" s="194" t="s">
        <v>20</v>
      </c>
      <c r="F148" s="73" t="s">
        <v>320</v>
      </c>
      <c r="G148" s="74" t="s">
        <v>112</v>
      </c>
      <c r="H148" s="75">
        <v>25</v>
      </c>
      <c r="I148" s="76">
        <v>21</v>
      </c>
      <c r="J148" s="96">
        <f>1+1+1+2+3+4+4+3+1</f>
        <v>20</v>
      </c>
      <c r="K148" s="77">
        <f>3319.49+845.24+4965.79+4415.4+3090.78+9754.02+1261.2</f>
        <v>27651.920000000002</v>
      </c>
      <c r="L148" s="77">
        <f>3319.49+845.24+4965.79+4415.4+3090.78+9754.02+1261.2</f>
        <v>27651.920000000002</v>
      </c>
      <c r="M148" s="224">
        <f t="shared" si="5"/>
        <v>0</v>
      </c>
      <c r="N148" s="100">
        <f>5+6+1+1+1</f>
        <v>14</v>
      </c>
      <c r="O148" s="81">
        <f>4226.2+6627.45+4360.59+6336.1+12649.24</f>
        <v>34199.58</v>
      </c>
      <c r="P148" s="81">
        <f>4226.2+6627.45+4360.59+6336.1+12649.24</f>
        <v>34199.58</v>
      </c>
      <c r="Q148" s="232">
        <f t="shared" si="4"/>
        <v>0</v>
      </c>
    </row>
    <row r="149" spans="1:17" s="13" customFormat="1" x14ac:dyDescent="0.25">
      <c r="A149" s="229"/>
      <c r="B149" s="62" t="s">
        <v>312</v>
      </c>
      <c r="C149" s="181"/>
      <c r="D149" s="182"/>
      <c r="E149" s="194"/>
      <c r="F149" s="73"/>
      <c r="G149" s="74" t="s">
        <v>114</v>
      </c>
      <c r="H149" s="75">
        <v>2</v>
      </c>
      <c r="I149" s="76"/>
      <c r="J149" s="96"/>
      <c r="K149" s="77"/>
      <c r="L149" s="77"/>
      <c r="M149" s="224">
        <f t="shared" si="5"/>
        <v>0</v>
      </c>
      <c r="N149" s="100"/>
      <c r="O149" s="81"/>
      <c r="P149" s="81"/>
      <c r="Q149" s="232"/>
    </row>
    <row r="150" spans="1:17" s="13" customFormat="1" x14ac:dyDescent="0.25">
      <c r="A150" s="229"/>
      <c r="B150" s="62" t="s">
        <v>494</v>
      </c>
      <c r="C150" s="181" t="s">
        <v>17</v>
      </c>
      <c r="D150" s="182"/>
      <c r="E150" s="194" t="s">
        <v>20</v>
      </c>
      <c r="F150" s="73" t="s">
        <v>497</v>
      </c>
      <c r="G150" s="74" t="s">
        <v>112</v>
      </c>
      <c r="H150" s="75">
        <v>19</v>
      </c>
      <c r="I150" s="76">
        <v>13</v>
      </c>
      <c r="J150" s="96">
        <f>1+1+1+1+2+1+2+2+3</f>
        <v>14</v>
      </c>
      <c r="K150" s="77">
        <f>3379+5494.06+576.3+2417.43+3057.66+2384.32+1986.93</f>
        <v>19295.7</v>
      </c>
      <c r="L150" s="77">
        <f>3379+5494.06+576.3+2417.43+3057.66+2384.32+1986.93</f>
        <v>19295.7</v>
      </c>
      <c r="M150" s="224">
        <f t="shared" si="5"/>
        <v>0</v>
      </c>
      <c r="N150" s="100"/>
      <c r="O150" s="81">
        <f>13638.29</f>
        <v>13638.29</v>
      </c>
      <c r="P150" s="81">
        <f>13638.29</f>
        <v>13638.29</v>
      </c>
      <c r="Q150" s="232">
        <f t="shared" ref="Q150:Q197" si="6">O150-P150</f>
        <v>0</v>
      </c>
    </row>
    <row r="151" spans="1:17" s="13" customFormat="1" x14ac:dyDescent="0.25">
      <c r="A151" s="229"/>
      <c r="B151" s="62" t="s">
        <v>494</v>
      </c>
      <c r="C151" s="181" t="s">
        <v>17</v>
      </c>
      <c r="D151" s="182"/>
      <c r="E151" s="194" t="s">
        <v>20</v>
      </c>
      <c r="F151" s="73" t="s">
        <v>507</v>
      </c>
      <c r="G151" s="74" t="s">
        <v>114</v>
      </c>
      <c r="H151" s="75">
        <v>49</v>
      </c>
      <c r="I151" s="76">
        <v>10</v>
      </c>
      <c r="J151" s="96">
        <v>10</v>
      </c>
      <c r="K151" s="77">
        <v>35317.46</v>
      </c>
      <c r="L151" s="77">
        <v>35317.46</v>
      </c>
      <c r="M151" s="224">
        <f t="shared" si="5"/>
        <v>0</v>
      </c>
      <c r="N151" s="100"/>
      <c r="O151" s="81"/>
      <c r="P151" s="81"/>
      <c r="Q151" s="232">
        <f t="shared" si="6"/>
        <v>0</v>
      </c>
    </row>
    <row r="152" spans="1:17" s="13" customFormat="1" x14ac:dyDescent="0.25">
      <c r="A152" s="229"/>
      <c r="B152" s="62" t="s">
        <v>521</v>
      </c>
      <c r="C152" s="181"/>
      <c r="D152" s="182"/>
      <c r="E152" s="194"/>
      <c r="F152" s="73" t="s">
        <v>524</v>
      </c>
      <c r="G152" s="74" t="s">
        <v>112</v>
      </c>
      <c r="H152" s="75">
        <v>5</v>
      </c>
      <c r="I152" s="76">
        <v>1</v>
      </c>
      <c r="J152" s="96">
        <f>2</f>
        <v>2</v>
      </c>
      <c r="K152" s="77">
        <f>2107.31</f>
        <v>2107.31</v>
      </c>
      <c r="L152" s="77">
        <f>2107.31</f>
        <v>2107.31</v>
      </c>
      <c r="M152" s="224">
        <f t="shared" si="5"/>
        <v>0</v>
      </c>
      <c r="N152" s="100"/>
      <c r="O152" s="81"/>
      <c r="P152" s="81"/>
      <c r="Q152" s="232"/>
    </row>
    <row r="153" spans="1:17" s="13" customFormat="1" x14ac:dyDescent="0.25">
      <c r="A153" s="229"/>
      <c r="B153" s="62" t="s">
        <v>521</v>
      </c>
      <c r="C153" s="181"/>
      <c r="D153" s="182"/>
      <c r="E153" s="194"/>
      <c r="F153" s="73"/>
      <c r="G153" s="74" t="s">
        <v>116</v>
      </c>
      <c r="H153" s="75">
        <v>2</v>
      </c>
      <c r="I153" s="76"/>
      <c r="J153" s="96"/>
      <c r="K153" s="77">
        <v>0</v>
      </c>
      <c r="L153" s="77">
        <v>0</v>
      </c>
      <c r="M153" s="224">
        <f t="shared" si="5"/>
        <v>0</v>
      </c>
      <c r="N153" s="100"/>
      <c r="O153" s="81"/>
      <c r="P153" s="81"/>
      <c r="Q153" s="232"/>
    </row>
    <row r="154" spans="1:17" s="13" customFormat="1" x14ac:dyDescent="0.25">
      <c r="A154" s="229"/>
      <c r="B154" s="30" t="s">
        <v>88</v>
      </c>
      <c r="C154" s="181" t="s">
        <v>17</v>
      </c>
      <c r="D154" s="182"/>
      <c r="E154" s="183" t="s">
        <v>89</v>
      </c>
      <c r="F154" s="73" t="s">
        <v>397</v>
      </c>
      <c r="G154" s="74" t="s">
        <v>112</v>
      </c>
      <c r="H154" s="75">
        <v>39</v>
      </c>
      <c r="I154" s="76">
        <v>25</v>
      </c>
      <c r="J154" s="96">
        <f>1+3+1+2+4+1+2+5+2+1+3</f>
        <v>25</v>
      </c>
      <c r="K154" s="77">
        <f>4226.2+2394.91+6485.1+556.71+4126.31+9704.16+1282.67+1282.67+2185.62+3512.26+441.54+4213</f>
        <v>40411.149999999994</v>
      </c>
      <c r="L154" s="77">
        <f>4226.2+2394.91+6485.1+556.71+4126.31+9704.16+1282.67+1282.67+2185.62+3512.26+441.54+4213</f>
        <v>40411.149999999994</v>
      </c>
      <c r="M154" s="224">
        <f t="shared" si="5"/>
        <v>0</v>
      </c>
      <c r="N154" s="100">
        <f>4+1+3+1+2+2+1+1+2</f>
        <v>17</v>
      </c>
      <c r="O154" s="81">
        <f>11967.83+2831.55+10544.37+9418.99+3799.13+1798.04+2548.4-12193.52+4083.77</f>
        <v>34798.559999999998</v>
      </c>
      <c r="P154" s="81">
        <f>11967.83+2831.55+10544.37+9418.99+3799.13+1798.04+2548.4-12193.52+4083.77</f>
        <v>34798.559999999998</v>
      </c>
      <c r="Q154" s="79">
        <f t="shared" si="6"/>
        <v>0</v>
      </c>
    </row>
    <row r="155" spans="1:17" s="13" customFormat="1" x14ac:dyDescent="0.25">
      <c r="A155" s="229"/>
      <c r="B155" s="30" t="s">
        <v>88</v>
      </c>
      <c r="C155" s="181" t="s">
        <v>17</v>
      </c>
      <c r="D155" s="182"/>
      <c r="E155" s="183" t="s">
        <v>89</v>
      </c>
      <c r="F155" s="73" t="s">
        <v>442</v>
      </c>
      <c r="G155" s="230" t="s">
        <v>118</v>
      </c>
      <c r="H155" s="181">
        <v>7</v>
      </c>
      <c r="I155" s="231">
        <v>4</v>
      </c>
      <c r="J155" s="96">
        <v>4</v>
      </c>
      <c r="K155" s="77">
        <v>7937.26</v>
      </c>
      <c r="L155" s="77">
        <v>7937.26</v>
      </c>
      <c r="M155" s="224">
        <f t="shared" si="5"/>
        <v>0</v>
      </c>
      <c r="N155" s="100">
        <v>5</v>
      </c>
      <c r="O155" s="224">
        <v>22002.55</v>
      </c>
      <c r="P155" s="224">
        <v>22002.55</v>
      </c>
      <c r="Q155" s="232">
        <f t="shared" si="6"/>
        <v>0</v>
      </c>
    </row>
    <row r="156" spans="1:17" s="13" customFormat="1" x14ac:dyDescent="0.25">
      <c r="A156" s="229"/>
      <c r="B156" s="30" t="s">
        <v>88</v>
      </c>
      <c r="C156" s="181" t="s">
        <v>17</v>
      </c>
      <c r="D156" s="182"/>
      <c r="E156" s="194" t="s">
        <v>505</v>
      </c>
      <c r="F156" s="73" t="s">
        <v>506</v>
      </c>
      <c r="G156" s="230" t="s">
        <v>114</v>
      </c>
      <c r="H156" s="181">
        <v>9</v>
      </c>
      <c r="I156" s="231">
        <v>4</v>
      </c>
      <c r="J156" s="96">
        <v>4</v>
      </c>
      <c r="K156" s="77">
        <v>14305.78</v>
      </c>
      <c r="L156" s="77">
        <v>14305.78</v>
      </c>
      <c r="M156" s="224">
        <f t="shared" si="5"/>
        <v>0</v>
      </c>
      <c r="N156" s="100"/>
      <c r="O156" s="224"/>
      <c r="P156" s="224"/>
      <c r="Q156" s="232">
        <f t="shared" si="6"/>
        <v>0</v>
      </c>
    </row>
    <row r="157" spans="1:17" s="13" customFormat="1" x14ac:dyDescent="0.25">
      <c r="A157" s="229"/>
      <c r="B157" s="30" t="s">
        <v>90</v>
      </c>
      <c r="C157" s="181" t="s">
        <v>17</v>
      </c>
      <c r="D157" s="182"/>
      <c r="E157" s="194" t="s">
        <v>20</v>
      </c>
      <c r="F157" s="73" t="s">
        <v>398</v>
      </c>
      <c r="G157" s="74" t="s">
        <v>112</v>
      </c>
      <c r="H157" s="75">
        <v>17</v>
      </c>
      <c r="I157" s="76">
        <v>8</v>
      </c>
      <c r="J157" s="96">
        <f>1+1+1+4+1+2</f>
        <v>10</v>
      </c>
      <c r="K157" s="77">
        <f>422.62+4662.44+7580.13+2408.4+8770.77+8080.63</f>
        <v>31924.99</v>
      </c>
      <c r="L157" s="77">
        <f>422.62+4662.44+7580.13+2408.4+8770.77+8080.63</f>
        <v>31924.99</v>
      </c>
      <c r="M157" s="224">
        <f t="shared" si="5"/>
        <v>0</v>
      </c>
      <c r="N157" s="100">
        <f>1+1+1+1+2+1</f>
        <v>7</v>
      </c>
      <c r="O157" s="81">
        <f>2122.67+787.61+15453.48+6194.26+37549.5</f>
        <v>62107.519999999997</v>
      </c>
      <c r="P157" s="81">
        <f>2122.67+787.61+15453.48+6194.26+37549.5</f>
        <v>62107.519999999997</v>
      </c>
      <c r="Q157" s="79">
        <f t="shared" si="6"/>
        <v>0</v>
      </c>
    </row>
    <row r="158" spans="1:17" s="13" customFormat="1" x14ac:dyDescent="0.25">
      <c r="A158" s="229"/>
      <c r="B158" s="30" t="s">
        <v>90</v>
      </c>
      <c r="C158" s="181" t="s">
        <v>17</v>
      </c>
      <c r="D158" s="182"/>
      <c r="E158" s="194" t="s">
        <v>20</v>
      </c>
      <c r="F158" s="73" t="s">
        <v>466</v>
      </c>
      <c r="G158" s="230" t="s">
        <v>114</v>
      </c>
      <c r="H158" s="181">
        <v>30</v>
      </c>
      <c r="I158" s="231">
        <v>12</v>
      </c>
      <c r="J158" s="190">
        <v>12</v>
      </c>
      <c r="K158" s="77">
        <v>29334.36</v>
      </c>
      <c r="L158" s="77">
        <v>29334.36</v>
      </c>
      <c r="M158" s="224">
        <f t="shared" si="5"/>
        <v>0</v>
      </c>
      <c r="N158" s="100">
        <v>31</v>
      </c>
      <c r="O158" s="224">
        <v>132234.03</v>
      </c>
      <c r="P158" s="224">
        <v>132234.03</v>
      </c>
      <c r="Q158" s="232">
        <f t="shared" si="6"/>
        <v>0</v>
      </c>
    </row>
    <row r="159" spans="1:17" s="13" customFormat="1" x14ac:dyDescent="0.25">
      <c r="A159" s="229"/>
      <c r="B159" s="30" t="s">
        <v>91</v>
      </c>
      <c r="C159" s="181" t="s">
        <v>17</v>
      </c>
      <c r="D159" s="182"/>
      <c r="E159" s="194" t="s">
        <v>20</v>
      </c>
      <c r="F159" s="73"/>
      <c r="G159" s="74" t="s">
        <v>112</v>
      </c>
      <c r="H159" s="75"/>
      <c r="I159" s="76"/>
      <c r="J159" s="96"/>
      <c r="K159" s="77"/>
      <c r="L159" s="77"/>
      <c r="M159" s="224">
        <f t="shared" si="5"/>
        <v>0</v>
      </c>
      <c r="N159" s="100"/>
      <c r="O159" s="81"/>
      <c r="P159" s="81"/>
      <c r="Q159" s="79">
        <f t="shared" si="6"/>
        <v>0</v>
      </c>
    </row>
    <row r="160" spans="1:17" s="13" customFormat="1" x14ac:dyDescent="0.25">
      <c r="A160" s="229"/>
      <c r="B160" s="62" t="s">
        <v>138</v>
      </c>
      <c r="C160" s="181" t="s">
        <v>17</v>
      </c>
      <c r="D160" s="182"/>
      <c r="E160" s="194" t="s">
        <v>20</v>
      </c>
      <c r="F160" s="73" t="s">
        <v>467</v>
      </c>
      <c r="G160" s="230" t="s">
        <v>114</v>
      </c>
      <c r="H160" s="181">
        <v>21</v>
      </c>
      <c r="I160" s="231">
        <v>4</v>
      </c>
      <c r="J160" s="190">
        <v>4</v>
      </c>
      <c r="K160" s="193">
        <v>5542.2</v>
      </c>
      <c r="L160" s="193">
        <v>5542.2</v>
      </c>
      <c r="M160" s="224">
        <f t="shared" si="5"/>
        <v>0</v>
      </c>
      <c r="N160" s="114">
        <v>8</v>
      </c>
      <c r="O160" s="224">
        <v>21140.2</v>
      </c>
      <c r="P160" s="224">
        <v>21140.2</v>
      </c>
      <c r="Q160" s="232">
        <f t="shared" si="6"/>
        <v>0</v>
      </c>
    </row>
    <row r="161" spans="1:17" s="13" customFormat="1" x14ac:dyDescent="0.25">
      <c r="A161" s="229"/>
      <c r="B161" s="62" t="s">
        <v>138</v>
      </c>
      <c r="C161" s="181" t="s">
        <v>17</v>
      </c>
      <c r="D161" s="182"/>
      <c r="E161" s="194" t="s">
        <v>20</v>
      </c>
      <c r="F161" s="73" t="s">
        <v>400</v>
      </c>
      <c r="G161" s="74" t="s">
        <v>112</v>
      </c>
      <c r="H161" s="75">
        <v>16</v>
      </c>
      <c r="I161" s="82">
        <v>12</v>
      </c>
      <c r="J161" s="96">
        <f>3+1+1+2+2+3+1</f>
        <v>13</v>
      </c>
      <c r="K161" s="77">
        <f>2224.52+9639.33+3232.07+1625.67+1324.62+2604.08+4869.81</f>
        <v>25520.100000000002</v>
      </c>
      <c r="L161" s="77">
        <f>2224.52+9639.33+3232.07+1625.67+1324.62+2604.08+4869.81</f>
        <v>25520.100000000002</v>
      </c>
      <c r="M161" s="224">
        <f t="shared" si="5"/>
        <v>0</v>
      </c>
      <c r="N161" s="100">
        <f>5+4+2</f>
        <v>11</v>
      </c>
      <c r="O161" s="81">
        <f>8995.87+8641.99+5740.02</f>
        <v>23377.88</v>
      </c>
      <c r="P161" s="81">
        <f>8995.87+8641.99+5740.02</f>
        <v>23377.88</v>
      </c>
      <c r="Q161" s="79">
        <f t="shared" si="6"/>
        <v>0</v>
      </c>
    </row>
    <row r="162" spans="1:17" s="13" customFormat="1" x14ac:dyDescent="0.25">
      <c r="A162" s="229"/>
      <c r="B162" s="62" t="s">
        <v>157</v>
      </c>
      <c r="C162" s="181" t="s">
        <v>17</v>
      </c>
      <c r="D162" s="182"/>
      <c r="E162" s="194" t="s">
        <v>20</v>
      </c>
      <c r="F162" s="73" t="s">
        <v>401</v>
      </c>
      <c r="G162" s="74" t="s">
        <v>112</v>
      </c>
      <c r="H162" s="75">
        <v>15</v>
      </c>
      <c r="I162" s="82"/>
      <c r="J162" s="96"/>
      <c r="K162" s="77"/>
      <c r="L162" s="77"/>
      <c r="M162" s="224">
        <f t="shared" si="5"/>
        <v>0</v>
      </c>
      <c r="N162" s="100"/>
      <c r="O162" s="81"/>
      <c r="P162" s="81"/>
      <c r="Q162" s="232">
        <f t="shared" si="6"/>
        <v>0</v>
      </c>
    </row>
    <row r="163" spans="1:17" s="13" customFormat="1" x14ac:dyDescent="0.25">
      <c r="A163" s="229"/>
      <c r="B163" s="62" t="s">
        <v>515</v>
      </c>
      <c r="C163" s="181" t="s">
        <v>17</v>
      </c>
      <c r="D163" s="182"/>
      <c r="E163" s="194" t="s">
        <v>20</v>
      </c>
      <c r="F163" s="73" t="s">
        <v>519</v>
      </c>
      <c r="G163" s="74" t="s">
        <v>112</v>
      </c>
      <c r="H163" s="75">
        <v>17</v>
      </c>
      <c r="I163" s="82">
        <v>6</v>
      </c>
      <c r="J163" s="96">
        <f>1+1+2+4</f>
        <v>8</v>
      </c>
      <c r="K163" s="77">
        <f>1091.81+1091.81+662.31+4766.43+6324.61</f>
        <v>13936.970000000001</v>
      </c>
      <c r="L163" s="77">
        <f>1091.81+1091.81+662.31+4766.43+6324.61</f>
        <v>13936.970000000001</v>
      </c>
      <c r="M163" s="224">
        <f t="shared" si="5"/>
        <v>0</v>
      </c>
      <c r="N163" s="100"/>
      <c r="O163" s="81"/>
      <c r="P163" s="81"/>
      <c r="Q163" s="232"/>
    </row>
    <row r="164" spans="1:17" s="15" customFormat="1" x14ac:dyDescent="0.25">
      <c r="A164" s="229"/>
      <c r="B164" s="62" t="s">
        <v>92</v>
      </c>
      <c r="C164" s="181" t="s">
        <v>17</v>
      </c>
      <c r="D164" s="182"/>
      <c r="E164" s="194" t="s">
        <v>20</v>
      </c>
      <c r="F164" s="73" t="s">
        <v>402</v>
      </c>
      <c r="G164" s="74" t="s">
        <v>112</v>
      </c>
      <c r="H164" s="75">
        <v>17</v>
      </c>
      <c r="I164" s="76">
        <v>12</v>
      </c>
      <c r="J164" s="96">
        <f>1+2+5+2+2</f>
        <v>12</v>
      </c>
      <c r="K164" s="77">
        <f>1951.74+1335.1+2996.76+883.08+842.94+868.07</f>
        <v>8877.69</v>
      </c>
      <c r="L164" s="77">
        <f>1951.74+1335.1+2996.76+883.08+842.94+868.07</f>
        <v>8877.69</v>
      </c>
      <c r="M164" s="224">
        <f t="shared" si="5"/>
        <v>0</v>
      </c>
      <c r="N164" s="100">
        <f>4+1+1</f>
        <v>6</v>
      </c>
      <c r="O164" s="81">
        <f>12624.74+2697.06+1225.93</f>
        <v>16547.73</v>
      </c>
      <c r="P164" s="81">
        <f>12624.74+2697.06+1225.93</f>
        <v>16547.73</v>
      </c>
      <c r="Q164" s="232">
        <f t="shared" si="6"/>
        <v>0</v>
      </c>
    </row>
    <row r="165" spans="1:17" s="15" customFormat="1" x14ac:dyDescent="0.25">
      <c r="A165" s="229"/>
      <c r="B165" s="62" t="s">
        <v>92</v>
      </c>
      <c r="C165" s="181" t="s">
        <v>17</v>
      </c>
      <c r="D165" s="182"/>
      <c r="E165" s="194" t="s">
        <v>20</v>
      </c>
      <c r="F165" s="73" t="s">
        <v>129</v>
      </c>
      <c r="G165" s="230" t="s">
        <v>114</v>
      </c>
      <c r="H165" s="181"/>
      <c r="I165" s="231"/>
      <c r="J165" s="190"/>
      <c r="K165" s="77"/>
      <c r="L165" s="77"/>
      <c r="M165" s="224">
        <f t="shared" si="5"/>
        <v>0</v>
      </c>
      <c r="N165" s="114"/>
      <c r="O165" s="224"/>
      <c r="P165" s="224"/>
      <c r="Q165" s="232">
        <f t="shared" si="6"/>
        <v>0</v>
      </c>
    </row>
    <row r="166" spans="1:17" s="13" customFormat="1" x14ac:dyDescent="0.25">
      <c r="A166" s="229"/>
      <c r="B166" s="30" t="s">
        <v>93</v>
      </c>
      <c r="C166" s="181" t="s">
        <v>17</v>
      </c>
      <c r="D166" s="182"/>
      <c r="E166" s="183" t="s">
        <v>94</v>
      </c>
      <c r="F166" s="73" t="s">
        <v>403</v>
      </c>
      <c r="G166" s="74" t="s">
        <v>112</v>
      </c>
      <c r="H166" s="75">
        <v>7</v>
      </c>
      <c r="I166" s="76">
        <v>2</v>
      </c>
      <c r="J166" s="96">
        <f>2</f>
        <v>2</v>
      </c>
      <c r="K166" s="77">
        <f>2336.84</f>
        <v>2336.84</v>
      </c>
      <c r="L166" s="77">
        <f>2336.84</f>
        <v>2336.84</v>
      </c>
      <c r="M166" s="224">
        <f t="shared" si="5"/>
        <v>0</v>
      </c>
      <c r="N166" s="100">
        <f>3+8</f>
        <v>11</v>
      </c>
      <c r="O166" s="81">
        <f>20117.75</f>
        <v>20117.75</v>
      </c>
      <c r="P166" s="81">
        <f>20117.75</f>
        <v>20117.75</v>
      </c>
      <c r="Q166" s="232">
        <f t="shared" si="6"/>
        <v>0</v>
      </c>
    </row>
    <row r="167" spans="1:17" s="13" customFormat="1" x14ac:dyDescent="0.25">
      <c r="A167" s="229"/>
      <c r="B167" s="30" t="s">
        <v>93</v>
      </c>
      <c r="C167" s="181" t="s">
        <v>17</v>
      </c>
      <c r="D167" s="182"/>
      <c r="E167" s="183" t="s">
        <v>94</v>
      </c>
      <c r="F167" s="73" t="s">
        <v>130</v>
      </c>
      <c r="G167" s="230" t="s">
        <v>114</v>
      </c>
      <c r="H167" s="181"/>
      <c r="I167" s="231"/>
      <c r="J167" s="190"/>
      <c r="K167" s="77"/>
      <c r="L167" s="77"/>
      <c r="M167" s="224">
        <f t="shared" si="5"/>
        <v>0</v>
      </c>
      <c r="N167" s="100"/>
      <c r="O167" s="224"/>
      <c r="P167" s="224"/>
      <c r="Q167" s="232">
        <f t="shared" si="6"/>
        <v>0</v>
      </c>
    </row>
    <row r="168" spans="1:17" s="13" customFormat="1" x14ac:dyDescent="0.25">
      <c r="A168" s="229"/>
      <c r="B168" s="30" t="s">
        <v>93</v>
      </c>
      <c r="C168" s="181" t="s">
        <v>17</v>
      </c>
      <c r="D168" s="182"/>
      <c r="E168" s="183" t="s">
        <v>94</v>
      </c>
      <c r="F168" s="73" t="s">
        <v>240</v>
      </c>
      <c r="G168" s="230" t="s">
        <v>118</v>
      </c>
      <c r="H168" s="181"/>
      <c r="I168" s="231"/>
      <c r="J168" s="96"/>
      <c r="K168" s="77"/>
      <c r="L168" s="77"/>
      <c r="M168" s="224">
        <f t="shared" si="5"/>
        <v>0</v>
      </c>
      <c r="N168" s="100"/>
      <c r="O168" s="224"/>
      <c r="P168" s="224"/>
      <c r="Q168" s="232">
        <f t="shared" si="6"/>
        <v>0</v>
      </c>
    </row>
    <row r="169" spans="1:17" s="13" customFormat="1" x14ac:dyDescent="0.25">
      <c r="A169" s="229"/>
      <c r="B169" s="30" t="s">
        <v>95</v>
      </c>
      <c r="C169" s="181" t="s">
        <v>17</v>
      </c>
      <c r="D169" s="182"/>
      <c r="E169" s="194" t="s">
        <v>20</v>
      </c>
      <c r="F169" s="73" t="s">
        <v>404</v>
      </c>
      <c r="G169" s="74" t="s">
        <v>112</v>
      </c>
      <c r="H169" s="75">
        <v>28</v>
      </c>
      <c r="I169" s="76">
        <v>19</v>
      </c>
      <c r="J169" s="96">
        <f>1+4+4+5+2+1+1+9</f>
        <v>27</v>
      </c>
      <c r="K169" s="77">
        <f>1061.35+5770.05+5238.9+6606.04+6345.59+3388.62+25533.48</f>
        <v>53944.03</v>
      </c>
      <c r="L169" s="77">
        <f>1061.35+5770.05+5238.9+6606.04+6345.59+3388.62+25533.48</f>
        <v>53944.03</v>
      </c>
      <c r="M169" s="224">
        <f t="shared" si="5"/>
        <v>0</v>
      </c>
      <c r="N169" s="100">
        <f>1+6+1+4+1+1+1+1</f>
        <v>16</v>
      </c>
      <c r="O169" s="81">
        <f>11603.82+7559.28+6777.29+24757.02+4991.61</f>
        <v>55689.020000000004</v>
      </c>
      <c r="P169" s="81">
        <f>11603.82+7559.28+6777.29+24757.02+4991.61</f>
        <v>55689.020000000004</v>
      </c>
      <c r="Q169" s="79">
        <f t="shared" si="6"/>
        <v>0</v>
      </c>
    </row>
    <row r="170" spans="1:17" s="13" customFormat="1" x14ac:dyDescent="0.25">
      <c r="A170" s="229"/>
      <c r="B170" s="30" t="s">
        <v>95</v>
      </c>
      <c r="C170" s="181" t="s">
        <v>17</v>
      </c>
      <c r="D170" s="182"/>
      <c r="E170" s="194" t="s">
        <v>20</v>
      </c>
      <c r="F170" s="73" t="s">
        <v>291</v>
      </c>
      <c r="G170" s="230" t="s">
        <v>114</v>
      </c>
      <c r="H170" s="181">
        <v>14</v>
      </c>
      <c r="I170" s="231">
        <v>6</v>
      </c>
      <c r="J170" s="190">
        <v>6</v>
      </c>
      <c r="K170" s="77">
        <v>10264.26</v>
      </c>
      <c r="L170" s="77">
        <v>10264.26</v>
      </c>
      <c r="M170" s="224">
        <f t="shared" si="5"/>
        <v>0</v>
      </c>
      <c r="N170" s="100">
        <v>15</v>
      </c>
      <c r="O170" s="224">
        <v>39747.85</v>
      </c>
      <c r="P170" s="224">
        <v>39747.85</v>
      </c>
      <c r="Q170" s="232">
        <f t="shared" si="6"/>
        <v>0</v>
      </c>
    </row>
    <row r="171" spans="1:17" s="13" customFormat="1" x14ac:dyDescent="0.25">
      <c r="A171" s="229"/>
      <c r="B171" s="30" t="s">
        <v>96</v>
      </c>
      <c r="C171" s="181" t="s">
        <v>17</v>
      </c>
      <c r="D171" s="182"/>
      <c r="E171" s="194" t="s">
        <v>97</v>
      </c>
      <c r="F171" s="73" t="s">
        <v>405</v>
      </c>
      <c r="G171" s="74" t="s">
        <v>112</v>
      </c>
      <c r="H171" s="75">
        <v>1</v>
      </c>
      <c r="I171" s="76">
        <v>1</v>
      </c>
      <c r="J171" s="96">
        <f>2</f>
        <v>2</v>
      </c>
      <c r="K171" s="77">
        <f>3187.92</f>
        <v>3187.92</v>
      </c>
      <c r="L171" s="77">
        <f>3187.92</f>
        <v>3187.92</v>
      </c>
      <c r="M171" s="224">
        <f t="shared" si="5"/>
        <v>0</v>
      </c>
      <c r="N171" s="103">
        <f>1+2+1+2</f>
        <v>6</v>
      </c>
      <c r="O171" s="77">
        <f>1742.31+9358.48+3187.92</f>
        <v>14288.71</v>
      </c>
      <c r="P171" s="77">
        <f>1742.31+9358.48+3187.92</f>
        <v>14288.71</v>
      </c>
      <c r="Q171" s="79">
        <f t="shared" si="6"/>
        <v>0</v>
      </c>
    </row>
    <row r="172" spans="1:17" s="13" customFormat="1" x14ac:dyDescent="0.25">
      <c r="A172" s="229"/>
      <c r="B172" s="30" t="s">
        <v>96</v>
      </c>
      <c r="C172" s="181" t="s">
        <v>17</v>
      </c>
      <c r="D172" s="182"/>
      <c r="E172" s="194" t="s">
        <v>97</v>
      </c>
      <c r="F172" s="73" t="s">
        <v>468</v>
      </c>
      <c r="G172" s="230" t="s">
        <v>114</v>
      </c>
      <c r="H172" s="181">
        <v>1</v>
      </c>
      <c r="I172" s="231">
        <v>1</v>
      </c>
      <c r="J172" s="190">
        <v>1</v>
      </c>
      <c r="K172" s="77">
        <v>3211.2</v>
      </c>
      <c r="L172" s="77">
        <v>3211.2</v>
      </c>
      <c r="M172" s="224">
        <f t="shared" si="5"/>
        <v>0</v>
      </c>
      <c r="N172" s="100">
        <v>8</v>
      </c>
      <c r="O172" s="224">
        <v>25257.34</v>
      </c>
      <c r="P172" s="224">
        <v>25257.34</v>
      </c>
      <c r="Q172" s="232">
        <f t="shared" si="6"/>
        <v>0</v>
      </c>
    </row>
    <row r="173" spans="1:17" s="13" customFormat="1" x14ac:dyDescent="0.25">
      <c r="A173" s="229"/>
      <c r="B173" s="30" t="s">
        <v>98</v>
      </c>
      <c r="C173" s="181" t="s">
        <v>17</v>
      </c>
      <c r="D173" s="182"/>
      <c r="E173" s="194" t="s">
        <v>35</v>
      </c>
      <c r="F173" s="73" t="s">
        <v>406</v>
      </c>
      <c r="G173" s="74" t="s">
        <v>112</v>
      </c>
      <c r="H173" s="75">
        <v>51</v>
      </c>
      <c r="I173" s="76">
        <v>37</v>
      </c>
      <c r="J173" s="96">
        <f>1+2+1+1+4+4+1+2+1+5+5+3+3+3</f>
        <v>36</v>
      </c>
      <c r="K173" s="77">
        <f>845.24+1764.25+8353.03+1298.98+7610.68+13826.64+2752.31+9720.26+116979.76-2616.91+4851.2+993.47+3498.2+12402.65+4634.4-1014.35+4887.04</f>
        <v>190786.85</v>
      </c>
      <c r="L173" s="77">
        <f>845.24+1764.25+8353.03+1298.98+7610.68+13826.64+2752.31+9720.26+116979.76-2616.91+4851.2+993.47+3498.2+12402.65+4634.4-1014.35+4887.04</f>
        <v>190786.85</v>
      </c>
      <c r="M173" s="224">
        <f t="shared" si="5"/>
        <v>0</v>
      </c>
      <c r="N173" s="100">
        <f>9+1+1+4+2+1+2+4+2+1+1+1+1+1</f>
        <v>31</v>
      </c>
      <c r="O173" s="81">
        <f>76864.27+883.08+47501.34+5480.06+4025.41+1535.36</f>
        <v>136289.51999999999</v>
      </c>
      <c r="P173" s="81">
        <f>76864.27+883.08+47501.34+5480.06+4025.41+1535.36</f>
        <v>136289.51999999999</v>
      </c>
      <c r="Q173" s="79">
        <f t="shared" si="6"/>
        <v>0</v>
      </c>
    </row>
    <row r="174" spans="1:17" s="13" customFormat="1" x14ac:dyDescent="0.25">
      <c r="A174" s="229"/>
      <c r="B174" s="30" t="s">
        <v>98</v>
      </c>
      <c r="C174" s="181" t="s">
        <v>17</v>
      </c>
      <c r="D174" s="182"/>
      <c r="E174" s="194" t="s">
        <v>35</v>
      </c>
      <c r="F174" s="73" t="s">
        <v>435</v>
      </c>
      <c r="G174" s="235" t="s">
        <v>117</v>
      </c>
      <c r="H174" s="181">
        <v>9</v>
      </c>
      <c r="I174" s="231">
        <v>2</v>
      </c>
      <c r="J174" s="96">
        <v>2</v>
      </c>
      <c r="K174" s="77">
        <v>2486.83</v>
      </c>
      <c r="L174" s="77">
        <v>2486.83</v>
      </c>
      <c r="M174" s="224">
        <f t="shared" si="5"/>
        <v>0</v>
      </c>
      <c r="N174" s="100">
        <v>7</v>
      </c>
      <c r="O174" s="77">
        <v>21893.25</v>
      </c>
      <c r="P174" s="77">
        <v>21893.25</v>
      </c>
      <c r="Q174" s="232">
        <f t="shared" si="6"/>
        <v>0</v>
      </c>
    </row>
    <row r="175" spans="1:17" s="13" customFormat="1" x14ac:dyDescent="0.25">
      <c r="A175" s="229"/>
      <c r="B175" s="30" t="s">
        <v>488</v>
      </c>
      <c r="C175" s="181" t="s">
        <v>17</v>
      </c>
      <c r="D175" s="182"/>
      <c r="E175" s="194" t="s">
        <v>97</v>
      </c>
      <c r="F175" s="73" t="s">
        <v>498</v>
      </c>
      <c r="G175" s="235" t="s">
        <v>112</v>
      </c>
      <c r="H175" s="181">
        <v>18</v>
      </c>
      <c r="I175" s="231">
        <v>14</v>
      </c>
      <c r="J175" s="96">
        <f>4+1+1+2+3+1+1+1</f>
        <v>14</v>
      </c>
      <c r="K175" s="77">
        <f>1535.8+576.3+802.8+4667.08+421.47+2865.59</f>
        <v>10869.04</v>
      </c>
      <c r="L175" s="77">
        <f>1535.8+576.3+802.8+4667.08+421.47+2865.59</f>
        <v>10869.04</v>
      </c>
      <c r="M175" s="224">
        <f t="shared" si="5"/>
        <v>0</v>
      </c>
      <c r="N175" s="100"/>
      <c r="O175" s="77"/>
      <c r="P175" s="77"/>
      <c r="Q175" s="232"/>
    </row>
    <row r="176" spans="1:17" s="15" customFormat="1" x14ac:dyDescent="0.25">
      <c r="A176" s="229"/>
      <c r="B176" s="30" t="s">
        <v>99</v>
      </c>
      <c r="C176" s="181" t="s">
        <v>17</v>
      </c>
      <c r="D176" s="182"/>
      <c r="E176" s="183" t="s">
        <v>32</v>
      </c>
      <c r="F176" s="73" t="s">
        <v>418</v>
      </c>
      <c r="G176" s="74" t="s">
        <v>112</v>
      </c>
      <c r="H176" s="75"/>
      <c r="I176" s="76"/>
      <c r="J176" s="96"/>
      <c r="K176" s="77">
        <f>4781.21</f>
        <v>4781.21</v>
      </c>
      <c r="L176" s="77">
        <f>4781.21</f>
        <v>4781.21</v>
      </c>
      <c r="M176" s="224">
        <f t="shared" si="5"/>
        <v>0</v>
      </c>
      <c r="N176" s="100"/>
      <c r="O176" s="81"/>
      <c r="P176" s="81"/>
      <c r="Q176" s="79">
        <f t="shared" si="6"/>
        <v>0</v>
      </c>
    </row>
    <row r="177" spans="1:17" s="15" customFormat="1" x14ac:dyDescent="0.25">
      <c r="A177" s="229"/>
      <c r="B177" s="30" t="s">
        <v>99</v>
      </c>
      <c r="C177" s="181" t="s">
        <v>17</v>
      </c>
      <c r="D177" s="182"/>
      <c r="E177" s="183" t="s">
        <v>32</v>
      </c>
      <c r="F177" s="73" t="s">
        <v>423</v>
      </c>
      <c r="G177" s="235" t="s">
        <v>117</v>
      </c>
      <c r="H177" s="181"/>
      <c r="I177" s="231"/>
      <c r="J177" s="190"/>
      <c r="K177" s="77"/>
      <c r="L177" s="77"/>
      <c r="M177" s="224">
        <f t="shared" si="5"/>
        <v>0</v>
      </c>
      <c r="N177" s="114"/>
      <c r="O177" s="77"/>
      <c r="P177" s="77"/>
      <c r="Q177" s="232">
        <f t="shared" si="6"/>
        <v>0</v>
      </c>
    </row>
    <row r="178" spans="1:17" s="15" customFormat="1" ht="30" x14ac:dyDescent="0.25">
      <c r="A178" s="229"/>
      <c r="B178" s="30" t="s">
        <v>144</v>
      </c>
      <c r="C178" s="181" t="s">
        <v>304</v>
      </c>
      <c r="D178" s="182" t="s">
        <v>313</v>
      </c>
      <c r="E178" s="194" t="s">
        <v>97</v>
      </c>
      <c r="F178" s="73" t="s">
        <v>407</v>
      </c>
      <c r="G178" s="66" t="s">
        <v>112</v>
      </c>
      <c r="H178" s="75">
        <v>27</v>
      </c>
      <c r="I178" s="76">
        <v>21</v>
      </c>
      <c r="J178" s="98">
        <f>2+2+1+3+1+1+5+2+1+4+2+4+1+1+1</f>
        <v>31</v>
      </c>
      <c r="K178" s="77">
        <f>950.9+1449.39+2272.32+2785.92+5112.01+6655.23+3700.19+4208.95+6370.42+4132.77+2677.53</f>
        <v>40315.630000000005</v>
      </c>
      <c r="L178" s="77">
        <f>950.9+1449.39+2272.32+2785.92+5112.01+6655.23+3700.19+4208.95+6370.42+4132.77+2677.53</f>
        <v>40315.630000000005</v>
      </c>
      <c r="M178" s="224">
        <f t="shared" si="5"/>
        <v>0</v>
      </c>
      <c r="N178" s="100">
        <f>3+2+1+1+1+1+1+1</f>
        <v>11</v>
      </c>
      <c r="O178" s="77">
        <f>5020.57+5566.06+2694.94+845.24+2460.18</f>
        <v>16586.990000000002</v>
      </c>
      <c r="P178" s="77">
        <f>5020.57+5566.06+2694.94+845.24+2460.18</f>
        <v>16586.990000000002</v>
      </c>
      <c r="Q178" s="79">
        <f t="shared" si="6"/>
        <v>0</v>
      </c>
    </row>
    <row r="179" spans="1:17" s="15" customFormat="1" x14ac:dyDescent="0.25">
      <c r="A179" s="229"/>
      <c r="B179" s="30" t="s">
        <v>488</v>
      </c>
      <c r="C179" s="181"/>
      <c r="D179" s="182"/>
      <c r="E179" s="194"/>
      <c r="F179" s="73" t="s">
        <v>509</v>
      </c>
      <c r="G179" s="66" t="s">
        <v>114</v>
      </c>
      <c r="H179" s="75">
        <v>36</v>
      </c>
      <c r="I179" s="76">
        <v>18</v>
      </c>
      <c r="J179" s="98">
        <v>18</v>
      </c>
      <c r="K179" s="77">
        <v>61162.26</v>
      </c>
      <c r="L179" s="77">
        <v>61162.26</v>
      </c>
      <c r="M179" s="224">
        <f t="shared" si="5"/>
        <v>0</v>
      </c>
      <c r="N179" s="100"/>
      <c r="O179" s="77"/>
      <c r="P179" s="77"/>
      <c r="Q179" s="232">
        <f t="shared" si="6"/>
        <v>0</v>
      </c>
    </row>
    <row r="180" spans="1:17" s="15" customFormat="1" x14ac:dyDescent="0.25">
      <c r="A180" s="229"/>
      <c r="B180" s="30" t="s">
        <v>514</v>
      </c>
      <c r="C180" s="181"/>
      <c r="D180" s="182"/>
      <c r="E180" s="194" t="s">
        <v>18</v>
      </c>
      <c r="F180" s="73"/>
      <c r="G180" s="66" t="s">
        <v>116</v>
      </c>
      <c r="H180" s="75">
        <v>12</v>
      </c>
      <c r="I180" s="76">
        <v>3</v>
      </c>
      <c r="J180" s="98">
        <v>3</v>
      </c>
      <c r="K180" s="77">
        <v>5464</v>
      </c>
      <c r="L180" s="77">
        <v>5464</v>
      </c>
      <c r="M180" s="224">
        <f t="shared" si="5"/>
        <v>0</v>
      </c>
      <c r="N180" s="100"/>
      <c r="O180" s="77"/>
      <c r="P180" s="77"/>
      <c r="Q180" s="232"/>
    </row>
    <row r="181" spans="1:17" s="15" customFormat="1" x14ac:dyDescent="0.25">
      <c r="A181" s="229"/>
      <c r="B181" s="30" t="s">
        <v>488</v>
      </c>
      <c r="C181" s="181"/>
      <c r="D181" s="182"/>
      <c r="E181" s="194"/>
      <c r="F181" s="73" t="s">
        <v>512</v>
      </c>
      <c r="G181" s="66" t="s">
        <v>116</v>
      </c>
      <c r="H181" s="75">
        <v>14</v>
      </c>
      <c r="I181" s="76">
        <v>9</v>
      </c>
      <c r="J181" s="98">
        <v>9</v>
      </c>
      <c r="K181" s="77">
        <v>23128</v>
      </c>
      <c r="L181" s="77">
        <v>23128</v>
      </c>
      <c r="M181" s="224">
        <f t="shared" si="5"/>
        <v>0</v>
      </c>
      <c r="N181" s="100"/>
      <c r="O181" s="77"/>
      <c r="P181" s="77"/>
      <c r="Q181" s="79"/>
    </row>
    <row r="182" spans="1:17" s="15" customFormat="1" ht="30" x14ac:dyDescent="0.25">
      <c r="A182" s="229"/>
      <c r="B182" s="238" t="s">
        <v>144</v>
      </c>
      <c r="C182" s="181" t="s">
        <v>446</v>
      </c>
      <c r="D182" s="182" t="s">
        <v>313</v>
      </c>
      <c r="E182" s="183" t="s">
        <v>20</v>
      </c>
      <c r="F182" s="73" t="s">
        <v>485</v>
      </c>
      <c r="G182" s="235" t="s">
        <v>114</v>
      </c>
      <c r="H182" s="181">
        <v>55</v>
      </c>
      <c r="I182" s="234">
        <v>29</v>
      </c>
      <c r="J182" s="202">
        <v>29</v>
      </c>
      <c r="K182" s="77">
        <v>81147.87</v>
      </c>
      <c r="L182" s="77">
        <v>81147.87</v>
      </c>
      <c r="M182" s="224">
        <f t="shared" si="5"/>
        <v>0</v>
      </c>
      <c r="N182" s="100">
        <v>22</v>
      </c>
      <c r="O182" s="224">
        <v>55283.8</v>
      </c>
      <c r="P182" s="224">
        <v>55283.8</v>
      </c>
      <c r="Q182" s="232">
        <f t="shared" ref="Q182" si="7">O182-P182</f>
        <v>0</v>
      </c>
    </row>
    <row r="183" spans="1:17" s="21" customFormat="1" ht="45" x14ac:dyDescent="0.25">
      <c r="A183" s="181"/>
      <c r="B183" s="30" t="s">
        <v>100</v>
      </c>
      <c r="C183" s="181" t="s">
        <v>304</v>
      </c>
      <c r="D183" s="182" t="s">
        <v>416</v>
      </c>
      <c r="E183" s="194" t="s">
        <v>20</v>
      </c>
      <c r="F183" s="73" t="s">
        <v>408</v>
      </c>
      <c r="G183" s="27" t="s">
        <v>112</v>
      </c>
      <c r="H183" s="75">
        <v>38</v>
      </c>
      <c r="I183" s="76">
        <v>24</v>
      </c>
      <c r="J183" s="98">
        <f>5+1+4+6+4+2+4+3+2</f>
        <v>31</v>
      </c>
      <c r="K183" s="86">
        <f>6524.55+600.31+19349.45+15377.18+2248.86+20883.06+17880.3</f>
        <v>82863.710000000006</v>
      </c>
      <c r="L183" s="86">
        <f>6524.55+600.31+19349.45+15377.18+2248.86+20883.06+17880.3</f>
        <v>82863.710000000006</v>
      </c>
      <c r="M183" s="224">
        <f t="shared" si="5"/>
        <v>0</v>
      </c>
      <c r="N183" s="100">
        <f>1+3+2+3+1+1+1</f>
        <v>12</v>
      </c>
      <c r="O183" s="87">
        <f>10770.58+2113.01+3508.24+19305.88+22849.19+23443.77</f>
        <v>81990.670000000013</v>
      </c>
      <c r="P183" s="87">
        <f>10770.58+2113.01+3508.24+19305.88+22849.19+23443.77</f>
        <v>81990.670000000013</v>
      </c>
      <c r="Q183" s="79">
        <f t="shared" si="6"/>
        <v>0</v>
      </c>
    </row>
    <row r="184" spans="1:17" s="21" customFormat="1" ht="60" x14ac:dyDescent="0.25">
      <c r="A184" s="181"/>
      <c r="B184" s="30" t="s">
        <v>100</v>
      </c>
      <c r="C184" s="203" t="s">
        <v>125</v>
      </c>
      <c r="D184" s="182" t="s">
        <v>126</v>
      </c>
      <c r="E184" s="194" t="s">
        <v>20</v>
      </c>
      <c r="F184" s="73" t="s">
        <v>486</v>
      </c>
      <c r="G184" s="236" t="s">
        <v>114</v>
      </c>
      <c r="H184" s="181">
        <v>13</v>
      </c>
      <c r="I184" s="234">
        <v>3</v>
      </c>
      <c r="J184" s="202">
        <v>3</v>
      </c>
      <c r="K184" s="86">
        <v>33084.300000000003</v>
      </c>
      <c r="L184" s="86">
        <v>33084.300000000003</v>
      </c>
      <c r="M184" s="224">
        <f t="shared" si="5"/>
        <v>0</v>
      </c>
      <c r="N184" s="100">
        <v>2</v>
      </c>
      <c r="O184" s="239">
        <v>80399.23</v>
      </c>
      <c r="P184" s="239">
        <v>80399.23</v>
      </c>
      <c r="Q184" s="232">
        <f t="shared" si="6"/>
        <v>0</v>
      </c>
    </row>
    <row r="185" spans="1:17" s="13" customFormat="1" x14ac:dyDescent="0.25">
      <c r="A185" s="229"/>
      <c r="B185" s="62" t="s">
        <v>101</v>
      </c>
      <c r="C185" s="181" t="s">
        <v>17</v>
      </c>
      <c r="D185" s="182"/>
      <c r="E185" s="194" t="s">
        <v>20</v>
      </c>
      <c r="F185" s="73" t="s">
        <v>409</v>
      </c>
      <c r="G185" s="74" t="s">
        <v>112</v>
      </c>
      <c r="H185" s="75">
        <v>20</v>
      </c>
      <c r="I185" s="76">
        <v>8</v>
      </c>
      <c r="J185" s="96">
        <f>1+5+1+1+2+2+1</f>
        <v>13</v>
      </c>
      <c r="K185" s="77">
        <v>9863.65</v>
      </c>
      <c r="L185" s="77">
        <v>9863.65</v>
      </c>
      <c r="M185" s="224">
        <f t="shared" si="5"/>
        <v>0</v>
      </c>
      <c r="N185" s="100">
        <f>5+2+1+1+1</f>
        <v>10</v>
      </c>
      <c r="O185" s="81">
        <v>25277.53</v>
      </c>
      <c r="P185" s="81">
        <v>25277.53</v>
      </c>
      <c r="Q185" s="79">
        <f t="shared" si="6"/>
        <v>0</v>
      </c>
    </row>
    <row r="186" spans="1:17" s="13" customFormat="1" x14ac:dyDescent="0.25">
      <c r="A186" s="229"/>
      <c r="B186" s="62" t="s">
        <v>146</v>
      </c>
      <c r="C186" s="181" t="s">
        <v>17</v>
      </c>
      <c r="D186" s="182"/>
      <c r="E186" s="194" t="s">
        <v>20</v>
      </c>
      <c r="F186" s="73" t="s">
        <v>410</v>
      </c>
      <c r="G186" s="74" t="s">
        <v>112</v>
      </c>
      <c r="H186" s="75">
        <v>25</v>
      </c>
      <c r="I186" s="76">
        <v>16</v>
      </c>
      <c r="J186" s="96">
        <f>4+1+1+2+1+2+1+1+1+1+1+1</f>
        <v>17</v>
      </c>
      <c r="K186" s="77">
        <f>4610.77+1568.98+1854.88+422.62+1334.13+2599.07+5262.18+1092.81+1092.81+481.68+1092.81+6709.63+1342.68</f>
        <v>29465.050000000007</v>
      </c>
      <c r="L186" s="77">
        <f>4610.77+1568.98+1854.88+422.62+1334.13+2599.07+5262.18+1092.81+1092.81+481.68+1092.81+6709.63+1342.68</f>
        <v>29465.050000000007</v>
      </c>
      <c r="M186" s="224">
        <f t="shared" si="5"/>
        <v>0</v>
      </c>
      <c r="N186" s="100">
        <f>5+1+1+2+1+1+1+3</f>
        <v>15</v>
      </c>
      <c r="O186" s="81">
        <f>13579.06+1287.07+2636.18+26196.83+1204.2+14475.9</f>
        <v>59379.24</v>
      </c>
      <c r="P186" s="81">
        <f>13579.06+1287.07+2636.18+26196.83+1204.2+14475.9</f>
        <v>59379.24</v>
      </c>
      <c r="Q186" s="232">
        <f t="shared" si="6"/>
        <v>0</v>
      </c>
    </row>
    <row r="187" spans="1:17" s="13" customFormat="1" x14ac:dyDescent="0.25">
      <c r="A187" s="229"/>
      <c r="B187" s="62" t="s">
        <v>146</v>
      </c>
      <c r="C187" s="181" t="s">
        <v>17</v>
      </c>
      <c r="D187" s="182"/>
      <c r="E187" s="183" t="s">
        <v>21</v>
      </c>
      <c r="F187" s="73" t="s">
        <v>443</v>
      </c>
      <c r="G187" s="230" t="s">
        <v>118</v>
      </c>
      <c r="H187" s="181">
        <v>20</v>
      </c>
      <c r="I187" s="234">
        <v>7</v>
      </c>
      <c r="J187" s="190">
        <v>7</v>
      </c>
      <c r="K187" s="193">
        <v>13074.18</v>
      </c>
      <c r="L187" s="193">
        <v>13074.18</v>
      </c>
      <c r="M187" s="224">
        <f t="shared" si="5"/>
        <v>0</v>
      </c>
      <c r="N187" s="114">
        <v>7</v>
      </c>
      <c r="O187" s="224">
        <v>7525.02</v>
      </c>
      <c r="P187" s="224">
        <v>7525.02</v>
      </c>
      <c r="Q187" s="79">
        <f t="shared" si="6"/>
        <v>0</v>
      </c>
    </row>
    <row r="188" spans="1:17" s="13" customFormat="1" x14ac:dyDescent="0.25">
      <c r="A188" s="229"/>
      <c r="B188" s="27" t="s">
        <v>102</v>
      </c>
      <c r="C188" s="181" t="s">
        <v>17</v>
      </c>
      <c r="D188" s="182"/>
      <c r="E188" s="194" t="s">
        <v>20</v>
      </c>
      <c r="F188" s="73" t="s">
        <v>411</v>
      </c>
      <c r="G188" s="74" t="s">
        <v>112</v>
      </c>
      <c r="H188" s="75">
        <v>19</v>
      </c>
      <c r="I188" s="76">
        <v>13</v>
      </c>
      <c r="J188" s="96">
        <f>1+1+2+1+2+1+3+3</f>
        <v>14</v>
      </c>
      <c r="K188" s="77">
        <f>845.24+845.24+1690.48+1394.65+2689.38+1324.62+3005.86</f>
        <v>11795.470000000001</v>
      </c>
      <c r="L188" s="77">
        <f>845.24+845.24+1690.48+1394.65+2689.38+1324.62+3005.86</f>
        <v>11795.470000000001</v>
      </c>
      <c r="M188" s="224">
        <f t="shared" si="5"/>
        <v>0</v>
      </c>
      <c r="N188" s="100">
        <f>3+1+1+1+1</f>
        <v>7</v>
      </c>
      <c r="O188" s="81">
        <f>7808.21+30833.77-12193.52+9963.17+5385.9+14660.89</f>
        <v>56458.420000000006</v>
      </c>
      <c r="P188" s="81">
        <f>7808.21+30833.77-12193.52+9963.17+5385.9+14660.89</f>
        <v>56458.420000000006</v>
      </c>
      <c r="Q188" s="232">
        <f t="shared" si="6"/>
        <v>0</v>
      </c>
    </row>
    <row r="189" spans="1:17" s="13" customFormat="1" x14ac:dyDescent="0.25">
      <c r="A189" s="229"/>
      <c r="B189" s="27" t="s">
        <v>102</v>
      </c>
      <c r="C189" s="181" t="s">
        <v>17</v>
      </c>
      <c r="D189" s="182"/>
      <c r="E189" s="194" t="s">
        <v>20</v>
      </c>
      <c r="F189" s="73" t="s">
        <v>469</v>
      </c>
      <c r="G189" s="230" t="s">
        <v>114</v>
      </c>
      <c r="H189" s="181">
        <v>13</v>
      </c>
      <c r="I189" s="231">
        <v>9</v>
      </c>
      <c r="J189" s="190">
        <v>6</v>
      </c>
      <c r="K189" s="77">
        <v>16472.36</v>
      </c>
      <c r="L189" s="77">
        <v>16472.36</v>
      </c>
      <c r="M189" s="224">
        <f t="shared" si="5"/>
        <v>0</v>
      </c>
      <c r="N189" s="100">
        <v>9</v>
      </c>
      <c r="O189" s="224">
        <v>33897.42</v>
      </c>
      <c r="P189" s="224">
        <v>33897.42</v>
      </c>
      <c r="Q189" s="232">
        <f t="shared" si="6"/>
        <v>0</v>
      </c>
    </row>
    <row r="190" spans="1:17" s="13" customFormat="1" x14ac:dyDescent="0.25">
      <c r="A190" s="229"/>
      <c r="B190" s="27" t="s">
        <v>103</v>
      </c>
      <c r="C190" s="181" t="s">
        <v>17</v>
      </c>
      <c r="D190" s="182"/>
      <c r="E190" s="183" t="s">
        <v>20</v>
      </c>
      <c r="F190" s="73" t="s">
        <v>412</v>
      </c>
      <c r="G190" s="74" t="s">
        <v>112</v>
      </c>
      <c r="H190" s="75">
        <v>19</v>
      </c>
      <c r="I190" s="76">
        <v>13</v>
      </c>
      <c r="J190" s="96">
        <f>4+1+2+3+1+1+5</f>
        <v>17</v>
      </c>
      <c r="K190" s="77">
        <f>16248.67+1092.81+2003.49+401.4+421.47+4260.23+4260.23+10744.38</f>
        <v>39432.68</v>
      </c>
      <c r="L190" s="77">
        <f>16248.67+1092.81+2003.49+401.4+421.47+4260.23+4260.23+10744.38</f>
        <v>39432.68</v>
      </c>
      <c r="M190" s="224">
        <f t="shared" si="5"/>
        <v>0</v>
      </c>
      <c r="N190" s="100">
        <f>7+2+1+1+2+1+1+3+3</f>
        <v>21</v>
      </c>
      <c r="O190" s="77">
        <f>20193.14+7541.5+685.38+1766.16+4899.88+4899.88</f>
        <v>39985.939999999995</v>
      </c>
      <c r="P190" s="77">
        <f>20193.14+7541.5+685.38+1766.16+4899.88+4899.88</f>
        <v>39985.939999999995</v>
      </c>
      <c r="Q190" s="232">
        <f t="shared" si="6"/>
        <v>0</v>
      </c>
    </row>
    <row r="191" spans="1:17" s="13" customFormat="1" x14ac:dyDescent="0.25">
      <c r="A191" s="229"/>
      <c r="B191" s="27" t="s">
        <v>103</v>
      </c>
      <c r="C191" s="181" t="s">
        <v>17</v>
      </c>
      <c r="D191" s="182"/>
      <c r="E191" s="183" t="s">
        <v>20</v>
      </c>
      <c r="F191" s="73" t="s">
        <v>470</v>
      </c>
      <c r="G191" s="230" t="s">
        <v>114</v>
      </c>
      <c r="H191" s="181">
        <v>20</v>
      </c>
      <c r="I191" s="231">
        <v>6</v>
      </c>
      <c r="J191" s="190">
        <v>6</v>
      </c>
      <c r="K191" s="77">
        <v>11563.2</v>
      </c>
      <c r="L191" s="77">
        <v>11563.2</v>
      </c>
      <c r="M191" s="224">
        <f t="shared" si="5"/>
        <v>0</v>
      </c>
      <c r="N191" s="100">
        <v>5</v>
      </c>
      <c r="O191" s="224">
        <v>14245.19</v>
      </c>
      <c r="P191" s="224">
        <v>14245.19</v>
      </c>
      <c r="Q191" s="232">
        <f t="shared" si="6"/>
        <v>0</v>
      </c>
    </row>
    <row r="192" spans="1:17" s="15" customFormat="1" x14ac:dyDescent="0.25">
      <c r="A192" s="229"/>
      <c r="B192" s="27" t="s">
        <v>104</v>
      </c>
      <c r="C192" s="181" t="s">
        <v>17</v>
      </c>
      <c r="D192" s="182"/>
      <c r="E192" s="183" t="s">
        <v>20</v>
      </c>
      <c r="F192" s="73" t="s">
        <v>413</v>
      </c>
      <c r="G192" s="74" t="s">
        <v>112</v>
      </c>
      <c r="H192" s="75">
        <v>21</v>
      </c>
      <c r="I192" s="76">
        <v>19</v>
      </c>
      <c r="J192" s="96">
        <f>3+1+2+4+1+1+1+5+5+1</f>
        <v>24</v>
      </c>
      <c r="K192" s="77">
        <f>5112.82+422.64+8302.14+1605.5+1092.81+1390.85+7796.86+7659.42+13342.05</f>
        <v>46725.09</v>
      </c>
      <c r="L192" s="77">
        <f>5112.82+422.64+8302.14+1605.5+1092.81+1390.85+7796.86+7659.42+13342.05</f>
        <v>46725.09</v>
      </c>
      <c r="M192" s="224">
        <f t="shared" si="5"/>
        <v>0</v>
      </c>
      <c r="N192" s="100">
        <f>4+1+1+2+1+1+1</f>
        <v>11</v>
      </c>
      <c r="O192" s="81">
        <f>7087.22+3426.18+3496.22+2266.91</f>
        <v>16276.529999999999</v>
      </c>
      <c r="P192" s="81">
        <f>7087.22+3426.18+3496.22+2266.91</f>
        <v>16276.529999999999</v>
      </c>
      <c r="Q192" s="232">
        <f t="shared" si="6"/>
        <v>0</v>
      </c>
    </row>
    <row r="193" spans="1:20" s="15" customFormat="1" x14ac:dyDescent="0.25">
      <c r="A193" s="229"/>
      <c r="B193" s="27" t="s">
        <v>104</v>
      </c>
      <c r="C193" s="181" t="s">
        <v>17</v>
      </c>
      <c r="D193" s="182"/>
      <c r="E193" s="183" t="s">
        <v>20</v>
      </c>
      <c r="F193" s="73" t="s">
        <v>471</v>
      </c>
      <c r="G193" s="230" t="s">
        <v>114</v>
      </c>
      <c r="H193" s="181">
        <v>47</v>
      </c>
      <c r="I193" s="231">
        <v>21</v>
      </c>
      <c r="J193" s="190">
        <v>21</v>
      </c>
      <c r="K193" s="77">
        <v>66435.7</v>
      </c>
      <c r="L193" s="77">
        <v>66435.7</v>
      </c>
      <c r="M193" s="224">
        <f t="shared" si="5"/>
        <v>0</v>
      </c>
      <c r="N193" s="114">
        <v>20</v>
      </c>
      <c r="O193" s="224">
        <v>50922.05</v>
      </c>
      <c r="P193" s="224">
        <v>50922.05</v>
      </c>
      <c r="Q193" s="232">
        <f t="shared" si="6"/>
        <v>0</v>
      </c>
    </row>
    <row r="194" spans="1:20" s="13" customFormat="1" x14ac:dyDescent="0.25">
      <c r="A194" s="229"/>
      <c r="B194" s="30" t="s">
        <v>26</v>
      </c>
      <c r="C194" s="181" t="s">
        <v>17</v>
      </c>
      <c r="D194" s="182"/>
      <c r="E194" s="183" t="s">
        <v>32</v>
      </c>
      <c r="F194" s="73" t="s">
        <v>246</v>
      </c>
      <c r="G194" s="74" t="s">
        <v>117</v>
      </c>
      <c r="H194" s="75"/>
      <c r="I194" s="76"/>
      <c r="J194" s="96"/>
      <c r="K194" s="77"/>
      <c r="L194" s="77"/>
      <c r="M194" s="224">
        <f t="shared" si="5"/>
        <v>0</v>
      </c>
      <c r="N194" s="100">
        <v>5</v>
      </c>
      <c r="O194" s="81">
        <v>7808.15</v>
      </c>
      <c r="P194" s="81">
        <v>7808.15</v>
      </c>
      <c r="Q194" s="232">
        <f t="shared" si="6"/>
        <v>0</v>
      </c>
    </row>
    <row r="195" spans="1:20" s="13" customFormat="1" x14ac:dyDescent="0.25">
      <c r="A195" s="229"/>
      <c r="B195" s="30" t="s">
        <v>105</v>
      </c>
      <c r="C195" s="181" t="s">
        <v>17</v>
      </c>
      <c r="D195" s="182"/>
      <c r="E195" s="194" t="s">
        <v>35</v>
      </c>
      <c r="F195" s="73" t="s">
        <v>518</v>
      </c>
      <c r="G195" s="74" t="s">
        <v>112</v>
      </c>
      <c r="H195" s="75">
        <v>11</v>
      </c>
      <c r="I195" s="76"/>
      <c r="J195" s="96"/>
      <c r="K195" s="77"/>
      <c r="L195" s="77"/>
      <c r="M195" s="224">
        <f t="shared" si="5"/>
        <v>0</v>
      </c>
      <c r="N195" s="100"/>
      <c r="O195" s="81"/>
      <c r="P195" s="81"/>
      <c r="Q195" s="232"/>
    </row>
    <row r="196" spans="1:20" s="13" customFormat="1" x14ac:dyDescent="0.25">
      <c r="A196" s="229"/>
      <c r="B196" s="62" t="s">
        <v>106</v>
      </c>
      <c r="C196" s="181" t="s">
        <v>17</v>
      </c>
      <c r="D196" s="205"/>
      <c r="E196" s="194" t="s">
        <v>20</v>
      </c>
      <c r="F196" s="73" t="s">
        <v>414</v>
      </c>
      <c r="G196" s="74" t="s">
        <v>112</v>
      </c>
      <c r="H196" s="75">
        <v>22</v>
      </c>
      <c r="I196" s="76">
        <v>11</v>
      </c>
      <c r="J196" s="96">
        <f>1+4+2+2+1+4</f>
        <v>14</v>
      </c>
      <c r="K196" s="77">
        <f>4901.5+2119.39+5027.75</f>
        <v>12048.64</v>
      </c>
      <c r="L196" s="77">
        <f>4901.5+2119.39+5027.75</f>
        <v>12048.64</v>
      </c>
      <c r="M196" s="224">
        <f t="shared" si="5"/>
        <v>0</v>
      </c>
      <c r="N196" s="100">
        <f>3+1+1+1+1</f>
        <v>7</v>
      </c>
      <c r="O196" s="81">
        <f>49473.81+3066.27+1501.24</f>
        <v>54041.319999999992</v>
      </c>
      <c r="P196" s="81">
        <f>49473.81+3066.27+1501.24</f>
        <v>54041.319999999992</v>
      </c>
      <c r="Q196" s="232">
        <f t="shared" si="6"/>
        <v>0</v>
      </c>
      <c r="T196" s="141"/>
    </row>
    <row r="197" spans="1:20" x14ac:dyDescent="0.25">
      <c r="A197" s="360"/>
      <c r="B197" s="66"/>
      <c r="C197" s="361"/>
      <c r="D197" s="235"/>
      <c r="E197" s="235"/>
      <c r="F197" s="73"/>
      <c r="G197" s="235" t="s">
        <v>131</v>
      </c>
      <c r="H197" s="240">
        <f>SUM(H10:H196)</f>
        <v>3797</v>
      </c>
      <c r="I197" s="359">
        <f>SUM(I10:I196)</f>
        <v>2309</v>
      </c>
      <c r="J197" s="208">
        <f>SUM(J10:J196)</f>
        <v>2816</v>
      </c>
      <c r="K197" s="209">
        <f>SUM(K10:K196)</f>
        <v>5634255.5049999999</v>
      </c>
      <c r="L197" s="209">
        <f>SUM(L10:L196)</f>
        <v>5634255.5049999999</v>
      </c>
      <c r="M197" s="210">
        <f>K197-L197</f>
        <v>0</v>
      </c>
      <c r="N197" s="208">
        <f>SUM(N10:N196)</f>
        <v>1985</v>
      </c>
      <c r="O197" s="241">
        <f>SUM(O10:O196)</f>
        <v>6393742.8300000019</v>
      </c>
      <c r="P197" s="241">
        <f>SUM(P10:P196)</f>
        <v>6393742.8300000019</v>
      </c>
      <c r="Q197" s="79">
        <f t="shared" si="6"/>
        <v>0</v>
      </c>
    </row>
    <row r="198" spans="1:20" x14ac:dyDescent="0.25">
      <c r="K198" s="91" t="s">
        <v>305</v>
      </c>
    </row>
    <row r="199" spans="1:20" ht="45" x14ac:dyDescent="0.25">
      <c r="B199" s="324" t="s">
        <v>522</v>
      </c>
      <c r="F199" s="104" t="s">
        <v>317</v>
      </c>
      <c r="M199" s="142"/>
      <c r="N199" s="277"/>
      <c r="O199" s="278"/>
      <c r="P199" s="279"/>
      <c r="Q199" s="133"/>
    </row>
    <row r="200" spans="1:20" x14ac:dyDescent="0.25"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358"/>
      <c r="M200" s="216"/>
      <c r="N200" s="6"/>
      <c r="O200" s="6"/>
      <c r="P200" s="6"/>
      <c r="Q200" s="6"/>
    </row>
    <row r="201" spans="1:20" x14ac:dyDescent="0.25">
      <c r="M201" s="216"/>
      <c r="T201" s="141"/>
    </row>
    <row r="202" spans="1:20" x14ac:dyDescent="0.25">
      <c r="M202" s="216"/>
    </row>
    <row r="203" spans="1:20" x14ac:dyDescent="0.25">
      <c r="M203" s="216"/>
    </row>
    <row r="204" spans="1:20" x14ac:dyDescent="0.25">
      <c r="M204" s="216"/>
    </row>
  </sheetData>
  <mergeCells count="7">
    <mergeCell ref="O1:Q1"/>
    <mergeCell ref="A3:Q3"/>
    <mergeCell ref="A4:Q4"/>
    <mergeCell ref="A5:Q5"/>
    <mergeCell ref="B7:G7"/>
    <mergeCell ref="H7:M7"/>
    <mergeCell ref="N7:Q7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83"/>
  <sheetViews>
    <sheetView workbookViewId="0">
      <selection sqref="A1:XFD1048576"/>
    </sheetView>
  </sheetViews>
  <sheetFormatPr defaultRowHeight="15" x14ac:dyDescent="0.25"/>
  <cols>
    <col min="1" max="1" width="7.28515625" style="6" customWidth="1"/>
    <col min="2" max="2" width="37.5703125" style="88" customWidth="1"/>
    <col min="3" max="3" width="6.5703125" style="19" customWidth="1"/>
    <col min="4" max="4" width="18.7109375" style="19" customWidth="1"/>
    <col min="5" max="5" width="19" style="19" customWidth="1"/>
    <col min="6" max="6" width="19.7109375" style="89" customWidth="1"/>
    <col min="7" max="7" width="22.7109375" style="89" customWidth="1"/>
    <col min="8" max="9" width="10.7109375" style="90" customWidth="1"/>
    <col min="10" max="10" width="8.42578125" style="99" customWidth="1"/>
    <col min="11" max="13" width="15.7109375" style="91" customWidth="1"/>
    <col min="14" max="14" width="10.7109375" style="99" customWidth="1"/>
    <col min="15" max="16" width="15.7109375" style="92" customWidth="1"/>
    <col min="17" max="17" width="18.28515625" style="92" customWidth="1"/>
    <col min="18" max="18" width="11.7109375" style="6" customWidth="1"/>
    <col min="19" max="19" width="9.42578125" style="6" customWidth="1"/>
    <col min="20" max="21" width="9.140625" style="6" customWidth="1"/>
    <col min="22" max="16384" width="9.140625" style="6"/>
  </cols>
  <sheetData>
    <row r="1" spans="1:17" s="105" customFormat="1" x14ac:dyDescent="0.25">
      <c r="B1" s="60"/>
      <c r="C1" s="4"/>
      <c r="D1" s="4"/>
      <c r="E1" s="4"/>
      <c r="F1" s="63"/>
      <c r="G1" s="63"/>
      <c r="H1" s="64"/>
      <c r="I1" s="64"/>
      <c r="J1" s="93"/>
      <c r="K1" s="65"/>
      <c r="L1" s="65"/>
      <c r="M1" s="65"/>
      <c r="N1" s="93"/>
      <c r="O1" s="362" t="s">
        <v>15</v>
      </c>
      <c r="P1" s="362"/>
      <c r="Q1" s="362"/>
    </row>
    <row r="2" spans="1:17" s="105" customFormat="1" x14ac:dyDescent="0.25">
      <c r="A2" s="7"/>
      <c r="B2" s="124"/>
      <c r="C2" s="107"/>
      <c r="D2" s="107"/>
      <c r="E2" s="107"/>
      <c r="F2" s="66"/>
      <c r="G2" s="66"/>
      <c r="H2" s="123"/>
      <c r="I2" s="123"/>
      <c r="J2" s="94"/>
      <c r="K2" s="67"/>
      <c r="L2" s="67"/>
      <c r="M2" s="67"/>
      <c r="N2" s="94"/>
      <c r="O2" s="68"/>
      <c r="P2" s="68"/>
      <c r="Q2" s="68"/>
    </row>
    <row r="3" spans="1:17" s="105" customFormat="1" x14ac:dyDescent="0.25">
      <c r="A3" s="363" t="s">
        <v>318</v>
      </c>
      <c r="B3" s="364"/>
      <c r="C3" s="363"/>
      <c r="D3" s="363"/>
      <c r="E3" s="363"/>
      <c r="F3" s="364"/>
      <c r="G3" s="364"/>
      <c r="H3" s="365"/>
      <c r="I3" s="366"/>
      <c r="J3" s="367"/>
      <c r="K3" s="364"/>
      <c r="L3" s="364"/>
      <c r="M3" s="364"/>
      <c r="N3" s="364"/>
      <c r="O3" s="364"/>
      <c r="P3" s="364"/>
      <c r="Q3" s="364"/>
    </row>
    <row r="4" spans="1:17" s="105" customFormat="1" x14ac:dyDescent="0.25">
      <c r="A4" s="368">
        <v>43507</v>
      </c>
      <c r="B4" s="369"/>
      <c r="C4" s="370"/>
      <c r="D4" s="370"/>
      <c r="E4" s="370"/>
      <c r="F4" s="369"/>
      <c r="G4" s="369"/>
      <c r="H4" s="371"/>
      <c r="I4" s="372"/>
      <c r="J4" s="373"/>
      <c r="K4" s="369"/>
      <c r="L4" s="369"/>
      <c r="M4" s="369"/>
      <c r="N4" s="369"/>
      <c r="O4" s="369"/>
      <c r="P4" s="369"/>
      <c r="Q4" s="369"/>
    </row>
    <row r="5" spans="1:17" s="105" customFormat="1" x14ac:dyDescent="0.25">
      <c r="A5" s="374" t="s">
        <v>14</v>
      </c>
      <c r="B5" s="367"/>
      <c r="C5" s="374"/>
      <c r="D5" s="374"/>
      <c r="E5" s="374"/>
      <c r="F5" s="367"/>
      <c r="G5" s="367"/>
      <c r="H5" s="366"/>
      <c r="I5" s="366"/>
      <c r="J5" s="367"/>
      <c r="K5" s="367"/>
      <c r="L5" s="367"/>
      <c r="M5" s="367"/>
      <c r="N5" s="367"/>
      <c r="O5" s="367"/>
      <c r="P5" s="367"/>
      <c r="Q5" s="367"/>
    </row>
    <row r="6" spans="1:17" s="105" customFormat="1" x14ac:dyDescent="0.25">
      <c r="A6" s="7"/>
      <c r="B6" s="124"/>
      <c r="C6" s="107"/>
      <c r="D6" s="107"/>
      <c r="E6" s="107"/>
      <c r="F6" s="66"/>
      <c r="G6" s="66"/>
      <c r="H6" s="123"/>
      <c r="I6" s="123"/>
      <c r="J6" s="94"/>
      <c r="K6" s="67"/>
      <c r="L6" s="67"/>
      <c r="M6" s="67"/>
      <c r="N6" s="94"/>
      <c r="O6" s="68"/>
      <c r="P6" s="68"/>
      <c r="Q6" s="68"/>
    </row>
    <row r="7" spans="1:17" x14ac:dyDescent="0.25">
      <c r="A7" s="5" t="s">
        <v>0</v>
      </c>
      <c r="B7" s="364" t="s">
        <v>10</v>
      </c>
      <c r="C7" s="375"/>
      <c r="D7" s="375"/>
      <c r="E7" s="375"/>
      <c r="F7" s="364"/>
      <c r="G7" s="364"/>
      <c r="H7" s="365" t="s">
        <v>472</v>
      </c>
      <c r="I7" s="366"/>
      <c r="J7" s="367"/>
      <c r="K7" s="364"/>
      <c r="L7" s="364"/>
      <c r="M7" s="364"/>
      <c r="N7" s="364" t="s">
        <v>132</v>
      </c>
      <c r="O7" s="364"/>
      <c r="P7" s="364"/>
      <c r="Q7" s="364"/>
    </row>
    <row r="8" spans="1:17" ht="240" x14ac:dyDescent="0.25">
      <c r="A8" s="5"/>
      <c r="B8" s="124" t="s">
        <v>4</v>
      </c>
      <c r="C8" s="107" t="s">
        <v>1</v>
      </c>
      <c r="D8" s="107" t="s">
        <v>3</v>
      </c>
      <c r="E8" s="107" t="s">
        <v>2</v>
      </c>
      <c r="F8" s="122" t="s">
        <v>6</v>
      </c>
      <c r="G8" s="66" t="s">
        <v>5</v>
      </c>
      <c r="H8" s="124" t="s">
        <v>7</v>
      </c>
      <c r="I8" s="124" t="s">
        <v>8</v>
      </c>
      <c r="J8" s="94" t="s">
        <v>9</v>
      </c>
      <c r="K8" s="67" t="s">
        <v>11</v>
      </c>
      <c r="L8" s="67" t="s">
        <v>12</v>
      </c>
      <c r="M8" s="67" t="s">
        <v>13</v>
      </c>
      <c r="N8" s="94" t="s">
        <v>9</v>
      </c>
      <c r="O8" s="68" t="s">
        <v>11</v>
      </c>
      <c r="P8" s="68" t="s">
        <v>12</v>
      </c>
      <c r="Q8" s="68" t="s">
        <v>13</v>
      </c>
    </row>
    <row r="9" spans="1:17" x14ac:dyDescent="0.25">
      <c r="A9" s="9">
        <v>1</v>
      </c>
      <c r="B9" s="61">
        <f>A9+1</f>
        <v>2</v>
      </c>
      <c r="C9" s="9">
        <f t="shared" ref="C9:Q9" si="0">B9+1</f>
        <v>3</v>
      </c>
      <c r="D9" s="9">
        <f t="shared" si="0"/>
        <v>4</v>
      </c>
      <c r="E9" s="9">
        <f t="shared" si="0"/>
        <v>5</v>
      </c>
      <c r="F9" s="69">
        <f t="shared" si="0"/>
        <v>6</v>
      </c>
      <c r="G9" s="69">
        <f t="shared" si="0"/>
        <v>7</v>
      </c>
      <c r="H9" s="70">
        <f t="shared" si="0"/>
        <v>8</v>
      </c>
      <c r="I9" s="70">
        <f t="shared" si="0"/>
        <v>9</v>
      </c>
      <c r="J9" s="95">
        <f t="shared" si="0"/>
        <v>10</v>
      </c>
      <c r="K9" s="71">
        <f t="shared" si="0"/>
        <v>11</v>
      </c>
      <c r="L9" s="71">
        <f t="shared" si="0"/>
        <v>12</v>
      </c>
      <c r="M9" s="71">
        <f t="shared" si="0"/>
        <v>13</v>
      </c>
      <c r="N9" s="95">
        <f t="shared" si="0"/>
        <v>14</v>
      </c>
      <c r="O9" s="72">
        <f t="shared" si="0"/>
        <v>15</v>
      </c>
      <c r="P9" s="72">
        <f t="shared" si="0"/>
        <v>16</v>
      </c>
      <c r="Q9" s="72">
        <f t="shared" si="0"/>
        <v>17</v>
      </c>
    </row>
    <row r="10" spans="1:17" s="13" customFormat="1" ht="31.5" x14ac:dyDescent="0.25">
      <c r="A10" s="10"/>
      <c r="B10" s="62" t="s">
        <v>16</v>
      </c>
      <c r="C10" s="1" t="s">
        <v>304</v>
      </c>
      <c r="D10" s="120" t="s">
        <v>315</v>
      </c>
      <c r="E10" s="3" t="s">
        <v>18</v>
      </c>
      <c r="F10" s="73" t="s">
        <v>322</v>
      </c>
      <c r="G10" s="74" t="s">
        <v>112</v>
      </c>
      <c r="H10" s="75">
        <v>2</v>
      </c>
      <c r="I10" s="76"/>
      <c r="J10" s="96"/>
      <c r="K10" s="77"/>
      <c r="L10" s="77"/>
      <c r="M10" s="78">
        <f>K10-L10</f>
        <v>0</v>
      </c>
      <c r="N10" s="100">
        <f>2+5</f>
        <v>7</v>
      </c>
      <c r="O10" s="77">
        <v>4764.04</v>
      </c>
      <c r="P10" s="77"/>
      <c r="Q10" s="79">
        <f>O10-P10</f>
        <v>4764.04</v>
      </c>
    </row>
    <row r="11" spans="1:17" s="13" customFormat="1" ht="31.5" x14ac:dyDescent="0.25">
      <c r="A11" s="10">
        <v>2</v>
      </c>
      <c r="B11" s="22" t="s">
        <v>16</v>
      </c>
      <c r="C11" s="1" t="s">
        <v>304</v>
      </c>
      <c r="D11" s="120" t="s">
        <v>315</v>
      </c>
      <c r="E11" s="3" t="s">
        <v>18</v>
      </c>
      <c r="F11" s="119" t="s">
        <v>322</v>
      </c>
      <c r="G11" s="11" t="s">
        <v>116</v>
      </c>
      <c r="H11" s="1">
        <v>2</v>
      </c>
      <c r="I11" s="49"/>
      <c r="J11" s="46"/>
      <c r="K11" s="31"/>
      <c r="L11" s="31"/>
      <c r="M11" s="38">
        <f t="shared" ref="M11:M80" si="1">K11-L11</f>
        <v>0</v>
      </c>
      <c r="N11" s="41"/>
      <c r="O11" s="31">
        <v>2945</v>
      </c>
      <c r="P11" s="31"/>
      <c r="Q11" s="12">
        <f t="shared" ref="Q11:Q73" si="2">O11-P11</f>
        <v>2945</v>
      </c>
    </row>
    <row r="12" spans="1:17" s="15" customFormat="1" ht="15.75" x14ac:dyDescent="0.25">
      <c r="A12" s="14"/>
      <c r="B12" s="80" t="s">
        <v>19</v>
      </c>
      <c r="C12" s="1" t="s">
        <v>17</v>
      </c>
      <c r="D12" s="120"/>
      <c r="E12" s="3" t="s">
        <v>20</v>
      </c>
      <c r="F12" s="73" t="s">
        <v>323</v>
      </c>
      <c r="G12" s="74" t="s">
        <v>112</v>
      </c>
      <c r="H12" s="75">
        <v>5</v>
      </c>
      <c r="I12" s="76">
        <v>1</v>
      </c>
      <c r="J12" s="96">
        <f>1</f>
        <v>1</v>
      </c>
      <c r="K12" s="77">
        <v>422.62</v>
      </c>
      <c r="L12" s="77"/>
      <c r="M12" s="78">
        <f t="shared" si="1"/>
        <v>422.62</v>
      </c>
      <c r="N12" s="100">
        <f>8</f>
        <v>8</v>
      </c>
      <c r="O12" s="81">
        <v>6459.36</v>
      </c>
      <c r="P12" s="81"/>
      <c r="Q12" s="79">
        <f t="shared" si="2"/>
        <v>6459.36</v>
      </c>
    </row>
    <row r="13" spans="1:17" s="15" customFormat="1" ht="15.75" x14ac:dyDescent="0.25">
      <c r="A13" s="14">
        <v>2</v>
      </c>
      <c r="B13" s="23" t="s">
        <v>19</v>
      </c>
      <c r="C13" s="1" t="s">
        <v>17</v>
      </c>
      <c r="D13" s="120"/>
      <c r="E13" s="3" t="s">
        <v>20</v>
      </c>
      <c r="F13" s="73" t="s">
        <v>451</v>
      </c>
      <c r="G13" s="11" t="s">
        <v>114</v>
      </c>
      <c r="H13" s="1">
        <v>1</v>
      </c>
      <c r="I13" s="49"/>
      <c r="J13" s="51"/>
      <c r="K13" s="40"/>
      <c r="L13" s="40"/>
      <c r="M13" s="38">
        <f t="shared" si="1"/>
        <v>0</v>
      </c>
      <c r="N13" s="42">
        <v>3</v>
      </c>
      <c r="O13" s="31">
        <v>3818</v>
      </c>
      <c r="P13" s="31"/>
      <c r="Q13" s="12">
        <f t="shared" si="2"/>
        <v>3818</v>
      </c>
    </row>
    <row r="14" spans="1:17" s="15" customFormat="1" ht="15.75" x14ac:dyDescent="0.25">
      <c r="A14" s="14"/>
      <c r="B14" s="62" t="s">
        <v>153</v>
      </c>
      <c r="C14" s="1" t="s">
        <v>17</v>
      </c>
      <c r="D14" s="120"/>
      <c r="E14" s="3" t="s">
        <v>20</v>
      </c>
      <c r="F14" s="73" t="s">
        <v>324</v>
      </c>
      <c r="G14" s="74" t="s">
        <v>112</v>
      </c>
      <c r="H14" s="75">
        <v>3</v>
      </c>
      <c r="I14" s="82">
        <v>1</v>
      </c>
      <c r="J14" s="96">
        <f>1</f>
        <v>1</v>
      </c>
      <c r="K14" s="77"/>
      <c r="L14" s="77"/>
      <c r="M14" s="78">
        <f t="shared" si="1"/>
        <v>0</v>
      </c>
      <c r="N14" s="114">
        <f>1+2</f>
        <v>3</v>
      </c>
      <c r="O14" s="81">
        <f>422.62</f>
        <v>422.62</v>
      </c>
      <c r="P14" s="81"/>
      <c r="Q14" s="79">
        <f t="shared" si="2"/>
        <v>422.62</v>
      </c>
    </row>
    <row r="15" spans="1:17" s="15" customFormat="1" ht="15.75" x14ac:dyDescent="0.25">
      <c r="A15" s="14"/>
      <c r="B15" s="50" t="s">
        <v>153</v>
      </c>
      <c r="C15" s="1"/>
      <c r="D15" s="120"/>
      <c r="E15" s="3" t="s">
        <v>20</v>
      </c>
      <c r="F15" s="73" t="s">
        <v>452</v>
      </c>
      <c r="G15" s="11" t="s">
        <v>114</v>
      </c>
      <c r="H15" s="1">
        <v>1</v>
      </c>
      <c r="I15" s="49"/>
      <c r="J15" s="51"/>
      <c r="K15" s="40"/>
      <c r="L15" s="40"/>
      <c r="M15" s="38">
        <f t="shared" si="1"/>
        <v>0</v>
      </c>
      <c r="N15" s="42">
        <v>4</v>
      </c>
      <c r="O15" s="31">
        <f>13319</f>
        <v>13319</v>
      </c>
      <c r="P15" s="31"/>
      <c r="Q15" s="12">
        <f t="shared" si="2"/>
        <v>13319</v>
      </c>
    </row>
    <row r="16" spans="1:17" s="13" customFormat="1" ht="15.75" x14ac:dyDescent="0.25">
      <c r="A16" s="10"/>
      <c r="B16" s="30" t="s">
        <v>22</v>
      </c>
      <c r="C16" s="1" t="s">
        <v>17</v>
      </c>
      <c r="D16" s="120"/>
      <c r="E16" s="3" t="s">
        <v>23</v>
      </c>
      <c r="F16" s="73" t="s">
        <v>325</v>
      </c>
      <c r="G16" s="74" t="s">
        <v>112</v>
      </c>
      <c r="H16" s="75">
        <v>1</v>
      </c>
      <c r="I16" s="76"/>
      <c r="J16" s="96"/>
      <c r="K16" s="77"/>
      <c r="L16" s="77"/>
      <c r="M16" s="78">
        <f t="shared" si="1"/>
        <v>0</v>
      </c>
      <c r="N16" s="100">
        <f>14</f>
        <v>14</v>
      </c>
      <c r="O16" s="81"/>
      <c r="P16" s="81"/>
      <c r="Q16" s="79">
        <f t="shared" si="2"/>
        <v>0</v>
      </c>
    </row>
    <row r="17" spans="1:17" s="13" customFormat="1" ht="15.75" x14ac:dyDescent="0.25">
      <c r="A17" s="10"/>
      <c r="B17" s="24" t="s">
        <v>154</v>
      </c>
      <c r="C17" s="1" t="s">
        <v>17</v>
      </c>
      <c r="D17" s="120"/>
      <c r="E17" s="3" t="s">
        <v>20</v>
      </c>
      <c r="F17" s="73" t="s">
        <v>453</v>
      </c>
      <c r="G17" s="11" t="s">
        <v>114</v>
      </c>
      <c r="H17" s="1">
        <v>5</v>
      </c>
      <c r="I17" s="47"/>
      <c r="J17" s="51"/>
      <c r="K17" s="37"/>
      <c r="L17" s="37"/>
      <c r="M17" s="38">
        <f t="shared" si="1"/>
        <v>0</v>
      </c>
      <c r="N17" s="39">
        <v>3</v>
      </c>
      <c r="O17" s="31">
        <v>5603</v>
      </c>
      <c r="P17" s="31"/>
      <c r="Q17" s="12">
        <f t="shared" si="2"/>
        <v>5603</v>
      </c>
    </row>
    <row r="18" spans="1:17" s="13" customFormat="1" ht="15.75" x14ac:dyDescent="0.25">
      <c r="A18" s="10"/>
      <c r="B18" s="30" t="s">
        <v>154</v>
      </c>
      <c r="C18" s="1" t="s">
        <v>17</v>
      </c>
      <c r="D18" s="120"/>
      <c r="E18" s="3" t="s">
        <v>20</v>
      </c>
      <c r="F18" s="73" t="s">
        <v>326</v>
      </c>
      <c r="G18" s="74" t="s">
        <v>112</v>
      </c>
      <c r="H18" s="75">
        <v>4</v>
      </c>
      <c r="I18" s="76">
        <v>2</v>
      </c>
      <c r="J18" s="96">
        <f>1+1</f>
        <v>2</v>
      </c>
      <c r="K18" s="77">
        <f>950.9</f>
        <v>950.9</v>
      </c>
      <c r="L18" s="77"/>
      <c r="M18" s="78">
        <f t="shared" si="1"/>
        <v>950.9</v>
      </c>
      <c r="N18" s="100">
        <f>6+3</f>
        <v>9</v>
      </c>
      <c r="O18" s="128">
        <f>6681.33+7017</f>
        <v>13698.33</v>
      </c>
      <c r="P18" s="81"/>
      <c r="Q18" s="79">
        <f t="shared" si="2"/>
        <v>13698.33</v>
      </c>
    </row>
    <row r="19" spans="1:17" s="13" customFormat="1" ht="15.75" x14ac:dyDescent="0.25">
      <c r="A19" s="10"/>
      <c r="B19" s="62" t="s">
        <v>24</v>
      </c>
      <c r="C19" s="1" t="s">
        <v>17</v>
      </c>
      <c r="D19" s="120"/>
      <c r="E19" s="3" t="s">
        <v>20</v>
      </c>
      <c r="F19" s="73" t="s">
        <v>327</v>
      </c>
      <c r="G19" s="74" t="s">
        <v>112</v>
      </c>
      <c r="H19" s="75"/>
      <c r="I19" s="76"/>
      <c r="J19" s="96"/>
      <c r="K19" s="77"/>
      <c r="L19" s="77"/>
      <c r="M19" s="38">
        <f t="shared" si="1"/>
        <v>0</v>
      </c>
      <c r="N19" s="100">
        <f>1</f>
        <v>1</v>
      </c>
      <c r="O19" s="81">
        <f>575.3</f>
        <v>575.29999999999995</v>
      </c>
      <c r="P19" s="81"/>
      <c r="Q19" s="12">
        <f t="shared" si="2"/>
        <v>575.29999999999995</v>
      </c>
    </row>
    <row r="20" spans="1:17" s="13" customFormat="1" ht="15.75" x14ac:dyDescent="0.25">
      <c r="A20" s="10">
        <v>1</v>
      </c>
      <c r="B20" s="22" t="s">
        <v>24</v>
      </c>
      <c r="C20" s="1" t="s">
        <v>17</v>
      </c>
      <c r="D20" s="120"/>
      <c r="E20" s="3" t="s">
        <v>20</v>
      </c>
      <c r="F20" s="73" t="s">
        <v>454</v>
      </c>
      <c r="G20" s="11" t="s">
        <v>114</v>
      </c>
      <c r="H20" s="1">
        <v>3</v>
      </c>
      <c r="I20" s="49"/>
      <c r="J20" s="51"/>
      <c r="K20" s="40"/>
      <c r="L20" s="40"/>
      <c r="M20" s="78">
        <f t="shared" si="1"/>
        <v>0</v>
      </c>
      <c r="N20" s="41">
        <v>7</v>
      </c>
      <c r="O20" s="31">
        <v>14635.6</v>
      </c>
      <c r="P20" s="31"/>
      <c r="Q20" s="79">
        <f t="shared" si="2"/>
        <v>14635.6</v>
      </c>
    </row>
    <row r="21" spans="1:17" s="13" customFormat="1" ht="15.75" x14ac:dyDescent="0.25">
      <c r="A21" s="10"/>
      <c r="B21" s="62" t="s">
        <v>25</v>
      </c>
      <c r="C21" s="1" t="s">
        <v>17</v>
      </c>
      <c r="D21" s="120"/>
      <c r="E21" s="3" t="s">
        <v>20</v>
      </c>
      <c r="F21" s="73" t="s">
        <v>328</v>
      </c>
      <c r="G21" s="74" t="s">
        <v>112</v>
      </c>
      <c r="H21" s="75">
        <v>2</v>
      </c>
      <c r="I21" s="76">
        <v>1</v>
      </c>
      <c r="J21" s="96">
        <f>1</f>
        <v>1</v>
      </c>
      <c r="K21" s="77">
        <v>1743.31</v>
      </c>
      <c r="L21" s="77"/>
      <c r="M21" s="38">
        <f t="shared" si="1"/>
        <v>1743.31</v>
      </c>
      <c r="N21" s="100">
        <f>6</f>
        <v>6</v>
      </c>
      <c r="O21" s="81">
        <v>14526.7</v>
      </c>
      <c r="P21" s="81"/>
      <c r="Q21" s="12">
        <f t="shared" si="2"/>
        <v>14526.7</v>
      </c>
    </row>
    <row r="22" spans="1:17" s="13" customFormat="1" ht="15.75" x14ac:dyDescent="0.25">
      <c r="A22" s="10"/>
      <c r="B22" s="22" t="s">
        <v>25</v>
      </c>
      <c r="C22" s="1" t="s">
        <v>17</v>
      </c>
      <c r="D22" s="120"/>
      <c r="E22" s="3" t="s">
        <v>20</v>
      </c>
      <c r="F22" s="73" t="s">
        <v>455</v>
      </c>
      <c r="G22" s="11" t="s">
        <v>114</v>
      </c>
      <c r="H22" s="1"/>
      <c r="I22" s="49"/>
      <c r="J22" s="51"/>
      <c r="K22" s="40"/>
      <c r="L22" s="40"/>
      <c r="M22" s="78">
        <f t="shared" si="1"/>
        <v>0</v>
      </c>
      <c r="N22" s="41">
        <v>2</v>
      </c>
      <c r="O22" s="31">
        <v>4146.2</v>
      </c>
      <c r="P22" s="31"/>
      <c r="Q22" s="79">
        <f t="shared" si="2"/>
        <v>4146.2</v>
      </c>
    </row>
    <row r="23" spans="1:17" s="13" customFormat="1" ht="15.75" x14ac:dyDescent="0.25">
      <c r="A23" s="10"/>
      <c r="B23" s="62" t="s">
        <v>26</v>
      </c>
      <c r="C23" s="1" t="s">
        <v>17</v>
      </c>
      <c r="D23" s="120"/>
      <c r="E23" s="3" t="s">
        <v>27</v>
      </c>
      <c r="F23" s="73" t="s">
        <v>329</v>
      </c>
      <c r="G23" s="74" t="s">
        <v>112</v>
      </c>
      <c r="H23" s="75">
        <v>3</v>
      </c>
      <c r="I23" s="76"/>
      <c r="J23" s="96"/>
      <c r="K23" s="77"/>
      <c r="L23" s="77"/>
      <c r="M23" s="38">
        <f t="shared" si="1"/>
        <v>0</v>
      </c>
      <c r="N23" s="100">
        <f>6</f>
        <v>6</v>
      </c>
      <c r="O23" s="81">
        <f>17838.53</f>
        <v>17838.53</v>
      </c>
      <c r="P23" s="81"/>
      <c r="Q23" s="12">
        <f t="shared" si="2"/>
        <v>17838.53</v>
      </c>
    </row>
    <row r="24" spans="1:17" s="13" customFormat="1" ht="15.75" x14ac:dyDescent="0.25">
      <c r="A24" s="10"/>
      <c r="B24" s="22" t="s">
        <v>306</v>
      </c>
      <c r="C24" s="1" t="s">
        <v>17</v>
      </c>
      <c r="D24" s="120"/>
      <c r="E24" s="3" t="s">
        <v>27</v>
      </c>
      <c r="F24" s="73" t="s">
        <v>421</v>
      </c>
      <c r="G24" s="11" t="s">
        <v>117</v>
      </c>
      <c r="H24" s="1"/>
      <c r="I24" s="49"/>
      <c r="J24" s="46"/>
      <c r="K24" s="40"/>
      <c r="L24" s="40"/>
      <c r="M24" s="78">
        <f t="shared" si="1"/>
        <v>0</v>
      </c>
      <c r="N24" s="41">
        <f>3</f>
        <v>3</v>
      </c>
      <c r="O24" s="40"/>
      <c r="P24" s="40"/>
      <c r="Q24" s="79">
        <f>O24-P24</f>
        <v>0</v>
      </c>
    </row>
    <row r="25" spans="1:17" s="15" customFormat="1" ht="15.75" x14ac:dyDescent="0.25">
      <c r="A25" s="14"/>
      <c r="B25" s="80" t="s">
        <v>28</v>
      </c>
      <c r="C25" s="1" t="s">
        <v>17</v>
      </c>
      <c r="D25" s="120"/>
      <c r="E25" s="17" t="s">
        <v>29</v>
      </c>
      <c r="F25" s="73" t="s">
        <v>330</v>
      </c>
      <c r="G25" s="74" t="s">
        <v>112</v>
      </c>
      <c r="H25" s="75"/>
      <c r="I25" s="76"/>
      <c r="J25" s="96"/>
      <c r="K25" s="77"/>
      <c r="L25" s="77"/>
      <c r="M25" s="38">
        <f t="shared" si="1"/>
        <v>0</v>
      </c>
      <c r="N25" s="100">
        <f>3</f>
        <v>3</v>
      </c>
      <c r="O25" s="81">
        <v>5310.83</v>
      </c>
      <c r="P25" s="81"/>
      <c r="Q25" s="12">
        <f t="shared" si="2"/>
        <v>5310.83</v>
      </c>
    </row>
    <row r="26" spans="1:17" s="15" customFormat="1" ht="15.75" x14ac:dyDescent="0.25">
      <c r="A26" s="14"/>
      <c r="B26" s="23" t="s">
        <v>28</v>
      </c>
      <c r="C26" s="1" t="s">
        <v>17</v>
      </c>
      <c r="D26" s="120"/>
      <c r="E26" s="17" t="s">
        <v>29</v>
      </c>
      <c r="F26" s="73" t="s">
        <v>420</v>
      </c>
      <c r="G26" s="8" t="s">
        <v>117</v>
      </c>
      <c r="H26" s="1">
        <v>1</v>
      </c>
      <c r="I26" s="48"/>
      <c r="J26" s="45"/>
      <c r="K26" s="40"/>
      <c r="L26" s="40"/>
      <c r="M26" s="78">
        <f t="shared" si="1"/>
        <v>0</v>
      </c>
      <c r="N26" s="42"/>
      <c r="O26" s="31"/>
      <c r="P26" s="31"/>
      <c r="Q26" s="79">
        <f t="shared" si="2"/>
        <v>0</v>
      </c>
    </row>
    <row r="27" spans="1:17" s="13" customFormat="1" ht="15.75" x14ac:dyDescent="0.25">
      <c r="A27" s="10"/>
      <c r="B27" s="27" t="s">
        <v>30</v>
      </c>
      <c r="C27" s="1" t="s">
        <v>17</v>
      </c>
      <c r="D27" s="120"/>
      <c r="E27" s="17" t="s">
        <v>21</v>
      </c>
      <c r="F27" s="73" t="s">
        <v>333</v>
      </c>
      <c r="G27" s="74" t="s">
        <v>112</v>
      </c>
      <c r="H27" s="75">
        <v>4</v>
      </c>
      <c r="I27" s="76">
        <v>3</v>
      </c>
      <c r="J27" s="96">
        <f>3</f>
        <v>3</v>
      </c>
      <c r="K27" s="77"/>
      <c r="L27" s="77"/>
      <c r="M27" s="38">
        <f t="shared" si="1"/>
        <v>0</v>
      </c>
      <c r="N27" s="100">
        <f>9</f>
        <v>9</v>
      </c>
      <c r="O27" s="81"/>
      <c r="P27" s="81"/>
      <c r="Q27" s="12">
        <f t="shared" si="2"/>
        <v>0</v>
      </c>
    </row>
    <row r="28" spans="1:17" s="13" customFormat="1" ht="15.75" x14ac:dyDescent="0.25">
      <c r="A28" s="10"/>
      <c r="B28" s="30" t="s">
        <v>31</v>
      </c>
      <c r="C28" s="1" t="s">
        <v>17</v>
      </c>
      <c r="D28" s="120"/>
      <c r="E28" s="3" t="s">
        <v>32</v>
      </c>
      <c r="F28" s="73" t="s">
        <v>331</v>
      </c>
      <c r="G28" s="74" t="s">
        <v>112</v>
      </c>
      <c r="H28" s="75">
        <v>1</v>
      </c>
      <c r="I28" s="76"/>
      <c r="J28" s="96"/>
      <c r="K28" s="77"/>
      <c r="L28" s="77"/>
      <c r="M28" s="78">
        <f t="shared" si="1"/>
        <v>0</v>
      </c>
      <c r="N28" s="100">
        <f>1</f>
        <v>1</v>
      </c>
      <c r="O28" s="81">
        <f>2299.8</f>
        <v>2299.8000000000002</v>
      </c>
      <c r="P28" s="81"/>
      <c r="Q28" s="79">
        <f t="shared" si="2"/>
        <v>2299.8000000000002</v>
      </c>
    </row>
    <row r="29" spans="1:17" s="13" customFormat="1" ht="15.75" x14ac:dyDescent="0.25">
      <c r="A29" s="10"/>
      <c r="B29" s="24" t="s">
        <v>31</v>
      </c>
      <c r="C29" s="1" t="s">
        <v>17</v>
      </c>
      <c r="D29" s="120"/>
      <c r="E29" s="3" t="s">
        <v>32</v>
      </c>
      <c r="F29" s="73" t="s">
        <v>422</v>
      </c>
      <c r="G29" s="8" t="s">
        <v>117</v>
      </c>
      <c r="H29" s="1">
        <v>3</v>
      </c>
      <c r="I29" s="49"/>
      <c r="J29" s="46"/>
      <c r="K29" s="40"/>
      <c r="L29" s="40"/>
      <c r="M29" s="38">
        <f t="shared" si="1"/>
        <v>0</v>
      </c>
      <c r="N29" s="41">
        <f>5</f>
        <v>5</v>
      </c>
      <c r="O29" s="40"/>
      <c r="P29" s="40"/>
      <c r="Q29" s="12">
        <f t="shared" si="2"/>
        <v>0</v>
      </c>
    </row>
    <row r="30" spans="1:17" s="15" customFormat="1" ht="15.75" x14ac:dyDescent="0.25">
      <c r="A30" s="14"/>
      <c r="B30" s="80" t="s">
        <v>33</v>
      </c>
      <c r="C30" s="1" t="s">
        <v>17</v>
      </c>
      <c r="D30" s="120"/>
      <c r="E30" s="3" t="s">
        <v>20</v>
      </c>
      <c r="F30" s="73" t="s">
        <v>332</v>
      </c>
      <c r="G30" s="74" t="s">
        <v>112</v>
      </c>
      <c r="H30" s="75">
        <v>3</v>
      </c>
      <c r="I30" s="76"/>
      <c r="J30" s="96"/>
      <c r="K30" s="77"/>
      <c r="L30" s="77"/>
      <c r="M30" s="78">
        <f t="shared" si="1"/>
        <v>0</v>
      </c>
      <c r="N30" s="100">
        <f>2+1</f>
        <v>3</v>
      </c>
      <c r="O30" s="81">
        <v>1613.64</v>
      </c>
      <c r="P30" s="81"/>
      <c r="Q30" s="79">
        <f t="shared" si="2"/>
        <v>1613.64</v>
      </c>
    </row>
    <row r="31" spans="1:17" s="15" customFormat="1" ht="15.75" x14ac:dyDescent="0.25">
      <c r="A31" s="14"/>
      <c r="B31" s="23" t="s">
        <v>33</v>
      </c>
      <c r="C31" s="1" t="s">
        <v>17</v>
      </c>
      <c r="D31" s="120"/>
      <c r="E31" s="3" t="s">
        <v>20</v>
      </c>
      <c r="F31" s="73" t="s">
        <v>481</v>
      </c>
      <c r="G31" s="11" t="s">
        <v>114</v>
      </c>
      <c r="H31" s="1">
        <v>1</v>
      </c>
      <c r="I31" s="49"/>
      <c r="J31" s="51"/>
      <c r="K31" s="40"/>
      <c r="L31" s="40"/>
      <c r="M31" s="38">
        <f t="shared" si="1"/>
        <v>0</v>
      </c>
      <c r="N31" s="42">
        <v>6</v>
      </c>
      <c r="O31" s="31">
        <v>13071.87</v>
      </c>
      <c r="P31" s="31"/>
      <c r="Q31" s="12">
        <f t="shared" si="2"/>
        <v>13071.87</v>
      </c>
    </row>
    <row r="32" spans="1:17" s="15" customFormat="1" ht="15.75" x14ac:dyDescent="0.25">
      <c r="A32" s="14"/>
      <c r="B32" s="62" t="s">
        <v>147</v>
      </c>
      <c r="C32" s="1" t="s">
        <v>17</v>
      </c>
      <c r="D32" s="120"/>
      <c r="E32" s="3" t="s">
        <v>29</v>
      </c>
      <c r="F32" s="73" t="s">
        <v>334</v>
      </c>
      <c r="G32" s="74" t="s">
        <v>112</v>
      </c>
      <c r="H32" s="75">
        <v>1</v>
      </c>
      <c r="I32" s="102"/>
      <c r="J32" s="97"/>
      <c r="K32" s="77"/>
      <c r="L32" s="77"/>
      <c r="M32" s="78">
        <f t="shared" si="1"/>
        <v>0</v>
      </c>
      <c r="N32" s="114">
        <f>1</f>
        <v>1</v>
      </c>
      <c r="O32" s="81">
        <f>1394.65</f>
        <v>1394.65</v>
      </c>
      <c r="P32" s="81"/>
      <c r="Q32" s="79">
        <f t="shared" si="2"/>
        <v>1394.65</v>
      </c>
    </row>
    <row r="33" spans="1:17" s="15" customFormat="1" ht="15.75" x14ac:dyDescent="0.25">
      <c r="A33" s="14"/>
      <c r="B33" s="50" t="s">
        <v>147</v>
      </c>
      <c r="C33" s="1" t="s">
        <v>17</v>
      </c>
      <c r="D33" s="120"/>
      <c r="E33" s="3" t="s">
        <v>29</v>
      </c>
      <c r="F33" s="73" t="s">
        <v>423</v>
      </c>
      <c r="G33" s="11" t="s">
        <v>117</v>
      </c>
      <c r="H33" s="1">
        <v>1</v>
      </c>
      <c r="I33" s="48"/>
      <c r="J33" s="45"/>
      <c r="K33" s="40"/>
      <c r="L33" s="40"/>
      <c r="M33" s="38">
        <f t="shared" si="1"/>
        <v>0</v>
      </c>
      <c r="N33" s="42">
        <f>2</f>
        <v>2</v>
      </c>
      <c r="O33" s="31"/>
      <c r="P33" s="31"/>
      <c r="Q33" s="12">
        <f t="shared" si="2"/>
        <v>0</v>
      </c>
    </row>
    <row r="34" spans="1:17" s="13" customFormat="1" ht="15.75" x14ac:dyDescent="0.25">
      <c r="A34" s="10"/>
      <c r="B34" s="62" t="s">
        <v>34</v>
      </c>
      <c r="C34" s="1" t="s">
        <v>17</v>
      </c>
      <c r="D34" s="120"/>
      <c r="E34" s="17" t="s">
        <v>35</v>
      </c>
      <c r="F34" s="73" t="s">
        <v>335</v>
      </c>
      <c r="G34" s="74" t="s">
        <v>112</v>
      </c>
      <c r="H34" s="75">
        <v>4</v>
      </c>
      <c r="I34" s="76"/>
      <c r="J34" s="96"/>
      <c r="K34" s="77"/>
      <c r="L34" s="77"/>
      <c r="M34" s="78">
        <f t="shared" si="1"/>
        <v>0</v>
      </c>
      <c r="N34" s="100">
        <f>4+4+6</f>
        <v>14</v>
      </c>
      <c r="O34" s="81">
        <f>23915.04+21171.88</f>
        <v>45086.92</v>
      </c>
      <c r="P34" s="81"/>
      <c r="Q34" s="79">
        <f t="shared" si="2"/>
        <v>45086.92</v>
      </c>
    </row>
    <row r="35" spans="1:17" s="13" customFormat="1" ht="15.75" x14ac:dyDescent="0.25">
      <c r="A35" s="10"/>
      <c r="B35" s="22" t="s">
        <v>34</v>
      </c>
      <c r="C35" s="1" t="s">
        <v>17</v>
      </c>
      <c r="D35" s="120"/>
      <c r="E35" s="17" t="s">
        <v>35</v>
      </c>
      <c r="F35" s="73" t="s">
        <v>424</v>
      </c>
      <c r="G35" s="8" t="s">
        <v>117</v>
      </c>
      <c r="H35" s="1">
        <v>1</v>
      </c>
      <c r="I35" s="49"/>
      <c r="J35" s="46"/>
      <c r="K35" s="40"/>
      <c r="L35" s="40"/>
      <c r="M35" s="38">
        <f t="shared" si="1"/>
        <v>0</v>
      </c>
      <c r="N35" s="41">
        <v>2</v>
      </c>
      <c r="O35" s="31"/>
      <c r="P35" s="31"/>
      <c r="Q35" s="12">
        <f t="shared" si="2"/>
        <v>0</v>
      </c>
    </row>
    <row r="36" spans="1:17" s="13" customFormat="1" ht="15.75" x14ac:dyDescent="0.25">
      <c r="A36" s="10"/>
      <c r="B36" s="27" t="s">
        <v>36</v>
      </c>
      <c r="C36" s="1" t="s">
        <v>17</v>
      </c>
      <c r="D36" s="120"/>
      <c r="E36" s="17" t="s">
        <v>32</v>
      </c>
      <c r="F36" s="73" t="s">
        <v>336</v>
      </c>
      <c r="G36" s="74" t="s">
        <v>112</v>
      </c>
      <c r="H36" s="75">
        <v>2</v>
      </c>
      <c r="I36" s="76"/>
      <c r="J36" s="96"/>
      <c r="K36" s="77"/>
      <c r="L36" s="77"/>
      <c r="M36" s="78">
        <f t="shared" si="1"/>
        <v>0</v>
      </c>
      <c r="N36" s="100">
        <f>4</f>
        <v>4</v>
      </c>
      <c r="O36" s="81">
        <f>8144.95</f>
        <v>8144.95</v>
      </c>
      <c r="P36" s="81"/>
      <c r="Q36" s="79">
        <f t="shared" si="2"/>
        <v>8144.95</v>
      </c>
    </row>
    <row r="37" spans="1:17" s="13" customFormat="1" ht="15.75" x14ac:dyDescent="0.25">
      <c r="A37" s="10"/>
      <c r="B37" s="27" t="s">
        <v>38</v>
      </c>
      <c r="C37" s="1" t="s">
        <v>17</v>
      </c>
      <c r="D37" s="120"/>
      <c r="E37" s="3" t="s">
        <v>20</v>
      </c>
      <c r="F37" s="73" t="s">
        <v>338</v>
      </c>
      <c r="G37" s="74" t="s">
        <v>112</v>
      </c>
      <c r="H37" s="75">
        <v>8</v>
      </c>
      <c r="I37" s="76"/>
      <c r="J37" s="96"/>
      <c r="K37" s="77"/>
      <c r="L37" s="77"/>
      <c r="M37" s="78">
        <f t="shared" si="1"/>
        <v>0</v>
      </c>
      <c r="N37" s="100">
        <f>1</f>
        <v>1</v>
      </c>
      <c r="O37" s="81">
        <f>34449.99</f>
        <v>34449.99</v>
      </c>
      <c r="P37" s="81">
        <f>34449.99</f>
        <v>34449.99</v>
      </c>
      <c r="Q37" s="79">
        <f t="shared" si="2"/>
        <v>0</v>
      </c>
    </row>
    <row r="38" spans="1:17" s="13" customFormat="1" ht="15.75" x14ac:dyDescent="0.25">
      <c r="A38" s="10"/>
      <c r="B38" s="25" t="s">
        <v>38</v>
      </c>
      <c r="C38" s="1" t="s">
        <v>17</v>
      </c>
      <c r="D38" s="120"/>
      <c r="E38" s="3" t="s">
        <v>20</v>
      </c>
      <c r="F38" s="73" t="s">
        <v>268</v>
      </c>
      <c r="G38" s="11" t="s">
        <v>114</v>
      </c>
      <c r="H38" s="1"/>
      <c r="I38" s="49"/>
      <c r="J38" s="51"/>
      <c r="K38" s="40"/>
      <c r="L38" s="40"/>
      <c r="M38" s="38">
        <f t="shared" si="1"/>
        <v>0</v>
      </c>
      <c r="N38" s="41"/>
      <c r="O38" s="31"/>
      <c r="P38" s="31"/>
      <c r="Q38" s="12">
        <f t="shared" si="2"/>
        <v>0</v>
      </c>
    </row>
    <row r="39" spans="1:17" s="13" customFormat="1" ht="15.75" x14ac:dyDescent="0.25">
      <c r="A39" s="10"/>
      <c r="B39" s="25" t="s">
        <v>38</v>
      </c>
      <c r="C39" s="1" t="s">
        <v>17</v>
      </c>
      <c r="D39" s="120"/>
      <c r="E39" s="3"/>
      <c r="F39" s="73"/>
      <c r="G39" s="11" t="s">
        <v>116</v>
      </c>
      <c r="H39" s="1">
        <v>2</v>
      </c>
      <c r="I39" s="49"/>
      <c r="J39" s="51"/>
      <c r="K39" s="40"/>
      <c r="L39" s="40"/>
      <c r="M39" s="38"/>
      <c r="N39" s="41"/>
      <c r="O39" s="31"/>
      <c r="P39" s="31"/>
      <c r="Q39" s="12"/>
    </row>
    <row r="40" spans="1:17" s="13" customFormat="1" ht="15.75" x14ac:dyDescent="0.25">
      <c r="A40" s="10"/>
      <c r="B40" s="22" t="s">
        <v>39</v>
      </c>
      <c r="C40" s="1" t="s">
        <v>17</v>
      </c>
      <c r="D40" s="120"/>
      <c r="E40" s="3" t="s">
        <v>20</v>
      </c>
      <c r="F40" s="73" t="s">
        <v>269</v>
      </c>
      <c r="G40" s="11" t="s">
        <v>114</v>
      </c>
      <c r="H40" s="1"/>
      <c r="I40" s="49"/>
      <c r="J40" s="51"/>
      <c r="K40" s="40"/>
      <c r="L40" s="40"/>
      <c r="M40" s="38">
        <f t="shared" si="1"/>
        <v>0</v>
      </c>
      <c r="N40" s="41"/>
      <c r="O40" s="31"/>
      <c r="P40" s="31"/>
      <c r="Q40" s="12">
        <f t="shared" si="2"/>
        <v>0</v>
      </c>
    </row>
    <row r="41" spans="1:17" s="13" customFormat="1" ht="15.75" x14ac:dyDescent="0.25">
      <c r="A41" s="10"/>
      <c r="B41" s="27" t="s">
        <v>40</v>
      </c>
      <c r="C41" s="1" t="s">
        <v>17</v>
      </c>
      <c r="D41" s="120"/>
      <c r="E41" s="17" t="s">
        <v>41</v>
      </c>
      <c r="F41" s="73" t="s">
        <v>339</v>
      </c>
      <c r="G41" s="74" t="s">
        <v>112</v>
      </c>
      <c r="H41" s="75">
        <v>4</v>
      </c>
      <c r="I41" s="76">
        <v>1</v>
      </c>
      <c r="J41" s="96">
        <f>1</f>
        <v>1</v>
      </c>
      <c r="K41" s="77"/>
      <c r="L41" s="77"/>
      <c r="M41" s="78">
        <f t="shared" si="1"/>
        <v>0</v>
      </c>
      <c r="N41" s="100">
        <f>3+13</f>
        <v>16</v>
      </c>
      <c r="O41" s="81">
        <f>17269.31+39990.78</f>
        <v>57260.09</v>
      </c>
      <c r="P41" s="81">
        <f>17269.31</f>
        <v>17269.310000000001</v>
      </c>
      <c r="Q41" s="79">
        <f t="shared" si="2"/>
        <v>39990.78</v>
      </c>
    </row>
    <row r="42" spans="1:17" s="13" customFormat="1" ht="15.75" x14ac:dyDescent="0.25">
      <c r="A42" s="10"/>
      <c r="B42" s="25" t="s">
        <v>40</v>
      </c>
      <c r="C42" s="1" t="s">
        <v>17</v>
      </c>
      <c r="D42" s="120"/>
      <c r="E42" s="17" t="s">
        <v>41</v>
      </c>
      <c r="F42" s="73" t="s">
        <v>482</v>
      </c>
      <c r="G42" s="11" t="s">
        <v>114</v>
      </c>
      <c r="H42" s="1"/>
      <c r="I42" s="49"/>
      <c r="J42" s="51"/>
      <c r="K42" s="40"/>
      <c r="L42" s="40"/>
      <c r="M42" s="38">
        <f t="shared" si="1"/>
        <v>0</v>
      </c>
      <c r="N42" s="41">
        <v>1</v>
      </c>
      <c r="O42" s="31">
        <v>3073.6</v>
      </c>
      <c r="P42" s="31"/>
      <c r="Q42" s="12">
        <f t="shared" si="2"/>
        <v>3073.6</v>
      </c>
    </row>
    <row r="43" spans="1:17" s="13" customFormat="1" ht="15.75" x14ac:dyDescent="0.25">
      <c r="A43" s="10"/>
      <c r="B43" s="27" t="s">
        <v>148</v>
      </c>
      <c r="C43" s="1" t="s">
        <v>17</v>
      </c>
      <c r="D43" s="120"/>
      <c r="E43" s="3" t="s">
        <v>20</v>
      </c>
      <c r="F43" s="73" t="s">
        <v>340</v>
      </c>
      <c r="G43" s="74" t="s">
        <v>112</v>
      </c>
      <c r="H43" s="75">
        <v>2</v>
      </c>
      <c r="I43" s="82"/>
      <c r="J43" s="96"/>
      <c r="K43" s="77"/>
      <c r="L43" s="77"/>
      <c r="M43" s="78">
        <f t="shared" si="1"/>
        <v>0</v>
      </c>
      <c r="N43" s="100">
        <f>6</f>
        <v>6</v>
      </c>
      <c r="O43" s="81">
        <f>9370.6</f>
        <v>9370.6</v>
      </c>
      <c r="P43" s="81"/>
      <c r="Q43" s="79">
        <f t="shared" si="2"/>
        <v>9370.6</v>
      </c>
    </row>
    <row r="44" spans="1:17" s="13" customFormat="1" ht="15.75" x14ac:dyDescent="0.25">
      <c r="A44" s="10"/>
      <c r="B44" s="25" t="s">
        <v>148</v>
      </c>
      <c r="C44" s="1" t="s">
        <v>17</v>
      </c>
      <c r="D44" s="120"/>
      <c r="E44" s="17" t="s">
        <v>32</v>
      </c>
      <c r="F44" s="73" t="s">
        <v>425</v>
      </c>
      <c r="G44" s="11" t="s">
        <v>117</v>
      </c>
      <c r="H44" s="1">
        <v>1</v>
      </c>
      <c r="I44" s="49"/>
      <c r="J44" s="46"/>
      <c r="K44" s="40"/>
      <c r="L44" s="40"/>
      <c r="M44" s="38">
        <f t="shared" si="1"/>
        <v>0</v>
      </c>
      <c r="N44" s="41">
        <v>2</v>
      </c>
      <c r="O44" s="31"/>
      <c r="P44" s="31"/>
      <c r="Q44" s="12">
        <f t="shared" si="2"/>
        <v>0</v>
      </c>
    </row>
    <row r="45" spans="1:17" s="13" customFormat="1" ht="15.75" x14ac:dyDescent="0.25">
      <c r="A45" s="10"/>
      <c r="B45" s="30" t="s">
        <v>42</v>
      </c>
      <c r="C45" s="1" t="s">
        <v>17</v>
      </c>
      <c r="D45" s="120"/>
      <c r="E45" s="3" t="s">
        <v>23</v>
      </c>
      <c r="F45" s="73" t="s">
        <v>341</v>
      </c>
      <c r="G45" s="74" t="s">
        <v>112</v>
      </c>
      <c r="H45" s="75">
        <v>7</v>
      </c>
      <c r="I45" s="76"/>
      <c r="J45" s="96"/>
      <c r="K45" s="77"/>
      <c r="L45" s="77"/>
      <c r="M45" s="78">
        <f t="shared" si="1"/>
        <v>0</v>
      </c>
      <c r="N45" s="100">
        <f>4+6+9</f>
        <v>19</v>
      </c>
      <c r="O45" s="81">
        <f>5364.2</f>
        <v>5364.2</v>
      </c>
      <c r="P45" s="81"/>
      <c r="Q45" s="79">
        <f t="shared" si="2"/>
        <v>5364.2</v>
      </c>
    </row>
    <row r="46" spans="1:17" s="13" customFormat="1" ht="15.75" x14ac:dyDescent="0.25">
      <c r="A46" s="10"/>
      <c r="B46" s="24" t="s">
        <v>42</v>
      </c>
      <c r="C46" s="1" t="s">
        <v>17</v>
      </c>
      <c r="D46" s="120"/>
      <c r="E46" s="3" t="s">
        <v>23</v>
      </c>
      <c r="F46" s="73" t="s">
        <v>437</v>
      </c>
      <c r="G46" s="11" t="s">
        <v>118</v>
      </c>
      <c r="H46" s="1">
        <v>2</v>
      </c>
      <c r="I46" s="49"/>
      <c r="J46" s="46"/>
      <c r="K46" s="40"/>
      <c r="L46" s="40"/>
      <c r="M46" s="38">
        <f t="shared" si="1"/>
        <v>0</v>
      </c>
      <c r="N46" s="41"/>
      <c r="O46" s="31">
        <v>4226.2</v>
      </c>
      <c r="P46" s="31"/>
      <c r="Q46" s="12">
        <f t="shared" si="2"/>
        <v>4226.2</v>
      </c>
    </row>
    <row r="47" spans="1:17" s="13" customFormat="1" ht="15.75" x14ac:dyDescent="0.25">
      <c r="A47" s="10"/>
      <c r="B47" s="30" t="s">
        <v>173</v>
      </c>
      <c r="C47" s="1" t="s">
        <v>17</v>
      </c>
      <c r="D47" s="120"/>
      <c r="E47" s="11" t="s">
        <v>118</v>
      </c>
      <c r="F47" s="73" t="s">
        <v>342</v>
      </c>
      <c r="G47" s="74" t="s">
        <v>112</v>
      </c>
      <c r="H47" s="75">
        <v>3</v>
      </c>
      <c r="I47" s="76">
        <v>3</v>
      </c>
      <c r="J47" s="96">
        <f>1+2</f>
        <v>3</v>
      </c>
      <c r="K47" s="77"/>
      <c r="L47" s="77"/>
      <c r="M47" s="78">
        <f t="shared" si="1"/>
        <v>0</v>
      </c>
      <c r="N47" s="100">
        <f>4</f>
        <v>4</v>
      </c>
      <c r="O47" s="81">
        <f>5931.9</f>
        <v>5931.9</v>
      </c>
      <c r="P47" s="81"/>
      <c r="Q47" s="79">
        <f t="shared" si="2"/>
        <v>5931.9</v>
      </c>
    </row>
    <row r="48" spans="1:17" s="13" customFormat="1" ht="15.75" x14ac:dyDescent="0.25">
      <c r="A48" s="10"/>
      <c r="B48" s="22" t="s">
        <v>143</v>
      </c>
      <c r="C48" s="1" t="s">
        <v>64</v>
      </c>
      <c r="D48" s="120" t="s">
        <v>444</v>
      </c>
      <c r="E48" s="3" t="s">
        <v>20</v>
      </c>
      <c r="F48" s="73" t="s">
        <v>445</v>
      </c>
      <c r="G48" s="11" t="s">
        <v>114</v>
      </c>
      <c r="H48" s="1">
        <v>4</v>
      </c>
      <c r="I48" s="47"/>
      <c r="J48" s="51"/>
      <c r="K48" s="37"/>
      <c r="L48" s="37"/>
      <c r="M48" s="78">
        <f t="shared" si="1"/>
        <v>0</v>
      </c>
      <c r="N48" s="39">
        <v>8</v>
      </c>
      <c r="O48" s="31">
        <v>13367.1</v>
      </c>
      <c r="P48" s="31"/>
      <c r="Q48" s="79">
        <f t="shared" si="2"/>
        <v>13367.1</v>
      </c>
    </row>
    <row r="49" spans="1:17" s="13" customFormat="1" ht="15.75" x14ac:dyDescent="0.25">
      <c r="A49" s="10"/>
      <c r="B49" s="24" t="s">
        <v>158</v>
      </c>
      <c r="C49" s="1" t="s">
        <v>17</v>
      </c>
      <c r="D49" s="120"/>
      <c r="E49" s="17" t="s">
        <v>32</v>
      </c>
      <c r="F49" s="73" t="s">
        <v>426</v>
      </c>
      <c r="G49" s="11" t="s">
        <v>117</v>
      </c>
      <c r="H49" s="1">
        <v>3</v>
      </c>
      <c r="I49" s="47"/>
      <c r="J49" s="51"/>
      <c r="K49" s="37"/>
      <c r="L49" s="37"/>
      <c r="M49" s="38">
        <f t="shared" si="1"/>
        <v>0</v>
      </c>
      <c r="N49" s="39">
        <f>2</f>
        <v>2</v>
      </c>
      <c r="O49" s="31"/>
      <c r="P49" s="31"/>
      <c r="Q49" s="12">
        <f t="shared" si="2"/>
        <v>0</v>
      </c>
    </row>
    <row r="50" spans="1:17" s="15" customFormat="1" ht="15.75" x14ac:dyDescent="0.25">
      <c r="A50" s="14"/>
      <c r="B50" s="80" t="s">
        <v>43</v>
      </c>
      <c r="C50" s="1" t="s">
        <v>17</v>
      </c>
      <c r="D50" s="120"/>
      <c r="E50" s="3" t="s">
        <v>18</v>
      </c>
      <c r="F50" s="73" t="s">
        <v>344</v>
      </c>
      <c r="G50" s="74" t="s">
        <v>112</v>
      </c>
      <c r="H50" s="75">
        <v>6</v>
      </c>
      <c r="I50" s="76">
        <v>1</v>
      </c>
      <c r="J50" s="96">
        <f>1</f>
        <v>1</v>
      </c>
      <c r="K50" s="77"/>
      <c r="L50" s="77"/>
      <c r="M50" s="78">
        <f t="shared" si="1"/>
        <v>0</v>
      </c>
      <c r="N50" s="100">
        <f>1+5+4</f>
        <v>10</v>
      </c>
      <c r="O50" s="81">
        <f>1223.8+3810.29</f>
        <v>5034.09</v>
      </c>
      <c r="P50" s="81"/>
      <c r="Q50" s="79">
        <f t="shared" si="2"/>
        <v>5034.09</v>
      </c>
    </row>
    <row r="51" spans="1:17" s="15" customFormat="1" ht="31.5" x14ac:dyDescent="0.25">
      <c r="A51" s="14"/>
      <c r="B51" s="22" t="s">
        <v>43</v>
      </c>
      <c r="C51" s="1" t="s">
        <v>304</v>
      </c>
      <c r="D51" s="120" t="s">
        <v>473</v>
      </c>
      <c r="E51" s="3" t="s">
        <v>18</v>
      </c>
      <c r="F51" s="119" t="s">
        <v>323</v>
      </c>
      <c r="G51" s="11" t="s">
        <v>113</v>
      </c>
      <c r="H51" s="1">
        <v>2</v>
      </c>
      <c r="I51" s="126">
        <v>3</v>
      </c>
      <c r="J51" s="125">
        <v>3</v>
      </c>
      <c r="K51" s="40">
        <v>3804</v>
      </c>
      <c r="L51" s="40"/>
      <c r="M51" s="38">
        <f t="shared" si="1"/>
        <v>3804</v>
      </c>
      <c r="N51" s="39">
        <v>1</v>
      </c>
      <c r="O51" s="31">
        <v>5575</v>
      </c>
      <c r="P51" s="31"/>
      <c r="Q51" s="12">
        <f t="shared" si="2"/>
        <v>5575</v>
      </c>
    </row>
    <row r="52" spans="1:17" s="13" customFormat="1" ht="15.75" x14ac:dyDescent="0.25">
      <c r="A52" s="10"/>
      <c r="B52" s="30" t="s">
        <v>44</v>
      </c>
      <c r="C52" s="1" t="s">
        <v>17</v>
      </c>
      <c r="D52" s="120"/>
      <c r="E52" s="3" t="s">
        <v>20</v>
      </c>
      <c r="F52" s="73" t="s">
        <v>345</v>
      </c>
      <c r="G52" s="74" t="s">
        <v>112</v>
      </c>
      <c r="H52" s="75">
        <v>4</v>
      </c>
      <c r="I52" s="76">
        <v>1</v>
      </c>
      <c r="J52" s="96">
        <f>1</f>
        <v>1</v>
      </c>
      <c r="K52" s="77"/>
      <c r="L52" s="77"/>
      <c r="M52" s="78">
        <f t="shared" si="1"/>
        <v>0</v>
      </c>
      <c r="N52" s="100"/>
      <c r="O52" s="81">
        <f>421.62</f>
        <v>421.62</v>
      </c>
      <c r="P52" s="81"/>
      <c r="Q52" s="79">
        <f t="shared" si="2"/>
        <v>421.62</v>
      </c>
    </row>
    <row r="53" spans="1:17" s="13" customFormat="1" ht="15.75" x14ac:dyDescent="0.25">
      <c r="A53" s="10"/>
      <c r="B53" s="24" t="s">
        <v>44</v>
      </c>
      <c r="C53" s="1" t="s">
        <v>17</v>
      </c>
      <c r="D53" s="120"/>
      <c r="E53" s="3" t="s">
        <v>20</v>
      </c>
      <c r="F53" s="73" t="s">
        <v>483</v>
      </c>
      <c r="G53" s="11" t="s">
        <v>114</v>
      </c>
      <c r="H53" s="1"/>
      <c r="I53" s="49"/>
      <c r="J53" s="51"/>
      <c r="K53" s="40"/>
      <c r="L53" s="40"/>
      <c r="M53" s="78">
        <f t="shared" si="1"/>
        <v>0</v>
      </c>
      <c r="N53" s="41"/>
      <c r="O53" s="31"/>
      <c r="P53" s="31"/>
      <c r="Q53" s="12">
        <f t="shared" si="2"/>
        <v>0</v>
      </c>
    </row>
    <row r="54" spans="1:17" s="13" customFormat="1" ht="15.75" x14ac:dyDescent="0.25">
      <c r="A54" s="10"/>
      <c r="B54" s="27" t="s">
        <v>45</v>
      </c>
      <c r="C54" s="1" t="s">
        <v>17</v>
      </c>
      <c r="D54" s="120"/>
      <c r="E54" s="3" t="s">
        <v>20</v>
      </c>
      <c r="F54" s="73" t="s">
        <v>346</v>
      </c>
      <c r="G54" s="74" t="s">
        <v>112</v>
      </c>
      <c r="H54" s="75"/>
      <c r="I54" s="76"/>
      <c r="J54" s="96"/>
      <c r="K54" s="77"/>
      <c r="L54" s="77"/>
      <c r="M54" s="38">
        <f t="shared" si="1"/>
        <v>0</v>
      </c>
      <c r="N54" s="100"/>
      <c r="O54" s="81"/>
      <c r="P54" s="81"/>
      <c r="Q54" s="79">
        <f t="shared" si="2"/>
        <v>0</v>
      </c>
    </row>
    <row r="55" spans="1:17" s="13" customFormat="1" ht="15.75" x14ac:dyDescent="0.25">
      <c r="A55" s="10"/>
      <c r="B55" s="25" t="s">
        <v>45</v>
      </c>
      <c r="C55" s="1" t="s">
        <v>17</v>
      </c>
      <c r="D55" s="120"/>
      <c r="E55" s="3" t="s">
        <v>20</v>
      </c>
      <c r="F55" s="73" t="s">
        <v>484</v>
      </c>
      <c r="G55" s="11" t="s">
        <v>114</v>
      </c>
      <c r="H55" s="1"/>
      <c r="I55" s="49"/>
      <c r="J55" s="51"/>
      <c r="K55" s="40"/>
      <c r="L55" s="40"/>
      <c r="M55" s="78">
        <f t="shared" si="1"/>
        <v>0</v>
      </c>
      <c r="N55" s="41"/>
      <c r="O55" s="31"/>
      <c r="P55" s="31"/>
      <c r="Q55" s="12">
        <f t="shared" si="2"/>
        <v>0</v>
      </c>
    </row>
    <row r="56" spans="1:17" s="15" customFormat="1" ht="15.75" x14ac:dyDescent="0.25">
      <c r="A56" s="14"/>
      <c r="B56" s="28" t="s">
        <v>46</v>
      </c>
      <c r="C56" s="1" t="s">
        <v>17</v>
      </c>
      <c r="D56" s="120"/>
      <c r="E56" s="3" t="s">
        <v>20</v>
      </c>
      <c r="F56" s="73" t="s">
        <v>347</v>
      </c>
      <c r="G56" s="74" t="s">
        <v>112</v>
      </c>
      <c r="H56" s="75">
        <v>2</v>
      </c>
      <c r="I56" s="76">
        <v>1</v>
      </c>
      <c r="J56" s="96">
        <f>1</f>
        <v>1</v>
      </c>
      <c r="K56" s="77"/>
      <c r="L56" s="77"/>
      <c r="M56" s="38">
        <f t="shared" si="1"/>
        <v>0</v>
      </c>
      <c r="N56" s="100">
        <f>4</f>
        <v>4</v>
      </c>
      <c r="O56" s="81"/>
      <c r="P56" s="81"/>
      <c r="Q56" s="79">
        <f t="shared" si="2"/>
        <v>0</v>
      </c>
    </row>
    <row r="57" spans="1:17" s="15" customFormat="1" ht="15.75" x14ac:dyDescent="0.25">
      <c r="A57" s="14"/>
      <c r="B57" s="26" t="s">
        <v>46</v>
      </c>
      <c r="C57" s="1" t="s">
        <v>17</v>
      </c>
      <c r="D57" s="120"/>
      <c r="E57" s="3" t="s">
        <v>20</v>
      </c>
      <c r="F57" s="73" t="s">
        <v>273</v>
      </c>
      <c r="G57" s="11" t="s">
        <v>114</v>
      </c>
      <c r="H57" s="1">
        <v>1</v>
      </c>
      <c r="I57" s="49"/>
      <c r="J57" s="51"/>
      <c r="K57" s="40"/>
      <c r="L57" s="40"/>
      <c r="M57" s="78">
        <f t="shared" si="1"/>
        <v>0</v>
      </c>
      <c r="N57" s="42">
        <v>2</v>
      </c>
      <c r="O57" s="31">
        <v>8068.2</v>
      </c>
      <c r="P57" s="31"/>
      <c r="Q57" s="12">
        <f t="shared" si="2"/>
        <v>8068.2</v>
      </c>
    </row>
    <row r="58" spans="1:17" s="13" customFormat="1" ht="47.25" x14ac:dyDescent="0.25">
      <c r="A58" s="10"/>
      <c r="B58" s="30" t="s">
        <v>47</v>
      </c>
      <c r="C58" s="1" t="s">
        <v>304</v>
      </c>
      <c r="D58" s="120" t="s">
        <v>474</v>
      </c>
      <c r="E58" s="3" t="s">
        <v>18</v>
      </c>
      <c r="F58" s="73" t="s">
        <v>348</v>
      </c>
      <c r="G58" s="74" t="s">
        <v>112</v>
      </c>
      <c r="H58" s="75">
        <v>5</v>
      </c>
      <c r="I58" s="76">
        <v>1</v>
      </c>
      <c r="J58" s="96">
        <f>1</f>
        <v>1</v>
      </c>
      <c r="K58" s="77"/>
      <c r="L58" s="77"/>
      <c r="M58" s="38">
        <f t="shared" si="1"/>
        <v>0</v>
      </c>
      <c r="N58" s="100">
        <f>7+3+4+10</f>
        <v>24</v>
      </c>
      <c r="O58" s="81">
        <f>8477.51+15159.83</f>
        <v>23637.34</v>
      </c>
      <c r="P58" s="81"/>
      <c r="Q58" s="79">
        <f t="shared" si="2"/>
        <v>23637.34</v>
      </c>
    </row>
    <row r="59" spans="1:17" s="13" customFormat="1" ht="47.25" x14ac:dyDescent="0.25">
      <c r="A59" s="10"/>
      <c r="B59" s="22" t="s">
        <v>120</v>
      </c>
      <c r="C59" s="1" t="s">
        <v>304</v>
      </c>
      <c r="D59" s="120" t="s">
        <v>474</v>
      </c>
      <c r="E59" s="3" t="s">
        <v>18</v>
      </c>
      <c r="F59" s="119" t="s">
        <v>334</v>
      </c>
      <c r="G59" s="11" t="s">
        <v>116</v>
      </c>
      <c r="H59" s="1">
        <v>8</v>
      </c>
      <c r="I59" s="53">
        <v>1</v>
      </c>
      <c r="J59" s="127">
        <v>1</v>
      </c>
      <c r="K59" s="40">
        <v>1268</v>
      </c>
      <c r="L59" s="40"/>
      <c r="M59" s="78">
        <f t="shared" si="1"/>
        <v>1268</v>
      </c>
      <c r="N59" s="41">
        <v>1</v>
      </c>
      <c r="O59" s="31">
        <v>26068</v>
      </c>
      <c r="P59" s="31"/>
      <c r="Q59" s="12">
        <f t="shared" si="2"/>
        <v>26068</v>
      </c>
    </row>
    <row r="60" spans="1:17" s="13" customFormat="1" ht="15.75" x14ac:dyDescent="0.25">
      <c r="A60" s="10"/>
      <c r="B60" s="30" t="s">
        <v>134</v>
      </c>
      <c r="C60" s="1" t="s">
        <v>17</v>
      </c>
      <c r="D60" s="120"/>
      <c r="E60" s="3" t="s">
        <v>20</v>
      </c>
      <c r="F60" s="73" t="s">
        <v>349</v>
      </c>
      <c r="G60" s="74" t="s">
        <v>112</v>
      </c>
      <c r="H60" s="75">
        <v>2</v>
      </c>
      <c r="I60" s="76">
        <v>1</v>
      </c>
      <c r="J60" s="96">
        <f>1</f>
        <v>1</v>
      </c>
      <c r="K60" s="77"/>
      <c r="L60" s="77"/>
      <c r="M60" s="38">
        <f t="shared" si="1"/>
        <v>0</v>
      </c>
      <c r="N60" s="100">
        <f>4</f>
        <v>4</v>
      </c>
      <c r="O60" s="81"/>
      <c r="P60" s="81"/>
      <c r="Q60" s="79">
        <f t="shared" si="2"/>
        <v>0</v>
      </c>
    </row>
    <row r="61" spans="1:17" s="13" customFormat="1" ht="15.75" x14ac:dyDescent="0.25">
      <c r="A61" s="10"/>
      <c r="B61" s="24" t="s">
        <v>134</v>
      </c>
      <c r="C61" s="1" t="s">
        <v>17</v>
      </c>
      <c r="D61" s="120"/>
      <c r="E61" s="3" t="s">
        <v>20</v>
      </c>
      <c r="F61" s="73" t="s">
        <v>456</v>
      </c>
      <c r="G61" s="11" t="s">
        <v>114</v>
      </c>
      <c r="H61" s="1">
        <v>3</v>
      </c>
      <c r="I61" s="49"/>
      <c r="J61" s="51"/>
      <c r="K61" s="40"/>
      <c r="L61" s="40"/>
      <c r="M61" s="78">
        <f t="shared" si="1"/>
        <v>0</v>
      </c>
      <c r="N61" s="41">
        <v>13</v>
      </c>
      <c r="O61" s="31">
        <v>16425.57</v>
      </c>
      <c r="P61" s="31"/>
      <c r="Q61" s="12">
        <f t="shared" si="2"/>
        <v>16425.57</v>
      </c>
    </row>
    <row r="62" spans="1:17" s="13" customFormat="1" ht="15.75" x14ac:dyDescent="0.25">
      <c r="A62" s="10"/>
      <c r="B62" s="62" t="s">
        <v>48</v>
      </c>
      <c r="C62" s="1" t="s">
        <v>17</v>
      </c>
      <c r="D62" s="120"/>
      <c r="E62" s="3" t="s">
        <v>20</v>
      </c>
      <c r="F62" s="73" t="s">
        <v>350</v>
      </c>
      <c r="G62" s="74" t="s">
        <v>112</v>
      </c>
      <c r="H62" s="75">
        <v>3</v>
      </c>
      <c r="I62" s="76">
        <v>1</v>
      </c>
      <c r="J62" s="96">
        <f>1</f>
        <v>1</v>
      </c>
      <c r="K62" s="77"/>
      <c r="L62" s="77"/>
      <c r="M62" s="38">
        <f t="shared" si="1"/>
        <v>0</v>
      </c>
      <c r="N62" s="100">
        <f>2+1</f>
        <v>3</v>
      </c>
      <c r="O62" s="81">
        <f>23173.33</f>
        <v>23173.33</v>
      </c>
      <c r="P62" s="81"/>
      <c r="Q62" s="79">
        <f t="shared" si="2"/>
        <v>23173.33</v>
      </c>
    </row>
    <row r="63" spans="1:17" s="13" customFormat="1" ht="15.75" x14ac:dyDescent="0.25">
      <c r="A63" s="10"/>
      <c r="B63" s="62" t="s">
        <v>49</v>
      </c>
      <c r="C63" s="1" t="s">
        <v>17</v>
      </c>
      <c r="D63" s="120"/>
      <c r="E63" s="3" t="s">
        <v>50</v>
      </c>
      <c r="F63" s="73" t="s">
        <v>351</v>
      </c>
      <c r="G63" s="74" t="s">
        <v>112</v>
      </c>
      <c r="H63" s="75">
        <v>3</v>
      </c>
      <c r="I63" s="76"/>
      <c r="J63" s="96"/>
      <c r="K63" s="77"/>
      <c r="L63" s="77"/>
      <c r="M63" s="78">
        <f t="shared" si="1"/>
        <v>0</v>
      </c>
      <c r="N63" s="100">
        <f>5</f>
        <v>5</v>
      </c>
      <c r="O63" s="81">
        <f>7374</f>
        <v>7374</v>
      </c>
      <c r="P63" s="81"/>
      <c r="Q63" s="12">
        <f t="shared" si="2"/>
        <v>7374</v>
      </c>
    </row>
    <row r="64" spans="1:17" s="13" customFormat="1" ht="15.75" x14ac:dyDescent="0.25">
      <c r="A64" s="10"/>
      <c r="B64" s="22" t="s">
        <v>49</v>
      </c>
      <c r="C64" s="1" t="s">
        <v>17</v>
      </c>
      <c r="D64" s="120"/>
      <c r="E64" s="3" t="s">
        <v>50</v>
      </c>
      <c r="F64" s="73" t="s">
        <v>427</v>
      </c>
      <c r="G64" s="11" t="s">
        <v>115</v>
      </c>
      <c r="H64" s="1">
        <v>1</v>
      </c>
      <c r="I64" s="49"/>
      <c r="J64" s="46"/>
      <c r="K64" s="40"/>
      <c r="L64" s="40"/>
      <c r="M64" s="38">
        <f t="shared" si="1"/>
        <v>0</v>
      </c>
      <c r="N64" s="41">
        <f>6</f>
        <v>6</v>
      </c>
      <c r="O64" s="31"/>
      <c r="P64" s="31"/>
      <c r="Q64" s="79">
        <f t="shared" si="2"/>
        <v>0</v>
      </c>
    </row>
    <row r="65" spans="1:17" s="13" customFormat="1" ht="15.75" x14ac:dyDescent="0.25">
      <c r="A65" s="10"/>
      <c r="B65" s="27" t="s">
        <v>51</v>
      </c>
      <c r="C65" s="1" t="s">
        <v>17</v>
      </c>
      <c r="D65" s="120"/>
      <c r="E65" s="3" t="s">
        <v>20</v>
      </c>
      <c r="F65" s="73" t="s">
        <v>186</v>
      </c>
      <c r="G65" s="74" t="s">
        <v>112</v>
      </c>
      <c r="H65" s="75"/>
      <c r="I65" s="76"/>
      <c r="J65" s="96"/>
      <c r="K65" s="77"/>
      <c r="L65" s="77"/>
      <c r="M65" s="78">
        <f t="shared" si="1"/>
        <v>0</v>
      </c>
      <c r="N65" s="100">
        <f>1</f>
        <v>1</v>
      </c>
      <c r="O65" s="81">
        <v>2451.87</v>
      </c>
      <c r="P65" s="81"/>
      <c r="Q65" s="12">
        <f t="shared" si="2"/>
        <v>2451.87</v>
      </c>
    </row>
    <row r="66" spans="1:17" s="13" customFormat="1" ht="15.75" x14ac:dyDescent="0.25">
      <c r="A66" s="10"/>
      <c r="B66" s="27" t="s">
        <v>51</v>
      </c>
      <c r="C66" s="1" t="s">
        <v>17</v>
      </c>
      <c r="D66" s="120"/>
      <c r="E66" s="3" t="s">
        <v>20</v>
      </c>
      <c r="F66" s="73" t="s">
        <v>276</v>
      </c>
      <c r="G66" s="11" t="s">
        <v>114</v>
      </c>
      <c r="H66" s="1"/>
      <c r="I66" s="49"/>
      <c r="J66" s="51"/>
      <c r="K66" s="40"/>
      <c r="L66" s="40"/>
      <c r="M66" s="38">
        <f t="shared" si="1"/>
        <v>0</v>
      </c>
      <c r="N66" s="41">
        <v>3</v>
      </c>
      <c r="O66" s="31">
        <v>6763.6</v>
      </c>
      <c r="P66" s="31"/>
      <c r="Q66" s="79">
        <f t="shared" si="2"/>
        <v>6763.6</v>
      </c>
    </row>
    <row r="67" spans="1:17" s="13" customFormat="1" ht="15.75" x14ac:dyDescent="0.25">
      <c r="A67" s="10"/>
      <c r="B67" s="62" t="s">
        <v>52</v>
      </c>
      <c r="C67" s="1" t="s">
        <v>17</v>
      </c>
      <c r="D67" s="120"/>
      <c r="E67" s="3" t="s">
        <v>20</v>
      </c>
      <c r="F67" s="73" t="s">
        <v>352</v>
      </c>
      <c r="G67" s="74" t="s">
        <v>112</v>
      </c>
      <c r="H67" s="75">
        <v>2</v>
      </c>
      <c r="I67" s="76"/>
      <c r="J67" s="96"/>
      <c r="K67" s="77"/>
      <c r="L67" s="77"/>
      <c r="M67" s="78">
        <f t="shared" si="1"/>
        <v>0</v>
      </c>
      <c r="N67" s="100">
        <f>4+3</f>
        <v>7</v>
      </c>
      <c r="O67" s="81">
        <f>48296.91+7596.86</f>
        <v>55893.770000000004</v>
      </c>
      <c r="P67" s="81"/>
      <c r="Q67" s="12">
        <f t="shared" si="2"/>
        <v>55893.770000000004</v>
      </c>
    </row>
    <row r="68" spans="1:17" s="13" customFormat="1" ht="15.75" x14ac:dyDescent="0.25">
      <c r="A68" s="10"/>
      <c r="B68" s="22" t="s">
        <v>52</v>
      </c>
      <c r="C68" s="1" t="s">
        <v>17</v>
      </c>
      <c r="D68" s="120"/>
      <c r="E68" s="3" t="s">
        <v>20</v>
      </c>
      <c r="F68" s="73" t="s">
        <v>457</v>
      </c>
      <c r="G68" s="11" t="s">
        <v>114</v>
      </c>
      <c r="H68" s="1">
        <v>2</v>
      </c>
      <c r="I68" s="49"/>
      <c r="J68" s="51"/>
      <c r="K68" s="40"/>
      <c r="L68" s="40"/>
      <c r="M68" s="38">
        <f t="shared" si="1"/>
        <v>0</v>
      </c>
      <c r="N68" s="41">
        <v>9</v>
      </c>
      <c r="O68" s="31">
        <v>19664.86</v>
      </c>
      <c r="P68" s="31"/>
      <c r="Q68" s="79">
        <f t="shared" si="2"/>
        <v>19664.86</v>
      </c>
    </row>
    <row r="69" spans="1:17" s="13" customFormat="1" ht="15.75" x14ac:dyDescent="0.25">
      <c r="A69" s="10"/>
      <c r="B69" s="27" t="s">
        <v>53</v>
      </c>
      <c r="C69" s="1" t="s">
        <v>17</v>
      </c>
      <c r="D69" s="120"/>
      <c r="E69" s="3" t="s">
        <v>20</v>
      </c>
      <c r="F69" s="73" t="s">
        <v>353</v>
      </c>
      <c r="G69" s="74" t="s">
        <v>112</v>
      </c>
      <c r="H69" s="75">
        <v>1</v>
      </c>
      <c r="I69" s="76"/>
      <c r="J69" s="96"/>
      <c r="K69" s="77"/>
      <c r="L69" s="77"/>
      <c r="M69" s="78">
        <f>K69-L69</f>
        <v>0</v>
      </c>
      <c r="N69" s="100">
        <f>1+2</f>
        <v>3</v>
      </c>
      <c r="O69" s="81">
        <f>1743.3</f>
        <v>1743.3</v>
      </c>
      <c r="P69" s="81">
        <f>422.62</f>
        <v>422.62</v>
      </c>
      <c r="Q69" s="12">
        <f t="shared" si="2"/>
        <v>1320.6799999999998</v>
      </c>
    </row>
    <row r="70" spans="1:17" s="13" customFormat="1" ht="15.75" x14ac:dyDescent="0.25">
      <c r="A70" s="10"/>
      <c r="B70" s="27" t="s">
        <v>149</v>
      </c>
      <c r="C70" s="1" t="s">
        <v>17</v>
      </c>
      <c r="D70" s="120"/>
      <c r="E70" s="3" t="s">
        <v>383</v>
      </c>
      <c r="F70" s="73" t="s">
        <v>354</v>
      </c>
      <c r="G70" s="74" t="s">
        <v>112</v>
      </c>
      <c r="H70" s="75">
        <v>2</v>
      </c>
      <c r="I70" s="76"/>
      <c r="J70" s="96"/>
      <c r="K70" s="77"/>
      <c r="L70" s="77"/>
      <c r="M70" s="38">
        <f t="shared" si="1"/>
        <v>0</v>
      </c>
      <c r="N70" s="100"/>
      <c r="O70" s="81"/>
      <c r="P70" s="81"/>
      <c r="Q70" s="79">
        <f t="shared" si="2"/>
        <v>0</v>
      </c>
    </row>
    <row r="71" spans="1:17" s="13" customFormat="1" ht="15.75" x14ac:dyDescent="0.25">
      <c r="A71" s="10"/>
      <c r="B71" s="25" t="s">
        <v>149</v>
      </c>
      <c r="C71" s="1" t="s">
        <v>17</v>
      </c>
      <c r="D71" s="120"/>
      <c r="E71" s="3" t="s">
        <v>383</v>
      </c>
      <c r="F71" s="73" t="s">
        <v>438</v>
      </c>
      <c r="G71" s="11" t="s">
        <v>118</v>
      </c>
      <c r="H71" s="1">
        <v>2</v>
      </c>
      <c r="I71" s="47"/>
      <c r="J71" s="51"/>
      <c r="K71" s="37"/>
      <c r="L71" s="37"/>
      <c r="M71" s="78">
        <f t="shared" si="1"/>
        <v>0</v>
      </c>
      <c r="N71" s="39">
        <v>1</v>
      </c>
      <c r="O71" s="31">
        <v>1344.7</v>
      </c>
      <c r="P71" s="31"/>
      <c r="Q71" s="12">
        <f t="shared" si="2"/>
        <v>1344.7</v>
      </c>
    </row>
    <row r="72" spans="1:17" s="13" customFormat="1" ht="15.75" x14ac:dyDescent="0.25">
      <c r="A72" s="10"/>
      <c r="B72" s="62" t="s">
        <v>107</v>
      </c>
      <c r="C72" s="1" t="s">
        <v>17</v>
      </c>
      <c r="D72" s="120"/>
      <c r="E72" s="17" t="s">
        <v>20</v>
      </c>
      <c r="F72" s="73" t="s">
        <v>355</v>
      </c>
      <c r="G72" s="74" t="s">
        <v>112</v>
      </c>
      <c r="H72" s="75">
        <v>3</v>
      </c>
      <c r="I72" s="76"/>
      <c r="J72" s="96">
        <f>1</f>
        <v>1</v>
      </c>
      <c r="K72" s="77">
        <f>666.63</f>
        <v>666.63</v>
      </c>
      <c r="L72" s="77"/>
      <c r="M72" s="38">
        <f t="shared" si="1"/>
        <v>666.63</v>
      </c>
      <c r="N72" s="100">
        <f>2+6</f>
        <v>8</v>
      </c>
      <c r="O72" s="81">
        <f>7612.92+18804.48</f>
        <v>26417.4</v>
      </c>
      <c r="P72" s="81"/>
      <c r="Q72" s="79">
        <f t="shared" si="2"/>
        <v>26417.4</v>
      </c>
    </row>
    <row r="73" spans="1:17" s="13" customFormat="1" ht="15.75" x14ac:dyDescent="0.25">
      <c r="A73" s="10"/>
      <c r="B73" s="30" t="s">
        <v>54</v>
      </c>
      <c r="C73" s="1" t="s">
        <v>17</v>
      </c>
      <c r="D73" s="120"/>
      <c r="E73" s="17" t="s">
        <v>20</v>
      </c>
      <c r="F73" s="73" t="s">
        <v>356</v>
      </c>
      <c r="G73" s="74" t="s">
        <v>112</v>
      </c>
      <c r="H73" s="75"/>
      <c r="I73" s="76"/>
      <c r="J73" s="96"/>
      <c r="K73" s="77"/>
      <c r="L73" s="77"/>
      <c r="M73" s="38">
        <f t="shared" si="1"/>
        <v>0</v>
      </c>
      <c r="N73" s="100"/>
      <c r="O73" s="81"/>
      <c r="P73" s="81"/>
      <c r="Q73" s="79">
        <f t="shared" si="2"/>
        <v>0</v>
      </c>
    </row>
    <row r="74" spans="1:17" s="13" customFormat="1" ht="31.5" x14ac:dyDescent="0.25">
      <c r="A74" s="10"/>
      <c r="B74" s="27" t="s">
        <v>55</v>
      </c>
      <c r="C74" s="1" t="s">
        <v>304</v>
      </c>
      <c r="D74" s="120" t="s">
        <v>387</v>
      </c>
      <c r="E74" s="3" t="s">
        <v>20</v>
      </c>
      <c r="F74" s="73" t="s">
        <v>357</v>
      </c>
      <c r="G74" s="74" t="s">
        <v>112</v>
      </c>
      <c r="H74" s="75">
        <v>4</v>
      </c>
      <c r="I74" s="76"/>
      <c r="J74" s="96"/>
      <c r="K74" s="77"/>
      <c r="L74" s="77"/>
      <c r="M74" s="78">
        <f t="shared" si="1"/>
        <v>0</v>
      </c>
      <c r="N74" s="100">
        <f>2+1</f>
        <v>3</v>
      </c>
      <c r="O74" s="81">
        <f>34854.19+2113.1</f>
        <v>36967.29</v>
      </c>
      <c r="P74" s="81">
        <f>34854.19</f>
        <v>34854.19</v>
      </c>
      <c r="Q74" s="12">
        <f t="shared" ref="Q74:Q140" si="3">O74-P74</f>
        <v>2113.0999999999985</v>
      </c>
    </row>
    <row r="75" spans="1:17" s="13" customFormat="1" ht="31.5" x14ac:dyDescent="0.25">
      <c r="A75" s="10"/>
      <c r="B75" s="62" t="s">
        <v>56</v>
      </c>
      <c r="C75" s="1" t="s">
        <v>17</v>
      </c>
      <c r="D75" s="120" t="s">
        <v>386</v>
      </c>
      <c r="E75" s="3" t="s">
        <v>18</v>
      </c>
      <c r="F75" s="73" t="s">
        <v>358</v>
      </c>
      <c r="G75" s="74" t="s">
        <v>112</v>
      </c>
      <c r="H75" s="75">
        <v>2</v>
      </c>
      <c r="I75" s="76"/>
      <c r="J75" s="96"/>
      <c r="K75" s="77"/>
      <c r="L75" s="77"/>
      <c r="M75" s="38">
        <f t="shared" si="1"/>
        <v>0</v>
      </c>
      <c r="N75" s="100"/>
      <c r="O75" s="81"/>
      <c r="P75" s="81"/>
      <c r="Q75" s="79">
        <f t="shared" si="3"/>
        <v>0</v>
      </c>
    </row>
    <row r="76" spans="1:17" s="13" customFormat="1" ht="31.5" x14ac:dyDescent="0.25">
      <c r="A76" s="10"/>
      <c r="B76" s="22" t="s">
        <v>56</v>
      </c>
      <c r="C76" s="1" t="s">
        <v>304</v>
      </c>
      <c r="D76" s="120" t="s">
        <v>386</v>
      </c>
      <c r="E76" s="3" t="s">
        <v>18</v>
      </c>
      <c r="F76" s="121" t="s">
        <v>476</v>
      </c>
      <c r="G76" s="11" t="s">
        <v>113</v>
      </c>
      <c r="H76" s="1">
        <v>1</v>
      </c>
      <c r="I76" s="49"/>
      <c r="J76" s="46"/>
      <c r="K76" s="40"/>
      <c r="L76" s="40"/>
      <c r="M76" s="78">
        <f t="shared" si="1"/>
        <v>0</v>
      </c>
      <c r="N76" s="41"/>
      <c r="O76" s="31">
        <v>7612</v>
      </c>
      <c r="P76" s="31"/>
      <c r="Q76" s="12">
        <f t="shared" si="3"/>
        <v>7612</v>
      </c>
    </row>
    <row r="77" spans="1:17" s="13" customFormat="1" ht="15.75" x14ac:dyDescent="0.25">
      <c r="A77" s="10"/>
      <c r="B77" s="62" t="s">
        <v>156</v>
      </c>
      <c r="C77" s="1" t="s">
        <v>304</v>
      </c>
      <c r="D77" s="120"/>
      <c r="E77" s="3" t="s">
        <v>20</v>
      </c>
      <c r="F77" s="73" t="s">
        <v>359</v>
      </c>
      <c r="G77" s="74" t="s">
        <v>112</v>
      </c>
      <c r="H77" s="75">
        <v>1</v>
      </c>
      <c r="I77" s="76"/>
      <c r="J77" s="96"/>
      <c r="K77" s="77"/>
      <c r="L77" s="77"/>
      <c r="M77" s="38">
        <f t="shared" si="1"/>
        <v>0</v>
      </c>
      <c r="N77" s="100">
        <f>3</f>
        <v>3</v>
      </c>
      <c r="O77" s="81">
        <f>5487.54</f>
        <v>5487.54</v>
      </c>
      <c r="P77" s="81"/>
      <c r="Q77" s="79">
        <f t="shared" si="3"/>
        <v>5487.54</v>
      </c>
    </row>
    <row r="78" spans="1:17" s="15" customFormat="1" ht="15.75" x14ac:dyDescent="0.25">
      <c r="A78" s="14"/>
      <c r="B78" s="80" t="s">
        <v>57</v>
      </c>
      <c r="C78" s="1" t="s">
        <v>17</v>
      </c>
      <c r="D78" s="120"/>
      <c r="E78" s="3" t="s">
        <v>20</v>
      </c>
      <c r="F78" s="73" t="s">
        <v>360</v>
      </c>
      <c r="G78" s="74" t="s">
        <v>112</v>
      </c>
      <c r="H78" s="75">
        <v>2</v>
      </c>
      <c r="I78" s="76"/>
      <c r="J78" s="96"/>
      <c r="K78" s="77"/>
      <c r="L78" s="77"/>
      <c r="M78" s="78">
        <f t="shared" si="1"/>
        <v>0</v>
      </c>
      <c r="N78" s="100"/>
      <c r="O78" s="81"/>
      <c r="P78" s="81"/>
      <c r="Q78" s="12">
        <f t="shared" si="3"/>
        <v>0</v>
      </c>
    </row>
    <row r="79" spans="1:17" s="15" customFormat="1" ht="15.75" x14ac:dyDescent="0.25">
      <c r="A79" s="14"/>
      <c r="B79" s="23" t="s">
        <v>57</v>
      </c>
      <c r="C79" s="1" t="s">
        <v>17</v>
      </c>
      <c r="D79" s="120"/>
      <c r="E79" s="3" t="s">
        <v>20</v>
      </c>
      <c r="F79" s="73" t="s">
        <v>458</v>
      </c>
      <c r="G79" s="11" t="s">
        <v>114</v>
      </c>
      <c r="H79" s="1">
        <v>6</v>
      </c>
      <c r="I79" s="49"/>
      <c r="J79" s="51"/>
      <c r="K79" s="40"/>
      <c r="L79" s="40"/>
      <c r="M79" s="38">
        <f t="shared" si="1"/>
        <v>0</v>
      </c>
      <c r="N79" s="42"/>
      <c r="O79" s="31"/>
      <c r="P79" s="31"/>
      <c r="Q79" s="79">
        <f t="shared" si="3"/>
        <v>0</v>
      </c>
    </row>
    <row r="80" spans="1:17" s="13" customFormat="1" ht="15.75" x14ac:dyDescent="0.25">
      <c r="A80" s="10"/>
      <c r="B80" s="62" t="s">
        <v>58</v>
      </c>
      <c r="C80" s="1" t="s">
        <v>17</v>
      </c>
      <c r="D80" s="120"/>
      <c r="E80" s="3" t="s">
        <v>20</v>
      </c>
      <c r="F80" s="73" t="s">
        <v>361</v>
      </c>
      <c r="G80" s="74" t="s">
        <v>112</v>
      </c>
      <c r="H80" s="75">
        <v>1</v>
      </c>
      <c r="I80" s="76"/>
      <c r="J80" s="96"/>
      <c r="K80" s="77"/>
      <c r="L80" s="77"/>
      <c r="M80" s="78">
        <f t="shared" si="1"/>
        <v>0</v>
      </c>
      <c r="N80" s="100">
        <f>1</f>
        <v>1</v>
      </c>
      <c r="O80" s="81">
        <f>9196.24</f>
        <v>9196.24</v>
      </c>
      <c r="P80" s="81"/>
      <c r="Q80" s="12">
        <f t="shared" si="3"/>
        <v>9196.24</v>
      </c>
    </row>
    <row r="81" spans="1:17" s="13" customFormat="1" ht="15.75" x14ac:dyDescent="0.25">
      <c r="A81" s="10"/>
      <c r="B81" s="22" t="s">
        <v>58</v>
      </c>
      <c r="C81" s="1" t="s">
        <v>17</v>
      </c>
      <c r="D81" s="120"/>
      <c r="E81" s="3" t="s">
        <v>20</v>
      </c>
      <c r="F81" s="73" t="s">
        <v>478</v>
      </c>
      <c r="G81" s="11" t="s">
        <v>114</v>
      </c>
      <c r="H81" s="1"/>
      <c r="I81" s="49"/>
      <c r="J81" s="51"/>
      <c r="K81" s="40"/>
      <c r="L81" s="40"/>
      <c r="M81" s="38">
        <f t="shared" ref="M81:M149" si="4">K81-L81</f>
        <v>0</v>
      </c>
      <c r="N81" s="41">
        <v>10</v>
      </c>
      <c r="O81" s="31">
        <v>23095.57</v>
      </c>
      <c r="P81" s="31"/>
      <c r="Q81" s="79">
        <f t="shared" si="3"/>
        <v>23095.57</v>
      </c>
    </row>
    <row r="82" spans="1:17" s="13" customFormat="1" ht="15.75" x14ac:dyDescent="0.25">
      <c r="A82" s="10"/>
      <c r="B82" s="62" t="s">
        <v>59</v>
      </c>
      <c r="C82" s="1" t="s">
        <v>17</v>
      </c>
      <c r="D82" s="120"/>
      <c r="E82" s="3" t="s">
        <v>20</v>
      </c>
      <c r="F82" s="73" t="s">
        <v>362</v>
      </c>
      <c r="G82" s="74" t="s">
        <v>112</v>
      </c>
      <c r="H82" s="75">
        <v>2</v>
      </c>
      <c r="I82" s="76">
        <v>1</v>
      </c>
      <c r="J82" s="96">
        <f>1</f>
        <v>1</v>
      </c>
      <c r="K82" s="77"/>
      <c r="L82" s="77"/>
      <c r="M82" s="78">
        <f t="shared" si="4"/>
        <v>0</v>
      </c>
      <c r="N82" s="100">
        <f>1+2</f>
        <v>3</v>
      </c>
      <c r="O82" s="81"/>
      <c r="P82" s="81"/>
      <c r="Q82" s="12">
        <f t="shared" si="3"/>
        <v>0</v>
      </c>
    </row>
    <row r="83" spans="1:17" s="13" customFormat="1" ht="15.75" x14ac:dyDescent="0.25">
      <c r="A83" s="10"/>
      <c r="B83" s="22" t="s">
        <v>59</v>
      </c>
      <c r="C83" s="1" t="s">
        <v>17</v>
      </c>
      <c r="D83" s="120"/>
      <c r="E83" s="3" t="s">
        <v>20</v>
      </c>
      <c r="F83" s="73" t="s">
        <v>128</v>
      </c>
      <c r="G83" s="11" t="s">
        <v>114</v>
      </c>
      <c r="H83" s="1"/>
      <c r="I83" s="49"/>
      <c r="J83" s="51"/>
      <c r="K83" s="40"/>
      <c r="L83" s="40"/>
      <c r="M83" s="38">
        <f t="shared" si="4"/>
        <v>0</v>
      </c>
      <c r="N83" s="41"/>
      <c r="O83" s="31"/>
      <c r="P83" s="31"/>
      <c r="Q83" s="79">
        <f t="shared" si="3"/>
        <v>0</v>
      </c>
    </row>
    <row r="84" spans="1:17" s="13" customFormat="1" ht="15.75" x14ac:dyDescent="0.25">
      <c r="A84" s="10"/>
      <c r="B84" s="27" t="s">
        <v>60</v>
      </c>
      <c r="C84" s="1" t="s">
        <v>17</v>
      </c>
      <c r="D84" s="120"/>
      <c r="E84" s="3" t="s">
        <v>20</v>
      </c>
      <c r="F84" s="73" t="s">
        <v>364</v>
      </c>
      <c r="G84" s="74" t="s">
        <v>112</v>
      </c>
      <c r="H84" s="75">
        <v>2</v>
      </c>
      <c r="I84" s="76"/>
      <c r="J84" s="96"/>
      <c r="K84" s="77"/>
      <c r="L84" s="77"/>
      <c r="M84" s="78">
        <f t="shared" si="4"/>
        <v>0</v>
      </c>
      <c r="N84" s="100">
        <f>4</f>
        <v>4</v>
      </c>
      <c r="O84" s="81">
        <f>15124.53</f>
        <v>15124.53</v>
      </c>
      <c r="P84" s="81"/>
      <c r="Q84" s="12">
        <f t="shared" si="3"/>
        <v>15124.53</v>
      </c>
    </row>
    <row r="85" spans="1:17" s="13" customFormat="1" ht="15.75" x14ac:dyDescent="0.25">
      <c r="A85" s="10"/>
      <c r="B85" s="25" t="s">
        <v>60</v>
      </c>
      <c r="C85" s="1" t="s">
        <v>17</v>
      </c>
      <c r="D85" s="120"/>
      <c r="E85" s="3" t="s">
        <v>20</v>
      </c>
      <c r="F85" s="73" t="s">
        <v>479</v>
      </c>
      <c r="G85" s="11" t="s">
        <v>114</v>
      </c>
      <c r="H85" s="1">
        <v>1</v>
      </c>
      <c r="I85" s="49"/>
      <c r="J85" s="51"/>
      <c r="K85" s="40"/>
      <c r="L85" s="40"/>
      <c r="M85" s="38">
        <f t="shared" si="4"/>
        <v>0</v>
      </c>
      <c r="N85" s="41">
        <v>4</v>
      </c>
      <c r="O85" s="31">
        <v>6259.4</v>
      </c>
      <c r="P85" s="31"/>
      <c r="Q85" s="79">
        <f t="shared" si="3"/>
        <v>6259.4</v>
      </c>
    </row>
    <row r="86" spans="1:17" s="15" customFormat="1" ht="15.75" x14ac:dyDescent="0.25">
      <c r="A86" s="14"/>
      <c r="B86" s="28" t="s">
        <v>61</v>
      </c>
      <c r="C86" s="1" t="s">
        <v>17</v>
      </c>
      <c r="D86" s="120"/>
      <c r="E86" s="3" t="s">
        <v>20</v>
      </c>
      <c r="F86" s="73" t="s">
        <v>363</v>
      </c>
      <c r="G86" s="74" t="s">
        <v>112</v>
      </c>
      <c r="H86" s="75"/>
      <c r="I86" s="76"/>
      <c r="J86" s="96"/>
      <c r="K86" s="77"/>
      <c r="L86" s="77"/>
      <c r="M86" s="78">
        <f t="shared" si="4"/>
        <v>0</v>
      </c>
      <c r="N86" s="100"/>
      <c r="O86" s="81"/>
      <c r="P86" s="81"/>
      <c r="Q86" s="12">
        <f t="shared" si="3"/>
        <v>0</v>
      </c>
    </row>
    <row r="87" spans="1:17" s="15" customFormat="1" ht="15.75" x14ac:dyDescent="0.25">
      <c r="A87" s="14"/>
      <c r="B87" s="26" t="s">
        <v>61</v>
      </c>
      <c r="C87" s="1" t="s">
        <v>17</v>
      </c>
      <c r="D87" s="120"/>
      <c r="E87" s="3" t="s">
        <v>20</v>
      </c>
      <c r="F87" s="73" t="s">
        <v>121</v>
      </c>
      <c r="G87" s="11" t="s">
        <v>114</v>
      </c>
      <c r="H87" s="1"/>
      <c r="I87" s="49"/>
      <c r="J87" s="51"/>
      <c r="K87" s="40"/>
      <c r="L87" s="40"/>
      <c r="M87" s="38">
        <f t="shared" si="4"/>
        <v>0</v>
      </c>
      <c r="N87" s="42"/>
      <c r="O87" s="31"/>
      <c r="P87" s="31"/>
      <c r="Q87" s="79">
        <f t="shared" si="3"/>
        <v>0</v>
      </c>
    </row>
    <row r="88" spans="1:17" s="15" customFormat="1" ht="15.75" x14ac:dyDescent="0.25">
      <c r="A88" s="14"/>
      <c r="B88" s="20" t="s">
        <v>306</v>
      </c>
      <c r="C88" s="1" t="s">
        <v>17</v>
      </c>
      <c r="D88" s="120"/>
      <c r="E88" s="3" t="s">
        <v>35</v>
      </c>
      <c r="F88" s="73" t="s">
        <v>365</v>
      </c>
      <c r="G88" s="11" t="s">
        <v>112</v>
      </c>
      <c r="H88" s="1">
        <v>7</v>
      </c>
      <c r="I88" s="58">
        <v>1</v>
      </c>
      <c r="J88" s="51">
        <f>1</f>
        <v>1</v>
      </c>
      <c r="K88" s="40">
        <f>1045.98</f>
        <v>1045.98</v>
      </c>
      <c r="L88" s="40"/>
      <c r="M88" s="78">
        <f t="shared" si="4"/>
        <v>1045.98</v>
      </c>
      <c r="N88" s="39">
        <f>7+2</f>
        <v>9</v>
      </c>
      <c r="O88" s="31">
        <f>2313.84+6162.57</f>
        <v>8476.41</v>
      </c>
      <c r="P88" s="31"/>
      <c r="Q88" s="12">
        <f t="shared" si="3"/>
        <v>8476.41</v>
      </c>
    </row>
    <row r="89" spans="1:17" s="13" customFormat="1" ht="15.75" x14ac:dyDescent="0.25">
      <c r="A89" s="10"/>
      <c r="B89" s="27" t="s">
        <v>62</v>
      </c>
      <c r="C89" s="1" t="s">
        <v>17</v>
      </c>
      <c r="D89" s="120"/>
      <c r="E89" s="3" t="s">
        <v>35</v>
      </c>
      <c r="F89" s="73" t="s">
        <v>366</v>
      </c>
      <c r="G89" s="74" t="s">
        <v>112</v>
      </c>
      <c r="H89" s="75">
        <v>5</v>
      </c>
      <c r="I89" s="76">
        <v>1</v>
      </c>
      <c r="J89" s="96">
        <f>1</f>
        <v>1</v>
      </c>
      <c r="K89" s="77"/>
      <c r="L89" s="77"/>
      <c r="M89" s="38">
        <f t="shared" si="4"/>
        <v>0</v>
      </c>
      <c r="N89" s="100">
        <f>6+2+1</f>
        <v>9</v>
      </c>
      <c r="O89" s="81">
        <f>19511.33</f>
        <v>19511.330000000002</v>
      </c>
      <c r="P89" s="81"/>
      <c r="Q89" s="79">
        <f t="shared" si="3"/>
        <v>19511.330000000002</v>
      </c>
    </row>
    <row r="90" spans="1:17" s="13" customFormat="1" ht="15.75" x14ac:dyDescent="0.25">
      <c r="A90" s="10"/>
      <c r="B90" s="25" t="s">
        <v>62</v>
      </c>
      <c r="C90" s="1" t="s">
        <v>17</v>
      </c>
      <c r="D90" s="120"/>
      <c r="E90" s="3" t="s">
        <v>35</v>
      </c>
      <c r="F90" s="73" t="s">
        <v>428</v>
      </c>
      <c r="G90" s="11" t="s">
        <v>117</v>
      </c>
      <c r="H90" s="1">
        <v>1</v>
      </c>
      <c r="I90" s="49"/>
      <c r="J90" s="46"/>
      <c r="K90" s="40"/>
      <c r="L90" s="40"/>
      <c r="M90" s="78">
        <f t="shared" si="4"/>
        <v>0</v>
      </c>
      <c r="N90" s="41">
        <f>7</f>
        <v>7</v>
      </c>
      <c r="O90" s="31"/>
      <c r="P90" s="31"/>
      <c r="Q90" s="12">
        <f t="shared" si="3"/>
        <v>0</v>
      </c>
    </row>
    <row r="91" spans="1:17" s="13" customFormat="1" ht="15.75" x14ac:dyDescent="0.25">
      <c r="A91" s="10"/>
      <c r="B91" s="25" t="s">
        <v>63</v>
      </c>
      <c r="C91" s="1" t="s">
        <v>64</v>
      </c>
      <c r="D91" s="120" t="s">
        <v>65</v>
      </c>
      <c r="E91" s="3" t="s">
        <v>20</v>
      </c>
      <c r="F91" s="73" t="s">
        <v>480</v>
      </c>
      <c r="G91" s="11" t="s">
        <v>114</v>
      </c>
      <c r="H91" s="1"/>
      <c r="I91" s="49"/>
      <c r="J91" s="51"/>
      <c r="K91" s="40"/>
      <c r="L91" s="40"/>
      <c r="M91" s="38">
        <f t="shared" si="4"/>
        <v>0</v>
      </c>
      <c r="N91" s="41"/>
      <c r="O91" s="31"/>
      <c r="P91" s="31"/>
      <c r="Q91" s="79">
        <f t="shared" si="3"/>
        <v>0</v>
      </c>
    </row>
    <row r="92" spans="1:17" s="13" customFormat="1" ht="15.75" x14ac:dyDescent="0.25">
      <c r="A92" s="10"/>
      <c r="B92" s="27" t="s">
        <v>155</v>
      </c>
      <c r="C92" s="1" t="s">
        <v>17</v>
      </c>
      <c r="D92" s="120"/>
      <c r="E92" s="3" t="s">
        <v>20</v>
      </c>
      <c r="F92" s="73" t="s">
        <v>367</v>
      </c>
      <c r="G92" s="74" t="s">
        <v>112</v>
      </c>
      <c r="H92" s="75">
        <v>3</v>
      </c>
      <c r="I92" s="82"/>
      <c r="J92" s="96"/>
      <c r="K92" s="77"/>
      <c r="L92" s="77"/>
      <c r="M92" s="78">
        <f t="shared" si="4"/>
        <v>0</v>
      </c>
      <c r="N92" s="100"/>
      <c r="O92" s="81"/>
      <c r="P92" s="81"/>
      <c r="Q92" s="12">
        <f t="shared" si="3"/>
        <v>0</v>
      </c>
    </row>
    <row r="93" spans="1:17" s="13" customFormat="1" ht="15.75" x14ac:dyDescent="0.25">
      <c r="A93" s="10"/>
      <c r="B93" s="25" t="s">
        <v>155</v>
      </c>
      <c r="C93" s="1" t="s">
        <v>17</v>
      </c>
      <c r="D93" s="120"/>
      <c r="E93" s="3" t="s">
        <v>20</v>
      </c>
      <c r="F93" s="73" t="s">
        <v>459</v>
      </c>
      <c r="G93" s="11" t="s">
        <v>114</v>
      </c>
      <c r="H93" s="1">
        <v>3</v>
      </c>
      <c r="I93" s="49"/>
      <c r="J93" s="51"/>
      <c r="K93" s="40"/>
      <c r="L93" s="40"/>
      <c r="M93" s="38">
        <f t="shared" si="4"/>
        <v>0</v>
      </c>
      <c r="N93" s="41"/>
      <c r="O93" s="31"/>
      <c r="P93" s="31"/>
      <c r="Q93" s="79">
        <f t="shared" si="3"/>
        <v>0</v>
      </c>
    </row>
    <row r="94" spans="1:17" s="13" customFormat="1" ht="15.75" x14ac:dyDescent="0.25">
      <c r="A94" s="10"/>
      <c r="B94" s="30" t="s">
        <v>66</v>
      </c>
      <c r="C94" s="1" t="s">
        <v>17</v>
      </c>
      <c r="D94" s="120"/>
      <c r="E94" s="3" t="s">
        <v>21</v>
      </c>
      <c r="F94" s="73" t="s">
        <v>368</v>
      </c>
      <c r="G94" s="74" t="s">
        <v>112</v>
      </c>
      <c r="H94" s="75">
        <v>4</v>
      </c>
      <c r="I94" s="76"/>
      <c r="J94" s="96"/>
      <c r="K94" s="77"/>
      <c r="L94" s="77"/>
      <c r="M94" s="78">
        <f t="shared" si="4"/>
        <v>0</v>
      </c>
      <c r="N94" s="100">
        <f>6+3+8</f>
        <v>17</v>
      </c>
      <c r="O94" s="81">
        <f>11911.17</f>
        <v>11911.17</v>
      </c>
      <c r="P94" s="81"/>
      <c r="Q94" s="12">
        <f t="shared" si="3"/>
        <v>11911.17</v>
      </c>
    </row>
    <row r="95" spans="1:17" s="13" customFormat="1" ht="15.75" x14ac:dyDescent="0.25">
      <c r="A95" s="10"/>
      <c r="B95" s="24" t="s">
        <v>66</v>
      </c>
      <c r="C95" s="1" t="s">
        <v>17</v>
      </c>
      <c r="D95" s="120"/>
      <c r="E95" s="3" t="s">
        <v>21</v>
      </c>
      <c r="F95" s="73" t="s">
        <v>439</v>
      </c>
      <c r="G95" s="11" t="s">
        <v>118</v>
      </c>
      <c r="H95" s="1">
        <v>1</v>
      </c>
      <c r="I95" s="49"/>
      <c r="J95" s="46"/>
      <c r="K95" s="40"/>
      <c r="L95" s="40"/>
      <c r="M95" s="38">
        <f t="shared" si="4"/>
        <v>0</v>
      </c>
      <c r="N95" s="41">
        <v>1</v>
      </c>
      <c r="O95" s="31">
        <v>4977.07</v>
      </c>
      <c r="P95" s="31"/>
      <c r="Q95" s="79">
        <f t="shared" si="3"/>
        <v>4977.07</v>
      </c>
    </row>
    <row r="96" spans="1:17" s="13" customFormat="1" ht="15.75" x14ac:dyDescent="0.25">
      <c r="A96" s="10"/>
      <c r="B96" s="62" t="s">
        <v>137</v>
      </c>
      <c r="C96" s="1" t="s">
        <v>17</v>
      </c>
      <c r="D96" s="120"/>
      <c r="E96" s="17" t="s">
        <v>35</v>
      </c>
      <c r="F96" s="73" t="s">
        <v>369</v>
      </c>
      <c r="G96" s="74" t="s">
        <v>112</v>
      </c>
      <c r="H96" s="75">
        <v>2</v>
      </c>
      <c r="I96" s="76"/>
      <c r="J96" s="96"/>
      <c r="K96" s="77"/>
      <c r="L96" s="77"/>
      <c r="M96" s="78">
        <f t="shared" si="4"/>
        <v>0</v>
      </c>
      <c r="N96" s="100">
        <f>5+1</f>
        <v>6</v>
      </c>
      <c r="O96" s="81">
        <f>2617.36</f>
        <v>2617.36</v>
      </c>
      <c r="P96" s="81"/>
      <c r="Q96" s="12">
        <f t="shared" si="3"/>
        <v>2617.36</v>
      </c>
    </row>
    <row r="97" spans="1:19" s="13" customFormat="1" ht="15.75" x14ac:dyDescent="0.25">
      <c r="A97" s="10"/>
      <c r="B97" s="22" t="s">
        <v>137</v>
      </c>
      <c r="C97" s="1" t="s">
        <v>17</v>
      </c>
      <c r="D97" s="120"/>
      <c r="E97" s="17" t="s">
        <v>35</v>
      </c>
      <c r="F97" s="73" t="s">
        <v>429</v>
      </c>
      <c r="G97" s="11" t="s">
        <v>117</v>
      </c>
      <c r="H97" s="1"/>
      <c r="I97" s="49"/>
      <c r="J97" s="51"/>
      <c r="K97" s="37"/>
      <c r="L97" s="37"/>
      <c r="M97" s="78">
        <f t="shared" si="4"/>
        <v>0</v>
      </c>
      <c r="N97" s="39">
        <v>1</v>
      </c>
      <c r="O97" s="31"/>
      <c r="P97" s="31"/>
      <c r="Q97" s="79">
        <f t="shared" si="3"/>
        <v>0</v>
      </c>
    </row>
    <row r="98" spans="1:19" s="13" customFormat="1" ht="15.75" x14ac:dyDescent="0.25">
      <c r="A98" s="10"/>
      <c r="B98" s="30" t="s">
        <v>67</v>
      </c>
      <c r="C98" s="1" t="s">
        <v>17</v>
      </c>
      <c r="D98" s="120"/>
      <c r="E98" s="17" t="s">
        <v>21</v>
      </c>
      <c r="F98" s="73" t="s">
        <v>370</v>
      </c>
      <c r="G98" s="74" t="s">
        <v>112</v>
      </c>
      <c r="H98" s="75">
        <v>3</v>
      </c>
      <c r="I98" s="76"/>
      <c r="J98" s="96"/>
      <c r="K98" s="77"/>
      <c r="L98" s="77"/>
      <c r="M98" s="38">
        <f t="shared" si="4"/>
        <v>0</v>
      </c>
      <c r="N98" s="100">
        <f>4+9</f>
        <v>13</v>
      </c>
      <c r="O98" s="81">
        <v>29696.65</v>
      </c>
      <c r="P98" s="81"/>
      <c r="Q98" s="12">
        <f t="shared" si="3"/>
        <v>29696.65</v>
      </c>
    </row>
    <row r="99" spans="1:19" s="13" customFormat="1" ht="15.75" x14ac:dyDescent="0.25">
      <c r="A99" s="10"/>
      <c r="B99" s="24" t="s">
        <v>67</v>
      </c>
      <c r="C99" s="1" t="s">
        <v>17</v>
      </c>
      <c r="D99" s="120"/>
      <c r="E99" s="17" t="s">
        <v>21</v>
      </c>
      <c r="F99" s="73" t="s">
        <v>440</v>
      </c>
      <c r="G99" s="11" t="s">
        <v>118</v>
      </c>
      <c r="H99" s="1">
        <v>2</v>
      </c>
      <c r="I99" s="49"/>
      <c r="J99" s="46"/>
      <c r="K99" s="40"/>
      <c r="L99" s="40"/>
      <c r="M99" s="78">
        <f t="shared" si="4"/>
        <v>0</v>
      </c>
      <c r="N99" s="41">
        <v>2</v>
      </c>
      <c r="O99" s="31">
        <v>13467.29</v>
      </c>
      <c r="P99" s="31"/>
      <c r="Q99" s="79">
        <f t="shared" si="3"/>
        <v>13467.29</v>
      </c>
    </row>
    <row r="100" spans="1:19" s="13" customFormat="1" ht="15.75" x14ac:dyDescent="0.25">
      <c r="A100" s="10"/>
      <c r="B100" s="30" t="s">
        <v>68</v>
      </c>
      <c r="C100" s="1" t="s">
        <v>17</v>
      </c>
      <c r="D100" s="120"/>
      <c r="E100" s="17" t="s">
        <v>32</v>
      </c>
      <c r="F100" s="73" t="s">
        <v>371</v>
      </c>
      <c r="G100" s="74" t="s">
        <v>112</v>
      </c>
      <c r="H100" s="75">
        <v>2</v>
      </c>
      <c r="I100" s="76"/>
      <c r="J100" s="96"/>
      <c r="K100" s="77"/>
      <c r="L100" s="77"/>
      <c r="M100" s="38">
        <f t="shared" si="4"/>
        <v>0</v>
      </c>
      <c r="N100" s="100">
        <f>6</f>
        <v>6</v>
      </c>
      <c r="O100" s="81">
        <f>7813.73</f>
        <v>7813.73</v>
      </c>
      <c r="P100" s="81"/>
      <c r="Q100" s="12">
        <f t="shared" si="3"/>
        <v>7813.73</v>
      </c>
    </row>
    <row r="101" spans="1:19" s="13" customFormat="1" ht="15.75" x14ac:dyDescent="0.25">
      <c r="A101" s="10"/>
      <c r="B101" s="24" t="s">
        <v>68</v>
      </c>
      <c r="C101" s="1" t="s">
        <v>17</v>
      </c>
      <c r="D101" s="120"/>
      <c r="E101" s="17" t="s">
        <v>32</v>
      </c>
      <c r="F101" s="73" t="s">
        <v>430</v>
      </c>
      <c r="G101" s="8" t="s">
        <v>117</v>
      </c>
      <c r="H101" s="1"/>
      <c r="I101" s="49"/>
      <c r="J101" s="46"/>
      <c r="K101" s="40"/>
      <c r="L101" s="40"/>
      <c r="M101" s="78">
        <f t="shared" si="4"/>
        <v>0</v>
      </c>
      <c r="N101" s="41"/>
      <c r="O101" s="40"/>
      <c r="P101" s="40"/>
      <c r="Q101" s="79">
        <f t="shared" si="3"/>
        <v>0</v>
      </c>
    </row>
    <row r="102" spans="1:19" s="15" customFormat="1" ht="15.75" x14ac:dyDescent="0.25">
      <c r="A102" s="14"/>
      <c r="B102" s="28" t="s">
        <v>69</v>
      </c>
      <c r="C102" s="1" t="s">
        <v>17</v>
      </c>
      <c r="D102" s="120"/>
      <c r="E102" s="3" t="s">
        <v>20</v>
      </c>
      <c r="F102" s="73" t="s">
        <v>372</v>
      </c>
      <c r="G102" s="74" t="s">
        <v>112</v>
      </c>
      <c r="H102" s="75"/>
      <c r="I102" s="76"/>
      <c r="J102" s="96"/>
      <c r="K102" s="77"/>
      <c r="L102" s="77"/>
      <c r="M102" s="38">
        <f t="shared" si="4"/>
        <v>0</v>
      </c>
      <c r="N102" s="100">
        <f>3+2</f>
        <v>5</v>
      </c>
      <c r="O102" s="77">
        <f>7210.31+3647.96</f>
        <v>10858.27</v>
      </c>
      <c r="P102" s="77"/>
      <c r="Q102" s="12">
        <f t="shared" si="3"/>
        <v>10858.27</v>
      </c>
    </row>
    <row r="103" spans="1:19" s="13" customFormat="1" ht="15.75" x14ac:dyDescent="0.25">
      <c r="A103" s="10"/>
      <c r="B103" s="62" t="s">
        <v>70</v>
      </c>
      <c r="C103" s="1" t="s">
        <v>17</v>
      </c>
      <c r="D103" s="120"/>
      <c r="E103" s="3" t="s">
        <v>20</v>
      </c>
      <c r="F103" s="73" t="s">
        <v>373</v>
      </c>
      <c r="G103" s="74" t="s">
        <v>112</v>
      </c>
      <c r="H103" s="75">
        <v>1</v>
      </c>
      <c r="I103" s="76"/>
      <c r="J103" s="96"/>
      <c r="K103" s="77"/>
      <c r="L103" s="77"/>
      <c r="M103" s="78">
        <f t="shared" si="4"/>
        <v>0</v>
      </c>
      <c r="N103" s="100">
        <f>2</f>
        <v>2</v>
      </c>
      <c r="O103" s="81">
        <v>3534.95</v>
      </c>
      <c r="P103" s="81"/>
      <c r="Q103" s="79">
        <f t="shared" si="3"/>
        <v>3534.95</v>
      </c>
      <c r="R103" s="35"/>
    </row>
    <row r="104" spans="1:19" s="13" customFormat="1" ht="15.75" x14ac:dyDescent="0.25">
      <c r="A104" s="10"/>
      <c r="B104" s="22" t="s">
        <v>70</v>
      </c>
      <c r="C104" s="1" t="s">
        <v>17</v>
      </c>
      <c r="D104" s="120"/>
      <c r="E104" s="3" t="s">
        <v>20</v>
      </c>
      <c r="F104" s="73" t="s">
        <v>460</v>
      </c>
      <c r="G104" s="11" t="s">
        <v>114</v>
      </c>
      <c r="H104" s="1">
        <v>4</v>
      </c>
      <c r="I104" s="49"/>
      <c r="J104" s="51"/>
      <c r="K104" s="40"/>
      <c r="L104" s="40"/>
      <c r="M104" s="38">
        <f t="shared" si="4"/>
        <v>0</v>
      </c>
      <c r="N104" s="41"/>
      <c r="O104" s="31"/>
      <c r="P104" s="31"/>
      <c r="Q104" s="12">
        <f t="shared" si="3"/>
        <v>0</v>
      </c>
    </row>
    <row r="105" spans="1:19" s="15" customFormat="1" ht="15.75" x14ac:dyDescent="0.25">
      <c r="A105" s="14"/>
      <c r="B105" s="80" t="s">
        <v>71</v>
      </c>
      <c r="C105" s="1" t="s">
        <v>17</v>
      </c>
      <c r="D105" s="120"/>
      <c r="E105" s="3" t="s">
        <v>32</v>
      </c>
      <c r="F105" s="73" t="s">
        <v>374</v>
      </c>
      <c r="G105" s="74" t="s">
        <v>112</v>
      </c>
      <c r="H105" s="75">
        <v>4</v>
      </c>
      <c r="I105" s="76"/>
      <c r="J105" s="96"/>
      <c r="K105" s="77"/>
      <c r="L105" s="77"/>
      <c r="M105" s="78">
        <f t="shared" si="4"/>
        <v>0</v>
      </c>
      <c r="N105" s="100">
        <f>3</f>
        <v>3</v>
      </c>
      <c r="O105" s="81">
        <f>9567.93</f>
        <v>9567.93</v>
      </c>
      <c r="P105" s="81"/>
      <c r="Q105" s="79">
        <f t="shared" si="3"/>
        <v>9567.93</v>
      </c>
      <c r="R105" s="36"/>
      <c r="S105" s="36"/>
    </row>
    <row r="106" spans="1:19" s="15" customFormat="1" ht="15.75" x14ac:dyDescent="0.25">
      <c r="A106" s="14"/>
      <c r="B106" s="23" t="s">
        <v>71</v>
      </c>
      <c r="C106" s="1" t="s">
        <v>17</v>
      </c>
      <c r="D106" s="120"/>
      <c r="E106" s="3" t="s">
        <v>32</v>
      </c>
      <c r="F106" s="73" t="s">
        <v>431</v>
      </c>
      <c r="G106" s="11" t="s">
        <v>115</v>
      </c>
      <c r="H106" s="1">
        <v>1</v>
      </c>
      <c r="I106" s="48"/>
      <c r="J106" s="45"/>
      <c r="K106" s="40"/>
      <c r="L106" s="40"/>
      <c r="M106" s="38">
        <f t="shared" si="4"/>
        <v>0</v>
      </c>
      <c r="N106" s="39">
        <f>5</f>
        <v>5</v>
      </c>
      <c r="O106" s="40"/>
      <c r="P106" s="40"/>
      <c r="Q106" s="12">
        <f t="shared" si="3"/>
        <v>0</v>
      </c>
    </row>
    <row r="107" spans="1:19" s="13" customFormat="1" ht="15.75" x14ac:dyDescent="0.25">
      <c r="A107" s="10"/>
      <c r="B107" s="62" t="s">
        <v>319</v>
      </c>
      <c r="C107" s="1" t="s">
        <v>17</v>
      </c>
      <c r="D107" s="120"/>
      <c r="E107" s="3" t="s">
        <v>20</v>
      </c>
      <c r="F107" s="73" t="s">
        <v>375</v>
      </c>
      <c r="G107" s="74" t="s">
        <v>112</v>
      </c>
      <c r="H107" s="75">
        <v>5</v>
      </c>
      <c r="I107" s="76">
        <v>3</v>
      </c>
      <c r="J107" s="96">
        <f>2+1</f>
        <v>3</v>
      </c>
      <c r="K107" s="77">
        <v>710.77</v>
      </c>
      <c r="L107" s="77"/>
      <c r="M107" s="78">
        <f>K107-L107</f>
        <v>710.77</v>
      </c>
      <c r="N107" s="100">
        <f>3+1</f>
        <v>4</v>
      </c>
      <c r="O107" s="77">
        <f>13419.94+726.71</f>
        <v>14146.650000000001</v>
      </c>
      <c r="P107" s="77">
        <f>13419.94</f>
        <v>13419.94</v>
      </c>
      <c r="Q107" s="79">
        <f>O107-P107</f>
        <v>726.71000000000095</v>
      </c>
    </row>
    <row r="108" spans="1:19" s="15" customFormat="1" ht="15.75" x14ac:dyDescent="0.25">
      <c r="A108" s="14"/>
      <c r="B108" s="62" t="s">
        <v>150</v>
      </c>
      <c r="C108" s="1" t="s">
        <v>17</v>
      </c>
      <c r="D108" s="120"/>
      <c r="E108" s="3" t="s">
        <v>35</v>
      </c>
      <c r="F108" s="73" t="s">
        <v>376</v>
      </c>
      <c r="G108" s="74" t="s">
        <v>112</v>
      </c>
      <c r="H108" s="75">
        <v>3</v>
      </c>
      <c r="I108" s="76"/>
      <c r="J108" s="97"/>
      <c r="K108" s="77"/>
      <c r="L108" s="77"/>
      <c r="M108" s="78">
        <f t="shared" si="4"/>
        <v>0</v>
      </c>
      <c r="N108" s="114">
        <f>8+1</f>
        <v>9</v>
      </c>
      <c r="O108" s="77">
        <f>5997.32+3719.39</f>
        <v>9716.7099999999991</v>
      </c>
      <c r="P108" s="81"/>
      <c r="Q108" s="79">
        <f t="shared" si="3"/>
        <v>9716.7099999999991</v>
      </c>
    </row>
    <row r="109" spans="1:19" s="15" customFormat="1" ht="15.75" x14ac:dyDescent="0.25">
      <c r="A109" s="14"/>
      <c r="B109" s="50" t="s">
        <v>150</v>
      </c>
      <c r="C109" s="1" t="s">
        <v>17</v>
      </c>
      <c r="D109" s="120"/>
      <c r="E109" s="3"/>
      <c r="F109" s="73"/>
      <c r="G109" s="11" t="s">
        <v>117</v>
      </c>
      <c r="H109" s="1"/>
      <c r="I109" s="48"/>
      <c r="J109" s="45"/>
      <c r="K109" s="40"/>
      <c r="L109" s="37"/>
      <c r="M109" s="38">
        <f t="shared" si="4"/>
        <v>0</v>
      </c>
      <c r="N109" s="42">
        <v>1</v>
      </c>
      <c r="O109" s="40"/>
      <c r="P109" s="40"/>
      <c r="Q109" s="12">
        <f t="shared" si="3"/>
        <v>0</v>
      </c>
    </row>
    <row r="110" spans="1:19" s="13" customFormat="1" ht="15.75" x14ac:dyDescent="0.25">
      <c r="A110" s="10"/>
      <c r="B110" s="30" t="s">
        <v>72</v>
      </c>
      <c r="C110" s="1" t="s">
        <v>17</v>
      </c>
      <c r="D110" s="120"/>
      <c r="E110" s="3" t="s">
        <v>21</v>
      </c>
      <c r="F110" s="73" t="s">
        <v>377</v>
      </c>
      <c r="G110" s="74" t="s">
        <v>112</v>
      </c>
      <c r="H110" s="75">
        <v>2</v>
      </c>
      <c r="I110" s="76"/>
      <c r="J110" s="96"/>
      <c r="K110" s="77"/>
      <c r="L110" s="77"/>
      <c r="M110" s="78">
        <f t="shared" si="4"/>
        <v>0</v>
      </c>
      <c r="N110" s="100">
        <f>1+3</f>
        <v>4</v>
      </c>
      <c r="O110" s="81">
        <f>1950.74</f>
        <v>1950.74</v>
      </c>
      <c r="P110" s="81"/>
      <c r="Q110" s="79">
        <f t="shared" si="3"/>
        <v>1950.74</v>
      </c>
    </row>
    <row r="111" spans="1:19" s="13" customFormat="1" ht="15.75" x14ac:dyDescent="0.25">
      <c r="A111" s="10"/>
      <c r="B111" s="24" t="s">
        <v>72</v>
      </c>
      <c r="C111" s="1" t="s">
        <v>17</v>
      </c>
      <c r="D111" s="120"/>
      <c r="E111" s="3" t="s">
        <v>21</v>
      </c>
      <c r="F111" s="73" t="s">
        <v>441</v>
      </c>
      <c r="G111" s="11" t="s">
        <v>118</v>
      </c>
      <c r="H111" s="1">
        <v>1</v>
      </c>
      <c r="I111" s="49"/>
      <c r="J111" s="46"/>
      <c r="K111" s="40"/>
      <c r="L111" s="40"/>
      <c r="M111" s="38">
        <f t="shared" si="4"/>
        <v>0</v>
      </c>
      <c r="N111" s="41">
        <v>1</v>
      </c>
      <c r="O111" s="31">
        <v>12247.68</v>
      </c>
      <c r="P111" s="31"/>
      <c r="Q111" s="12">
        <f t="shared" si="3"/>
        <v>12247.68</v>
      </c>
    </row>
    <row r="112" spans="1:19" s="15" customFormat="1" ht="15.75" x14ac:dyDescent="0.25">
      <c r="A112" s="14"/>
      <c r="B112" s="84" t="s">
        <v>73</v>
      </c>
      <c r="C112" s="1" t="s">
        <v>17</v>
      </c>
      <c r="D112" s="120"/>
      <c r="E112" s="3" t="s">
        <v>74</v>
      </c>
      <c r="F112" s="73" t="s">
        <v>378</v>
      </c>
      <c r="G112" s="74" t="s">
        <v>112</v>
      </c>
      <c r="H112" s="75">
        <v>7</v>
      </c>
      <c r="I112" s="76"/>
      <c r="J112" s="96"/>
      <c r="K112" s="77"/>
      <c r="L112" s="77"/>
      <c r="M112" s="78">
        <f t="shared" si="4"/>
        <v>0</v>
      </c>
      <c r="N112" s="100">
        <f>5</f>
        <v>5</v>
      </c>
      <c r="O112" s="81">
        <f>5416.39</f>
        <v>5416.39</v>
      </c>
      <c r="P112" s="81"/>
      <c r="Q112" s="79">
        <f t="shared" si="3"/>
        <v>5416.39</v>
      </c>
    </row>
    <row r="113" spans="1:17" s="15" customFormat="1" ht="15.75" x14ac:dyDescent="0.25">
      <c r="A113" s="14"/>
      <c r="B113" s="29" t="s">
        <v>73</v>
      </c>
      <c r="C113" s="1" t="s">
        <v>17</v>
      </c>
      <c r="D113" s="120"/>
      <c r="E113" s="3" t="s">
        <v>74</v>
      </c>
      <c r="F113" s="73" t="s">
        <v>282</v>
      </c>
      <c r="G113" s="11" t="s">
        <v>114</v>
      </c>
      <c r="H113" s="1"/>
      <c r="I113" s="49"/>
      <c r="J113" s="51"/>
      <c r="K113" s="40"/>
      <c r="L113" s="40"/>
      <c r="M113" s="38">
        <f t="shared" si="4"/>
        <v>0</v>
      </c>
      <c r="N113" s="42"/>
      <c r="O113" s="31"/>
      <c r="P113" s="31"/>
      <c r="Q113" s="12">
        <f t="shared" si="3"/>
        <v>0</v>
      </c>
    </row>
    <row r="114" spans="1:17" s="13" customFormat="1" ht="15.75" x14ac:dyDescent="0.25">
      <c r="A114" s="10"/>
      <c r="B114" s="30" t="s">
        <v>135</v>
      </c>
      <c r="C114" s="1" t="s">
        <v>17</v>
      </c>
      <c r="D114" s="120"/>
      <c r="E114" s="17" t="s">
        <v>35</v>
      </c>
      <c r="F114" s="73" t="s">
        <v>379</v>
      </c>
      <c r="G114" s="74" t="s">
        <v>112</v>
      </c>
      <c r="H114" s="75">
        <v>3</v>
      </c>
      <c r="I114" s="76">
        <v>1</v>
      </c>
      <c r="J114" s="96">
        <f>1</f>
        <v>1</v>
      </c>
      <c r="K114" s="77">
        <v>697.32</v>
      </c>
      <c r="L114" s="77"/>
      <c r="M114" s="38">
        <f t="shared" si="4"/>
        <v>697.32</v>
      </c>
      <c r="N114" s="100">
        <f>2+5+1</f>
        <v>8</v>
      </c>
      <c r="O114" s="81">
        <v>6432.89</v>
      </c>
      <c r="P114" s="81"/>
      <c r="Q114" s="12">
        <f t="shared" si="3"/>
        <v>6432.89</v>
      </c>
    </row>
    <row r="115" spans="1:17" s="13" customFormat="1" ht="15.75" x14ac:dyDescent="0.25">
      <c r="A115" s="10"/>
      <c r="B115" s="24" t="s">
        <v>135</v>
      </c>
      <c r="C115" s="1" t="s">
        <v>17</v>
      </c>
      <c r="D115" s="120"/>
      <c r="E115" s="17" t="s">
        <v>35</v>
      </c>
      <c r="F115" s="73" t="s">
        <v>432</v>
      </c>
      <c r="G115" s="11" t="s">
        <v>115</v>
      </c>
      <c r="H115" s="1"/>
      <c r="I115" s="49"/>
      <c r="J115" s="46"/>
      <c r="K115" s="40"/>
      <c r="L115" s="40"/>
      <c r="M115" s="78">
        <f t="shared" si="4"/>
        <v>0</v>
      </c>
      <c r="N115" s="41"/>
      <c r="O115" s="31"/>
      <c r="P115" s="31"/>
      <c r="Q115" s="79">
        <f t="shared" si="3"/>
        <v>0</v>
      </c>
    </row>
    <row r="116" spans="1:17" s="13" customFormat="1" ht="15.75" x14ac:dyDescent="0.25">
      <c r="A116" s="10"/>
      <c r="B116" s="30" t="s">
        <v>145</v>
      </c>
      <c r="C116" s="1" t="s">
        <v>17</v>
      </c>
      <c r="D116" s="120"/>
      <c r="E116" s="17" t="s">
        <v>20</v>
      </c>
      <c r="F116" s="73" t="s">
        <v>380</v>
      </c>
      <c r="G116" s="74" t="s">
        <v>112</v>
      </c>
      <c r="H116" s="75">
        <v>1</v>
      </c>
      <c r="I116" s="82">
        <v>1</v>
      </c>
      <c r="J116" s="96">
        <f>2</f>
        <v>2</v>
      </c>
      <c r="K116" s="77">
        <f>5169.72</f>
        <v>5169.72</v>
      </c>
      <c r="L116" s="77"/>
      <c r="M116" s="38">
        <f t="shared" si="4"/>
        <v>5169.72</v>
      </c>
      <c r="N116" s="100">
        <f>1+1</f>
        <v>2</v>
      </c>
      <c r="O116" s="81">
        <f>5120.23</f>
        <v>5120.2299999999996</v>
      </c>
      <c r="P116" s="81"/>
      <c r="Q116" s="12">
        <f t="shared" si="3"/>
        <v>5120.2299999999996</v>
      </c>
    </row>
    <row r="117" spans="1:17" s="13" customFormat="1" ht="15.75" x14ac:dyDescent="0.25">
      <c r="A117" s="10"/>
      <c r="B117" s="24" t="s">
        <v>145</v>
      </c>
      <c r="C117" s="1" t="s">
        <v>17</v>
      </c>
      <c r="D117" s="120"/>
      <c r="E117" s="17" t="s">
        <v>20</v>
      </c>
      <c r="F117" s="73" t="s">
        <v>461</v>
      </c>
      <c r="G117" s="11" t="s">
        <v>114</v>
      </c>
      <c r="H117" s="1"/>
      <c r="I117" s="49"/>
      <c r="J117" s="51"/>
      <c r="K117" s="40"/>
      <c r="L117" s="40"/>
      <c r="M117" s="78">
        <f t="shared" si="4"/>
        <v>0</v>
      </c>
      <c r="N117" s="41"/>
      <c r="O117" s="31"/>
      <c r="P117" s="31"/>
      <c r="Q117" s="79">
        <f t="shared" si="3"/>
        <v>0</v>
      </c>
    </row>
    <row r="118" spans="1:17" s="13" customFormat="1" ht="15.75" x14ac:dyDescent="0.25">
      <c r="A118" s="10"/>
      <c r="B118" s="62" t="s">
        <v>76</v>
      </c>
      <c r="C118" s="1" t="s">
        <v>17</v>
      </c>
      <c r="D118" s="120"/>
      <c r="E118" s="3" t="s">
        <v>20</v>
      </c>
      <c r="F118" s="73" t="s">
        <v>381</v>
      </c>
      <c r="G118" s="74" t="s">
        <v>112</v>
      </c>
      <c r="H118" s="75">
        <v>8</v>
      </c>
      <c r="I118" s="76">
        <v>1</v>
      </c>
      <c r="J118" s="96">
        <f>1</f>
        <v>1</v>
      </c>
      <c r="K118" s="77"/>
      <c r="L118" s="77"/>
      <c r="M118" s="38">
        <f t="shared" si="4"/>
        <v>0</v>
      </c>
      <c r="N118" s="100">
        <f>5</f>
        <v>5</v>
      </c>
      <c r="O118" s="81">
        <f>11527.9</f>
        <v>11527.9</v>
      </c>
      <c r="P118" s="81"/>
      <c r="Q118" s="12">
        <f t="shared" si="3"/>
        <v>11527.9</v>
      </c>
    </row>
    <row r="119" spans="1:17" s="13" customFormat="1" ht="15.75" x14ac:dyDescent="0.25">
      <c r="A119" s="10"/>
      <c r="B119" s="22" t="s">
        <v>76</v>
      </c>
      <c r="C119" s="1" t="s">
        <v>17</v>
      </c>
      <c r="D119" s="120"/>
      <c r="E119" s="3" t="s">
        <v>20</v>
      </c>
      <c r="F119" s="73" t="s">
        <v>462</v>
      </c>
      <c r="G119" s="11" t="s">
        <v>114</v>
      </c>
      <c r="H119" s="1">
        <v>2</v>
      </c>
      <c r="I119" s="49"/>
      <c r="J119" s="51"/>
      <c r="K119" s="40"/>
      <c r="L119" s="40"/>
      <c r="M119" s="78">
        <f t="shared" si="4"/>
        <v>0</v>
      </c>
      <c r="N119" s="41"/>
      <c r="O119" s="31"/>
      <c r="P119" s="31"/>
      <c r="Q119" s="79">
        <f t="shared" si="3"/>
        <v>0</v>
      </c>
    </row>
    <row r="120" spans="1:17" s="13" customFormat="1" ht="15.75" x14ac:dyDescent="0.25">
      <c r="A120" s="10"/>
      <c r="B120" s="30" t="s">
        <v>77</v>
      </c>
      <c r="C120" s="1" t="s">
        <v>17</v>
      </c>
      <c r="D120" s="120"/>
      <c r="E120" s="3" t="s">
        <v>32</v>
      </c>
      <c r="F120" s="73" t="s">
        <v>388</v>
      </c>
      <c r="G120" s="74" t="s">
        <v>112</v>
      </c>
      <c r="H120" s="75">
        <v>3</v>
      </c>
      <c r="I120" s="76"/>
      <c r="J120" s="96"/>
      <c r="K120" s="77"/>
      <c r="L120" s="77"/>
      <c r="M120" s="38">
        <f t="shared" si="4"/>
        <v>0</v>
      </c>
      <c r="N120" s="100">
        <f>5</f>
        <v>5</v>
      </c>
      <c r="O120" s="81">
        <f>11716.73</f>
        <v>11716.73</v>
      </c>
      <c r="P120" s="81"/>
      <c r="Q120" s="12">
        <f t="shared" si="3"/>
        <v>11716.73</v>
      </c>
    </row>
    <row r="121" spans="1:17" s="13" customFormat="1" ht="15.75" x14ac:dyDescent="0.25">
      <c r="A121" s="10"/>
      <c r="B121" s="24" t="s">
        <v>77</v>
      </c>
      <c r="C121" s="1" t="s">
        <v>17</v>
      </c>
      <c r="D121" s="120"/>
      <c r="E121" s="3" t="s">
        <v>32</v>
      </c>
      <c r="F121" s="73" t="s">
        <v>433</v>
      </c>
      <c r="G121" s="11" t="s">
        <v>117</v>
      </c>
      <c r="H121" s="1">
        <v>1</v>
      </c>
      <c r="I121" s="49"/>
      <c r="J121" s="46"/>
      <c r="K121" s="40"/>
      <c r="L121" s="40"/>
      <c r="M121" s="78">
        <f t="shared" si="4"/>
        <v>0</v>
      </c>
      <c r="N121" s="41">
        <v>5</v>
      </c>
      <c r="O121" s="31"/>
      <c r="P121" s="31"/>
      <c r="Q121" s="79">
        <f t="shared" si="3"/>
        <v>0</v>
      </c>
    </row>
    <row r="122" spans="1:17" s="13" customFormat="1" ht="15.75" x14ac:dyDescent="0.25">
      <c r="A122" s="10"/>
      <c r="B122" s="24" t="s">
        <v>321</v>
      </c>
      <c r="C122" s="1" t="s">
        <v>17</v>
      </c>
      <c r="D122" s="120"/>
      <c r="E122" s="3" t="s">
        <v>21</v>
      </c>
      <c r="F122" s="73" t="s">
        <v>382</v>
      </c>
      <c r="G122" s="11" t="s">
        <v>112</v>
      </c>
      <c r="H122" s="1">
        <v>1</v>
      </c>
      <c r="I122" s="49"/>
      <c r="J122" s="46"/>
      <c r="K122" s="40"/>
      <c r="L122" s="40"/>
      <c r="M122" s="78"/>
      <c r="N122" s="41"/>
      <c r="O122" s="31"/>
      <c r="P122" s="31"/>
      <c r="Q122" s="79"/>
    </row>
    <row r="123" spans="1:17" s="13" customFormat="1" ht="31.5" x14ac:dyDescent="0.25">
      <c r="A123" s="10"/>
      <c r="B123" s="62" t="s">
        <v>79</v>
      </c>
      <c r="C123" s="1" t="s">
        <v>304</v>
      </c>
      <c r="D123" s="120" t="s">
        <v>385</v>
      </c>
      <c r="E123" s="3" t="s">
        <v>18</v>
      </c>
      <c r="F123" s="73" t="s">
        <v>389</v>
      </c>
      <c r="G123" s="74" t="s">
        <v>112</v>
      </c>
      <c r="H123" s="75">
        <v>2</v>
      </c>
      <c r="I123" s="76"/>
      <c r="J123" s="96"/>
      <c r="K123" s="77"/>
      <c r="L123" s="77"/>
      <c r="M123" s="38">
        <f t="shared" si="4"/>
        <v>0</v>
      </c>
      <c r="N123" s="100">
        <f>2+2</f>
        <v>4</v>
      </c>
      <c r="O123" s="81">
        <f>1547.4</f>
        <v>1547.4</v>
      </c>
      <c r="P123" s="81"/>
      <c r="Q123" s="12">
        <f t="shared" si="3"/>
        <v>1547.4</v>
      </c>
    </row>
    <row r="124" spans="1:17" s="13" customFormat="1" ht="31.5" x14ac:dyDescent="0.25">
      <c r="A124" s="10"/>
      <c r="B124" s="22" t="s">
        <v>79</v>
      </c>
      <c r="C124" s="1" t="s">
        <v>304</v>
      </c>
      <c r="D124" s="120" t="s">
        <v>475</v>
      </c>
      <c r="E124" s="3" t="s">
        <v>18</v>
      </c>
      <c r="F124" s="121" t="s">
        <v>329</v>
      </c>
      <c r="G124" s="11" t="s">
        <v>113</v>
      </c>
      <c r="H124" s="1">
        <v>2</v>
      </c>
      <c r="I124" s="53">
        <v>1</v>
      </c>
      <c r="J124" s="127">
        <v>1</v>
      </c>
      <c r="K124" s="31">
        <v>1268</v>
      </c>
      <c r="L124" s="31"/>
      <c r="M124" s="78">
        <f t="shared" si="4"/>
        <v>1268</v>
      </c>
      <c r="N124" s="41">
        <v>2</v>
      </c>
      <c r="O124" s="31">
        <v>23797</v>
      </c>
      <c r="P124" s="31"/>
      <c r="Q124" s="79">
        <f t="shared" si="3"/>
        <v>23797</v>
      </c>
    </row>
    <row r="125" spans="1:17" s="13" customFormat="1" ht="15.75" x14ac:dyDescent="0.25">
      <c r="A125" s="10"/>
      <c r="B125" s="62" t="s">
        <v>151</v>
      </c>
      <c r="C125" s="1" t="s">
        <v>17</v>
      </c>
      <c r="D125" s="120"/>
      <c r="E125" s="3" t="s">
        <v>32</v>
      </c>
      <c r="F125" s="73" t="s">
        <v>390</v>
      </c>
      <c r="G125" s="74" t="s">
        <v>112</v>
      </c>
      <c r="H125" s="75">
        <v>5</v>
      </c>
      <c r="I125" s="82"/>
      <c r="J125" s="96"/>
      <c r="K125" s="81"/>
      <c r="L125" s="81"/>
      <c r="M125" s="38">
        <f t="shared" si="4"/>
        <v>0</v>
      </c>
      <c r="N125" s="100">
        <f>9</f>
        <v>9</v>
      </c>
      <c r="O125" s="81">
        <f>10726.94</f>
        <v>10726.94</v>
      </c>
      <c r="P125" s="81"/>
      <c r="Q125" s="12">
        <f t="shared" si="3"/>
        <v>10726.94</v>
      </c>
    </row>
    <row r="126" spans="1:17" s="13" customFormat="1" ht="15.75" x14ac:dyDescent="0.25">
      <c r="A126" s="10"/>
      <c r="B126" s="22" t="s">
        <v>151</v>
      </c>
      <c r="C126" s="1" t="s">
        <v>17</v>
      </c>
      <c r="D126" s="120"/>
      <c r="E126" s="3" t="s">
        <v>32</v>
      </c>
      <c r="F126" s="73" t="s">
        <v>434</v>
      </c>
      <c r="G126" s="11" t="s">
        <v>117</v>
      </c>
      <c r="H126" s="1">
        <v>4</v>
      </c>
      <c r="I126" s="49"/>
      <c r="J126" s="46"/>
      <c r="K126" s="40"/>
      <c r="L126" s="40"/>
      <c r="M126" s="78">
        <f t="shared" si="4"/>
        <v>0</v>
      </c>
      <c r="N126" s="41">
        <v>8</v>
      </c>
      <c r="O126" s="31"/>
      <c r="P126" s="31"/>
      <c r="Q126" s="79">
        <f t="shared" si="3"/>
        <v>0</v>
      </c>
    </row>
    <row r="127" spans="1:17" s="13" customFormat="1" ht="15.75" x14ac:dyDescent="0.25">
      <c r="A127" s="10"/>
      <c r="B127" s="62" t="s">
        <v>80</v>
      </c>
      <c r="C127" s="1" t="s">
        <v>17</v>
      </c>
      <c r="D127" s="120"/>
      <c r="E127" s="3" t="s">
        <v>81</v>
      </c>
      <c r="F127" s="73" t="s">
        <v>417</v>
      </c>
      <c r="G127" s="74" t="s">
        <v>112</v>
      </c>
      <c r="H127" s="75"/>
      <c r="I127" s="76"/>
      <c r="J127" s="96"/>
      <c r="K127" s="77"/>
      <c r="L127" s="77"/>
      <c r="M127" s="38">
        <f t="shared" si="4"/>
        <v>0</v>
      </c>
      <c r="N127" s="100"/>
      <c r="O127" s="81"/>
      <c r="P127" s="81"/>
      <c r="Q127" s="12">
        <f t="shared" si="3"/>
        <v>0</v>
      </c>
    </row>
    <row r="128" spans="1:17" s="13" customFormat="1" ht="15.75" x14ac:dyDescent="0.25">
      <c r="A128" s="10"/>
      <c r="B128" s="22" t="s">
        <v>80</v>
      </c>
      <c r="C128" s="1" t="s">
        <v>17</v>
      </c>
      <c r="D128" s="120"/>
      <c r="E128" s="3" t="s">
        <v>81</v>
      </c>
      <c r="F128" s="73" t="s">
        <v>285</v>
      </c>
      <c r="G128" s="11" t="s">
        <v>114</v>
      </c>
      <c r="H128" s="1"/>
      <c r="I128" s="49"/>
      <c r="J128" s="51"/>
      <c r="K128" s="40"/>
      <c r="L128" s="40"/>
      <c r="M128" s="78">
        <f t="shared" si="4"/>
        <v>0</v>
      </c>
      <c r="N128" s="41"/>
      <c r="O128" s="31"/>
      <c r="P128" s="31"/>
      <c r="Q128" s="79">
        <f t="shared" si="3"/>
        <v>0</v>
      </c>
    </row>
    <row r="129" spans="1:17" s="13" customFormat="1" ht="15.75" x14ac:dyDescent="0.25">
      <c r="A129" s="10"/>
      <c r="B129" s="30" t="s">
        <v>82</v>
      </c>
      <c r="C129" s="1" t="s">
        <v>17</v>
      </c>
      <c r="D129" s="120"/>
      <c r="E129" s="3" t="s">
        <v>20</v>
      </c>
      <c r="F129" s="73" t="s">
        <v>394</v>
      </c>
      <c r="G129" s="74" t="s">
        <v>112</v>
      </c>
      <c r="H129" s="75">
        <v>2</v>
      </c>
      <c r="I129" s="76"/>
      <c r="J129" s="96"/>
      <c r="K129" s="77"/>
      <c r="L129" s="77"/>
      <c r="M129" s="38">
        <f t="shared" si="4"/>
        <v>0</v>
      </c>
      <c r="N129" s="100">
        <f>3</f>
        <v>3</v>
      </c>
      <c r="O129" s="81">
        <f>5975.84</f>
        <v>5975.84</v>
      </c>
      <c r="P129" s="81"/>
      <c r="Q129" s="12">
        <f t="shared" si="3"/>
        <v>5975.84</v>
      </c>
    </row>
    <row r="130" spans="1:17" s="13" customFormat="1" ht="15.75" x14ac:dyDescent="0.25">
      <c r="A130" s="10"/>
      <c r="B130" s="24" t="s">
        <v>82</v>
      </c>
      <c r="C130" s="1" t="s">
        <v>17</v>
      </c>
      <c r="D130" s="120"/>
      <c r="E130" s="3" t="s">
        <v>20</v>
      </c>
      <c r="F130" s="73" t="s">
        <v>463</v>
      </c>
      <c r="G130" s="11" t="s">
        <v>114</v>
      </c>
      <c r="H130" s="1">
        <v>3</v>
      </c>
      <c r="I130" s="49"/>
      <c r="J130" s="51"/>
      <c r="K130" s="40"/>
      <c r="L130" s="40"/>
      <c r="M130" s="78">
        <f t="shared" si="4"/>
        <v>0</v>
      </c>
      <c r="N130" s="41"/>
      <c r="O130" s="31"/>
      <c r="P130" s="31"/>
      <c r="Q130" s="79">
        <f t="shared" si="3"/>
        <v>0</v>
      </c>
    </row>
    <row r="131" spans="1:17" s="13" customFormat="1" ht="15.75" x14ac:dyDescent="0.25">
      <c r="A131" s="10"/>
      <c r="B131" s="24" t="s">
        <v>309</v>
      </c>
      <c r="C131" s="1"/>
      <c r="D131" s="120"/>
      <c r="E131" s="3" t="s">
        <v>20</v>
      </c>
      <c r="F131" s="73" t="s">
        <v>391</v>
      </c>
      <c r="G131" s="11" t="s">
        <v>112</v>
      </c>
      <c r="H131" s="1">
        <v>4</v>
      </c>
      <c r="I131" s="58"/>
      <c r="J131" s="51"/>
      <c r="K131" s="40"/>
      <c r="L131" s="40"/>
      <c r="M131" s="38">
        <f t="shared" si="4"/>
        <v>0</v>
      </c>
      <c r="N131" s="41">
        <f>1</f>
        <v>1</v>
      </c>
      <c r="O131" s="31">
        <f>3088.97</f>
        <v>3088.97</v>
      </c>
      <c r="P131" s="31"/>
      <c r="Q131" s="79"/>
    </row>
    <row r="132" spans="1:17" s="13" customFormat="1" ht="15.75" x14ac:dyDescent="0.25">
      <c r="A132" s="10"/>
      <c r="B132" s="30" t="s">
        <v>152</v>
      </c>
      <c r="C132" s="1" t="s">
        <v>17</v>
      </c>
      <c r="D132" s="120"/>
      <c r="E132" s="3" t="s">
        <v>35</v>
      </c>
      <c r="F132" s="73" t="s">
        <v>392</v>
      </c>
      <c r="G132" s="74" t="s">
        <v>112</v>
      </c>
      <c r="H132" s="75">
        <v>4</v>
      </c>
      <c r="I132" s="76">
        <v>1</v>
      </c>
      <c r="J132" s="96">
        <f>1</f>
        <v>1</v>
      </c>
      <c r="K132" s="77">
        <f>403.41</f>
        <v>403.41</v>
      </c>
      <c r="L132" s="77"/>
      <c r="M132" s="38">
        <f t="shared" si="4"/>
        <v>403.41</v>
      </c>
      <c r="N132" s="100">
        <f>2+2</f>
        <v>4</v>
      </c>
      <c r="O132" s="81">
        <f>1690.48+3050.26</f>
        <v>4740.74</v>
      </c>
      <c r="P132" s="81"/>
      <c r="Q132" s="12">
        <f t="shared" si="3"/>
        <v>4740.74</v>
      </c>
    </row>
    <row r="133" spans="1:17" s="13" customFormat="1" ht="15.75" x14ac:dyDescent="0.25">
      <c r="A133" s="10"/>
      <c r="B133" s="24" t="s">
        <v>152</v>
      </c>
      <c r="C133" s="1" t="s">
        <v>17</v>
      </c>
      <c r="D133" s="120"/>
      <c r="E133" s="3" t="s">
        <v>32</v>
      </c>
      <c r="F133" s="73"/>
      <c r="G133" s="11" t="s">
        <v>117</v>
      </c>
      <c r="H133" s="1"/>
      <c r="I133" s="49"/>
      <c r="J133" s="46"/>
      <c r="K133" s="40"/>
      <c r="L133" s="40"/>
      <c r="M133" s="78">
        <f t="shared" si="4"/>
        <v>0</v>
      </c>
      <c r="N133" s="41"/>
      <c r="O133" s="31"/>
      <c r="P133" s="31"/>
      <c r="Q133" s="79">
        <f t="shared" si="3"/>
        <v>0</v>
      </c>
    </row>
    <row r="134" spans="1:17" s="13" customFormat="1" ht="15.75" x14ac:dyDescent="0.25">
      <c r="A134" s="10"/>
      <c r="B134" s="30" t="s">
        <v>83</v>
      </c>
      <c r="C134" s="1" t="s">
        <v>17</v>
      </c>
      <c r="D134" s="120"/>
      <c r="E134" s="3" t="s">
        <v>20</v>
      </c>
      <c r="F134" s="73" t="s">
        <v>393</v>
      </c>
      <c r="G134" s="74" t="s">
        <v>112</v>
      </c>
      <c r="H134" s="75">
        <v>4</v>
      </c>
      <c r="I134" s="76"/>
      <c r="J134" s="96"/>
      <c r="K134" s="77"/>
      <c r="L134" s="77"/>
      <c r="M134" s="38">
        <f t="shared" si="4"/>
        <v>0</v>
      </c>
      <c r="N134" s="100"/>
      <c r="O134" s="81"/>
      <c r="P134" s="81"/>
      <c r="Q134" s="12">
        <f t="shared" si="3"/>
        <v>0</v>
      </c>
    </row>
    <row r="135" spans="1:17" s="13" customFormat="1" ht="15.75" x14ac:dyDescent="0.25">
      <c r="A135" s="10"/>
      <c r="B135" s="24" t="s">
        <v>83</v>
      </c>
      <c r="C135" s="1" t="s">
        <v>17</v>
      </c>
      <c r="D135" s="120"/>
      <c r="E135" s="3" t="s">
        <v>20</v>
      </c>
      <c r="F135" s="73" t="s">
        <v>464</v>
      </c>
      <c r="G135" s="11" t="s">
        <v>114</v>
      </c>
      <c r="H135" s="1">
        <v>2</v>
      </c>
      <c r="I135" s="49"/>
      <c r="J135" s="51"/>
      <c r="K135" s="40"/>
      <c r="L135" s="40"/>
      <c r="M135" s="78">
        <f t="shared" si="4"/>
        <v>0</v>
      </c>
      <c r="N135" s="41"/>
      <c r="O135" s="31"/>
      <c r="P135" s="31"/>
      <c r="Q135" s="79">
        <f t="shared" si="3"/>
        <v>0</v>
      </c>
    </row>
    <row r="136" spans="1:17" s="13" customFormat="1" ht="15.75" x14ac:dyDescent="0.25">
      <c r="A136" s="10"/>
      <c r="B136" s="24" t="s">
        <v>310</v>
      </c>
      <c r="C136" s="1"/>
      <c r="D136" s="120"/>
      <c r="E136" s="3" t="s">
        <v>20</v>
      </c>
      <c r="F136" s="73"/>
      <c r="G136" s="11" t="s">
        <v>114</v>
      </c>
      <c r="H136" s="1"/>
      <c r="I136" s="49"/>
      <c r="J136" s="51"/>
      <c r="K136" s="40"/>
      <c r="L136" s="40"/>
      <c r="M136" s="78"/>
      <c r="N136" s="41"/>
      <c r="O136" s="31"/>
      <c r="P136" s="31"/>
      <c r="Q136" s="79"/>
    </row>
    <row r="137" spans="1:17" s="13" customFormat="1" ht="15.75" x14ac:dyDescent="0.25">
      <c r="A137" s="10"/>
      <c r="B137" s="30" t="s">
        <v>84</v>
      </c>
      <c r="C137" s="1"/>
      <c r="D137" s="120"/>
      <c r="E137" s="3" t="s">
        <v>20</v>
      </c>
      <c r="F137" s="73" t="s">
        <v>287</v>
      </c>
      <c r="G137" s="11" t="s">
        <v>114</v>
      </c>
      <c r="H137" s="1"/>
      <c r="I137" s="49"/>
      <c r="J137" s="51"/>
      <c r="K137" s="40"/>
      <c r="L137" s="40"/>
      <c r="M137" s="38">
        <f t="shared" si="4"/>
        <v>0</v>
      </c>
      <c r="N137" s="41"/>
      <c r="O137" s="31"/>
      <c r="P137" s="31"/>
      <c r="Q137" s="12">
        <f t="shared" si="3"/>
        <v>0</v>
      </c>
    </row>
    <row r="138" spans="1:17" s="13" customFormat="1" ht="47.25" x14ac:dyDescent="0.25">
      <c r="A138" s="10"/>
      <c r="B138" s="30" t="s">
        <v>85</v>
      </c>
      <c r="C138" s="1" t="s">
        <v>304</v>
      </c>
      <c r="D138" s="120" t="s">
        <v>415</v>
      </c>
      <c r="E138" s="3" t="s">
        <v>20</v>
      </c>
      <c r="F138" s="73" t="s">
        <v>395</v>
      </c>
      <c r="G138" s="74" t="s">
        <v>112</v>
      </c>
      <c r="H138" s="75">
        <v>2</v>
      </c>
      <c r="I138" s="76"/>
      <c r="J138" s="96"/>
      <c r="K138" s="77"/>
      <c r="L138" s="77"/>
      <c r="M138" s="38">
        <f t="shared" si="4"/>
        <v>0</v>
      </c>
      <c r="N138" s="100"/>
      <c r="O138" s="81"/>
      <c r="P138" s="81"/>
      <c r="Q138" s="79">
        <f t="shared" si="3"/>
        <v>0</v>
      </c>
    </row>
    <row r="139" spans="1:17" s="13" customFormat="1" ht="15.75" x14ac:dyDescent="0.25">
      <c r="A139" s="10"/>
      <c r="B139" s="27" t="s">
        <v>86</v>
      </c>
      <c r="C139" s="1" t="s">
        <v>17</v>
      </c>
      <c r="D139" s="120"/>
      <c r="E139" s="17" t="s">
        <v>20</v>
      </c>
      <c r="F139" s="73" t="s">
        <v>396</v>
      </c>
      <c r="G139" s="74" t="s">
        <v>112</v>
      </c>
      <c r="H139" s="75">
        <v>2</v>
      </c>
      <c r="I139" s="76">
        <v>1</v>
      </c>
      <c r="J139" s="96">
        <f>1</f>
        <v>1</v>
      </c>
      <c r="K139" s="77">
        <f>950.9</f>
        <v>950.9</v>
      </c>
      <c r="L139" s="77"/>
      <c r="M139" s="38">
        <f t="shared" si="4"/>
        <v>950.9</v>
      </c>
      <c r="N139" s="100">
        <f>15+4</f>
        <v>19</v>
      </c>
      <c r="O139" s="81">
        <f>30236.61+18366.75</f>
        <v>48603.360000000001</v>
      </c>
      <c r="P139" s="81"/>
      <c r="Q139" s="12">
        <f t="shared" si="3"/>
        <v>48603.360000000001</v>
      </c>
    </row>
    <row r="140" spans="1:17" s="13" customFormat="1" ht="15.75" x14ac:dyDescent="0.25">
      <c r="A140" s="10"/>
      <c r="B140" s="25" t="s">
        <v>86</v>
      </c>
      <c r="C140" s="1" t="s">
        <v>17</v>
      </c>
      <c r="D140" s="120"/>
      <c r="E140" s="17" t="s">
        <v>20</v>
      </c>
      <c r="F140" s="73" t="s">
        <v>465</v>
      </c>
      <c r="G140" s="11" t="s">
        <v>114</v>
      </c>
      <c r="H140" s="1"/>
      <c r="I140" s="49"/>
      <c r="J140" s="51"/>
      <c r="K140" s="40"/>
      <c r="L140" s="40"/>
      <c r="M140" s="78">
        <f t="shared" si="4"/>
        <v>0</v>
      </c>
      <c r="N140" s="41"/>
      <c r="O140" s="31"/>
      <c r="P140" s="31"/>
      <c r="Q140" s="79">
        <f t="shared" si="3"/>
        <v>0</v>
      </c>
    </row>
    <row r="141" spans="1:17" s="13" customFormat="1" ht="15.75" x14ac:dyDescent="0.25">
      <c r="A141" s="10"/>
      <c r="B141" s="62" t="s">
        <v>87</v>
      </c>
      <c r="C141" s="1" t="s">
        <v>17</v>
      </c>
      <c r="D141" s="120"/>
      <c r="E141" s="17" t="s">
        <v>78</v>
      </c>
      <c r="F141" s="73" t="s">
        <v>142</v>
      </c>
      <c r="G141" s="74" t="s">
        <v>112</v>
      </c>
      <c r="H141" s="75"/>
      <c r="I141" s="76"/>
      <c r="J141" s="96"/>
      <c r="K141" s="77"/>
      <c r="L141" s="77"/>
      <c r="M141" s="38">
        <f t="shared" si="4"/>
        <v>0</v>
      </c>
      <c r="N141" s="100"/>
      <c r="O141" s="81"/>
      <c r="P141" s="81"/>
      <c r="Q141" s="12">
        <f t="shared" ref="Q141:Q181" si="5">O141-P141</f>
        <v>0</v>
      </c>
    </row>
    <row r="142" spans="1:17" s="13" customFormat="1" ht="15.75" x14ac:dyDescent="0.25">
      <c r="A142" s="10"/>
      <c r="B142" s="62" t="s">
        <v>312</v>
      </c>
      <c r="C142" s="1" t="s">
        <v>17</v>
      </c>
      <c r="D142" s="120"/>
      <c r="E142" s="17" t="s">
        <v>20</v>
      </c>
      <c r="F142" s="73" t="s">
        <v>320</v>
      </c>
      <c r="G142" s="74" t="s">
        <v>112</v>
      </c>
      <c r="H142" s="75">
        <v>4</v>
      </c>
      <c r="I142" s="76"/>
      <c r="J142" s="96"/>
      <c r="K142" s="77"/>
      <c r="L142" s="77"/>
      <c r="M142" s="38"/>
      <c r="N142" s="100">
        <f>5+6</f>
        <v>11</v>
      </c>
      <c r="O142" s="81">
        <f>4226.2</f>
        <v>4226.2</v>
      </c>
      <c r="P142" s="81"/>
      <c r="Q142" s="12"/>
    </row>
    <row r="143" spans="1:17" s="13" customFormat="1" ht="15.75" x14ac:dyDescent="0.25">
      <c r="A143" s="10"/>
      <c r="B143" s="30" t="s">
        <v>88</v>
      </c>
      <c r="C143" s="1" t="s">
        <v>17</v>
      </c>
      <c r="D143" s="120"/>
      <c r="E143" s="3" t="s">
        <v>89</v>
      </c>
      <c r="F143" s="73" t="s">
        <v>397</v>
      </c>
      <c r="G143" s="74" t="s">
        <v>112</v>
      </c>
      <c r="H143" s="75"/>
      <c r="I143" s="76"/>
      <c r="J143" s="96"/>
      <c r="K143" s="77"/>
      <c r="L143" s="77"/>
      <c r="M143" s="38">
        <f t="shared" si="4"/>
        <v>0</v>
      </c>
      <c r="N143" s="100">
        <f>4+1+3</f>
        <v>8</v>
      </c>
      <c r="O143" s="81">
        <f>11967.83+2831.55</f>
        <v>14799.380000000001</v>
      </c>
      <c r="P143" s="81"/>
      <c r="Q143" s="79">
        <f t="shared" si="5"/>
        <v>14799.380000000001</v>
      </c>
    </row>
    <row r="144" spans="1:17" s="13" customFormat="1" ht="15.75" x14ac:dyDescent="0.25">
      <c r="A144" s="10"/>
      <c r="B144" s="24" t="s">
        <v>88</v>
      </c>
      <c r="C144" s="1" t="s">
        <v>17</v>
      </c>
      <c r="D144" s="120"/>
      <c r="E144" s="3" t="s">
        <v>89</v>
      </c>
      <c r="F144" s="73" t="s">
        <v>442</v>
      </c>
      <c r="G144" s="11" t="s">
        <v>118</v>
      </c>
      <c r="H144" s="1">
        <v>1</v>
      </c>
      <c r="I144" s="49"/>
      <c r="J144" s="46"/>
      <c r="K144" s="40"/>
      <c r="L144" s="40"/>
      <c r="M144" s="38">
        <f t="shared" si="4"/>
        <v>0</v>
      </c>
      <c r="N144" s="41">
        <v>1</v>
      </c>
      <c r="O144" s="31">
        <v>6026.87</v>
      </c>
      <c r="P144" s="31"/>
      <c r="Q144" s="12">
        <f t="shared" si="5"/>
        <v>6026.87</v>
      </c>
    </row>
    <row r="145" spans="1:17" s="13" customFormat="1" ht="15.75" x14ac:dyDescent="0.25">
      <c r="A145" s="10"/>
      <c r="B145" s="30" t="s">
        <v>90</v>
      </c>
      <c r="C145" s="1" t="s">
        <v>17</v>
      </c>
      <c r="D145" s="120"/>
      <c r="E145" s="17" t="s">
        <v>20</v>
      </c>
      <c r="F145" s="73" t="s">
        <v>398</v>
      </c>
      <c r="G145" s="74" t="s">
        <v>112</v>
      </c>
      <c r="H145" s="75">
        <v>1</v>
      </c>
      <c r="I145" s="76"/>
      <c r="J145" s="96"/>
      <c r="K145" s="77"/>
      <c r="L145" s="77"/>
      <c r="M145" s="38">
        <f t="shared" si="4"/>
        <v>0</v>
      </c>
      <c r="N145" s="100"/>
      <c r="O145" s="81"/>
      <c r="P145" s="81"/>
      <c r="Q145" s="79">
        <f t="shared" si="5"/>
        <v>0</v>
      </c>
    </row>
    <row r="146" spans="1:17" s="13" customFormat="1" ht="15.75" x14ac:dyDescent="0.25">
      <c r="A146" s="10"/>
      <c r="B146" s="24" t="s">
        <v>90</v>
      </c>
      <c r="C146" s="1" t="s">
        <v>17</v>
      </c>
      <c r="D146" s="120"/>
      <c r="E146" s="17" t="s">
        <v>20</v>
      </c>
      <c r="F146" s="73" t="s">
        <v>466</v>
      </c>
      <c r="G146" s="11" t="s">
        <v>114</v>
      </c>
      <c r="H146" s="1">
        <v>1</v>
      </c>
      <c r="I146" s="49"/>
      <c r="J146" s="51"/>
      <c r="K146" s="40"/>
      <c r="L146" s="40"/>
      <c r="M146" s="78">
        <f t="shared" si="4"/>
        <v>0</v>
      </c>
      <c r="N146" s="41"/>
      <c r="O146" s="31"/>
      <c r="P146" s="31"/>
      <c r="Q146" s="12">
        <f t="shared" si="5"/>
        <v>0</v>
      </c>
    </row>
    <row r="147" spans="1:17" s="13" customFormat="1" ht="15.75" x14ac:dyDescent="0.25">
      <c r="A147" s="10"/>
      <c r="B147" s="30" t="s">
        <v>91</v>
      </c>
      <c r="C147" s="1" t="s">
        <v>17</v>
      </c>
      <c r="D147" s="120"/>
      <c r="E147" s="17" t="s">
        <v>20</v>
      </c>
      <c r="F147" s="73" t="s">
        <v>399</v>
      </c>
      <c r="G147" s="74" t="s">
        <v>112</v>
      </c>
      <c r="H147" s="75"/>
      <c r="I147" s="76"/>
      <c r="J147" s="96"/>
      <c r="K147" s="77"/>
      <c r="L147" s="77"/>
      <c r="M147" s="38">
        <f t="shared" si="4"/>
        <v>0</v>
      </c>
      <c r="N147" s="100"/>
      <c r="O147" s="81"/>
      <c r="P147" s="81"/>
      <c r="Q147" s="79">
        <f t="shared" si="5"/>
        <v>0</v>
      </c>
    </row>
    <row r="148" spans="1:17" s="13" customFormat="1" ht="15.75" x14ac:dyDescent="0.25">
      <c r="A148" s="10">
        <v>93</v>
      </c>
      <c r="B148" s="22" t="s">
        <v>138</v>
      </c>
      <c r="C148" s="1" t="s">
        <v>17</v>
      </c>
      <c r="D148" s="120"/>
      <c r="E148" s="17" t="s">
        <v>20</v>
      </c>
      <c r="F148" s="73" t="s">
        <v>467</v>
      </c>
      <c r="G148" s="11" t="s">
        <v>114</v>
      </c>
      <c r="H148" s="1">
        <v>1</v>
      </c>
      <c r="I148" s="49"/>
      <c r="J148" s="51"/>
      <c r="K148" s="37"/>
      <c r="L148" s="37"/>
      <c r="M148" s="78">
        <f t="shared" si="4"/>
        <v>0</v>
      </c>
      <c r="N148" s="39"/>
      <c r="O148" s="31"/>
      <c r="P148" s="31"/>
      <c r="Q148" s="12">
        <f t="shared" si="5"/>
        <v>0</v>
      </c>
    </row>
    <row r="149" spans="1:17" s="13" customFormat="1" ht="15.75" x14ac:dyDescent="0.25">
      <c r="A149" s="10"/>
      <c r="B149" s="62" t="s">
        <v>138</v>
      </c>
      <c r="C149" s="1" t="s">
        <v>17</v>
      </c>
      <c r="D149" s="120"/>
      <c r="E149" s="17" t="s">
        <v>20</v>
      </c>
      <c r="F149" s="73" t="s">
        <v>400</v>
      </c>
      <c r="G149" s="74" t="s">
        <v>112</v>
      </c>
      <c r="H149" s="75">
        <v>1</v>
      </c>
      <c r="I149" s="82"/>
      <c r="J149" s="96"/>
      <c r="K149" s="77"/>
      <c r="L149" s="77"/>
      <c r="M149" s="38">
        <f t="shared" si="4"/>
        <v>0</v>
      </c>
      <c r="N149" s="100">
        <f>5</f>
        <v>5</v>
      </c>
      <c r="O149" s="81">
        <v>8995.8700000000008</v>
      </c>
      <c r="P149" s="81"/>
      <c r="Q149" s="79">
        <f t="shared" si="5"/>
        <v>8995.8700000000008</v>
      </c>
    </row>
    <row r="150" spans="1:17" s="13" customFormat="1" ht="15.75" x14ac:dyDescent="0.25">
      <c r="A150" s="10"/>
      <c r="B150" s="62" t="s">
        <v>157</v>
      </c>
      <c r="C150" s="1" t="s">
        <v>17</v>
      </c>
      <c r="D150" s="120"/>
      <c r="E150" s="17" t="s">
        <v>20</v>
      </c>
      <c r="F150" s="73" t="s">
        <v>401</v>
      </c>
      <c r="G150" s="74" t="s">
        <v>112</v>
      </c>
      <c r="H150" s="75">
        <v>2</v>
      </c>
      <c r="I150" s="82"/>
      <c r="J150" s="96"/>
      <c r="K150" s="77"/>
      <c r="L150" s="77"/>
      <c r="M150" s="38">
        <f t="shared" ref="M150:M180" si="6">K150-L150</f>
        <v>0</v>
      </c>
      <c r="N150" s="100"/>
      <c r="O150" s="81"/>
      <c r="P150" s="81"/>
      <c r="Q150" s="12">
        <f t="shared" si="5"/>
        <v>0</v>
      </c>
    </row>
    <row r="151" spans="1:17" s="13" customFormat="1" ht="15.75" x14ac:dyDescent="0.25">
      <c r="A151" s="10"/>
      <c r="B151" s="22" t="s">
        <v>157</v>
      </c>
      <c r="C151" s="1" t="s">
        <v>17</v>
      </c>
      <c r="D151" s="120"/>
      <c r="E151" s="17" t="s">
        <v>20</v>
      </c>
      <c r="F151" s="73"/>
      <c r="G151" s="11" t="s">
        <v>114</v>
      </c>
      <c r="H151" s="1"/>
      <c r="I151" s="49"/>
      <c r="J151" s="51"/>
      <c r="K151" s="37"/>
      <c r="L151" s="37"/>
      <c r="M151" s="38">
        <f t="shared" si="6"/>
        <v>0</v>
      </c>
      <c r="N151" s="39"/>
      <c r="O151" s="31"/>
      <c r="P151" s="31"/>
      <c r="Q151" s="79">
        <f t="shared" si="5"/>
        <v>0</v>
      </c>
    </row>
    <row r="152" spans="1:17" s="15" customFormat="1" ht="15.75" x14ac:dyDescent="0.25">
      <c r="A152" s="14"/>
      <c r="B152" s="80" t="s">
        <v>92</v>
      </c>
      <c r="C152" s="1" t="s">
        <v>17</v>
      </c>
      <c r="D152" s="120"/>
      <c r="E152" s="17" t="s">
        <v>20</v>
      </c>
      <c r="F152" s="73" t="s">
        <v>402</v>
      </c>
      <c r="G152" s="74" t="s">
        <v>112</v>
      </c>
      <c r="H152" s="75">
        <v>2</v>
      </c>
      <c r="I152" s="76"/>
      <c r="J152" s="96"/>
      <c r="K152" s="77"/>
      <c r="L152" s="77"/>
      <c r="M152" s="38">
        <f t="shared" si="6"/>
        <v>0</v>
      </c>
      <c r="N152" s="100">
        <f>4</f>
        <v>4</v>
      </c>
      <c r="O152" s="81">
        <f>12624.74</f>
        <v>12624.74</v>
      </c>
      <c r="P152" s="81">
        <f>12624.74</f>
        <v>12624.74</v>
      </c>
      <c r="Q152" s="12">
        <f t="shared" si="5"/>
        <v>0</v>
      </c>
    </row>
    <row r="153" spans="1:17" s="15" customFormat="1" ht="15.75" x14ac:dyDescent="0.25">
      <c r="A153" s="14"/>
      <c r="B153" s="23" t="s">
        <v>92</v>
      </c>
      <c r="C153" s="1" t="s">
        <v>17</v>
      </c>
      <c r="D153" s="120"/>
      <c r="E153" s="17" t="s">
        <v>20</v>
      </c>
      <c r="F153" s="73" t="s">
        <v>129</v>
      </c>
      <c r="G153" s="11" t="s">
        <v>114</v>
      </c>
      <c r="H153" s="1"/>
      <c r="I153" s="49"/>
      <c r="J153" s="51"/>
      <c r="K153" s="40"/>
      <c r="L153" s="40"/>
      <c r="M153" s="38">
        <f t="shared" si="6"/>
        <v>0</v>
      </c>
      <c r="N153" s="39"/>
      <c r="O153" s="31"/>
      <c r="P153" s="31"/>
      <c r="Q153" s="79">
        <f t="shared" si="5"/>
        <v>0</v>
      </c>
    </row>
    <row r="154" spans="1:17" s="13" customFormat="1" ht="15.75" x14ac:dyDescent="0.25">
      <c r="A154" s="10"/>
      <c r="B154" s="30" t="s">
        <v>93</v>
      </c>
      <c r="C154" s="1" t="s">
        <v>17</v>
      </c>
      <c r="D154" s="120"/>
      <c r="E154" s="3" t="s">
        <v>94</v>
      </c>
      <c r="F154" s="73" t="s">
        <v>403</v>
      </c>
      <c r="G154" s="74" t="s">
        <v>112</v>
      </c>
      <c r="H154" s="75">
        <v>7</v>
      </c>
      <c r="I154" s="76">
        <v>2</v>
      </c>
      <c r="J154" s="96">
        <f>2</f>
        <v>2</v>
      </c>
      <c r="K154" s="77"/>
      <c r="L154" s="77"/>
      <c r="M154" s="38">
        <f t="shared" si="6"/>
        <v>0</v>
      </c>
      <c r="N154" s="100">
        <f>3+8</f>
        <v>11</v>
      </c>
      <c r="O154" s="81"/>
      <c r="P154" s="81"/>
      <c r="Q154" s="12">
        <f t="shared" si="5"/>
        <v>0</v>
      </c>
    </row>
    <row r="155" spans="1:17" s="13" customFormat="1" ht="15.75" x14ac:dyDescent="0.25">
      <c r="A155" s="10"/>
      <c r="B155" s="24" t="s">
        <v>93</v>
      </c>
      <c r="C155" s="1" t="s">
        <v>17</v>
      </c>
      <c r="D155" s="120"/>
      <c r="E155" s="3" t="s">
        <v>94</v>
      </c>
      <c r="F155" s="73" t="s">
        <v>130</v>
      </c>
      <c r="G155" s="11" t="s">
        <v>114</v>
      </c>
      <c r="H155" s="1"/>
      <c r="I155" s="49"/>
      <c r="J155" s="51"/>
      <c r="K155" s="40"/>
      <c r="L155" s="77"/>
      <c r="M155" s="38">
        <f t="shared" si="6"/>
        <v>0</v>
      </c>
      <c r="N155" s="41"/>
      <c r="O155" s="31"/>
      <c r="P155" s="31"/>
      <c r="Q155" s="79">
        <f t="shared" si="5"/>
        <v>0</v>
      </c>
    </row>
    <row r="156" spans="1:17" s="13" customFormat="1" ht="15.75" x14ac:dyDescent="0.25">
      <c r="A156" s="10"/>
      <c r="B156" s="24" t="s">
        <v>93</v>
      </c>
      <c r="C156" s="1" t="s">
        <v>17</v>
      </c>
      <c r="D156" s="120"/>
      <c r="E156" s="3" t="s">
        <v>94</v>
      </c>
      <c r="F156" s="73" t="s">
        <v>240</v>
      </c>
      <c r="G156" s="11" t="s">
        <v>118</v>
      </c>
      <c r="H156" s="1"/>
      <c r="I156" s="49"/>
      <c r="J156" s="46"/>
      <c r="K156" s="40"/>
      <c r="L156" s="40"/>
      <c r="M156" s="78">
        <f t="shared" si="6"/>
        <v>0</v>
      </c>
      <c r="N156" s="41"/>
      <c r="O156" s="31"/>
      <c r="P156" s="31"/>
      <c r="Q156" s="12">
        <f t="shared" si="5"/>
        <v>0</v>
      </c>
    </row>
    <row r="157" spans="1:17" s="13" customFormat="1" ht="15.75" x14ac:dyDescent="0.25">
      <c r="A157" s="10"/>
      <c r="B157" s="30" t="s">
        <v>95</v>
      </c>
      <c r="C157" s="1" t="s">
        <v>17</v>
      </c>
      <c r="D157" s="120"/>
      <c r="E157" s="17" t="s">
        <v>20</v>
      </c>
      <c r="F157" s="73" t="s">
        <v>404</v>
      </c>
      <c r="G157" s="74" t="s">
        <v>112</v>
      </c>
      <c r="H157" s="75">
        <v>1</v>
      </c>
      <c r="I157" s="76"/>
      <c r="J157" s="96"/>
      <c r="K157" s="77"/>
      <c r="L157" s="77"/>
      <c r="M157" s="38">
        <f t="shared" si="6"/>
        <v>0</v>
      </c>
      <c r="N157" s="100">
        <f>1</f>
        <v>1</v>
      </c>
      <c r="O157" s="81">
        <f>11603.82</f>
        <v>11603.82</v>
      </c>
      <c r="P157" s="81"/>
      <c r="Q157" s="79">
        <f t="shared" si="5"/>
        <v>11603.82</v>
      </c>
    </row>
    <row r="158" spans="1:17" s="13" customFormat="1" ht="15.75" x14ac:dyDescent="0.25">
      <c r="A158" s="10"/>
      <c r="B158" s="24" t="s">
        <v>95</v>
      </c>
      <c r="C158" s="1" t="s">
        <v>17</v>
      </c>
      <c r="D158" s="120"/>
      <c r="E158" s="17" t="s">
        <v>20</v>
      </c>
      <c r="F158" s="73" t="s">
        <v>291</v>
      </c>
      <c r="G158" s="11" t="s">
        <v>114</v>
      </c>
      <c r="H158" s="1"/>
      <c r="I158" s="49"/>
      <c r="J158" s="51"/>
      <c r="K158" s="40"/>
      <c r="L158" s="40"/>
      <c r="M158" s="78">
        <f t="shared" si="6"/>
        <v>0</v>
      </c>
      <c r="N158" s="41"/>
      <c r="O158" s="31"/>
      <c r="P158" s="31"/>
      <c r="Q158" s="12">
        <f t="shared" si="5"/>
        <v>0</v>
      </c>
    </row>
    <row r="159" spans="1:17" s="13" customFormat="1" ht="15.75" x14ac:dyDescent="0.25">
      <c r="A159" s="10"/>
      <c r="B159" s="30" t="s">
        <v>96</v>
      </c>
      <c r="C159" s="1" t="s">
        <v>17</v>
      </c>
      <c r="D159" s="120"/>
      <c r="E159" s="17" t="s">
        <v>97</v>
      </c>
      <c r="F159" s="73" t="s">
        <v>405</v>
      </c>
      <c r="G159" s="74" t="s">
        <v>112</v>
      </c>
      <c r="H159" s="75"/>
      <c r="I159" s="76"/>
      <c r="J159" s="96"/>
      <c r="K159" s="77"/>
      <c r="L159" s="77"/>
      <c r="M159" s="38">
        <f t="shared" si="6"/>
        <v>0</v>
      </c>
      <c r="N159" s="103" t="s">
        <v>477</v>
      </c>
      <c r="O159" s="77"/>
      <c r="P159" s="77"/>
      <c r="Q159" s="79">
        <f t="shared" si="5"/>
        <v>0</v>
      </c>
    </row>
    <row r="160" spans="1:17" s="13" customFormat="1" ht="15.75" x14ac:dyDescent="0.25">
      <c r="A160" s="10"/>
      <c r="B160" s="24" t="s">
        <v>96</v>
      </c>
      <c r="C160" s="1" t="s">
        <v>17</v>
      </c>
      <c r="D160" s="120"/>
      <c r="E160" s="17" t="s">
        <v>97</v>
      </c>
      <c r="F160" s="73" t="s">
        <v>468</v>
      </c>
      <c r="G160" s="11" t="s">
        <v>114</v>
      </c>
      <c r="H160" s="1">
        <v>1</v>
      </c>
      <c r="I160" s="49"/>
      <c r="J160" s="51"/>
      <c r="K160" s="40"/>
      <c r="L160" s="40"/>
      <c r="M160" s="78">
        <f t="shared" si="6"/>
        <v>0</v>
      </c>
      <c r="N160" s="41"/>
      <c r="O160" s="31"/>
      <c r="P160" s="31"/>
      <c r="Q160" s="12">
        <f t="shared" si="5"/>
        <v>0</v>
      </c>
    </row>
    <row r="161" spans="1:17" s="13" customFormat="1" ht="15.75" x14ac:dyDescent="0.25">
      <c r="A161" s="10"/>
      <c r="B161" s="30" t="s">
        <v>98</v>
      </c>
      <c r="C161" s="1" t="s">
        <v>17</v>
      </c>
      <c r="D161" s="120"/>
      <c r="E161" s="17" t="s">
        <v>35</v>
      </c>
      <c r="F161" s="73" t="s">
        <v>406</v>
      </c>
      <c r="G161" s="74" t="s">
        <v>112</v>
      </c>
      <c r="H161" s="75">
        <v>4</v>
      </c>
      <c r="I161" s="76"/>
      <c r="J161" s="96"/>
      <c r="K161" s="77"/>
      <c r="L161" s="77"/>
      <c r="M161" s="38">
        <f t="shared" si="6"/>
        <v>0</v>
      </c>
      <c r="N161" s="100">
        <f>9+1</f>
        <v>10</v>
      </c>
      <c r="O161" s="81">
        <f>17007.01+2697.06</f>
        <v>19704.07</v>
      </c>
      <c r="P161" s="81"/>
      <c r="Q161" s="79">
        <f t="shared" si="5"/>
        <v>19704.07</v>
      </c>
    </row>
    <row r="162" spans="1:17" s="13" customFormat="1" ht="15.75" x14ac:dyDescent="0.25">
      <c r="A162" s="10"/>
      <c r="B162" s="24" t="s">
        <v>98</v>
      </c>
      <c r="C162" s="1" t="s">
        <v>17</v>
      </c>
      <c r="D162" s="120"/>
      <c r="E162" s="17" t="s">
        <v>35</v>
      </c>
      <c r="F162" s="73" t="s">
        <v>435</v>
      </c>
      <c r="G162" s="8" t="s">
        <v>117</v>
      </c>
      <c r="H162" s="1">
        <v>1</v>
      </c>
      <c r="I162" s="49"/>
      <c r="J162" s="46"/>
      <c r="K162" s="40"/>
      <c r="L162" s="40"/>
      <c r="M162" s="78">
        <f t="shared" si="6"/>
        <v>0</v>
      </c>
      <c r="N162" s="41">
        <f>4</f>
        <v>4</v>
      </c>
      <c r="O162" s="40"/>
      <c r="P162" s="40"/>
      <c r="Q162" s="12">
        <f t="shared" si="5"/>
        <v>0</v>
      </c>
    </row>
    <row r="163" spans="1:17" s="15" customFormat="1" ht="15.75" x14ac:dyDescent="0.25">
      <c r="A163" s="14"/>
      <c r="B163" s="84" t="s">
        <v>99</v>
      </c>
      <c r="C163" s="1" t="s">
        <v>17</v>
      </c>
      <c r="D163" s="120"/>
      <c r="E163" s="3" t="s">
        <v>32</v>
      </c>
      <c r="F163" s="73" t="s">
        <v>418</v>
      </c>
      <c r="G163" s="74" t="s">
        <v>112</v>
      </c>
      <c r="H163" s="75"/>
      <c r="I163" s="76"/>
      <c r="J163" s="96"/>
      <c r="K163" s="77"/>
      <c r="L163" s="77"/>
      <c r="M163" s="38">
        <f t="shared" si="6"/>
        <v>0</v>
      </c>
      <c r="N163" s="100"/>
      <c r="O163" s="81"/>
      <c r="P163" s="81"/>
      <c r="Q163" s="79">
        <f t="shared" si="5"/>
        <v>0</v>
      </c>
    </row>
    <row r="164" spans="1:17" s="15" customFormat="1" ht="15.75" x14ac:dyDescent="0.25">
      <c r="A164" s="14"/>
      <c r="B164" s="29" t="s">
        <v>99</v>
      </c>
      <c r="C164" s="1" t="s">
        <v>17</v>
      </c>
      <c r="D164" s="120"/>
      <c r="E164" s="3" t="s">
        <v>32</v>
      </c>
      <c r="F164" s="73" t="s">
        <v>423</v>
      </c>
      <c r="G164" s="8" t="s">
        <v>117</v>
      </c>
      <c r="H164" s="1"/>
      <c r="I164" s="49"/>
      <c r="J164" s="51"/>
      <c r="K164" s="40"/>
      <c r="L164" s="40"/>
      <c r="M164" s="78">
        <f t="shared" si="6"/>
        <v>0</v>
      </c>
      <c r="N164" s="39"/>
      <c r="O164" s="40"/>
      <c r="P164" s="40"/>
      <c r="Q164" s="12">
        <f t="shared" si="5"/>
        <v>0</v>
      </c>
    </row>
    <row r="165" spans="1:17" s="15" customFormat="1" ht="31.5" x14ac:dyDescent="0.25">
      <c r="A165" s="14"/>
      <c r="B165" s="30" t="s">
        <v>144</v>
      </c>
      <c r="C165" s="1" t="s">
        <v>304</v>
      </c>
      <c r="D165" s="120" t="s">
        <v>313</v>
      </c>
      <c r="E165" s="17" t="s">
        <v>97</v>
      </c>
      <c r="F165" s="73" t="s">
        <v>407</v>
      </c>
      <c r="G165" s="66" t="s">
        <v>112</v>
      </c>
      <c r="H165" s="75">
        <v>4</v>
      </c>
      <c r="I165" s="76">
        <v>2</v>
      </c>
      <c r="J165" s="96">
        <f>2</f>
        <v>2</v>
      </c>
      <c r="K165" s="77">
        <f>950.9</f>
        <v>950.9</v>
      </c>
      <c r="L165" s="77"/>
      <c r="M165" s="38">
        <f t="shared" si="6"/>
        <v>950.9</v>
      </c>
      <c r="N165" s="100">
        <f>3+2</f>
        <v>5</v>
      </c>
      <c r="O165" s="77">
        <f>5020.57+5494.06</f>
        <v>10514.630000000001</v>
      </c>
      <c r="P165" s="77"/>
      <c r="Q165" s="79">
        <f t="shared" si="5"/>
        <v>10514.630000000001</v>
      </c>
    </row>
    <row r="166" spans="1:17" s="15" customFormat="1" ht="31.5" x14ac:dyDescent="0.25">
      <c r="A166" s="14"/>
      <c r="B166" s="34" t="s">
        <v>144</v>
      </c>
      <c r="C166" s="1" t="s">
        <v>446</v>
      </c>
      <c r="D166" s="120" t="s">
        <v>313</v>
      </c>
      <c r="E166" s="3" t="s">
        <v>20</v>
      </c>
      <c r="F166" s="73" t="s">
        <v>485</v>
      </c>
      <c r="G166" s="8" t="s">
        <v>114</v>
      </c>
      <c r="H166" s="1">
        <v>2</v>
      </c>
      <c r="I166" s="49"/>
      <c r="J166" s="51"/>
      <c r="K166" s="40"/>
      <c r="L166" s="40"/>
      <c r="M166" s="78">
        <f t="shared" si="6"/>
        <v>0</v>
      </c>
      <c r="N166" s="42"/>
      <c r="O166" s="31"/>
      <c r="P166" s="31"/>
      <c r="Q166" s="12">
        <f t="shared" si="5"/>
        <v>0</v>
      </c>
    </row>
    <row r="167" spans="1:17" s="21" customFormat="1" ht="47.25" x14ac:dyDescent="0.25">
      <c r="A167" s="1"/>
      <c r="B167" s="30" t="s">
        <v>100</v>
      </c>
      <c r="C167" s="1" t="s">
        <v>304</v>
      </c>
      <c r="D167" s="120" t="s">
        <v>416</v>
      </c>
      <c r="E167" s="17" t="s">
        <v>20</v>
      </c>
      <c r="F167" s="73" t="s">
        <v>408</v>
      </c>
      <c r="G167" s="27" t="s">
        <v>112</v>
      </c>
      <c r="H167" s="75">
        <v>2</v>
      </c>
      <c r="I167" s="76"/>
      <c r="J167" s="98"/>
      <c r="K167" s="86"/>
      <c r="L167" s="86"/>
      <c r="M167" s="38">
        <f t="shared" si="6"/>
        <v>0</v>
      </c>
      <c r="N167" s="100">
        <f>1</f>
        <v>1</v>
      </c>
      <c r="O167" s="87"/>
      <c r="P167" s="87"/>
      <c r="Q167" s="79">
        <f t="shared" si="5"/>
        <v>0</v>
      </c>
    </row>
    <row r="168" spans="1:17" s="21" customFormat="1" ht="47.25" x14ac:dyDescent="0.25">
      <c r="A168" s="1"/>
      <c r="B168" s="24" t="s">
        <v>100</v>
      </c>
      <c r="C168" s="18" t="s">
        <v>125</v>
      </c>
      <c r="D168" s="120" t="s">
        <v>126</v>
      </c>
      <c r="E168" s="17" t="s">
        <v>20</v>
      </c>
      <c r="F168" s="73" t="s">
        <v>486</v>
      </c>
      <c r="G168" s="20" t="s">
        <v>114</v>
      </c>
      <c r="H168" s="1">
        <v>1</v>
      </c>
      <c r="I168" s="53"/>
      <c r="J168" s="52"/>
      <c r="K168" s="55"/>
      <c r="L168" s="55"/>
      <c r="M168" s="78">
        <f t="shared" si="6"/>
        <v>0</v>
      </c>
      <c r="N168" s="41"/>
      <c r="O168" s="54"/>
      <c r="P168" s="54"/>
      <c r="Q168" s="12">
        <f t="shared" si="5"/>
        <v>0</v>
      </c>
    </row>
    <row r="169" spans="1:17" s="13" customFormat="1" ht="15.75" x14ac:dyDescent="0.25">
      <c r="A169" s="10"/>
      <c r="B169" s="62" t="s">
        <v>101</v>
      </c>
      <c r="C169" s="1" t="s">
        <v>17</v>
      </c>
      <c r="D169" s="120"/>
      <c r="E169" s="17" t="s">
        <v>20</v>
      </c>
      <c r="F169" s="73" t="s">
        <v>409</v>
      </c>
      <c r="G169" s="74" t="s">
        <v>112</v>
      </c>
      <c r="H169" s="75">
        <v>1</v>
      </c>
      <c r="I169" s="76"/>
      <c r="J169" s="96"/>
      <c r="K169" s="77"/>
      <c r="L169" s="77"/>
      <c r="M169" s="38">
        <f t="shared" si="6"/>
        <v>0</v>
      </c>
      <c r="N169" s="100">
        <f>5</f>
        <v>5</v>
      </c>
      <c r="O169" s="81"/>
      <c r="P169" s="81"/>
      <c r="Q169" s="79">
        <f t="shared" si="5"/>
        <v>0</v>
      </c>
    </row>
    <row r="170" spans="1:17" s="13" customFormat="1" ht="15.75" x14ac:dyDescent="0.25">
      <c r="A170" s="10"/>
      <c r="B170" s="62" t="s">
        <v>146</v>
      </c>
      <c r="C170" s="1" t="s">
        <v>17</v>
      </c>
      <c r="D170" s="120"/>
      <c r="E170" s="17" t="s">
        <v>20</v>
      </c>
      <c r="F170" s="73" t="s">
        <v>410</v>
      </c>
      <c r="G170" s="74" t="s">
        <v>112</v>
      </c>
      <c r="H170" s="75">
        <v>4</v>
      </c>
      <c r="I170" s="76"/>
      <c r="J170" s="96"/>
      <c r="K170" s="77"/>
      <c r="L170" s="77"/>
      <c r="M170" s="38">
        <f t="shared" si="6"/>
        <v>0</v>
      </c>
      <c r="N170" s="100">
        <f>5</f>
        <v>5</v>
      </c>
      <c r="O170" s="81">
        <f>13579.06</f>
        <v>13579.06</v>
      </c>
      <c r="P170" s="81"/>
      <c r="Q170" s="12">
        <f t="shared" si="5"/>
        <v>13579.06</v>
      </c>
    </row>
    <row r="171" spans="1:17" s="13" customFormat="1" ht="15.75" x14ac:dyDescent="0.25">
      <c r="A171" s="10"/>
      <c r="B171" s="22" t="s">
        <v>146</v>
      </c>
      <c r="C171" s="1" t="s">
        <v>17</v>
      </c>
      <c r="D171" s="120"/>
      <c r="E171" s="3" t="s">
        <v>21</v>
      </c>
      <c r="F171" s="73" t="s">
        <v>443</v>
      </c>
      <c r="G171" s="11" t="s">
        <v>118</v>
      </c>
      <c r="H171" s="1">
        <v>1</v>
      </c>
      <c r="I171" s="47"/>
      <c r="J171" s="51"/>
      <c r="K171" s="37"/>
      <c r="L171" s="37"/>
      <c r="M171" s="38">
        <f t="shared" si="6"/>
        <v>0</v>
      </c>
      <c r="N171" s="39">
        <v>3</v>
      </c>
      <c r="O171" s="31">
        <v>3035.18</v>
      </c>
      <c r="P171" s="31"/>
      <c r="Q171" s="79">
        <f t="shared" si="5"/>
        <v>3035.18</v>
      </c>
    </row>
    <row r="172" spans="1:17" s="13" customFormat="1" ht="15.75" x14ac:dyDescent="0.25">
      <c r="A172" s="10"/>
      <c r="B172" s="27" t="s">
        <v>102</v>
      </c>
      <c r="C172" s="1" t="s">
        <v>17</v>
      </c>
      <c r="D172" s="120"/>
      <c r="E172" s="17" t="s">
        <v>20</v>
      </c>
      <c r="F172" s="73" t="s">
        <v>411</v>
      </c>
      <c r="G172" s="74" t="s">
        <v>112</v>
      </c>
      <c r="H172" s="75">
        <v>2</v>
      </c>
      <c r="I172" s="76">
        <v>1</v>
      </c>
      <c r="J172" s="96">
        <f>1</f>
        <v>1</v>
      </c>
      <c r="K172" s="77">
        <f>845.24</f>
        <v>845.24</v>
      </c>
      <c r="L172" s="77"/>
      <c r="M172" s="38">
        <f t="shared" si="6"/>
        <v>845.24</v>
      </c>
      <c r="N172" s="100">
        <f>3</f>
        <v>3</v>
      </c>
      <c r="O172" s="81">
        <f>7808.21</f>
        <v>7808.21</v>
      </c>
      <c r="P172" s="81"/>
      <c r="Q172" s="12">
        <f t="shared" si="5"/>
        <v>7808.21</v>
      </c>
    </row>
    <row r="173" spans="1:17" s="13" customFormat="1" ht="15.75" x14ac:dyDescent="0.25">
      <c r="A173" s="10"/>
      <c r="B173" s="25" t="s">
        <v>102</v>
      </c>
      <c r="C173" s="1" t="s">
        <v>17</v>
      </c>
      <c r="D173" s="120"/>
      <c r="E173" s="17" t="s">
        <v>20</v>
      </c>
      <c r="F173" s="73" t="s">
        <v>469</v>
      </c>
      <c r="G173" s="11" t="s">
        <v>114</v>
      </c>
      <c r="H173" s="1"/>
      <c r="I173" s="58"/>
      <c r="J173" s="51"/>
      <c r="K173" s="40"/>
      <c r="L173" s="40"/>
      <c r="M173" s="38">
        <f t="shared" si="6"/>
        <v>0</v>
      </c>
      <c r="N173" s="41"/>
      <c r="O173" s="31"/>
      <c r="P173" s="31"/>
      <c r="Q173" s="79">
        <f t="shared" si="5"/>
        <v>0</v>
      </c>
    </row>
    <row r="174" spans="1:17" s="13" customFormat="1" ht="15.75" x14ac:dyDescent="0.25">
      <c r="A174" s="10"/>
      <c r="B174" s="27" t="s">
        <v>103</v>
      </c>
      <c r="C174" s="1" t="s">
        <v>17</v>
      </c>
      <c r="D174" s="120"/>
      <c r="E174" s="3" t="s">
        <v>20</v>
      </c>
      <c r="F174" s="73" t="s">
        <v>412</v>
      </c>
      <c r="G174" s="74" t="s">
        <v>112</v>
      </c>
      <c r="H174" s="75">
        <v>3</v>
      </c>
      <c r="I174" s="76"/>
      <c r="J174" s="96"/>
      <c r="K174" s="77"/>
      <c r="L174" s="77"/>
      <c r="M174" s="38">
        <f t="shared" si="6"/>
        <v>0</v>
      </c>
      <c r="N174" s="100">
        <f>7</f>
        <v>7</v>
      </c>
      <c r="O174" s="77">
        <f>20192.14</f>
        <v>20192.14</v>
      </c>
      <c r="P174" s="81"/>
      <c r="Q174" s="12">
        <f t="shared" si="5"/>
        <v>20192.14</v>
      </c>
    </row>
    <row r="175" spans="1:17" s="13" customFormat="1" ht="15.75" x14ac:dyDescent="0.25">
      <c r="A175" s="10"/>
      <c r="B175" s="25" t="s">
        <v>103</v>
      </c>
      <c r="C175" s="1" t="s">
        <v>17</v>
      </c>
      <c r="D175" s="120"/>
      <c r="E175" s="3" t="s">
        <v>20</v>
      </c>
      <c r="F175" s="73" t="s">
        <v>470</v>
      </c>
      <c r="G175" s="11" t="s">
        <v>114</v>
      </c>
      <c r="H175" s="1">
        <v>1</v>
      </c>
      <c r="I175" s="49"/>
      <c r="J175" s="51"/>
      <c r="K175" s="40"/>
      <c r="L175" s="40"/>
      <c r="M175" s="38">
        <f t="shared" si="6"/>
        <v>0</v>
      </c>
      <c r="N175" s="41"/>
      <c r="O175" s="31"/>
      <c r="P175" s="31"/>
      <c r="Q175" s="79">
        <f t="shared" si="5"/>
        <v>0</v>
      </c>
    </row>
    <row r="176" spans="1:17" s="15" customFormat="1" ht="15.75" x14ac:dyDescent="0.25">
      <c r="A176" s="14"/>
      <c r="B176" s="28" t="s">
        <v>104</v>
      </c>
      <c r="C176" s="1" t="s">
        <v>17</v>
      </c>
      <c r="D176" s="120"/>
      <c r="E176" s="3" t="s">
        <v>20</v>
      </c>
      <c r="F176" s="73" t="s">
        <v>413</v>
      </c>
      <c r="G176" s="74" t="s">
        <v>112</v>
      </c>
      <c r="H176" s="75">
        <v>3</v>
      </c>
      <c r="I176" s="76"/>
      <c r="J176" s="96"/>
      <c r="K176" s="77"/>
      <c r="L176" s="77"/>
      <c r="M176" s="38">
        <f t="shared" si="6"/>
        <v>0</v>
      </c>
      <c r="N176" s="100">
        <f>4</f>
        <v>4</v>
      </c>
      <c r="O176" s="81">
        <f>7086.22</f>
        <v>7086.22</v>
      </c>
      <c r="P176" s="81"/>
      <c r="Q176" s="12">
        <f t="shared" si="5"/>
        <v>7086.22</v>
      </c>
    </row>
    <row r="177" spans="1:18" s="15" customFormat="1" ht="15.75" x14ac:dyDescent="0.25">
      <c r="A177" s="14"/>
      <c r="B177" s="26" t="s">
        <v>104</v>
      </c>
      <c r="C177" s="1" t="s">
        <v>17</v>
      </c>
      <c r="D177" s="120"/>
      <c r="E177" s="3" t="s">
        <v>20</v>
      </c>
      <c r="F177" s="73" t="s">
        <v>471</v>
      </c>
      <c r="G177" s="11" t="s">
        <v>114</v>
      </c>
      <c r="H177" s="1">
        <v>3</v>
      </c>
      <c r="I177" s="49"/>
      <c r="J177" s="51"/>
      <c r="K177" s="40"/>
      <c r="L177" s="40"/>
      <c r="M177" s="38">
        <f t="shared" si="6"/>
        <v>0</v>
      </c>
      <c r="N177" s="39"/>
      <c r="O177" s="31"/>
      <c r="P177" s="31"/>
      <c r="Q177" s="79">
        <f t="shared" si="5"/>
        <v>0</v>
      </c>
    </row>
    <row r="178" spans="1:18" s="13" customFormat="1" ht="15.75" x14ac:dyDescent="0.25">
      <c r="A178" s="10"/>
      <c r="B178" s="30" t="s">
        <v>105</v>
      </c>
      <c r="C178" s="1" t="s">
        <v>17</v>
      </c>
      <c r="D178" s="120"/>
      <c r="E178" s="17" t="s">
        <v>35</v>
      </c>
      <c r="F178" s="73" t="s">
        <v>419</v>
      </c>
      <c r="G178" s="74" t="s">
        <v>112</v>
      </c>
      <c r="H178" s="75"/>
      <c r="I178" s="76"/>
      <c r="J178" s="96"/>
      <c r="K178" s="77"/>
      <c r="L178" s="77"/>
      <c r="M178" s="38">
        <f t="shared" si="6"/>
        <v>0</v>
      </c>
      <c r="N178" s="100"/>
      <c r="O178" s="81"/>
      <c r="P178" s="81"/>
      <c r="Q178" s="12">
        <f t="shared" si="5"/>
        <v>0</v>
      </c>
    </row>
    <row r="179" spans="1:18" s="13" customFormat="1" ht="15.75" x14ac:dyDescent="0.25">
      <c r="A179" s="10"/>
      <c r="B179" s="24" t="s">
        <v>105</v>
      </c>
      <c r="C179" s="1" t="s">
        <v>17</v>
      </c>
      <c r="D179" s="120"/>
      <c r="E179" s="17" t="s">
        <v>35</v>
      </c>
      <c r="F179" s="73" t="s">
        <v>436</v>
      </c>
      <c r="G179" s="11" t="s">
        <v>117</v>
      </c>
      <c r="H179" s="1"/>
      <c r="I179" s="47"/>
      <c r="J179" s="46"/>
      <c r="K179" s="40"/>
      <c r="L179" s="40"/>
      <c r="M179" s="38">
        <f t="shared" si="6"/>
        <v>0</v>
      </c>
      <c r="N179" s="41"/>
      <c r="O179" s="31"/>
      <c r="P179" s="31"/>
      <c r="Q179" s="79">
        <f t="shared" si="5"/>
        <v>0</v>
      </c>
    </row>
    <row r="180" spans="1:18" s="13" customFormat="1" ht="15.75" x14ac:dyDescent="0.25">
      <c r="A180" s="10"/>
      <c r="B180" s="62" t="s">
        <v>106</v>
      </c>
      <c r="C180" s="1" t="s">
        <v>17</v>
      </c>
      <c r="D180" s="2"/>
      <c r="E180" s="17" t="s">
        <v>20</v>
      </c>
      <c r="F180" s="73" t="s">
        <v>414</v>
      </c>
      <c r="G180" s="74" t="s">
        <v>112</v>
      </c>
      <c r="H180" s="75">
        <v>3</v>
      </c>
      <c r="I180" s="76"/>
      <c r="J180" s="96"/>
      <c r="K180" s="77"/>
      <c r="L180" s="77"/>
      <c r="M180" s="38">
        <f t="shared" si="6"/>
        <v>0</v>
      </c>
      <c r="N180" s="100">
        <f>3</f>
        <v>3</v>
      </c>
      <c r="O180" s="81">
        <f>15955.85</f>
        <v>15955.85</v>
      </c>
      <c r="P180" s="81"/>
      <c r="Q180" s="12">
        <f t="shared" si="5"/>
        <v>15955.85</v>
      </c>
    </row>
    <row r="181" spans="1:18" ht="15.75" x14ac:dyDescent="0.25">
      <c r="A181" s="7"/>
      <c r="B181" s="32"/>
      <c r="C181" s="107"/>
      <c r="D181" s="33"/>
      <c r="E181" s="33"/>
      <c r="F181" s="8"/>
      <c r="G181" s="8" t="s">
        <v>131</v>
      </c>
      <c r="H181" s="106">
        <f t="shared" ref="H181:P181" si="7">SUM(H10:H180)</f>
        <v>337</v>
      </c>
      <c r="I181" s="59">
        <f t="shared" si="7"/>
        <v>39</v>
      </c>
      <c r="J181" s="43">
        <f t="shared" si="7"/>
        <v>41</v>
      </c>
      <c r="K181" s="56">
        <f t="shared" si="7"/>
        <v>20897.700000000004</v>
      </c>
      <c r="L181" s="56">
        <f t="shared" si="7"/>
        <v>0</v>
      </c>
      <c r="M181" s="44">
        <f>K181-L181</f>
        <v>20897.700000000004</v>
      </c>
      <c r="N181" s="43">
        <f t="shared" si="7"/>
        <v>594</v>
      </c>
      <c r="O181" s="57">
        <f t="shared" si="7"/>
        <v>1101857.8099999998</v>
      </c>
      <c r="P181" s="57">
        <f t="shared" si="7"/>
        <v>113040.79000000002</v>
      </c>
      <c r="Q181" s="79">
        <f t="shared" si="5"/>
        <v>988817.01999999979</v>
      </c>
      <c r="R181" s="129"/>
    </row>
    <row r="182" spans="1:18" x14ac:dyDescent="0.25">
      <c r="K182" s="91" t="s">
        <v>305</v>
      </c>
    </row>
    <row r="183" spans="1:18" ht="45" x14ac:dyDescent="0.25">
      <c r="B183" s="89" t="s">
        <v>316</v>
      </c>
      <c r="F183" s="104" t="s">
        <v>317</v>
      </c>
    </row>
  </sheetData>
  <mergeCells count="7">
    <mergeCell ref="O1:Q1"/>
    <mergeCell ref="A3:Q3"/>
    <mergeCell ref="A4:Q4"/>
    <mergeCell ref="A5:Q5"/>
    <mergeCell ref="B7:G7"/>
    <mergeCell ref="H7:M7"/>
    <mergeCell ref="N7:Q7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85"/>
  <sheetViews>
    <sheetView workbookViewId="0">
      <selection sqref="A1:XFD1048576"/>
    </sheetView>
  </sheetViews>
  <sheetFormatPr defaultRowHeight="15" x14ac:dyDescent="0.25"/>
  <cols>
    <col min="1" max="1" width="7.28515625" style="6" customWidth="1"/>
    <col min="2" max="2" width="37.5703125" style="88" customWidth="1"/>
    <col min="3" max="3" width="6.5703125" style="19" customWidth="1"/>
    <col min="4" max="4" width="18.7109375" style="19" customWidth="1"/>
    <col min="5" max="5" width="19" style="19" customWidth="1"/>
    <col min="6" max="6" width="20.5703125" style="89" customWidth="1"/>
    <col min="7" max="7" width="18.85546875" style="89" customWidth="1"/>
    <col min="8" max="9" width="10.7109375" style="90" customWidth="1"/>
    <col min="10" max="10" width="8.42578125" style="99" customWidth="1"/>
    <col min="11" max="13" width="15.7109375" style="91" customWidth="1"/>
    <col min="14" max="14" width="10.7109375" style="99" customWidth="1"/>
    <col min="15" max="16" width="15.7109375" style="92" customWidth="1"/>
    <col min="17" max="17" width="18.28515625" style="92" customWidth="1"/>
    <col min="18" max="18" width="11.7109375" style="6" customWidth="1"/>
    <col min="19" max="19" width="9.42578125" style="6" customWidth="1"/>
    <col min="20" max="21" width="9.140625" style="6" customWidth="1"/>
    <col min="22" max="16384" width="9.140625" style="6"/>
  </cols>
  <sheetData>
    <row r="1" spans="1:17" s="105" customFormat="1" x14ac:dyDescent="0.25">
      <c r="B1" s="60"/>
      <c r="C1" s="4"/>
      <c r="D1" s="4"/>
      <c r="E1" s="4"/>
      <c r="F1" s="63"/>
      <c r="G1" s="63"/>
      <c r="H1" s="64"/>
      <c r="I1" s="64"/>
      <c r="J1" s="93"/>
      <c r="K1" s="65"/>
      <c r="L1" s="65"/>
      <c r="M1" s="65"/>
      <c r="N1" s="93"/>
      <c r="O1" s="362" t="s">
        <v>15</v>
      </c>
      <c r="P1" s="362"/>
      <c r="Q1" s="362"/>
    </row>
    <row r="2" spans="1:17" s="105" customFormat="1" x14ac:dyDescent="0.25">
      <c r="A2" s="7"/>
      <c r="B2" s="131"/>
      <c r="C2" s="107"/>
      <c r="D2" s="107"/>
      <c r="E2" s="107"/>
      <c r="F2" s="66"/>
      <c r="G2" s="66"/>
      <c r="H2" s="130"/>
      <c r="I2" s="130"/>
      <c r="J2" s="94"/>
      <c r="K2" s="67"/>
      <c r="L2" s="67"/>
      <c r="M2" s="67"/>
      <c r="N2" s="94"/>
      <c r="O2" s="68"/>
      <c r="P2" s="68"/>
      <c r="Q2" s="68"/>
    </row>
    <row r="3" spans="1:17" s="105" customFormat="1" x14ac:dyDescent="0.25">
      <c r="A3" s="363" t="s">
        <v>318</v>
      </c>
      <c r="B3" s="364"/>
      <c r="C3" s="363"/>
      <c r="D3" s="363"/>
      <c r="E3" s="363"/>
      <c r="F3" s="364"/>
      <c r="G3" s="364"/>
      <c r="H3" s="365"/>
      <c r="I3" s="366"/>
      <c r="J3" s="376"/>
      <c r="K3" s="364"/>
      <c r="L3" s="364"/>
      <c r="M3" s="364"/>
      <c r="N3" s="377"/>
      <c r="O3" s="364"/>
      <c r="P3" s="364"/>
      <c r="Q3" s="364"/>
    </row>
    <row r="4" spans="1:17" s="105" customFormat="1" x14ac:dyDescent="0.25">
      <c r="A4" s="368">
        <v>43514</v>
      </c>
      <c r="B4" s="369"/>
      <c r="C4" s="370"/>
      <c r="D4" s="370"/>
      <c r="E4" s="370"/>
      <c r="F4" s="369"/>
      <c r="G4" s="369"/>
      <c r="H4" s="371"/>
      <c r="I4" s="372"/>
      <c r="J4" s="378"/>
      <c r="K4" s="369"/>
      <c r="L4" s="369"/>
      <c r="M4" s="369"/>
      <c r="N4" s="379"/>
      <c r="O4" s="369"/>
      <c r="P4" s="369"/>
      <c r="Q4" s="369"/>
    </row>
    <row r="5" spans="1:17" s="105" customFormat="1" x14ac:dyDescent="0.25">
      <c r="A5" s="374" t="s">
        <v>14</v>
      </c>
      <c r="B5" s="367"/>
      <c r="C5" s="374"/>
      <c r="D5" s="374"/>
      <c r="E5" s="374"/>
      <c r="F5" s="367"/>
      <c r="G5" s="367"/>
      <c r="H5" s="366"/>
      <c r="I5" s="366"/>
      <c r="J5" s="376"/>
      <c r="K5" s="367"/>
      <c r="L5" s="367"/>
      <c r="M5" s="367"/>
      <c r="N5" s="376"/>
      <c r="O5" s="367"/>
      <c r="P5" s="367"/>
      <c r="Q5" s="367"/>
    </row>
    <row r="6" spans="1:17" s="105" customFormat="1" x14ac:dyDescent="0.25">
      <c r="A6" s="7"/>
      <c r="B6" s="131"/>
      <c r="C6" s="107"/>
      <c r="D6" s="107"/>
      <c r="E6" s="107"/>
      <c r="F6" s="66"/>
      <c r="G6" s="66"/>
      <c r="H6" s="130"/>
      <c r="I6" s="130"/>
      <c r="J6" s="94"/>
      <c r="K6" s="67"/>
      <c r="L6" s="67"/>
      <c r="M6" s="67"/>
      <c r="N6" s="94"/>
      <c r="O6" s="68"/>
      <c r="P6" s="68"/>
      <c r="Q6" s="68"/>
    </row>
    <row r="7" spans="1:17" x14ac:dyDescent="0.25">
      <c r="A7" s="5" t="s">
        <v>0</v>
      </c>
      <c r="B7" s="364" t="s">
        <v>10</v>
      </c>
      <c r="C7" s="375"/>
      <c r="D7" s="375"/>
      <c r="E7" s="375"/>
      <c r="F7" s="364"/>
      <c r="G7" s="364"/>
      <c r="H7" s="365" t="s">
        <v>472</v>
      </c>
      <c r="I7" s="366"/>
      <c r="J7" s="376"/>
      <c r="K7" s="364"/>
      <c r="L7" s="364"/>
      <c r="M7" s="364"/>
      <c r="N7" s="364" t="s">
        <v>132</v>
      </c>
      <c r="O7" s="364"/>
      <c r="P7" s="364"/>
      <c r="Q7" s="364"/>
    </row>
    <row r="8" spans="1:17" ht="240" x14ac:dyDescent="0.25">
      <c r="A8" s="5"/>
      <c r="B8" s="131" t="s">
        <v>4</v>
      </c>
      <c r="C8" s="107" t="s">
        <v>1</v>
      </c>
      <c r="D8" s="107" t="s">
        <v>3</v>
      </c>
      <c r="E8" s="107" t="s">
        <v>2</v>
      </c>
      <c r="F8" s="122" t="s">
        <v>6</v>
      </c>
      <c r="G8" s="66" t="s">
        <v>5</v>
      </c>
      <c r="H8" s="131" t="s">
        <v>7</v>
      </c>
      <c r="I8" s="131" t="s">
        <v>8</v>
      </c>
      <c r="J8" s="94" t="s">
        <v>9</v>
      </c>
      <c r="K8" s="67" t="s">
        <v>11</v>
      </c>
      <c r="L8" s="67" t="s">
        <v>12</v>
      </c>
      <c r="M8" s="67" t="s">
        <v>13</v>
      </c>
      <c r="N8" s="94" t="s">
        <v>9</v>
      </c>
      <c r="O8" s="68" t="s">
        <v>11</v>
      </c>
      <c r="P8" s="68" t="s">
        <v>12</v>
      </c>
      <c r="Q8" s="68" t="s">
        <v>13</v>
      </c>
    </row>
    <row r="9" spans="1:17" x14ac:dyDescent="0.25">
      <c r="A9" s="9">
        <v>1</v>
      </c>
      <c r="B9" s="61">
        <f>A9+1</f>
        <v>2</v>
      </c>
      <c r="C9" s="9">
        <f t="shared" ref="C9:Q9" si="0">B9+1</f>
        <v>3</v>
      </c>
      <c r="D9" s="9">
        <f t="shared" si="0"/>
        <v>4</v>
      </c>
      <c r="E9" s="9">
        <f t="shared" si="0"/>
        <v>5</v>
      </c>
      <c r="F9" s="69">
        <f t="shared" si="0"/>
        <v>6</v>
      </c>
      <c r="G9" s="69">
        <f t="shared" si="0"/>
        <v>7</v>
      </c>
      <c r="H9" s="70">
        <f t="shared" si="0"/>
        <v>8</v>
      </c>
      <c r="I9" s="70">
        <f t="shared" si="0"/>
        <v>9</v>
      </c>
      <c r="J9" s="95">
        <f t="shared" si="0"/>
        <v>10</v>
      </c>
      <c r="K9" s="71">
        <f t="shared" si="0"/>
        <v>11</v>
      </c>
      <c r="L9" s="71">
        <f t="shared" si="0"/>
        <v>12</v>
      </c>
      <c r="M9" s="71">
        <f t="shared" si="0"/>
        <v>13</v>
      </c>
      <c r="N9" s="95">
        <f t="shared" si="0"/>
        <v>14</v>
      </c>
      <c r="O9" s="72">
        <f t="shared" si="0"/>
        <v>15</v>
      </c>
      <c r="P9" s="72">
        <f t="shared" si="0"/>
        <v>16</v>
      </c>
      <c r="Q9" s="72">
        <f t="shared" si="0"/>
        <v>17</v>
      </c>
    </row>
    <row r="10" spans="1:17" s="13" customFormat="1" ht="31.5" x14ac:dyDescent="0.25">
      <c r="A10" s="10"/>
      <c r="B10" s="62" t="s">
        <v>16</v>
      </c>
      <c r="C10" s="1" t="s">
        <v>304</v>
      </c>
      <c r="D10" s="120" t="s">
        <v>315</v>
      </c>
      <c r="E10" s="3" t="s">
        <v>18</v>
      </c>
      <c r="F10" s="73" t="s">
        <v>322</v>
      </c>
      <c r="G10" s="74" t="s">
        <v>112</v>
      </c>
      <c r="H10" s="75">
        <v>2</v>
      </c>
      <c r="I10" s="76"/>
      <c r="J10" s="96"/>
      <c r="K10" s="77"/>
      <c r="L10" s="77"/>
      <c r="M10" s="78">
        <f>K10-L10</f>
        <v>0</v>
      </c>
      <c r="N10" s="100">
        <f>2+5</f>
        <v>7</v>
      </c>
      <c r="O10" s="77">
        <f>4764.04+9108.77</f>
        <v>13872.810000000001</v>
      </c>
      <c r="P10" s="77"/>
      <c r="Q10" s="79">
        <f>O10-P10</f>
        <v>13872.810000000001</v>
      </c>
    </row>
    <row r="11" spans="1:17" s="13" customFormat="1" ht="31.5" x14ac:dyDescent="0.25">
      <c r="A11" s="10">
        <v>2</v>
      </c>
      <c r="B11" s="22" t="s">
        <v>16</v>
      </c>
      <c r="C11" s="1" t="s">
        <v>304</v>
      </c>
      <c r="D11" s="120" t="s">
        <v>315</v>
      </c>
      <c r="E11" s="3" t="s">
        <v>18</v>
      </c>
      <c r="F11" s="119" t="s">
        <v>322</v>
      </c>
      <c r="G11" s="11" t="s">
        <v>116</v>
      </c>
      <c r="H11" s="1">
        <v>2</v>
      </c>
      <c r="I11" s="49"/>
      <c r="J11" s="46"/>
      <c r="K11" s="31"/>
      <c r="L11" s="31"/>
      <c r="M11" s="38">
        <f t="shared" ref="M11:M79" si="1">K11-L11</f>
        <v>0</v>
      </c>
      <c r="N11" s="41"/>
      <c r="O11" s="31">
        <v>2945</v>
      </c>
      <c r="P11" s="31"/>
      <c r="Q11" s="12">
        <f t="shared" ref="Q11:Q73" si="2">O11-P11</f>
        <v>2945</v>
      </c>
    </row>
    <row r="12" spans="1:17" s="15" customFormat="1" ht="15.75" x14ac:dyDescent="0.25">
      <c r="A12" s="14"/>
      <c r="B12" s="80" t="s">
        <v>19</v>
      </c>
      <c r="C12" s="1" t="s">
        <v>17</v>
      </c>
      <c r="D12" s="120"/>
      <c r="E12" s="3" t="s">
        <v>20</v>
      </c>
      <c r="F12" s="73" t="s">
        <v>323</v>
      </c>
      <c r="G12" s="74" t="s">
        <v>112</v>
      </c>
      <c r="H12" s="75">
        <v>6</v>
      </c>
      <c r="I12" s="76">
        <v>1</v>
      </c>
      <c r="J12" s="96">
        <f>1</f>
        <v>1</v>
      </c>
      <c r="K12" s="77">
        <v>422.62</v>
      </c>
      <c r="L12" s="77"/>
      <c r="M12" s="78">
        <f t="shared" si="1"/>
        <v>422.62</v>
      </c>
      <c r="N12" s="100">
        <f>8</f>
        <v>8</v>
      </c>
      <c r="O12" s="81">
        <v>6459.36</v>
      </c>
      <c r="P12" s="81"/>
      <c r="Q12" s="79">
        <f t="shared" si="2"/>
        <v>6459.36</v>
      </c>
    </row>
    <row r="13" spans="1:17" s="15" customFormat="1" ht="15.75" x14ac:dyDescent="0.25">
      <c r="A13" s="14">
        <v>2</v>
      </c>
      <c r="B13" s="23" t="s">
        <v>19</v>
      </c>
      <c r="C13" s="1" t="s">
        <v>17</v>
      </c>
      <c r="D13" s="120"/>
      <c r="E13" s="3" t="s">
        <v>20</v>
      </c>
      <c r="F13" s="73" t="s">
        <v>451</v>
      </c>
      <c r="G13" s="11" t="s">
        <v>114</v>
      </c>
      <c r="H13" s="1">
        <v>2</v>
      </c>
      <c r="I13" s="49">
        <v>1</v>
      </c>
      <c r="J13" s="51">
        <v>1</v>
      </c>
      <c r="K13" s="40"/>
      <c r="L13" s="40"/>
      <c r="M13" s="38">
        <f t="shared" si="1"/>
        <v>0</v>
      </c>
      <c r="N13" s="42">
        <v>3</v>
      </c>
      <c r="O13" s="31">
        <v>3818</v>
      </c>
      <c r="P13" s="31"/>
      <c r="Q13" s="12">
        <f t="shared" si="2"/>
        <v>3818</v>
      </c>
    </row>
    <row r="14" spans="1:17" s="15" customFormat="1" ht="15.75" x14ac:dyDescent="0.25">
      <c r="A14" s="14"/>
      <c r="B14" s="62" t="s">
        <v>153</v>
      </c>
      <c r="C14" s="1" t="s">
        <v>17</v>
      </c>
      <c r="D14" s="120"/>
      <c r="E14" s="3" t="s">
        <v>20</v>
      </c>
      <c r="F14" s="73" t="s">
        <v>324</v>
      </c>
      <c r="G14" s="74" t="s">
        <v>112</v>
      </c>
      <c r="H14" s="75">
        <v>3</v>
      </c>
      <c r="I14" s="82">
        <v>1</v>
      </c>
      <c r="J14" s="96">
        <f>1</f>
        <v>1</v>
      </c>
      <c r="K14" s="77">
        <f>950.9</f>
        <v>950.9</v>
      </c>
      <c r="L14" s="77"/>
      <c r="M14" s="78">
        <f t="shared" si="1"/>
        <v>950.9</v>
      </c>
      <c r="N14" s="114">
        <f>1+2</f>
        <v>3</v>
      </c>
      <c r="O14" s="81">
        <f>422.62+945.61</f>
        <v>1368.23</v>
      </c>
      <c r="P14" s="81"/>
      <c r="Q14" s="79">
        <f t="shared" si="2"/>
        <v>1368.23</v>
      </c>
    </row>
    <row r="15" spans="1:17" s="15" customFormat="1" ht="15.75" x14ac:dyDescent="0.25">
      <c r="A15" s="14"/>
      <c r="B15" s="50" t="s">
        <v>153</v>
      </c>
      <c r="C15" s="1" t="s">
        <v>17</v>
      </c>
      <c r="D15" s="120"/>
      <c r="E15" s="3" t="s">
        <v>20</v>
      </c>
      <c r="F15" s="73" t="s">
        <v>452</v>
      </c>
      <c r="G15" s="11" t="s">
        <v>114</v>
      </c>
      <c r="H15" s="1">
        <v>1</v>
      </c>
      <c r="I15" s="49"/>
      <c r="J15" s="51"/>
      <c r="K15" s="40"/>
      <c r="L15" s="40"/>
      <c r="M15" s="38">
        <f t="shared" si="1"/>
        <v>0</v>
      </c>
      <c r="N15" s="42">
        <v>5</v>
      </c>
      <c r="O15" s="31">
        <v>13319</v>
      </c>
      <c r="P15" s="31"/>
      <c r="Q15" s="12">
        <f t="shared" si="2"/>
        <v>13319</v>
      </c>
    </row>
    <row r="16" spans="1:17" s="13" customFormat="1" ht="15.75" x14ac:dyDescent="0.25">
      <c r="A16" s="10"/>
      <c r="B16" s="30" t="s">
        <v>22</v>
      </c>
      <c r="C16" s="1" t="s">
        <v>17</v>
      </c>
      <c r="D16" s="120"/>
      <c r="E16" s="3" t="s">
        <v>23</v>
      </c>
      <c r="F16" s="73" t="s">
        <v>325</v>
      </c>
      <c r="G16" s="74" t="s">
        <v>112</v>
      </c>
      <c r="H16" s="75">
        <v>1</v>
      </c>
      <c r="I16" s="76">
        <v>1</v>
      </c>
      <c r="J16" s="96">
        <f>1</f>
        <v>1</v>
      </c>
      <c r="K16" s="77">
        <f>2698.64</f>
        <v>2698.64</v>
      </c>
      <c r="L16" s="77"/>
      <c r="M16" s="78">
        <f t="shared" si="1"/>
        <v>2698.64</v>
      </c>
      <c r="N16" s="100">
        <f>14+3</f>
        <v>17</v>
      </c>
      <c r="O16" s="81">
        <f>22716.4+4171.06</f>
        <v>26887.460000000003</v>
      </c>
      <c r="P16" s="81"/>
      <c r="Q16" s="79">
        <f t="shared" si="2"/>
        <v>26887.460000000003</v>
      </c>
    </row>
    <row r="17" spans="1:17" s="13" customFormat="1" ht="15.75" x14ac:dyDescent="0.25">
      <c r="A17" s="10"/>
      <c r="B17" s="24" t="s">
        <v>154</v>
      </c>
      <c r="C17" s="1" t="s">
        <v>17</v>
      </c>
      <c r="D17" s="120"/>
      <c r="E17" s="3" t="s">
        <v>20</v>
      </c>
      <c r="F17" s="73" t="s">
        <v>453</v>
      </c>
      <c r="G17" s="11" t="s">
        <v>114</v>
      </c>
      <c r="H17" s="1">
        <v>5</v>
      </c>
      <c r="I17" s="47"/>
      <c r="J17" s="51"/>
      <c r="K17" s="37"/>
      <c r="L17" s="37"/>
      <c r="M17" s="38">
        <f t="shared" si="1"/>
        <v>0</v>
      </c>
      <c r="N17" s="39">
        <v>5</v>
      </c>
      <c r="O17" s="31">
        <v>5603</v>
      </c>
      <c r="P17" s="31"/>
      <c r="Q17" s="12">
        <f t="shared" si="2"/>
        <v>5603</v>
      </c>
    </row>
    <row r="18" spans="1:17" s="13" customFormat="1" ht="15.75" x14ac:dyDescent="0.25">
      <c r="A18" s="10"/>
      <c r="B18" s="30" t="s">
        <v>154</v>
      </c>
      <c r="C18" s="1" t="s">
        <v>17</v>
      </c>
      <c r="D18" s="120"/>
      <c r="E18" s="3" t="s">
        <v>20</v>
      </c>
      <c r="F18" s="73" t="s">
        <v>326</v>
      </c>
      <c r="G18" s="74" t="s">
        <v>112</v>
      </c>
      <c r="H18" s="75">
        <v>5</v>
      </c>
      <c r="I18" s="76">
        <v>3</v>
      </c>
      <c r="J18" s="96">
        <f>1+1+2</f>
        <v>4</v>
      </c>
      <c r="K18" s="77">
        <f>950.9</f>
        <v>950.9</v>
      </c>
      <c r="L18" s="77"/>
      <c r="M18" s="78">
        <f t="shared" si="1"/>
        <v>950.9</v>
      </c>
      <c r="N18" s="100">
        <f>6+3</f>
        <v>9</v>
      </c>
      <c r="O18" s="128">
        <f>6681.33+7017</f>
        <v>13698.33</v>
      </c>
      <c r="P18" s="81"/>
      <c r="Q18" s="79">
        <f t="shared" si="2"/>
        <v>13698.33</v>
      </c>
    </row>
    <row r="19" spans="1:17" s="13" customFormat="1" ht="15.75" x14ac:dyDescent="0.25">
      <c r="A19" s="10"/>
      <c r="B19" s="62" t="s">
        <v>24</v>
      </c>
      <c r="C19" s="1" t="s">
        <v>17</v>
      </c>
      <c r="D19" s="120"/>
      <c r="E19" s="3" t="s">
        <v>20</v>
      </c>
      <c r="F19" s="73" t="s">
        <v>327</v>
      </c>
      <c r="G19" s="74" t="s">
        <v>112</v>
      </c>
      <c r="H19" s="75">
        <v>1</v>
      </c>
      <c r="I19" s="76"/>
      <c r="J19" s="96"/>
      <c r="K19" s="77"/>
      <c r="L19" s="77"/>
      <c r="M19" s="38">
        <f t="shared" si="1"/>
        <v>0</v>
      </c>
      <c r="N19" s="100">
        <f>1</f>
        <v>1</v>
      </c>
      <c r="O19" s="81">
        <f>575.3</f>
        <v>575.29999999999995</v>
      </c>
      <c r="P19" s="81"/>
      <c r="Q19" s="12">
        <f t="shared" si="2"/>
        <v>575.29999999999995</v>
      </c>
    </row>
    <row r="20" spans="1:17" s="13" customFormat="1" ht="15.75" x14ac:dyDescent="0.25">
      <c r="A20" s="10">
        <v>1</v>
      </c>
      <c r="B20" s="22" t="s">
        <v>24</v>
      </c>
      <c r="C20" s="1" t="s">
        <v>17</v>
      </c>
      <c r="D20" s="120"/>
      <c r="E20" s="3" t="s">
        <v>20</v>
      </c>
      <c r="F20" s="73" t="s">
        <v>454</v>
      </c>
      <c r="G20" s="11" t="s">
        <v>114</v>
      </c>
      <c r="H20" s="1">
        <v>3</v>
      </c>
      <c r="I20" s="49"/>
      <c r="J20" s="51"/>
      <c r="K20" s="40"/>
      <c r="L20" s="40"/>
      <c r="M20" s="78">
        <f t="shared" si="1"/>
        <v>0</v>
      </c>
      <c r="N20" s="41">
        <v>7</v>
      </c>
      <c r="O20" s="31">
        <v>14635.6</v>
      </c>
      <c r="P20" s="31"/>
      <c r="Q20" s="79">
        <f t="shared" si="2"/>
        <v>14635.6</v>
      </c>
    </row>
    <row r="21" spans="1:17" s="13" customFormat="1" ht="15.75" x14ac:dyDescent="0.25">
      <c r="A21" s="10"/>
      <c r="B21" s="62" t="s">
        <v>25</v>
      </c>
      <c r="C21" s="1" t="s">
        <v>17</v>
      </c>
      <c r="D21" s="120"/>
      <c r="E21" s="3" t="s">
        <v>20</v>
      </c>
      <c r="F21" s="73" t="s">
        <v>328</v>
      </c>
      <c r="G21" s="74" t="s">
        <v>112</v>
      </c>
      <c r="H21" s="75">
        <v>2</v>
      </c>
      <c r="I21" s="76">
        <v>1</v>
      </c>
      <c r="J21" s="96">
        <f>1</f>
        <v>1</v>
      </c>
      <c r="K21" s="77">
        <v>1743.31</v>
      </c>
      <c r="L21" s="77"/>
      <c r="M21" s="38">
        <f t="shared" si="1"/>
        <v>1743.31</v>
      </c>
      <c r="N21" s="100">
        <f>6</f>
        <v>6</v>
      </c>
      <c r="O21" s="81">
        <v>14526.7</v>
      </c>
      <c r="P21" s="81"/>
      <c r="Q21" s="12">
        <f t="shared" si="2"/>
        <v>14526.7</v>
      </c>
    </row>
    <row r="22" spans="1:17" s="13" customFormat="1" ht="15.75" x14ac:dyDescent="0.25">
      <c r="A22" s="10"/>
      <c r="B22" s="22" t="s">
        <v>25</v>
      </c>
      <c r="C22" s="1" t="s">
        <v>17</v>
      </c>
      <c r="D22" s="120"/>
      <c r="E22" s="3" t="s">
        <v>20</v>
      </c>
      <c r="F22" s="73" t="s">
        <v>455</v>
      </c>
      <c r="G22" s="11" t="s">
        <v>114</v>
      </c>
      <c r="H22" s="1"/>
      <c r="I22" s="49"/>
      <c r="J22" s="51"/>
      <c r="K22" s="40"/>
      <c r="L22" s="40"/>
      <c r="M22" s="78">
        <f t="shared" si="1"/>
        <v>0</v>
      </c>
      <c r="N22" s="41">
        <v>2</v>
      </c>
      <c r="O22" s="31">
        <v>4146.2</v>
      </c>
      <c r="P22" s="31"/>
      <c r="Q22" s="79">
        <f t="shared" si="2"/>
        <v>4146.2</v>
      </c>
    </row>
    <row r="23" spans="1:17" s="13" customFormat="1" ht="15.75" x14ac:dyDescent="0.25">
      <c r="A23" s="10"/>
      <c r="B23" s="62" t="s">
        <v>26</v>
      </c>
      <c r="C23" s="1" t="s">
        <v>17</v>
      </c>
      <c r="D23" s="120"/>
      <c r="E23" s="3" t="s">
        <v>27</v>
      </c>
      <c r="F23" s="73" t="s">
        <v>329</v>
      </c>
      <c r="G23" s="74" t="s">
        <v>112</v>
      </c>
      <c r="H23" s="75">
        <v>3</v>
      </c>
      <c r="I23" s="76"/>
      <c r="J23" s="96"/>
      <c r="K23" s="77"/>
      <c r="L23" s="77"/>
      <c r="M23" s="38">
        <f t="shared" si="1"/>
        <v>0</v>
      </c>
      <c r="N23" s="100">
        <f>6</f>
        <v>6</v>
      </c>
      <c r="O23" s="81">
        <f>17838.53</f>
        <v>17838.53</v>
      </c>
      <c r="P23" s="81">
        <v>14149.86</v>
      </c>
      <c r="Q23" s="12">
        <f t="shared" si="2"/>
        <v>3688.6699999999983</v>
      </c>
    </row>
    <row r="24" spans="1:17" s="15" customFormat="1" ht="15.75" x14ac:dyDescent="0.25">
      <c r="A24" s="14"/>
      <c r="B24" s="80" t="s">
        <v>28</v>
      </c>
      <c r="C24" s="1" t="s">
        <v>17</v>
      </c>
      <c r="D24" s="120"/>
      <c r="E24" s="17" t="s">
        <v>29</v>
      </c>
      <c r="F24" s="73" t="s">
        <v>330</v>
      </c>
      <c r="G24" s="74" t="s">
        <v>112</v>
      </c>
      <c r="H24" s="75"/>
      <c r="I24" s="76"/>
      <c r="J24" s="96"/>
      <c r="K24" s="77"/>
      <c r="L24" s="77"/>
      <c r="M24" s="38">
        <f t="shared" si="1"/>
        <v>0</v>
      </c>
      <c r="N24" s="100">
        <f>3+2</f>
        <v>5</v>
      </c>
      <c r="O24" s="81">
        <f>5310.83+4630.52</f>
        <v>9941.35</v>
      </c>
      <c r="P24" s="81"/>
      <c r="Q24" s="12">
        <f t="shared" si="2"/>
        <v>9941.35</v>
      </c>
    </row>
    <row r="25" spans="1:17" s="15" customFormat="1" ht="15.75" x14ac:dyDescent="0.25">
      <c r="A25" s="14"/>
      <c r="B25" s="23" t="s">
        <v>28</v>
      </c>
      <c r="C25" s="1" t="s">
        <v>17</v>
      </c>
      <c r="D25" s="120"/>
      <c r="E25" s="17" t="s">
        <v>29</v>
      </c>
      <c r="F25" s="73" t="s">
        <v>420</v>
      </c>
      <c r="G25" s="8" t="s">
        <v>117</v>
      </c>
      <c r="H25" s="1">
        <v>1</v>
      </c>
      <c r="I25" s="48"/>
      <c r="J25" s="45"/>
      <c r="K25" s="40"/>
      <c r="L25" s="40"/>
      <c r="M25" s="78">
        <f t="shared" si="1"/>
        <v>0</v>
      </c>
      <c r="N25" s="42"/>
      <c r="O25" s="31"/>
      <c r="P25" s="31"/>
      <c r="Q25" s="79">
        <f t="shared" si="2"/>
        <v>0</v>
      </c>
    </row>
    <row r="26" spans="1:17" s="13" customFormat="1" ht="15.75" x14ac:dyDescent="0.25">
      <c r="A26" s="10"/>
      <c r="B26" s="27" t="s">
        <v>30</v>
      </c>
      <c r="C26" s="1" t="s">
        <v>17</v>
      </c>
      <c r="D26" s="120"/>
      <c r="E26" s="17" t="s">
        <v>21</v>
      </c>
      <c r="F26" s="73" t="s">
        <v>333</v>
      </c>
      <c r="G26" s="74" t="s">
        <v>112</v>
      </c>
      <c r="H26" s="75">
        <v>4</v>
      </c>
      <c r="I26" s="76">
        <v>3</v>
      </c>
      <c r="J26" s="96">
        <f>3</f>
        <v>3</v>
      </c>
      <c r="K26" s="77">
        <f>2399.78</f>
        <v>2399.7800000000002</v>
      </c>
      <c r="L26" s="77"/>
      <c r="M26" s="38">
        <f t="shared" si="1"/>
        <v>2399.7800000000002</v>
      </c>
      <c r="N26" s="100">
        <f>9</f>
        <v>9</v>
      </c>
      <c r="O26" s="81">
        <f>39871.99</f>
        <v>39871.99</v>
      </c>
      <c r="P26" s="81"/>
      <c r="Q26" s="12">
        <f t="shared" si="2"/>
        <v>39871.99</v>
      </c>
    </row>
    <row r="27" spans="1:17" s="13" customFormat="1" ht="15.75" x14ac:dyDescent="0.25">
      <c r="A27" s="10"/>
      <c r="B27" s="30" t="s">
        <v>31</v>
      </c>
      <c r="C27" s="1" t="s">
        <v>17</v>
      </c>
      <c r="D27" s="120"/>
      <c r="E27" s="3" t="s">
        <v>32</v>
      </c>
      <c r="F27" s="73" t="s">
        <v>331</v>
      </c>
      <c r="G27" s="74" t="s">
        <v>112</v>
      </c>
      <c r="H27" s="75">
        <v>3</v>
      </c>
      <c r="I27" s="76"/>
      <c r="J27" s="96"/>
      <c r="K27" s="77"/>
      <c r="L27" s="77"/>
      <c r="M27" s="78">
        <f t="shared" si="1"/>
        <v>0</v>
      </c>
      <c r="N27" s="100">
        <f>1+3</f>
        <v>4</v>
      </c>
      <c r="O27" s="81">
        <f>2299.8+15239.58</f>
        <v>17539.38</v>
      </c>
      <c r="P27" s="81">
        <f>2299.8</f>
        <v>2299.8000000000002</v>
      </c>
      <c r="Q27" s="79">
        <f t="shared" si="2"/>
        <v>15239.580000000002</v>
      </c>
    </row>
    <row r="28" spans="1:17" s="13" customFormat="1" ht="15.75" x14ac:dyDescent="0.25">
      <c r="A28" s="10"/>
      <c r="B28" s="24" t="s">
        <v>31</v>
      </c>
      <c r="C28" s="1" t="s">
        <v>17</v>
      </c>
      <c r="D28" s="120"/>
      <c r="E28" s="3" t="s">
        <v>32</v>
      </c>
      <c r="F28" s="73" t="s">
        <v>422</v>
      </c>
      <c r="G28" s="8" t="s">
        <v>117</v>
      </c>
      <c r="H28" s="1">
        <v>4</v>
      </c>
      <c r="I28" s="49">
        <v>1</v>
      </c>
      <c r="J28" s="46">
        <v>1</v>
      </c>
      <c r="K28" s="40"/>
      <c r="L28" s="40"/>
      <c r="M28" s="38">
        <f t="shared" si="1"/>
        <v>0</v>
      </c>
      <c r="N28" s="41">
        <v>6</v>
      </c>
      <c r="O28" s="40"/>
      <c r="P28" s="40"/>
      <c r="Q28" s="12">
        <f t="shared" si="2"/>
        <v>0</v>
      </c>
    </row>
    <row r="29" spans="1:17" s="15" customFormat="1" ht="15.75" x14ac:dyDescent="0.25">
      <c r="A29" s="14"/>
      <c r="B29" s="80" t="s">
        <v>33</v>
      </c>
      <c r="C29" s="1" t="s">
        <v>17</v>
      </c>
      <c r="D29" s="120"/>
      <c r="E29" s="3" t="s">
        <v>20</v>
      </c>
      <c r="F29" s="73" t="s">
        <v>332</v>
      </c>
      <c r="G29" s="74" t="s">
        <v>112</v>
      </c>
      <c r="H29" s="75">
        <v>3</v>
      </c>
      <c r="I29" s="76"/>
      <c r="J29" s="96"/>
      <c r="K29" s="77"/>
      <c r="L29" s="77"/>
      <c r="M29" s="78">
        <f t="shared" si="1"/>
        <v>0</v>
      </c>
      <c r="N29" s="100">
        <f>2+1</f>
        <v>3</v>
      </c>
      <c r="O29" s="81">
        <v>1613.64</v>
      </c>
      <c r="P29" s="81"/>
      <c r="Q29" s="79">
        <f t="shared" si="2"/>
        <v>1613.64</v>
      </c>
    </row>
    <row r="30" spans="1:17" s="15" customFormat="1" ht="15.75" x14ac:dyDescent="0.25">
      <c r="A30" s="14"/>
      <c r="B30" s="23" t="s">
        <v>33</v>
      </c>
      <c r="C30" s="1" t="s">
        <v>17</v>
      </c>
      <c r="D30" s="120"/>
      <c r="E30" s="3" t="s">
        <v>20</v>
      </c>
      <c r="F30" s="73" t="s">
        <v>481</v>
      </c>
      <c r="G30" s="11" t="s">
        <v>114</v>
      </c>
      <c r="H30" s="1">
        <v>1</v>
      </c>
      <c r="I30" s="49"/>
      <c r="J30" s="51"/>
      <c r="K30" s="40"/>
      <c r="L30" s="40"/>
      <c r="M30" s="38">
        <f t="shared" si="1"/>
        <v>0</v>
      </c>
      <c r="N30" s="42">
        <v>12</v>
      </c>
      <c r="O30" s="31">
        <v>13071.87</v>
      </c>
      <c r="P30" s="31"/>
      <c r="Q30" s="12">
        <f t="shared" si="2"/>
        <v>13071.87</v>
      </c>
    </row>
    <row r="31" spans="1:17" s="15" customFormat="1" ht="15.75" x14ac:dyDescent="0.25">
      <c r="A31" s="14"/>
      <c r="B31" s="62" t="s">
        <v>147</v>
      </c>
      <c r="C31" s="1" t="s">
        <v>17</v>
      </c>
      <c r="D31" s="120"/>
      <c r="E31" s="3" t="s">
        <v>29</v>
      </c>
      <c r="F31" s="73" t="s">
        <v>334</v>
      </c>
      <c r="G31" s="74" t="s">
        <v>112</v>
      </c>
      <c r="H31" s="75">
        <v>2</v>
      </c>
      <c r="I31" s="102"/>
      <c r="J31" s="97"/>
      <c r="K31" s="77"/>
      <c r="L31" s="77"/>
      <c r="M31" s="78">
        <f t="shared" si="1"/>
        <v>0</v>
      </c>
      <c r="N31" s="114">
        <f>1</f>
        <v>1</v>
      </c>
      <c r="O31" s="81">
        <f>1394.65</f>
        <v>1394.65</v>
      </c>
      <c r="P31" s="81">
        <f>1394.65</f>
        <v>1394.65</v>
      </c>
      <c r="Q31" s="79">
        <f t="shared" si="2"/>
        <v>0</v>
      </c>
    </row>
    <row r="32" spans="1:17" s="15" customFormat="1" ht="15.75" x14ac:dyDescent="0.25">
      <c r="A32" s="14"/>
      <c r="B32" s="50" t="s">
        <v>147</v>
      </c>
      <c r="C32" s="1" t="s">
        <v>17</v>
      </c>
      <c r="D32" s="120"/>
      <c r="E32" s="3" t="s">
        <v>29</v>
      </c>
      <c r="F32" s="73" t="s">
        <v>423</v>
      </c>
      <c r="G32" s="11" t="s">
        <v>117</v>
      </c>
      <c r="H32" s="1">
        <v>1</v>
      </c>
      <c r="I32" s="48"/>
      <c r="J32" s="45"/>
      <c r="K32" s="40"/>
      <c r="L32" s="40"/>
      <c r="M32" s="38">
        <f t="shared" si="1"/>
        <v>0</v>
      </c>
      <c r="N32" s="42">
        <f>2</f>
        <v>2</v>
      </c>
      <c r="O32" s="31"/>
      <c r="P32" s="31"/>
      <c r="Q32" s="12">
        <f t="shared" si="2"/>
        <v>0</v>
      </c>
    </row>
    <row r="33" spans="1:17" s="13" customFormat="1" ht="15.75" x14ac:dyDescent="0.25">
      <c r="A33" s="10"/>
      <c r="B33" s="62" t="s">
        <v>34</v>
      </c>
      <c r="C33" s="1" t="s">
        <v>17</v>
      </c>
      <c r="D33" s="120"/>
      <c r="E33" s="17" t="s">
        <v>35</v>
      </c>
      <c r="F33" s="73" t="s">
        <v>335</v>
      </c>
      <c r="G33" s="74" t="s">
        <v>112</v>
      </c>
      <c r="H33" s="75">
        <v>6</v>
      </c>
      <c r="I33" s="76"/>
      <c r="J33" s="96"/>
      <c r="K33" s="77"/>
      <c r="L33" s="77"/>
      <c r="M33" s="78">
        <f t="shared" si="1"/>
        <v>0</v>
      </c>
      <c r="N33" s="100">
        <f>4+4+6</f>
        <v>14</v>
      </c>
      <c r="O33" s="81">
        <f>23915.04+21171.88</f>
        <v>45086.92</v>
      </c>
      <c r="P33" s="81"/>
      <c r="Q33" s="79">
        <f t="shared" si="2"/>
        <v>45086.92</v>
      </c>
    </row>
    <row r="34" spans="1:17" s="13" customFormat="1" ht="15.75" x14ac:dyDescent="0.25">
      <c r="A34" s="10"/>
      <c r="B34" s="22" t="s">
        <v>34</v>
      </c>
      <c r="C34" s="1" t="s">
        <v>17</v>
      </c>
      <c r="D34" s="120"/>
      <c r="E34" s="17" t="s">
        <v>35</v>
      </c>
      <c r="F34" s="73" t="s">
        <v>424</v>
      </c>
      <c r="G34" s="8" t="s">
        <v>117</v>
      </c>
      <c r="H34" s="1">
        <v>1</v>
      </c>
      <c r="I34" s="49"/>
      <c r="J34" s="46"/>
      <c r="K34" s="40"/>
      <c r="L34" s="40"/>
      <c r="M34" s="38">
        <f t="shared" si="1"/>
        <v>0</v>
      </c>
      <c r="N34" s="41">
        <v>2</v>
      </c>
      <c r="O34" s="31"/>
      <c r="P34" s="31"/>
      <c r="Q34" s="12">
        <f t="shared" si="2"/>
        <v>0</v>
      </c>
    </row>
    <row r="35" spans="1:17" s="13" customFormat="1" ht="15.75" x14ac:dyDescent="0.25">
      <c r="A35" s="10"/>
      <c r="B35" s="27" t="s">
        <v>36</v>
      </c>
      <c r="C35" s="1" t="s">
        <v>17</v>
      </c>
      <c r="D35" s="120"/>
      <c r="E35" s="17" t="s">
        <v>32</v>
      </c>
      <c r="F35" s="73" t="s">
        <v>336</v>
      </c>
      <c r="G35" s="74" t="s">
        <v>112</v>
      </c>
      <c r="H35" s="75">
        <v>2</v>
      </c>
      <c r="I35" s="76"/>
      <c r="J35" s="96"/>
      <c r="K35" s="77"/>
      <c r="L35" s="77"/>
      <c r="M35" s="78">
        <f t="shared" si="1"/>
        <v>0</v>
      </c>
      <c r="N35" s="100">
        <f>4+2</f>
        <v>6</v>
      </c>
      <c r="O35" s="81">
        <f>8144.95+6017.05</f>
        <v>14162</v>
      </c>
      <c r="P35" s="81">
        <f>8144.95</f>
        <v>8144.95</v>
      </c>
      <c r="Q35" s="79">
        <f t="shared" si="2"/>
        <v>6017.05</v>
      </c>
    </row>
    <row r="36" spans="1:17" s="13" customFormat="1" ht="15.75" x14ac:dyDescent="0.25">
      <c r="A36" s="10"/>
      <c r="B36" s="27" t="s">
        <v>38</v>
      </c>
      <c r="C36" s="1" t="s">
        <v>17</v>
      </c>
      <c r="D36" s="120"/>
      <c r="E36" s="3" t="s">
        <v>20</v>
      </c>
      <c r="F36" s="73" t="s">
        <v>338</v>
      </c>
      <c r="G36" s="74" t="s">
        <v>112</v>
      </c>
      <c r="H36" s="75">
        <v>12</v>
      </c>
      <c r="I36" s="76"/>
      <c r="J36" s="96"/>
      <c r="K36" s="77"/>
      <c r="L36" s="77"/>
      <c r="M36" s="78">
        <f t="shared" si="1"/>
        <v>0</v>
      </c>
      <c r="N36" s="100">
        <f>1</f>
        <v>1</v>
      </c>
      <c r="O36" s="81">
        <f>34449.99</f>
        <v>34449.99</v>
      </c>
      <c r="P36" s="81">
        <f>34449.99</f>
        <v>34449.99</v>
      </c>
      <c r="Q36" s="79">
        <f t="shared" si="2"/>
        <v>0</v>
      </c>
    </row>
    <row r="37" spans="1:17" s="13" customFormat="1" ht="15.75" x14ac:dyDescent="0.25">
      <c r="A37" s="10"/>
      <c r="B37" s="25" t="s">
        <v>38</v>
      </c>
      <c r="C37" s="1" t="s">
        <v>17</v>
      </c>
      <c r="D37" s="120"/>
      <c r="E37" s="3" t="s">
        <v>20</v>
      </c>
      <c r="F37" s="73" t="s">
        <v>268</v>
      </c>
      <c r="G37" s="11" t="s">
        <v>114</v>
      </c>
      <c r="H37" s="1"/>
      <c r="I37" s="49"/>
      <c r="J37" s="51"/>
      <c r="K37" s="40"/>
      <c r="L37" s="40"/>
      <c r="M37" s="38">
        <f t="shared" si="1"/>
        <v>0</v>
      </c>
      <c r="N37" s="41"/>
      <c r="O37" s="31"/>
      <c r="P37" s="31"/>
      <c r="Q37" s="12">
        <f t="shared" si="2"/>
        <v>0</v>
      </c>
    </row>
    <row r="38" spans="1:17" s="13" customFormat="1" ht="15.75" x14ac:dyDescent="0.25">
      <c r="A38" s="10"/>
      <c r="B38" s="25" t="s">
        <v>38</v>
      </c>
      <c r="C38" s="1" t="s">
        <v>17</v>
      </c>
      <c r="D38" s="120"/>
      <c r="E38" s="3"/>
      <c r="F38" s="73"/>
      <c r="G38" s="11" t="s">
        <v>116</v>
      </c>
      <c r="H38" s="1">
        <v>3</v>
      </c>
      <c r="I38" s="49"/>
      <c r="J38" s="51"/>
      <c r="K38" s="40"/>
      <c r="L38" s="40"/>
      <c r="M38" s="38"/>
      <c r="N38" s="41"/>
      <c r="O38" s="31"/>
      <c r="P38" s="31"/>
      <c r="Q38" s="12"/>
    </row>
    <row r="39" spans="1:17" s="13" customFormat="1" ht="15.75" x14ac:dyDescent="0.25">
      <c r="A39" s="10"/>
      <c r="B39" s="22" t="s">
        <v>39</v>
      </c>
      <c r="C39" s="1" t="s">
        <v>17</v>
      </c>
      <c r="D39" s="120"/>
      <c r="E39" s="3" t="s">
        <v>20</v>
      </c>
      <c r="F39" s="73" t="s">
        <v>269</v>
      </c>
      <c r="G39" s="11" t="s">
        <v>114</v>
      </c>
      <c r="H39" s="1"/>
      <c r="I39" s="49"/>
      <c r="J39" s="51"/>
      <c r="K39" s="40"/>
      <c r="L39" s="40"/>
      <c r="M39" s="38">
        <f t="shared" si="1"/>
        <v>0</v>
      </c>
      <c r="N39" s="41"/>
      <c r="O39" s="31"/>
      <c r="P39" s="31"/>
      <c r="Q39" s="12">
        <f t="shared" si="2"/>
        <v>0</v>
      </c>
    </row>
    <row r="40" spans="1:17" s="13" customFormat="1" ht="15.75" x14ac:dyDescent="0.25">
      <c r="A40" s="10"/>
      <c r="B40" s="27" t="s">
        <v>40</v>
      </c>
      <c r="C40" s="1" t="s">
        <v>17</v>
      </c>
      <c r="D40" s="120"/>
      <c r="E40" s="17" t="s">
        <v>41</v>
      </c>
      <c r="F40" s="73" t="s">
        <v>339</v>
      </c>
      <c r="G40" s="74" t="s">
        <v>112</v>
      </c>
      <c r="H40" s="75">
        <v>4</v>
      </c>
      <c r="I40" s="76">
        <v>1</v>
      </c>
      <c r="J40" s="96">
        <f>1</f>
        <v>1</v>
      </c>
      <c r="K40" s="77"/>
      <c r="L40" s="77"/>
      <c r="M40" s="78">
        <f t="shared" si="1"/>
        <v>0</v>
      </c>
      <c r="N40" s="100">
        <f>3+13</f>
        <v>16</v>
      </c>
      <c r="O40" s="81">
        <f>17269.31+39990.78</f>
        <v>57260.09</v>
      </c>
      <c r="P40" s="81">
        <f>17269.31</f>
        <v>17269.310000000001</v>
      </c>
      <c r="Q40" s="79">
        <f t="shared" si="2"/>
        <v>39990.78</v>
      </c>
    </row>
    <row r="41" spans="1:17" s="13" customFormat="1" ht="15.75" x14ac:dyDescent="0.25">
      <c r="A41" s="10"/>
      <c r="B41" s="25" t="s">
        <v>40</v>
      </c>
      <c r="C41" s="1" t="s">
        <v>17</v>
      </c>
      <c r="D41" s="120"/>
      <c r="E41" s="17" t="s">
        <v>41</v>
      </c>
      <c r="F41" s="73" t="s">
        <v>482</v>
      </c>
      <c r="G41" s="11" t="s">
        <v>114</v>
      </c>
      <c r="H41" s="1"/>
      <c r="I41" s="49"/>
      <c r="J41" s="51"/>
      <c r="K41" s="40"/>
      <c r="L41" s="40"/>
      <c r="M41" s="38">
        <f t="shared" si="1"/>
        <v>0</v>
      </c>
      <c r="N41" s="41">
        <v>1</v>
      </c>
      <c r="O41" s="31">
        <v>3073.6</v>
      </c>
      <c r="P41" s="31"/>
      <c r="Q41" s="12">
        <f t="shared" si="2"/>
        <v>3073.6</v>
      </c>
    </row>
    <row r="42" spans="1:17" s="13" customFormat="1" ht="15.75" x14ac:dyDescent="0.25">
      <c r="A42" s="10"/>
      <c r="B42" s="27" t="s">
        <v>148</v>
      </c>
      <c r="C42" s="1" t="s">
        <v>17</v>
      </c>
      <c r="D42" s="120"/>
      <c r="E42" s="3" t="s">
        <v>20</v>
      </c>
      <c r="F42" s="73" t="s">
        <v>340</v>
      </c>
      <c r="G42" s="74" t="s">
        <v>112</v>
      </c>
      <c r="H42" s="75">
        <v>2</v>
      </c>
      <c r="I42" s="82">
        <v>1</v>
      </c>
      <c r="J42" s="96">
        <f>1</f>
        <v>1</v>
      </c>
      <c r="K42" s="77">
        <f>537.88</f>
        <v>537.88</v>
      </c>
      <c r="L42" s="77"/>
      <c r="M42" s="78">
        <f t="shared" si="1"/>
        <v>537.88</v>
      </c>
      <c r="N42" s="100">
        <f>6+5</f>
        <v>11</v>
      </c>
      <c r="O42" s="81">
        <f>9370.6+9456.38</f>
        <v>18826.98</v>
      </c>
      <c r="P42" s="81">
        <f>9370.6</f>
        <v>9370.6</v>
      </c>
      <c r="Q42" s="79">
        <f t="shared" si="2"/>
        <v>9456.3799999999992</v>
      </c>
    </row>
    <row r="43" spans="1:17" s="13" customFormat="1" ht="15.75" x14ac:dyDescent="0.25">
      <c r="A43" s="10"/>
      <c r="B43" s="25" t="s">
        <v>148</v>
      </c>
      <c r="C43" s="1" t="s">
        <v>17</v>
      </c>
      <c r="D43" s="120"/>
      <c r="E43" s="17" t="s">
        <v>32</v>
      </c>
      <c r="F43" s="73" t="s">
        <v>425</v>
      </c>
      <c r="G43" s="11" t="s">
        <v>117</v>
      </c>
      <c r="H43" s="1">
        <v>1</v>
      </c>
      <c r="I43" s="49"/>
      <c r="J43" s="46"/>
      <c r="K43" s="40"/>
      <c r="L43" s="40"/>
      <c r="M43" s="38">
        <f t="shared" si="1"/>
        <v>0</v>
      </c>
      <c r="N43" s="41">
        <v>2</v>
      </c>
      <c r="O43" s="31"/>
      <c r="P43" s="31"/>
      <c r="Q43" s="12">
        <f t="shared" si="2"/>
        <v>0</v>
      </c>
    </row>
    <row r="44" spans="1:17" s="13" customFormat="1" ht="15.75" x14ac:dyDescent="0.25">
      <c r="A44" s="10"/>
      <c r="B44" s="30" t="s">
        <v>42</v>
      </c>
      <c r="C44" s="1" t="s">
        <v>17</v>
      </c>
      <c r="D44" s="120"/>
      <c r="E44" s="3" t="s">
        <v>23</v>
      </c>
      <c r="F44" s="73" t="s">
        <v>341</v>
      </c>
      <c r="G44" s="74" t="s">
        <v>112</v>
      </c>
      <c r="H44" s="75">
        <v>7</v>
      </c>
      <c r="I44" s="76"/>
      <c r="J44" s="96"/>
      <c r="K44" s="77"/>
      <c r="L44" s="77"/>
      <c r="M44" s="78">
        <f t="shared" si="1"/>
        <v>0</v>
      </c>
      <c r="N44" s="100">
        <f>4+6+9</f>
        <v>19</v>
      </c>
      <c r="O44" s="81">
        <f>5364.2+26170.88</f>
        <v>31535.08</v>
      </c>
      <c r="P44" s="81"/>
      <c r="Q44" s="79">
        <f t="shared" si="2"/>
        <v>31535.08</v>
      </c>
    </row>
    <row r="45" spans="1:17" s="13" customFormat="1" ht="15.75" x14ac:dyDescent="0.25">
      <c r="A45" s="10"/>
      <c r="B45" s="24" t="s">
        <v>42</v>
      </c>
      <c r="C45" s="1" t="s">
        <v>17</v>
      </c>
      <c r="D45" s="120"/>
      <c r="E45" s="3" t="s">
        <v>23</v>
      </c>
      <c r="F45" s="73" t="s">
        <v>437</v>
      </c>
      <c r="G45" s="11" t="s">
        <v>118</v>
      </c>
      <c r="H45" s="1">
        <v>2</v>
      </c>
      <c r="I45" s="49"/>
      <c r="J45" s="46"/>
      <c r="K45" s="40"/>
      <c r="L45" s="40"/>
      <c r="M45" s="38">
        <f t="shared" si="1"/>
        <v>0</v>
      </c>
      <c r="N45" s="41"/>
      <c r="O45" s="31">
        <v>4226.2</v>
      </c>
      <c r="P45" s="31"/>
      <c r="Q45" s="12">
        <f t="shared" si="2"/>
        <v>4226.2</v>
      </c>
    </row>
    <row r="46" spans="1:17" s="13" customFormat="1" ht="15.75" x14ac:dyDescent="0.25">
      <c r="A46" s="10"/>
      <c r="B46" s="30" t="s">
        <v>173</v>
      </c>
      <c r="C46" s="1" t="s">
        <v>17</v>
      </c>
      <c r="D46" s="120"/>
      <c r="E46" s="11" t="s">
        <v>118</v>
      </c>
      <c r="F46" s="73" t="s">
        <v>342</v>
      </c>
      <c r="G46" s="74" t="s">
        <v>112</v>
      </c>
      <c r="H46" s="75">
        <v>4</v>
      </c>
      <c r="I46" s="76">
        <v>3</v>
      </c>
      <c r="J46" s="96">
        <f>1+2</f>
        <v>3</v>
      </c>
      <c r="K46" s="77">
        <f>6833.76</f>
        <v>6833.76</v>
      </c>
      <c r="L46" s="77"/>
      <c r="M46" s="78">
        <f t="shared" si="1"/>
        <v>6833.76</v>
      </c>
      <c r="N46" s="100">
        <f>4+2</f>
        <v>6</v>
      </c>
      <c r="O46" s="81">
        <f>5931.9+4183.92+3158.95</f>
        <v>13274.77</v>
      </c>
      <c r="P46" s="81">
        <f>5931.9</f>
        <v>5931.9</v>
      </c>
      <c r="Q46" s="79">
        <f t="shared" si="2"/>
        <v>7342.8700000000008</v>
      </c>
    </row>
    <row r="47" spans="1:17" s="13" customFormat="1" ht="15.75" x14ac:dyDescent="0.25">
      <c r="A47" s="10"/>
      <c r="B47" s="22" t="s">
        <v>143</v>
      </c>
      <c r="C47" s="1" t="s">
        <v>64</v>
      </c>
      <c r="D47" s="120" t="s">
        <v>444</v>
      </c>
      <c r="E47" s="3" t="s">
        <v>20</v>
      </c>
      <c r="F47" s="73" t="s">
        <v>445</v>
      </c>
      <c r="G47" s="11" t="s">
        <v>114</v>
      </c>
      <c r="H47" s="1">
        <v>4</v>
      </c>
      <c r="I47" s="47"/>
      <c r="J47" s="51"/>
      <c r="K47" s="37"/>
      <c r="L47" s="37"/>
      <c r="M47" s="78">
        <f t="shared" si="1"/>
        <v>0</v>
      </c>
      <c r="N47" s="39">
        <v>11</v>
      </c>
      <c r="O47" s="31">
        <v>13367.1</v>
      </c>
      <c r="P47" s="31"/>
      <c r="Q47" s="79">
        <f t="shared" si="2"/>
        <v>13367.1</v>
      </c>
    </row>
    <row r="48" spans="1:17" s="13" customFormat="1" ht="15.75" x14ac:dyDescent="0.25">
      <c r="A48" s="10"/>
      <c r="B48" s="24" t="s">
        <v>158</v>
      </c>
      <c r="C48" s="1" t="s">
        <v>17</v>
      </c>
      <c r="D48" s="120"/>
      <c r="E48" s="17" t="s">
        <v>32</v>
      </c>
      <c r="F48" s="73" t="s">
        <v>426</v>
      </c>
      <c r="G48" s="11" t="s">
        <v>117</v>
      </c>
      <c r="H48" s="1">
        <v>4</v>
      </c>
      <c r="I48" s="47"/>
      <c r="J48" s="51"/>
      <c r="K48" s="37"/>
      <c r="L48" s="37"/>
      <c r="M48" s="38">
        <f t="shared" si="1"/>
        <v>0</v>
      </c>
      <c r="N48" s="39">
        <f>2</f>
        <v>2</v>
      </c>
      <c r="O48" s="31"/>
      <c r="P48" s="31"/>
      <c r="Q48" s="12">
        <f t="shared" si="2"/>
        <v>0</v>
      </c>
    </row>
    <row r="49" spans="1:17" s="15" customFormat="1" ht="15.75" x14ac:dyDescent="0.25">
      <c r="A49" s="14"/>
      <c r="B49" s="80" t="s">
        <v>43</v>
      </c>
      <c r="C49" s="1" t="s">
        <v>17</v>
      </c>
      <c r="D49" s="120"/>
      <c r="E49" s="3" t="s">
        <v>18</v>
      </c>
      <c r="F49" s="73" t="s">
        <v>344</v>
      </c>
      <c r="G49" s="74" t="s">
        <v>112</v>
      </c>
      <c r="H49" s="75">
        <v>8</v>
      </c>
      <c r="I49" s="76">
        <v>1</v>
      </c>
      <c r="J49" s="96">
        <f>1</f>
        <v>1</v>
      </c>
      <c r="K49" s="77"/>
      <c r="L49" s="77"/>
      <c r="M49" s="78">
        <f t="shared" si="1"/>
        <v>0</v>
      </c>
      <c r="N49" s="100">
        <f>1+5+4</f>
        <v>10</v>
      </c>
      <c r="O49" s="81">
        <f>1223.8+3810.29+4959.02</f>
        <v>9993.11</v>
      </c>
      <c r="P49" s="81"/>
      <c r="Q49" s="79">
        <f t="shared" si="2"/>
        <v>9993.11</v>
      </c>
    </row>
    <row r="50" spans="1:17" s="15" customFormat="1" ht="31.5" x14ac:dyDescent="0.25">
      <c r="A50" s="14"/>
      <c r="B50" s="22" t="s">
        <v>43</v>
      </c>
      <c r="C50" s="1" t="s">
        <v>304</v>
      </c>
      <c r="D50" s="120" t="s">
        <v>473</v>
      </c>
      <c r="E50" s="3" t="s">
        <v>18</v>
      </c>
      <c r="F50" s="119" t="s">
        <v>323</v>
      </c>
      <c r="G50" s="11" t="s">
        <v>113</v>
      </c>
      <c r="H50" s="1">
        <v>3</v>
      </c>
      <c r="I50" s="126">
        <v>3</v>
      </c>
      <c r="J50" s="125">
        <v>3</v>
      </c>
      <c r="K50" s="40">
        <v>3804</v>
      </c>
      <c r="L50" s="40"/>
      <c r="M50" s="38">
        <f t="shared" si="1"/>
        <v>3804</v>
      </c>
      <c r="N50" s="39">
        <v>2</v>
      </c>
      <c r="O50" s="31">
        <v>5575</v>
      </c>
      <c r="P50" s="31"/>
      <c r="Q50" s="12">
        <f t="shared" si="2"/>
        <v>5575</v>
      </c>
    </row>
    <row r="51" spans="1:17" s="13" customFormat="1" ht="15.75" x14ac:dyDescent="0.25">
      <c r="A51" s="10"/>
      <c r="B51" s="30" t="s">
        <v>44</v>
      </c>
      <c r="C51" s="1" t="s">
        <v>17</v>
      </c>
      <c r="D51" s="120"/>
      <c r="E51" s="3" t="s">
        <v>20</v>
      </c>
      <c r="F51" s="73" t="s">
        <v>345</v>
      </c>
      <c r="G51" s="74" t="s">
        <v>112</v>
      </c>
      <c r="H51" s="75">
        <v>6</v>
      </c>
      <c r="I51" s="76">
        <v>2</v>
      </c>
      <c r="J51" s="96">
        <f>1</f>
        <v>1</v>
      </c>
      <c r="K51" s="77"/>
      <c r="L51" s="77"/>
      <c r="M51" s="78">
        <f t="shared" si="1"/>
        <v>0</v>
      </c>
      <c r="N51" s="100"/>
      <c r="O51" s="81">
        <f>421.62</f>
        <v>421.62</v>
      </c>
      <c r="P51" s="81"/>
      <c r="Q51" s="79">
        <f t="shared" si="2"/>
        <v>421.62</v>
      </c>
    </row>
    <row r="52" spans="1:17" s="13" customFormat="1" ht="15.75" x14ac:dyDescent="0.25">
      <c r="A52" s="10"/>
      <c r="B52" s="24" t="s">
        <v>44</v>
      </c>
      <c r="C52" s="1" t="s">
        <v>17</v>
      </c>
      <c r="D52" s="120"/>
      <c r="E52" s="3" t="s">
        <v>20</v>
      </c>
      <c r="F52" s="73" t="s">
        <v>483</v>
      </c>
      <c r="G52" s="11" t="s">
        <v>114</v>
      </c>
      <c r="H52" s="1"/>
      <c r="I52" s="49"/>
      <c r="J52" s="51"/>
      <c r="K52" s="40"/>
      <c r="L52" s="40"/>
      <c r="M52" s="78">
        <f t="shared" si="1"/>
        <v>0</v>
      </c>
      <c r="N52" s="41">
        <v>2</v>
      </c>
      <c r="O52" s="31"/>
      <c r="P52" s="31"/>
      <c r="Q52" s="12">
        <f t="shared" si="2"/>
        <v>0</v>
      </c>
    </row>
    <row r="53" spans="1:17" s="13" customFormat="1" ht="15.75" x14ac:dyDescent="0.25">
      <c r="A53" s="10"/>
      <c r="B53" s="27" t="s">
        <v>45</v>
      </c>
      <c r="C53" s="1" t="s">
        <v>17</v>
      </c>
      <c r="D53" s="120"/>
      <c r="E53" s="3" t="s">
        <v>20</v>
      </c>
      <c r="F53" s="73" t="s">
        <v>346</v>
      </c>
      <c r="G53" s="74" t="s">
        <v>112</v>
      </c>
      <c r="H53" s="75"/>
      <c r="I53" s="76"/>
      <c r="J53" s="96"/>
      <c r="K53" s="77"/>
      <c r="L53" s="77"/>
      <c r="M53" s="38">
        <f t="shared" si="1"/>
        <v>0</v>
      </c>
      <c r="N53" s="100"/>
      <c r="O53" s="81">
        <f>17995.91</f>
        <v>17995.91</v>
      </c>
      <c r="P53" s="81"/>
      <c r="Q53" s="79">
        <f t="shared" si="2"/>
        <v>17995.91</v>
      </c>
    </row>
    <row r="54" spans="1:17" s="13" customFormat="1" ht="15.75" x14ac:dyDescent="0.25">
      <c r="A54" s="10"/>
      <c r="B54" s="25" t="s">
        <v>45</v>
      </c>
      <c r="C54" s="1" t="s">
        <v>17</v>
      </c>
      <c r="D54" s="120"/>
      <c r="E54" s="3" t="s">
        <v>20</v>
      </c>
      <c r="F54" s="73" t="s">
        <v>484</v>
      </c>
      <c r="G54" s="11" t="s">
        <v>114</v>
      </c>
      <c r="H54" s="1"/>
      <c r="I54" s="49"/>
      <c r="J54" s="51"/>
      <c r="K54" s="40"/>
      <c r="L54" s="40"/>
      <c r="M54" s="78">
        <f t="shared" si="1"/>
        <v>0</v>
      </c>
      <c r="N54" s="41"/>
      <c r="O54" s="31"/>
      <c r="P54" s="31"/>
      <c r="Q54" s="12">
        <f t="shared" si="2"/>
        <v>0</v>
      </c>
    </row>
    <row r="55" spans="1:17" s="15" customFormat="1" ht="15.75" x14ac:dyDescent="0.25">
      <c r="A55" s="14"/>
      <c r="B55" s="28" t="s">
        <v>46</v>
      </c>
      <c r="C55" s="1" t="s">
        <v>17</v>
      </c>
      <c r="D55" s="120"/>
      <c r="E55" s="3" t="s">
        <v>20</v>
      </c>
      <c r="F55" s="73" t="s">
        <v>347</v>
      </c>
      <c r="G55" s="74" t="s">
        <v>112</v>
      </c>
      <c r="H55" s="75">
        <v>3</v>
      </c>
      <c r="I55" s="76">
        <v>1</v>
      </c>
      <c r="J55" s="96">
        <f>1</f>
        <v>1</v>
      </c>
      <c r="K55" s="77">
        <f>1045.98</f>
        <v>1045.98</v>
      </c>
      <c r="L55" s="77"/>
      <c r="M55" s="38">
        <f t="shared" si="1"/>
        <v>1045.98</v>
      </c>
      <c r="N55" s="100">
        <f>4</f>
        <v>4</v>
      </c>
      <c r="O55" s="81">
        <f>10759.2</f>
        <v>10759.2</v>
      </c>
      <c r="P55" s="81"/>
      <c r="Q55" s="79">
        <f t="shared" si="2"/>
        <v>10759.2</v>
      </c>
    </row>
    <row r="56" spans="1:17" s="15" customFormat="1" ht="15.75" x14ac:dyDescent="0.25">
      <c r="A56" s="14"/>
      <c r="B56" s="26" t="s">
        <v>46</v>
      </c>
      <c r="C56" s="1" t="s">
        <v>17</v>
      </c>
      <c r="D56" s="120"/>
      <c r="E56" s="3" t="s">
        <v>20</v>
      </c>
      <c r="F56" s="73" t="s">
        <v>273</v>
      </c>
      <c r="G56" s="11" t="s">
        <v>114</v>
      </c>
      <c r="H56" s="1">
        <v>1</v>
      </c>
      <c r="I56" s="49"/>
      <c r="J56" s="51"/>
      <c r="K56" s="40"/>
      <c r="L56" s="40"/>
      <c r="M56" s="78">
        <f t="shared" si="1"/>
        <v>0</v>
      </c>
      <c r="N56" s="42">
        <v>2</v>
      </c>
      <c r="O56" s="31">
        <v>8068.2</v>
      </c>
      <c r="P56" s="31"/>
      <c r="Q56" s="12">
        <f t="shared" si="2"/>
        <v>8068.2</v>
      </c>
    </row>
    <row r="57" spans="1:17" s="13" customFormat="1" ht="47.25" x14ac:dyDescent="0.25">
      <c r="A57" s="10"/>
      <c r="B57" s="30" t="s">
        <v>47</v>
      </c>
      <c r="C57" s="1" t="s">
        <v>304</v>
      </c>
      <c r="D57" s="120" t="s">
        <v>474</v>
      </c>
      <c r="E57" s="3" t="s">
        <v>18</v>
      </c>
      <c r="F57" s="73" t="s">
        <v>348</v>
      </c>
      <c r="G57" s="74" t="s">
        <v>112</v>
      </c>
      <c r="H57" s="75">
        <v>6</v>
      </c>
      <c r="I57" s="76">
        <v>2</v>
      </c>
      <c r="J57" s="96">
        <f>1+1</f>
        <v>2</v>
      </c>
      <c r="K57" s="77">
        <f>1129.78</f>
        <v>1129.78</v>
      </c>
      <c r="L57" s="77"/>
      <c r="M57" s="38">
        <f t="shared" si="1"/>
        <v>1129.78</v>
      </c>
      <c r="N57" s="100">
        <f>7+3+4+10+6</f>
        <v>30</v>
      </c>
      <c r="O57" s="81">
        <f>8477.51+15159.83+14079.46</f>
        <v>37716.800000000003</v>
      </c>
      <c r="P57" s="81"/>
      <c r="Q57" s="79">
        <f t="shared" si="2"/>
        <v>37716.800000000003</v>
      </c>
    </row>
    <row r="58" spans="1:17" s="13" customFormat="1" ht="47.25" x14ac:dyDescent="0.25">
      <c r="A58" s="10"/>
      <c r="B58" s="22" t="s">
        <v>120</v>
      </c>
      <c r="C58" s="1" t="s">
        <v>304</v>
      </c>
      <c r="D58" s="120" t="s">
        <v>474</v>
      </c>
      <c r="E58" s="3" t="s">
        <v>18</v>
      </c>
      <c r="F58" s="119" t="s">
        <v>334</v>
      </c>
      <c r="G58" s="11" t="s">
        <v>116</v>
      </c>
      <c r="H58" s="1">
        <v>8</v>
      </c>
      <c r="I58" s="53">
        <v>1</v>
      </c>
      <c r="J58" s="127">
        <v>1</v>
      </c>
      <c r="K58" s="40">
        <v>1268</v>
      </c>
      <c r="L58" s="40"/>
      <c r="M58" s="78">
        <f t="shared" si="1"/>
        <v>1268</v>
      </c>
      <c r="N58" s="41">
        <v>2</v>
      </c>
      <c r="O58" s="31">
        <v>26068</v>
      </c>
      <c r="P58" s="31"/>
      <c r="Q58" s="12">
        <f t="shared" si="2"/>
        <v>26068</v>
      </c>
    </row>
    <row r="59" spans="1:17" s="13" customFormat="1" ht="15.75" x14ac:dyDescent="0.25">
      <c r="A59" s="10"/>
      <c r="B59" s="30" t="s">
        <v>134</v>
      </c>
      <c r="C59" s="1" t="s">
        <v>17</v>
      </c>
      <c r="D59" s="120"/>
      <c r="E59" s="3" t="s">
        <v>20</v>
      </c>
      <c r="F59" s="73" t="s">
        <v>349</v>
      </c>
      <c r="G59" s="74" t="s">
        <v>112</v>
      </c>
      <c r="H59" s="75">
        <v>2</v>
      </c>
      <c r="I59" s="76">
        <v>2</v>
      </c>
      <c r="J59" s="96">
        <f>1</f>
        <v>1</v>
      </c>
      <c r="K59" s="77">
        <f>7301.48</f>
        <v>7301.48</v>
      </c>
      <c r="L59" s="77"/>
      <c r="M59" s="38">
        <f t="shared" si="1"/>
        <v>7301.48</v>
      </c>
      <c r="N59" s="100">
        <f>4</f>
        <v>4</v>
      </c>
      <c r="O59" s="81">
        <f>5020.05</f>
        <v>5020.05</v>
      </c>
      <c r="P59" s="81"/>
      <c r="Q59" s="79">
        <f t="shared" si="2"/>
        <v>5020.05</v>
      </c>
    </row>
    <row r="60" spans="1:17" s="13" customFormat="1" ht="15.75" x14ac:dyDescent="0.25">
      <c r="A60" s="10"/>
      <c r="B60" s="24" t="s">
        <v>134</v>
      </c>
      <c r="C60" s="1" t="s">
        <v>17</v>
      </c>
      <c r="D60" s="120"/>
      <c r="E60" s="3" t="s">
        <v>20</v>
      </c>
      <c r="F60" s="73" t="s">
        <v>456</v>
      </c>
      <c r="G60" s="11" t="s">
        <v>114</v>
      </c>
      <c r="H60" s="1">
        <v>3</v>
      </c>
      <c r="I60" s="49"/>
      <c r="J60" s="51"/>
      <c r="K60" s="40"/>
      <c r="L60" s="40"/>
      <c r="M60" s="78">
        <f t="shared" si="1"/>
        <v>0</v>
      </c>
      <c r="N60" s="41">
        <v>19</v>
      </c>
      <c r="O60" s="31">
        <v>16425.57</v>
      </c>
      <c r="P60" s="31"/>
      <c r="Q60" s="12">
        <f t="shared" si="2"/>
        <v>16425.57</v>
      </c>
    </row>
    <row r="61" spans="1:17" s="13" customFormat="1" ht="15.75" x14ac:dyDescent="0.25">
      <c r="A61" s="10"/>
      <c r="B61" s="62" t="s">
        <v>48</v>
      </c>
      <c r="C61" s="1" t="s">
        <v>17</v>
      </c>
      <c r="D61" s="120"/>
      <c r="E61" s="3" t="s">
        <v>20</v>
      </c>
      <c r="F61" s="73" t="s">
        <v>350</v>
      </c>
      <c r="G61" s="74" t="s">
        <v>112</v>
      </c>
      <c r="H61" s="75">
        <v>3</v>
      </c>
      <c r="I61" s="76">
        <v>1</v>
      </c>
      <c r="J61" s="96">
        <f>1</f>
        <v>1</v>
      </c>
      <c r="K61" s="77"/>
      <c r="L61" s="77"/>
      <c r="M61" s="38">
        <f t="shared" si="1"/>
        <v>0</v>
      </c>
      <c r="N61" s="100">
        <f>2+1</f>
        <v>3</v>
      </c>
      <c r="O61" s="81">
        <f>23173.33</f>
        <v>23173.33</v>
      </c>
      <c r="P61" s="81"/>
      <c r="Q61" s="79">
        <f t="shared" si="2"/>
        <v>23173.33</v>
      </c>
    </row>
    <row r="62" spans="1:17" s="13" customFormat="1" ht="15.75" x14ac:dyDescent="0.25">
      <c r="A62" s="10"/>
      <c r="B62" s="62" t="s">
        <v>49</v>
      </c>
      <c r="C62" s="1" t="s">
        <v>17</v>
      </c>
      <c r="D62" s="120"/>
      <c r="E62" s="3" t="s">
        <v>50</v>
      </c>
      <c r="F62" s="73" t="s">
        <v>351</v>
      </c>
      <c r="G62" s="74" t="s">
        <v>112</v>
      </c>
      <c r="H62" s="75">
        <v>4</v>
      </c>
      <c r="I62" s="76"/>
      <c r="J62" s="96"/>
      <c r="K62" s="77"/>
      <c r="L62" s="77"/>
      <c r="M62" s="78">
        <f t="shared" si="1"/>
        <v>0</v>
      </c>
      <c r="N62" s="100">
        <f>5+1</f>
        <v>6</v>
      </c>
      <c r="O62" s="81">
        <f>7374+1806.93</f>
        <v>9180.93</v>
      </c>
      <c r="P62" s="81">
        <f>7374</f>
        <v>7374</v>
      </c>
      <c r="Q62" s="12">
        <f t="shared" si="2"/>
        <v>1806.9300000000003</v>
      </c>
    </row>
    <row r="63" spans="1:17" s="13" customFormat="1" ht="15.75" x14ac:dyDescent="0.25">
      <c r="A63" s="10"/>
      <c r="B63" s="22" t="s">
        <v>49</v>
      </c>
      <c r="C63" s="1" t="s">
        <v>17</v>
      </c>
      <c r="D63" s="120"/>
      <c r="E63" s="3" t="s">
        <v>50</v>
      </c>
      <c r="F63" s="73" t="s">
        <v>427</v>
      </c>
      <c r="G63" s="11" t="s">
        <v>115</v>
      </c>
      <c r="H63" s="1">
        <v>1</v>
      </c>
      <c r="I63" s="49"/>
      <c r="J63" s="46"/>
      <c r="K63" s="40"/>
      <c r="L63" s="40"/>
      <c r="M63" s="38">
        <f t="shared" si="1"/>
        <v>0</v>
      </c>
      <c r="N63" s="41">
        <f>6</f>
        <v>6</v>
      </c>
      <c r="O63" s="31"/>
      <c r="P63" s="31"/>
      <c r="Q63" s="79">
        <f t="shared" si="2"/>
        <v>0</v>
      </c>
    </row>
    <row r="64" spans="1:17" s="13" customFormat="1" ht="15.75" x14ac:dyDescent="0.25">
      <c r="A64" s="10"/>
      <c r="B64" s="27" t="s">
        <v>51</v>
      </c>
      <c r="C64" s="1" t="s">
        <v>17</v>
      </c>
      <c r="D64" s="120"/>
      <c r="E64" s="3" t="s">
        <v>20</v>
      </c>
      <c r="F64" s="73" t="s">
        <v>186</v>
      </c>
      <c r="G64" s="74" t="s">
        <v>112</v>
      </c>
      <c r="H64" s="75"/>
      <c r="I64" s="76"/>
      <c r="J64" s="96"/>
      <c r="K64" s="77"/>
      <c r="L64" s="77"/>
      <c r="M64" s="78">
        <f t="shared" si="1"/>
        <v>0</v>
      </c>
      <c r="N64" s="100">
        <f>1</f>
        <v>1</v>
      </c>
      <c r="O64" s="81">
        <v>2451.87</v>
      </c>
      <c r="P64" s="81"/>
      <c r="Q64" s="12">
        <f t="shared" si="2"/>
        <v>2451.87</v>
      </c>
    </row>
    <row r="65" spans="1:17" s="13" customFormat="1" ht="15.75" x14ac:dyDescent="0.25">
      <c r="A65" s="10"/>
      <c r="B65" s="27" t="s">
        <v>51</v>
      </c>
      <c r="C65" s="1" t="s">
        <v>17</v>
      </c>
      <c r="D65" s="120"/>
      <c r="E65" s="3" t="s">
        <v>20</v>
      </c>
      <c r="F65" s="73" t="s">
        <v>276</v>
      </c>
      <c r="G65" s="11" t="s">
        <v>114</v>
      </c>
      <c r="H65" s="1"/>
      <c r="I65" s="49"/>
      <c r="J65" s="51"/>
      <c r="K65" s="40"/>
      <c r="L65" s="40"/>
      <c r="M65" s="38">
        <f t="shared" si="1"/>
        <v>0</v>
      </c>
      <c r="N65" s="41">
        <v>3</v>
      </c>
      <c r="O65" s="31">
        <v>6763.6</v>
      </c>
      <c r="P65" s="31"/>
      <c r="Q65" s="79">
        <f t="shared" si="2"/>
        <v>6763.6</v>
      </c>
    </row>
    <row r="66" spans="1:17" s="13" customFormat="1" ht="15.75" x14ac:dyDescent="0.25">
      <c r="A66" s="10"/>
      <c r="B66" s="62" t="s">
        <v>52</v>
      </c>
      <c r="C66" s="1" t="s">
        <v>17</v>
      </c>
      <c r="D66" s="120"/>
      <c r="E66" s="3" t="s">
        <v>20</v>
      </c>
      <c r="F66" s="73" t="s">
        <v>352</v>
      </c>
      <c r="G66" s="74" t="s">
        <v>112</v>
      </c>
      <c r="H66" s="75">
        <v>2</v>
      </c>
      <c r="I66" s="76"/>
      <c r="J66" s="96"/>
      <c r="K66" s="77"/>
      <c r="L66" s="77"/>
      <c r="M66" s="78">
        <f t="shared" si="1"/>
        <v>0</v>
      </c>
      <c r="N66" s="100">
        <f>4+3</f>
        <v>7</v>
      </c>
      <c r="O66" s="81">
        <f>48296.91+7596.86</f>
        <v>55893.770000000004</v>
      </c>
      <c r="P66" s="81"/>
      <c r="Q66" s="12">
        <f t="shared" si="2"/>
        <v>55893.770000000004</v>
      </c>
    </row>
    <row r="67" spans="1:17" s="13" customFormat="1" ht="15.75" x14ac:dyDescent="0.25">
      <c r="A67" s="10"/>
      <c r="B67" s="22" t="s">
        <v>52</v>
      </c>
      <c r="C67" s="1" t="s">
        <v>17</v>
      </c>
      <c r="D67" s="120"/>
      <c r="E67" s="3" t="s">
        <v>20</v>
      </c>
      <c r="F67" s="73" t="s">
        <v>457</v>
      </c>
      <c r="G67" s="11" t="s">
        <v>114</v>
      </c>
      <c r="H67" s="1">
        <v>3</v>
      </c>
      <c r="I67" s="49"/>
      <c r="J67" s="51"/>
      <c r="K67" s="40"/>
      <c r="L67" s="40"/>
      <c r="M67" s="38">
        <f t="shared" si="1"/>
        <v>0</v>
      </c>
      <c r="N67" s="41">
        <v>12</v>
      </c>
      <c r="O67" s="31">
        <v>19664.86</v>
      </c>
      <c r="P67" s="31"/>
      <c r="Q67" s="79">
        <f t="shared" si="2"/>
        <v>19664.86</v>
      </c>
    </row>
    <row r="68" spans="1:17" s="13" customFormat="1" ht="15.75" x14ac:dyDescent="0.25">
      <c r="A68" s="10"/>
      <c r="B68" s="27" t="s">
        <v>53</v>
      </c>
      <c r="C68" s="1" t="s">
        <v>17</v>
      </c>
      <c r="D68" s="120"/>
      <c r="E68" s="3" t="s">
        <v>20</v>
      </c>
      <c r="F68" s="73" t="s">
        <v>353</v>
      </c>
      <c r="G68" s="74" t="s">
        <v>112</v>
      </c>
      <c r="H68" s="75">
        <v>1</v>
      </c>
      <c r="I68" s="76"/>
      <c r="J68" s="96"/>
      <c r="K68" s="77"/>
      <c r="L68" s="77"/>
      <c r="M68" s="78">
        <f>K68-L68</f>
        <v>0</v>
      </c>
      <c r="N68" s="100">
        <f>1+2</f>
        <v>3</v>
      </c>
      <c r="O68" s="81">
        <f>1743.3</f>
        <v>1743.3</v>
      </c>
      <c r="P68" s="81">
        <f>422.62</f>
        <v>422.62</v>
      </c>
      <c r="Q68" s="12">
        <f t="shared" si="2"/>
        <v>1320.6799999999998</v>
      </c>
    </row>
    <row r="69" spans="1:17" s="13" customFormat="1" ht="15.75" x14ac:dyDescent="0.25">
      <c r="A69" s="10"/>
      <c r="B69" s="27" t="s">
        <v>149</v>
      </c>
      <c r="C69" s="1" t="s">
        <v>17</v>
      </c>
      <c r="D69" s="120"/>
      <c r="E69" s="3" t="s">
        <v>383</v>
      </c>
      <c r="F69" s="73" t="s">
        <v>354</v>
      </c>
      <c r="G69" s="74" t="s">
        <v>112</v>
      </c>
      <c r="H69" s="75">
        <v>4</v>
      </c>
      <c r="I69" s="76"/>
      <c r="J69" s="96"/>
      <c r="K69" s="77"/>
      <c r="L69" s="77"/>
      <c r="M69" s="38">
        <f t="shared" si="1"/>
        <v>0</v>
      </c>
      <c r="N69" s="100">
        <f>2</f>
        <v>2</v>
      </c>
      <c r="O69" s="81">
        <f>3676.8</f>
        <v>3676.8</v>
      </c>
      <c r="P69" s="81"/>
      <c r="Q69" s="79">
        <f t="shared" si="2"/>
        <v>3676.8</v>
      </c>
    </row>
    <row r="70" spans="1:17" s="13" customFormat="1" ht="15.75" x14ac:dyDescent="0.25">
      <c r="A70" s="10"/>
      <c r="B70" s="25" t="s">
        <v>149</v>
      </c>
      <c r="C70" s="1" t="s">
        <v>17</v>
      </c>
      <c r="D70" s="120"/>
      <c r="E70" s="3" t="s">
        <v>383</v>
      </c>
      <c r="F70" s="73" t="s">
        <v>438</v>
      </c>
      <c r="G70" s="11" t="s">
        <v>118</v>
      </c>
      <c r="H70" s="1">
        <v>3</v>
      </c>
      <c r="I70" s="47"/>
      <c r="J70" s="51"/>
      <c r="K70" s="37"/>
      <c r="L70" s="37"/>
      <c r="M70" s="78">
        <f t="shared" si="1"/>
        <v>0</v>
      </c>
      <c r="N70" s="39">
        <v>3</v>
      </c>
      <c r="O70" s="31">
        <v>4994.6000000000004</v>
      </c>
      <c r="P70" s="31"/>
      <c r="Q70" s="12">
        <f t="shared" si="2"/>
        <v>4994.6000000000004</v>
      </c>
    </row>
    <row r="71" spans="1:17" s="13" customFormat="1" ht="15.75" x14ac:dyDescent="0.25">
      <c r="A71" s="10"/>
      <c r="B71" s="62" t="s">
        <v>107</v>
      </c>
      <c r="C71" s="1" t="s">
        <v>17</v>
      </c>
      <c r="D71" s="120"/>
      <c r="E71" s="17" t="s">
        <v>20</v>
      </c>
      <c r="F71" s="73" t="s">
        <v>355</v>
      </c>
      <c r="G71" s="74" t="s">
        <v>112</v>
      </c>
      <c r="H71" s="75">
        <v>3</v>
      </c>
      <c r="I71" s="76"/>
      <c r="J71" s="96">
        <f>1</f>
        <v>1</v>
      </c>
      <c r="K71" s="77">
        <f>666.63</f>
        <v>666.63</v>
      </c>
      <c r="L71" s="77"/>
      <c r="M71" s="38">
        <f t="shared" si="1"/>
        <v>666.63</v>
      </c>
      <c r="N71" s="100">
        <f>2+6</f>
        <v>8</v>
      </c>
      <c r="O71" s="81">
        <f>7612.92+18804.48</f>
        <v>26417.4</v>
      </c>
      <c r="P71" s="81"/>
      <c r="Q71" s="79">
        <f t="shared" si="2"/>
        <v>26417.4</v>
      </c>
    </row>
    <row r="72" spans="1:17" s="13" customFormat="1" ht="15.75" x14ac:dyDescent="0.25">
      <c r="A72" s="10"/>
      <c r="B72" s="30" t="s">
        <v>54</v>
      </c>
      <c r="C72" s="1" t="s">
        <v>17</v>
      </c>
      <c r="D72" s="120"/>
      <c r="E72" s="17" t="s">
        <v>20</v>
      </c>
      <c r="F72" s="73" t="s">
        <v>356</v>
      </c>
      <c r="G72" s="74" t="s">
        <v>112</v>
      </c>
      <c r="H72" s="75"/>
      <c r="I72" s="76"/>
      <c r="J72" s="96"/>
      <c r="K72" s="77"/>
      <c r="L72" s="77"/>
      <c r="M72" s="38">
        <f t="shared" si="1"/>
        <v>0</v>
      </c>
      <c r="N72" s="100"/>
      <c r="O72" s="81"/>
      <c r="P72" s="81"/>
      <c r="Q72" s="79">
        <f t="shared" si="2"/>
        <v>0</v>
      </c>
    </row>
    <row r="73" spans="1:17" s="13" customFormat="1" ht="31.5" x14ac:dyDescent="0.25">
      <c r="A73" s="10"/>
      <c r="B73" s="27" t="s">
        <v>55</v>
      </c>
      <c r="C73" s="1" t="s">
        <v>304</v>
      </c>
      <c r="D73" s="120" t="s">
        <v>387</v>
      </c>
      <c r="E73" s="3" t="s">
        <v>20</v>
      </c>
      <c r="F73" s="73" t="s">
        <v>357</v>
      </c>
      <c r="G73" s="74" t="s">
        <v>112</v>
      </c>
      <c r="H73" s="75">
        <v>5</v>
      </c>
      <c r="I73" s="76"/>
      <c r="J73" s="96"/>
      <c r="K73" s="77"/>
      <c r="L73" s="77"/>
      <c r="M73" s="78">
        <f t="shared" si="1"/>
        <v>0</v>
      </c>
      <c r="N73" s="100">
        <f>2+1</f>
        <v>3</v>
      </c>
      <c r="O73" s="81">
        <f>34854.19+2113.1</f>
        <v>36967.29</v>
      </c>
      <c r="P73" s="81">
        <f>34854.19</f>
        <v>34854.19</v>
      </c>
      <c r="Q73" s="12">
        <f t="shared" si="2"/>
        <v>2113.0999999999985</v>
      </c>
    </row>
    <row r="74" spans="1:17" s="13" customFormat="1" ht="31.5" x14ac:dyDescent="0.25">
      <c r="A74" s="10"/>
      <c r="B74" s="62" t="s">
        <v>56</v>
      </c>
      <c r="C74" s="1" t="s">
        <v>17</v>
      </c>
      <c r="D74" s="120" t="s">
        <v>386</v>
      </c>
      <c r="E74" s="3" t="s">
        <v>18</v>
      </c>
      <c r="F74" s="73" t="s">
        <v>358</v>
      </c>
      <c r="G74" s="74" t="s">
        <v>112</v>
      </c>
      <c r="H74" s="75">
        <v>2</v>
      </c>
      <c r="I74" s="76">
        <v>1</v>
      </c>
      <c r="J74" s="96">
        <f>1</f>
        <v>1</v>
      </c>
      <c r="K74" s="77">
        <f>677.11</f>
        <v>677.11</v>
      </c>
      <c r="L74" s="77"/>
      <c r="M74" s="38">
        <f t="shared" si="1"/>
        <v>677.11</v>
      </c>
      <c r="N74" s="100"/>
      <c r="O74" s="81"/>
      <c r="P74" s="81"/>
      <c r="Q74" s="79">
        <f t="shared" ref="Q74:Q142" si="3">O74-P74</f>
        <v>0</v>
      </c>
    </row>
    <row r="75" spans="1:17" s="13" customFormat="1" ht="31.5" x14ac:dyDescent="0.25">
      <c r="A75" s="10"/>
      <c r="B75" s="22" t="s">
        <v>56</v>
      </c>
      <c r="C75" s="1" t="s">
        <v>304</v>
      </c>
      <c r="D75" s="120" t="s">
        <v>386</v>
      </c>
      <c r="E75" s="3" t="s">
        <v>18</v>
      </c>
      <c r="F75" s="121" t="s">
        <v>476</v>
      </c>
      <c r="G75" s="11" t="s">
        <v>113</v>
      </c>
      <c r="H75" s="1">
        <v>1</v>
      </c>
      <c r="I75" s="49"/>
      <c r="J75" s="46"/>
      <c r="K75" s="40"/>
      <c r="L75" s="40"/>
      <c r="M75" s="78">
        <f t="shared" si="1"/>
        <v>0</v>
      </c>
      <c r="N75" s="41"/>
      <c r="O75" s="31">
        <v>7612</v>
      </c>
      <c r="P75" s="31"/>
      <c r="Q75" s="12">
        <f t="shared" si="3"/>
        <v>7612</v>
      </c>
    </row>
    <row r="76" spans="1:17" s="13" customFormat="1" ht="15.75" x14ac:dyDescent="0.25">
      <c r="A76" s="10"/>
      <c r="B76" s="62" t="s">
        <v>156</v>
      </c>
      <c r="C76" s="1" t="s">
        <v>304</v>
      </c>
      <c r="D76" s="120"/>
      <c r="E76" s="3" t="s">
        <v>20</v>
      </c>
      <c r="F76" s="73" t="s">
        <v>359</v>
      </c>
      <c r="G76" s="74" t="s">
        <v>112</v>
      </c>
      <c r="H76" s="75">
        <v>1</v>
      </c>
      <c r="I76" s="76"/>
      <c r="J76" s="96"/>
      <c r="K76" s="77"/>
      <c r="L76" s="77"/>
      <c r="M76" s="38">
        <f t="shared" si="1"/>
        <v>0</v>
      </c>
      <c r="N76" s="100">
        <f>3</f>
        <v>3</v>
      </c>
      <c r="O76" s="81">
        <f>5487.54</f>
        <v>5487.54</v>
      </c>
      <c r="P76" s="81"/>
      <c r="Q76" s="79">
        <f t="shared" si="3"/>
        <v>5487.54</v>
      </c>
    </row>
    <row r="77" spans="1:17" s="15" customFormat="1" ht="15.75" x14ac:dyDescent="0.25">
      <c r="A77" s="14"/>
      <c r="B77" s="80" t="s">
        <v>57</v>
      </c>
      <c r="C77" s="1" t="s">
        <v>17</v>
      </c>
      <c r="D77" s="120"/>
      <c r="E77" s="3" t="s">
        <v>20</v>
      </c>
      <c r="F77" s="73" t="s">
        <v>360</v>
      </c>
      <c r="G77" s="74" t="s">
        <v>112</v>
      </c>
      <c r="H77" s="75">
        <v>2</v>
      </c>
      <c r="I77" s="76"/>
      <c r="J77" s="96"/>
      <c r="K77" s="77"/>
      <c r="L77" s="77"/>
      <c r="M77" s="78">
        <f t="shared" si="1"/>
        <v>0</v>
      </c>
      <c r="N77" s="100"/>
      <c r="O77" s="81"/>
      <c r="P77" s="81"/>
      <c r="Q77" s="12">
        <f t="shared" si="3"/>
        <v>0</v>
      </c>
    </row>
    <row r="78" spans="1:17" s="15" customFormat="1" ht="15.75" x14ac:dyDescent="0.25">
      <c r="A78" s="14"/>
      <c r="B78" s="23" t="s">
        <v>57</v>
      </c>
      <c r="C78" s="1" t="s">
        <v>17</v>
      </c>
      <c r="D78" s="120"/>
      <c r="E78" s="3" t="s">
        <v>20</v>
      </c>
      <c r="F78" s="73" t="s">
        <v>458</v>
      </c>
      <c r="G78" s="11" t="s">
        <v>114</v>
      </c>
      <c r="H78" s="1">
        <v>6</v>
      </c>
      <c r="I78" s="49">
        <v>1</v>
      </c>
      <c r="J78" s="51">
        <v>1</v>
      </c>
      <c r="K78" s="40"/>
      <c r="L78" s="40"/>
      <c r="M78" s="38">
        <f t="shared" si="1"/>
        <v>0</v>
      </c>
      <c r="N78" s="42">
        <v>7</v>
      </c>
      <c r="O78" s="31"/>
      <c r="P78" s="31"/>
      <c r="Q78" s="79">
        <f t="shared" si="3"/>
        <v>0</v>
      </c>
    </row>
    <row r="79" spans="1:17" s="13" customFormat="1" ht="15.75" x14ac:dyDescent="0.25">
      <c r="A79" s="10"/>
      <c r="B79" s="62" t="s">
        <v>58</v>
      </c>
      <c r="C79" s="1" t="s">
        <v>17</v>
      </c>
      <c r="D79" s="120"/>
      <c r="E79" s="3" t="s">
        <v>20</v>
      </c>
      <c r="F79" s="73" t="s">
        <v>361</v>
      </c>
      <c r="G79" s="74" t="s">
        <v>112</v>
      </c>
      <c r="H79" s="75">
        <v>1</v>
      </c>
      <c r="I79" s="76"/>
      <c r="J79" s="96"/>
      <c r="K79" s="77"/>
      <c r="L79" s="77"/>
      <c r="M79" s="78">
        <f t="shared" si="1"/>
        <v>0</v>
      </c>
      <c r="N79" s="100">
        <f>1</f>
        <v>1</v>
      </c>
      <c r="O79" s="81">
        <f>9196.24</f>
        <v>9196.24</v>
      </c>
      <c r="P79" s="81"/>
      <c r="Q79" s="12">
        <f t="shared" si="3"/>
        <v>9196.24</v>
      </c>
    </row>
    <row r="80" spans="1:17" s="13" customFormat="1" ht="15.75" x14ac:dyDescent="0.25">
      <c r="A80" s="10"/>
      <c r="B80" s="22" t="s">
        <v>58</v>
      </c>
      <c r="C80" s="1" t="s">
        <v>17</v>
      </c>
      <c r="D80" s="120"/>
      <c r="E80" s="3" t="s">
        <v>20</v>
      </c>
      <c r="F80" s="73" t="s">
        <v>478</v>
      </c>
      <c r="G80" s="11" t="s">
        <v>114</v>
      </c>
      <c r="H80" s="1"/>
      <c r="I80" s="49"/>
      <c r="J80" s="51"/>
      <c r="K80" s="40"/>
      <c r="L80" s="40"/>
      <c r="M80" s="38">
        <f t="shared" ref="M80:M150" si="4">K80-L80</f>
        <v>0</v>
      </c>
      <c r="N80" s="41">
        <v>15</v>
      </c>
      <c r="O80" s="31">
        <v>23095.57</v>
      </c>
      <c r="P80" s="31"/>
      <c r="Q80" s="79">
        <f t="shared" si="3"/>
        <v>23095.57</v>
      </c>
    </row>
    <row r="81" spans="1:17" s="13" customFormat="1" ht="15.75" x14ac:dyDescent="0.25">
      <c r="A81" s="10"/>
      <c r="B81" s="62" t="s">
        <v>59</v>
      </c>
      <c r="C81" s="1" t="s">
        <v>17</v>
      </c>
      <c r="D81" s="120"/>
      <c r="E81" s="3" t="s">
        <v>20</v>
      </c>
      <c r="F81" s="73" t="s">
        <v>362</v>
      </c>
      <c r="G81" s="74" t="s">
        <v>112</v>
      </c>
      <c r="H81" s="75">
        <v>3</v>
      </c>
      <c r="I81" s="76">
        <v>2</v>
      </c>
      <c r="J81" s="96">
        <f>1+1</f>
        <v>2</v>
      </c>
      <c r="K81" s="77"/>
      <c r="L81" s="77"/>
      <c r="M81" s="78">
        <f t="shared" si="4"/>
        <v>0</v>
      </c>
      <c r="N81" s="100">
        <f>1+2+2</f>
        <v>5</v>
      </c>
      <c r="O81" s="81">
        <f>6646.05+1267.86</f>
        <v>7913.91</v>
      </c>
      <c r="P81" s="81"/>
      <c r="Q81" s="12">
        <f t="shared" si="3"/>
        <v>7913.91</v>
      </c>
    </row>
    <row r="82" spans="1:17" s="13" customFormat="1" ht="15.75" x14ac:dyDescent="0.25">
      <c r="A82" s="10"/>
      <c r="B82" s="22" t="s">
        <v>59</v>
      </c>
      <c r="C82" s="1" t="s">
        <v>17</v>
      </c>
      <c r="D82" s="120"/>
      <c r="E82" s="3" t="s">
        <v>20</v>
      </c>
      <c r="F82" s="73" t="s">
        <v>128</v>
      </c>
      <c r="G82" s="11" t="s">
        <v>114</v>
      </c>
      <c r="H82" s="1"/>
      <c r="I82" s="49"/>
      <c r="J82" s="51"/>
      <c r="K82" s="40"/>
      <c r="L82" s="40"/>
      <c r="M82" s="38">
        <f t="shared" si="4"/>
        <v>0</v>
      </c>
      <c r="N82" s="41"/>
      <c r="O82" s="31"/>
      <c r="P82" s="31"/>
      <c r="Q82" s="79">
        <f t="shared" si="3"/>
        <v>0</v>
      </c>
    </row>
    <row r="83" spans="1:17" s="13" customFormat="1" ht="15.75" x14ac:dyDescent="0.25">
      <c r="A83" s="10"/>
      <c r="B83" s="27" t="s">
        <v>60</v>
      </c>
      <c r="C83" s="1" t="s">
        <v>17</v>
      </c>
      <c r="D83" s="120"/>
      <c r="E83" s="3" t="s">
        <v>20</v>
      </c>
      <c r="F83" s="73" t="s">
        <v>364</v>
      </c>
      <c r="G83" s="74" t="s">
        <v>112</v>
      </c>
      <c r="H83" s="75">
        <v>3</v>
      </c>
      <c r="I83" s="76"/>
      <c r="J83" s="96"/>
      <c r="K83" s="77"/>
      <c r="L83" s="77"/>
      <c r="M83" s="78">
        <f t="shared" si="4"/>
        <v>0</v>
      </c>
      <c r="N83" s="100">
        <f>4</f>
        <v>4</v>
      </c>
      <c r="O83" s="81">
        <f>15124.53</f>
        <v>15124.53</v>
      </c>
      <c r="P83" s="81"/>
      <c r="Q83" s="12">
        <f t="shared" si="3"/>
        <v>15124.53</v>
      </c>
    </row>
    <row r="84" spans="1:17" s="13" customFormat="1" ht="15.75" x14ac:dyDescent="0.25">
      <c r="A84" s="10"/>
      <c r="B84" s="25" t="s">
        <v>60</v>
      </c>
      <c r="C84" s="1" t="s">
        <v>17</v>
      </c>
      <c r="D84" s="120"/>
      <c r="E84" s="3" t="s">
        <v>20</v>
      </c>
      <c r="F84" s="73" t="s">
        <v>479</v>
      </c>
      <c r="G84" s="11" t="s">
        <v>114</v>
      </c>
      <c r="H84" s="1">
        <v>2</v>
      </c>
      <c r="I84" s="49"/>
      <c r="J84" s="51"/>
      <c r="K84" s="40"/>
      <c r="L84" s="40"/>
      <c r="M84" s="38">
        <f t="shared" si="4"/>
        <v>0</v>
      </c>
      <c r="N84" s="41">
        <v>7</v>
      </c>
      <c r="O84" s="31">
        <v>6259.4</v>
      </c>
      <c r="P84" s="31"/>
      <c r="Q84" s="79">
        <f t="shared" si="3"/>
        <v>6259.4</v>
      </c>
    </row>
    <row r="85" spans="1:17" s="15" customFormat="1" ht="15.75" x14ac:dyDescent="0.25">
      <c r="A85" s="14"/>
      <c r="B85" s="28" t="s">
        <v>61</v>
      </c>
      <c r="C85" s="1" t="s">
        <v>17</v>
      </c>
      <c r="D85" s="120"/>
      <c r="E85" s="3" t="s">
        <v>20</v>
      </c>
      <c r="F85" s="73" t="s">
        <v>363</v>
      </c>
      <c r="G85" s="74" t="s">
        <v>112</v>
      </c>
      <c r="H85" s="75"/>
      <c r="I85" s="76"/>
      <c r="J85" s="96"/>
      <c r="K85" s="77"/>
      <c r="L85" s="77"/>
      <c r="M85" s="78">
        <f t="shared" si="4"/>
        <v>0</v>
      </c>
      <c r="N85" s="100"/>
      <c r="O85" s="81"/>
      <c r="P85" s="81"/>
      <c r="Q85" s="12">
        <f t="shared" si="3"/>
        <v>0</v>
      </c>
    </row>
    <row r="86" spans="1:17" s="15" customFormat="1" ht="15.75" x14ac:dyDescent="0.25">
      <c r="A86" s="14"/>
      <c r="B86" s="26" t="s">
        <v>61</v>
      </c>
      <c r="C86" s="1" t="s">
        <v>17</v>
      </c>
      <c r="D86" s="120"/>
      <c r="E86" s="3" t="s">
        <v>20</v>
      </c>
      <c r="F86" s="73" t="s">
        <v>121</v>
      </c>
      <c r="G86" s="11" t="s">
        <v>114</v>
      </c>
      <c r="H86" s="1"/>
      <c r="I86" s="49"/>
      <c r="J86" s="51"/>
      <c r="K86" s="40"/>
      <c r="L86" s="40"/>
      <c r="M86" s="38">
        <f t="shared" si="4"/>
        <v>0</v>
      </c>
      <c r="N86" s="42"/>
      <c r="O86" s="31"/>
      <c r="P86" s="31"/>
      <c r="Q86" s="79">
        <f t="shared" si="3"/>
        <v>0</v>
      </c>
    </row>
    <row r="87" spans="1:17" s="15" customFormat="1" ht="15.75" x14ac:dyDescent="0.25">
      <c r="A87" s="14"/>
      <c r="B87" s="20" t="s">
        <v>306</v>
      </c>
      <c r="C87" s="1" t="s">
        <v>17</v>
      </c>
      <c r="D87" s="120"/>
      <c r="E87" s="3" t="s">
        <v>35</v>
      </c>
      <c r="F87" s="73" t="s">
        <v>365</v>
      </c>
      <c r="G87" s="11" t="s">
        <v>112</v>
      </c>
      <c r="H87" s="1">
        <v>7</v>
      </c>
      <c r="I87" s="58">
        <v>1</v>
      </c>
      <c r="J87" s="51">
        <f>1</f>
        <v>1</v>
      </c>
      <c r="K87" s="40">
        <f>1045.98</f>
        <v>1045.98</v>
      </c>
      <c r="L87" s="40"/>
      <c r="M87" s="78">
        <f t="shared" si="4"/>
        <v>1045.98</v>
      </c>
      <c r="N87" s="39">
        <f>7+2</f>
        <v>9</v>
      </c>
      <c r="O87" s="31">
        <f>2313.84+6162.57</f>
        <v>8476.41</v>
      </c>
      <c r="P87" s="31">
        <f>2313.84</f>
        <v>2313.84</v>
      </c>
      <c r="Q87" s="12">
        <f t="shared" si="3"/>
        <v>6162.57</v>
      </c>
    </row>
    <row r="88" spans="1:17" s="13" customFormat="1" ht="15.75" x14ac:dyDescent="0.25">
      <c r="A88" s="10"/>
      <c r="B88" s="22" t="s">
        <v>306</v>
      </c>
      <c r="C88" s="1" t="s">
        <v>17</v>
      </c>
      <c r="D88" s="120"/>
      <c r="E88" s="3" t="s">
        <v>27</v>
      </c>
      <c r="F88" s="73" t="s">
        <v>421</v>
      </c>
      <c r="G88" s="11" t="s">
        <v>117</v>
      </c>
      <c r="H88" s="1"/>
      <c r="I88" s="49"/>
      <c r="J88" s="46"/>
      <c r="K88" s="40"/>
      <c r="L88" s="40"/>
      <c r="M88" s="78">
        <f>K88-L88</f>
        <v>0</v>
      </c>
      <c r="N88" s="41">
        <f>3</f>
        <v>3</v>
      </c>
      <c r="O88" s="40"/>
      <c r="P88" s="40"/>
      <c r="Q88" s="79">
        <f>O88-P88</f>
        <v>0</v>
      </c>
    </row>
    <row r="89" spans="1:17" s="13" customFormat="1" ht="15.75" x14ac:dyDescent="0.25">
      <c r="A89" s="10"/>
      <c r="B89" s="27" t="s">
        <v>62</v>
      </c>
      <c r="C89" s="1" t="s">
        <v>17</v>
      </c>
      <c r="D89" s="120"/>
      <c r="E89" s="3" t="s">
        <v>35</v>
      </c>
      <c r="F89" s="73" t="s">
        <v>366</v>
      </c>
      <c r="G89" s="74" t="s">
        <v>112</v>
      </c>
      <c r="H89" s="75">
        <v>5</v>
      </c>
      <c r="I89" s="76">
        <v>1</v>
      </c>
      <c r="J89" s="96">
        <f>1</f>
        <v>1</v>
      </c>
      <c r="K89" s="77"/>
      <c r="L89" s="77"/>
      <c r="M89" s="38">
        <f t="shared" si="4"/>
        <v>0</v>
      </c>
      <c r="N89" s="100">
        <f>6+2+1</f>
        <v>9</v>
      </c>
      <c r="O89" s="81">
        <f>19511.33+1270.93</f>
        <v>20782.260000000002</v>
      </c>
      <c r="P89" s="81"/>
      <c r="Q89" s="79">
        <f t="shared" si="3"/>
        <v>20782.260000000002</v>
      </c>
    </row>
    <row r="90" spans="1:17" s="13" customFormat="1" ht="15.75" x14ac:dyDescent="0.25">
      <c r="A90" s="10"/>
      <c r="B90" s="25" t="s">
        <v>62</v>
      </c>
      <c r="C90" s="1" t="s">
        <v>17</v>
      </c>
      <c r="D90" s="120"/>
      <c r="E90" s="3" t="s">
        <v>35</v>
      </c>
      <c r="F90" s="73" t="s">
        <v>428</v>
      </c>
      <c r="G90" s="11" t="s">
        <v>117</v>
      </c>
      <c r="H90" s="1">
        <v>2</v>
      </c>
      <c r="I90" s="49"/>
      <c r="J90" s="46"/>
      <c r="K90" s="40"/>
      <c r="L90" s="40"/>
      <c r="M90" s="78">
        <f t="shared" si="4"/>
        <v>0</v>
      </c>
      <c r="N90" s="41">
        <f>7</f>
        <v>7</v>
      </c>
      <c r="O90" s="31"/>
      <c r="P90" s="31"/>
      <c r="Q90" s="12">
        <f t="shared" si="3"/>
        <v>0</v>
      </c>
    </row>
    <row r="91" spans="1:17" s="13" customFormat="1" ht="15.75" x14ac:dyDescent="0.25">
      <c r="A91" s="10"/>
      <c r="B91" s="25" t="s">
        <v>63</v>
      </c>
      <c r="C91" s="1" t="s">
        <v>64</v>
      </c>
      <c r="D91" s="120" t="s">
        <v>65</v>
      </c>
      <c r="E91" s="3" t="s">
        <v>20</v>
      </c>
      <c r="F91" s="73" t="s">
        <v>480</v>
      </c>
      <c r="G91" s="11" t="s">
        <v>114</v>
      </c>
      <c r="H91" s="1"/>
      <c r="I91" s="49"/>
      <c r="J91" s="51"/>
      <c r="K91" s="40"/>
      <c r="L91" s="40"/>
      <c r="M91" s="38">
        <f t="shared" si="4"/>
        <v>0</v>
      </c>
      <c r="N91" s="41"/>
      <c r="O91" s="31"/>
      <c r="P91" s="31"/>
      <c r="Q91" s="79">
        <f t="shared" si="3"/>
        <v>0</v>
      </c>
    </row>
    <row r="92" spans="1:17" s="13" customFormat="1" ht="15.75" x14ac:dyDescent="0.25">
      <c r="A92" s="10"/>
      <c r="B92" s="27" t="s">
        <v>155</v>
      </c>
      <c r="C92" s="1" t="s">
        <v>17</v>
      </c>
      <c r="D92" s="120"/>
      <c r="E92" s="3" t="s">
        <v>20</v>
      </c>
      <c r="F92" s="73" t="s">
        <v>367</v>
      </c>
      <c r="G92" s="74" t="s">
        <v>112</v>
      </c>
      <c r="H92" s="75">
        <v>3</v>
      </c>
      <c r="I92" s="82"/>
      <c r="J92" s="96"/>
      <c r="K92" s="77"/>
      <c r="L92" s="77"/>
      <c r="M92" s="78">
        <f t="shared" si="4"/>
        <v>0</v>
      </c>
      <c r="N92" s="100"/>
      <c r="O92" s="81"/>
      <c r="P92" s="81"/>
      <c r="Q92" s="12">
        <f t="shared" si="3"/>
        <v>0</v>
      </c>
    </row>
    <row r="93" spans="1:17" s="13" customFormat="1" ht="15.75" x14ac:dyDescent="0.25">
      <c r="A93" s="10"/>
      <c r="B93" s="25" t="s">
        <v>155</v>
      </c>
      <c r="C93" s="1" t="s">
        <v>17</v>
      </c>
      <c r="D93" s="120"/>
      <c r="E93" s="3" t="s">
        <v>20</v>
      </c>
      <c r="F93" s="73" t="s">
        <v>459</v>
      </c>
      <c r="G93" s="11" t="s">
        <v>114</v>
      </c>
      <c r="H93" s="1">
        <v>3</v>
      </c>
      <c r="I93" s="49"/>
      <c r="J93" s="51"/>
      <c r="K93" s="40"/>
      <c r="L93" s="40"/>
      <c r="M93" s="38">
        <f t="shared" si="4"/>
        <v>0</v>
      </c>
      <c r="N93" s="41">
        <v>13</v>
      </c>
      <c r="O93" s="31">
        <v>17392.43</v>
      </c>
      <c r="P93" s="31"/>
      <c r="Q93" s="79">
        <f t="shared" si="3"/>
        <v>17392.43</v>
      </c>
    </row>
    <row r="94" spans="1:17" s="13" customFormat="1" ht="15.75" x14ac:dyDescent="0.25">
      <c r="A94" s="10"/>
      <c r="B94" s="30" t="s">
        <v>66</v>
      </c>
      <c r="C94" s="1" t="s">
        <v>17</v>
      </c>
      <c r="D94" s="120"/>
      <c r="E94" s="3" t="s">
        <v>21</v>
      </c>
      <c r="F94" s="73" t="s">
        <v>368</v>
      </c>
      <c r="G94" s="74" t="s">
        <v>112</v>
      </c>
      <c r="H94" s="75">
        <v>4</v>
      </c>
      <c r="I94" s="76">
        <v>1</v>
      </c>
      <c r="J94" s="96">
        <f>1</f>
        <v>1</v>
      </c>
      <c r="K94" s="77">
        <f>1045.98</f>
        <v>1045.98</v>
      </c>
      <c r="L94" s="77"/>
      <c r="M94" s="78">
        <f t="shared" si="4"/>
        <v>1045.98</v>
      </c>
      <c r="N94" s="100">
        <f>6+3+8+7</f>
        <v>24</v>
      </c>
      <c r="O94" s="81">
        <f>11911.17+23136+18060.17</f>
        <v>53107.34</v>
      </c>
      <c r="P94" s="81"/>
      <c r="Q94" s="12">
        <f t="shared" si="3"/>
        <v>53107.34</v>
      </c>
    </row>
    <row r="95" spans="1:17" s="13" customFormat="1" ht="15.75" x14ac:dyDescent="0.25">
      <c r="A95" s="10"/>
      <c r="B95" s="24" t="s">
        <v>66</v>
      </c>
      <c r="C95" s="1" t="s">
        <v>17</v>
      </c>
      <c r="D95" s="120"/>
      <c r="E95" s="3" t="s">
        <v>21</v>
      </c>
      <c r="F95" s="73" t="s">
        <v>439</v>
      </c>
      <c r="G95" s="11" t="s">
        <v>118</v>
      </c>
      <c r="H95" s="1">
        <v>2</v>
      </c>
      <c r="I95" s="49"/>
      <c r="J95" s="46"/>
      <c r="K95" s="40"/>
      <c r="L95" s="40"/>
      <c r="M95" s="38">
        <f t="shared" si="4"/>
        <v>0</v>
      </c>
      <c r="N95" s="41">
        <v>8</v>
      </c>
      <c r="O95" s="31">
        <v>4977.07</v>
      </c>
      <c r="P95" s="31"/>
      <c r="Q95" s="79">
        <f t="shared" si="3"/>
        <v>4977.07</v>
      </c>
    </row>
    <row r="96" spans="1:17" s="13" customFormat="1" ht="15.75" x14ac:dyDescent="0.25">
      <c r="A96" s="10"/>
      <c r="B96" s="62" t="s">
        <v>137</v>
      </c>
      <c r="C96" s="1" t="s">
        <v>17</v>
      </c>
      <c r="D96" s="120"/>
      <c r="E96" s="17" t="s">
        <v>35</v>
      </c>
      <c r="F96" s="73" t="s">
        <v>369</v>
      </c>
      <c r="G96" s="74" t="s">
        <v>112</v>
      </c>
      <c r="H96" s="75">
        <v>5</v>
      </c>
      <c r="I96" s="76"/>
      <c r="J96" s="96"/>
      <c r="K96" s="77"/>
      <c r="L96" s="77"/>
      <c r="M96" s="78">
        <f t="shared" si="4"/>
        <v>0</v>
      </c>
      <c r="N96" s="100">
        <f>5+1</f>
        <v>6</v>
      </c>
      <c r="O96" s="81">
        <f>2617.36</f>
        <v>2617.36</v>
      </c>
      <c r="P96" s="81"/>
      <c r="Q96" s="12">
        <f t="shared" si="3"/>
        <v>2617.36</v>
      </c>
    </row>
    <row r="97" spans="1:19" s="13" customFormat="1" ht="15.75" x14ac:dyDescent="0.25">
      <c r="A97" s="10"/>
      <c r="B97" s="22" t="s">
        <v>306</v>
      </c>
      <c r="C97" s="1"/>
      <c r="D97" s="120"/>
      <c r="E97" s="17"/>
      <c r="F97" s="73"/>
      <c r="G97" s="132" t="s">
        <v>117</v>
      </c>
      <c r="H97" s="75">
        <v>1</v>
      </c>
      <c r="I97" s="76"/>
      <c r="J97" s="96"/>
      <c r="K97" s="77"/>
      <c r="L97" s="77"/>
      <c r="M97" s="78"/>
      <c r="N97" s="100"/>
      <c r="O97" s="81"/>
      <c r="P97" s="81"/>
      <c r="Q97" s="12"/>
    </row>
    <row r="98" spans="1:19" s="13" customFormat="1" ht="15.75" x14ac:dyDescent="0.25">
      <c r="A98" s="10"/>
      <c r="B98" s="22" t="s">
        <v>137</v>
      </c>
      <c r="C98" s="1" t="s">
        <v>17</v>
      </c>
      <c r="D98" s="120"/>
      <c r="E98" s="17" t="s">
        <v>35</v>
      </c>
      <c r="F98" s="73" t="s">
        <v>429</v>
      </c>
      <c r="G98" s="11" t="s">
        <v>117</v>
      </c>
      <c r="H98" s="1"/>
      <c r="I98" s="49"/>
      <c r="J98" s="51"/>
      <c r="K98" s="37"/>
      <c r="L98" s="37"/>
      <c r="M98" s="78">
        <f t="shared" si="4"/>
        <v>0</v>
      </c>
      <c r="N98" s="39">
        <v>1</v>
      </c>
      <c r="O98" s="31"/>
      <c r="P98" s="31"/>
      <c r="Q98" s="79">
        <f t="shared" si="3"/>
        <v>0</v>
      </c>
    </row>
    <row r="99" spans="1:19" s="13" customFormat="1" ht="15.75" x14ac:dyDescent="0.25">
      <c r="A99" s="10"/>
      <c r="B99" s="30" t="s">
        <v>67</v>
      </c>
      <c r="C99" s="1" t="s">
        <v>17</v>
      </c>
      <c r="D99" s="120"/>
      <c r="E99" s="17" t="s">
        <v>21</v>
      </c>
      <c r="F99" s="73" t="s">
        <v>370</v>
      </c>
      <c r="G99" s="74" t="s">
        <v>112</v>
      </c>
      <c r="H99" s="75">
        <v>3</v>
      </c>
      <c r="I99" s="76">
        <v>1</v>
      </c>
      <c r="J99" s="96">
        <f>2</f>
        <v>2</v>
      </c>
      <c r="K99" s="77">
        <f>3319.85</f>
        <v>3319.85</v>
      </c>
      <c r="L99" s="77"/>
      <c r="M99" s="38">
        <f t="shared" si="4"/>
        <v>3319.85</v>
      </c>
      <c r="N99" s="100">
        <f>4+9+4</f>
        <v>17</v>
      </c>
      <c r="O99" s="81">
        <f>29696.65+38129.03+13567.9</f>
        <v>81393.579999999987</v>
      </c>
      <c r="P99" s="81"/>
      <c r="Q99" s="12">
        <f t="shared" si="3"/>
        <v>81393.579999999987</v>
      </c>
    </row>
    <row r="100" spans="1:19" s="13" customFormat="1" ht="15.75" x14ac:dyDescent="0.25">
      <c r="A100" s="10"/>
      <c r="B100" s="24" t="s">
        <v>67</v>
      </c>
      <c r="C100" s="1" t="s">
        <v>17</v>
      </c>
      <c r="D100" s="120"/>
      <c r="E100" s="17" t="s">
        <v>21</v>
      </c>
      <c r="F100" s="73" t="s">
        <v>440</v>
      </c>
      <c r="G100" s="11" t="s">
        <v>118</v>
      </c>
      <c r="H100" s="1">
        <v>2</v>
      </c>
      <c r="I100" s="49"/>
      <c r="J100" s="46"/>
      <c r="K100" s="40"/>
      <c r="L100" s="40"/>
      <c r="M100" s="78">
        <f t="shared" si="4"/>
        <v>0</v>
      </c>
      <c r="N100" s="41">
        <v>3</v>
      </c>
      <c r="O100" s="31">
        <v>16540.89</v>
      </c>
      <c r="P100" s="31"/>
      <c r="Q100" s="79">
        <f t="shared" si="3"/>
        <v>16540.89</v>
      </c>
    </row>
    <row r="101" spans="1:19" s="13" customFormat="1" ht="15.75" x14ac:dyDescent="0.25">
      <c r="A101" s="10"/>
      <c r="B101" s="30" t="s">
        <v>68</v>
      </c>
      <c r="C101" s="1" t="s">
        <v>17</v>
      </c>
      <c r="D101" s="120"/>
      <c r="E101" s="17" t="s">
        <v>32</v>
      </c>
      <c r="F101" s="73" t="s">
        <v>371</v>
      </c>
      <c r="G101" s="74" t="s">
        <v>112</v>
      </c>
      <c r="H101" s="75">
        <v>4</v>
      </c>
      <c r="I101" s="76"/>
      <c r="J101" s="96"/>
      <c r="K101" s="77"/>
      <c r="L101" s="77"/>
      <c r="M101" s="38">
        <f t="shared" si="4"/>
        <v>0</v>
      </c>
      <c r="N101" s="100">
        <f>6+5</f>
        <v>11</v>
      </c>
      <c r="O101" s="81">
        <f>7813.73+38129.03+8523.5</f>
        <v>54466.259999999995</v>
      </c>
      <c r="P101" s="81">
        <f>7813.73</f>
        <v>7813.73</v>
      </c>
      <c r="Q101" s="12">
        <f t="shared" si="3"/>
        <v>46652.53</v>
      </c>
    </row>
    <row r="102" spans="1:19" s="13" customFormat="1" ht="15.75" x14ac:dyDescent="0.25">
      <c r="A102" s="10"/>
      <c r="B102" s="24" t="s">
        <v>68</v>
      </c>
      <c r="C102" s="1" t="s">
        <v>17</v>
      </c>
      <c r="D102" s="120"/>
      <c r="E102" s="17" t="s">
        <v>32</v>
      </c>
      <c r="F102" s="73" t="s">
        <v>430</v>
      </c>
      <c r="G102" s="8" t="s">
        <v>117</v>
      </c>
      <c r="H102" s="1"/>
      <c r="I102" s="49"/>
      <c r="J102" s="46"/>
      <c r="K102" s="40"/>
      <c r="L102" s="40"/>
      <c r="M102" s="78">
        <f t="shared" si="4"/>
        <v>0</v>
      </c>
      <c r="N102" s="41"/>
      <c r="O102" s="40"/>
      <c r="P102" s="40"/>
      <c r="Q102" s="79">
        <f t="shared" si="3"/>
        <v>0</v>
      </c>
    </row>
    <row r="103" spans="1:19" s="15" customFormat="1" ht="15.75" x14ac:dyDescent="0.25">
      <c r="A103" s="14"/>
      <c r="B103" s="28" t="s">
        <v>69</v>
      </c>
      <c r="C103" s="1" t="s">
        <v>17</v>
      </c>
      <c r="D103" s="120"/>
      <c r="E103" s="3" t="s">
        <v>20</v>
      </c>
      <c r="F103" s="73" t="s">
        <v>372</v>
      </c>
      <c r="G103" s="74" t="s">
        <v>112</v>
      </c>
      <c r="H103" s="75">
        <v>1</v>
      </c>
      <c r="I103" s="76"/>
      <c r="J103" s="96"/>
      <c r="K103" s="77"/>
      <c r="L103" s="77"/>
      <c r="M103" s="38">
        <f t="shared" si="4"/>
        <v>0</v>
      </c>
      <c r="N103" s="100">
        <f>3+2</f>
        <v>5</v>
      </c>
      <c r="O103" s="77">
        <f>7210.31+3647.96</f>
        <v>10858.27</v>
      </c>
      <c r="P103" s="77"/>
      <c r="Q103" s="12">
        <f t="shared" si="3"/>
        <v>10858.27</v>
      </c>
    </row>
    <row r="104" spans="1:19" s="13" customFormat="1" ht="15.75" x14ac:dyDescent="0.25">
      <c r="A104" s="10"/>
      <c r="B104" s="62" t="s">
        <v>70</v>
      </c>
      <c r="C104" s="1" t="s">
        <v>17</v>
      </c>
      <c r="D104" s="120"/>
      <c r="E104" s="3" t="s">
        <v>20</v>
      </c>
      <c r="F104" s="73" t="s">
        <v>373</v>
      </c>
      <c r="G104" s="74" t="s">
        <v>112</v>
      </c>
      <c r="H104" s="75">
        <v>3</v>
      </c>
      <c r="I104" s="76"/>
      <c r="J104" s="96"/>
      <c r="K104" s="77"/>
      <c r="L104" s="77"/>
      <c r="M104" s="78">
        <f t="shared" si="4"/>
        <v>0</v>
      </c>
      <c r="N104" s="100">
        <f>2</f>
        <v>2</v>
      </c>
      <c r="O104" s="81">
        <v>3534.95</v>
      </c>
      <c r="P104" s="81"/>
      <c r="Q104" s="79">
        <f t="shared" si="3"/>
        <v>3534.95</v>
      </c>
      <c r="R104" s="35"/>
    </row>
    <row r="105" spans="1:19" s="13" customFormat="1" ht="15.75" x14ac:dyDescent="0.25">
      <c r="A105" s="10"/>
      <c r="B105" s="22" t="s">
        <v>70</v>
      </c>
      <c r="C105" s="1" t="s">
        <v>17</v>
      </c>
      <c r="D105" s="120"/>
      <c r="E105" s="3" t="s">
        <v>20</v>
      </c>
      <c r="F105" s="73" t="s">
        <v>460</v>
      </c>
      <c r="G105" s="11" t="s">
        <v>114</v>
      </c>
      <c r="H105" s="1">
        <v>4</v>
      </c>
      <c r="I105" s="49"/>
      <c r="J105" s="51"/>
      <c r="K105" s="40"/>
      <c r="L105" s="40"/>
      <c r="M105" s="38">
        <f t="shared" si="4"/>
        <v>0</v>
      </c>
      <c r="N105" s="41">
        <v>23</v>
      </c>
      <c r="O105" s="31">
        <v>36457.769999999997</v>
      </c>
      <c r="P105" s="31"/>
      <c r="Q105" s="12">
        <f t="shared" si="3"/>
        <v>36457.769999999997</v>
      </c>
    </row>
    <row r="106" spans="1:19" s="15" customFormat="1" ht="15.75" x14ac:dyDescent="0.25">
      <c r="A106" s="14"/>
      <c r="B106" s="80" t="s">
        <v>71</v>
      </c>
      <c r="C106" s="1" t="s">
        <v>17</v>
      </c>
      <c r="D106" s="120"/>
      <c r="E106" s="3" t="s">
        <v>32</v>
      </c>
      <c r="F106" s="73" t="s">
        <v>374</v>
      </c>
      <c r="G106" s="74" t="s">
        <v>112</v>
      </c>
      <c r="H106" s="75">
        <v>4</v>
      </c>
      <c r="I106" s="76"/>
      <c r="J106" s="96"/>
      <c r="K106" s="77"/>
      <c r="L106" s="77"/>
      <c r="M106" s="78">
        <f t="shared" si="4"/>
        <v>0</v>
      </c>
      <c r="N106" s="100">
        <f>3</f>
        <v>3</v>
      </c>
      <c r="O106" s="81">
        <f>9567.93</f>
        <v>9567.93</v>
      </c>
      <c r="P106" s="81">
        <f>9567.93</f>
        <v>9567.93</v>
      </c>
      <c r="Q106" s="79">
        <f t="shared" si="3"/>
        <v>0</v>
      </c>
      <c r="R106" s="36"/>
      <c r="S106" s="36"/>
    </row>
    <row r="107" spans="1:19" s="15" customFormat="1" ht="15.75" x14ac:dyDescent="0.25">
      <c r="A107" s="14"/>
      <c r="B107" s="23" t="s">
        <v>71</v>
      </c>
      <c r="C107" s="1" t="s">
        <v>17</v>
      </c>
      <c r="D107" s="120"/>
      <c r="E107" s="3" t="s">
        <v>32</v>
      </c>
      <c r="F107" s="73" t="s">
        <v>431</v>
      </c>
      <c r="G107" s="11" t="s">
        <v>115</v>
      </c>
      <c r="H107" s="1">
        <v>2</v>
      </c>
      <c r="I107" s="48"/>
      <c r="J107" s="45"/>
      <c r="K107" s="40"/>
      <c r="L107" s="40"/>
      <c r="M107" s="38">
        <f t="shared" si="4"/>
        <v>0</v>
      </c>
      <c r="N107" s="39">
        <f>5</f>
        <v>5</v>
      </c>
      <c r="O107" s="40"/>
      <c r="P107" s="40"/>
      <c r="Q107" s="12">
        <f t="shared" si="3"/>
        <v>0</v>
      </c>
    </row>
    <row r="108" spans="1:19" s="13" customFormat="1" ht="15.75" x14ac:dyDescent="0.25">
      <c r="A108" s="10"/>
      <c r="B108" s="62" t="s">
        <v>319</v>
      </c>
      <c r="C108" s="1" t="s">
        <v>17</v>
      </c>
      <c r="D108" s="120"/>
      <c r="E108" s="3" t="s">
        <v>20</v>
      </c>
      <c r="F108" s="73" t="s">
        <v>375</v>
      </c>
      <c r="G108" s="74" t="s">
        <v>112</v>
      </c>
      <c r="H108" s="75">
        <v>5</v>
      </c>
      <c r="I108" s="76">
        <v>3</v>
      </c>
      <c r="J108" s="96">
        <f>2+1</f>
        <v>3</v>
      </c>
      <c r="K108" s="77">
        <f>710.77+1523.35</f>
        <v>2234.12</v>
      </c>
      <c r="L108" s="77"/>
      <c r="M108" s="78">
        <f>K108-L108</f>
        <v>2234.12</v>
      </c>
      <c r="N108" s="100">
        <f>3+1</f>
        <v>4</v>
      </c>
      <c r="O108" s="77">
        <f>13419.94+726.71</f>
        <v>14146.650000000001</v>
      </c>
      <c r="P108" s="77">
        <f>13419.94</f>
        <v>13419.94</v>
      </c>
      <c r="Q108" s="79">
        <f>O108-P108</f>
        <v>726.71000000000095</v>
      </c>
    </row>
    <row r="109" spans="1:19" s="15" customFormat="1" ht="15.75" x14ac:dyDescent="0.25">
      <c r="A109" s="14"/>
      <c r="B109" s="62" t="s">
        <v>150</v>
      </c>
      <c r="C109" s="1" t="s">
        <v>17</v>
      </c>
      <c r="D109" s="120"/>
      <c r="E109" s="3" t="s">
        <v>35</v>
      </c>
      <c r="F109" s="73" t="s">
        <v>376</v>
      </c>
      <c r="G109" s="74" t="s">
        <v>112</v>
      </c>
      <c r="H109" s="75">
        <v>8</v>
      </c>
      <c r="I109" s="76">
        <v>1</v>
      </c>
      <c r="J109" s="97">
        <f>1</f>
        <v>1</v>
      </c>
      <c r="K109" s="77">
        <f>1343.65</f>
        <v>1343.65</v>
      </c>
      <c r="L109" s="77"/>
      <c r="M109" s="78">
        <f t="shared" si="4"/>
        <v>1343.65</v>
      </c>
      <c r="N109" s="114">
        <f>8+1+1</f>
        <v>10</v>
      </c>
      <c r="O109" s="77">
        <f>5997.32+3719.39</f>
        <v>9716.7099999999991</v>
      </c>
      <c r="P109" s="81">
        <f>3885.22</f>
        <v>3885.22</v>
      </c>
      <c r="Q109" s="79">
        <f t="shared" si="3"/>
        <v>5831.49</v>
      </c>
    </row>
    <row r="110" spans="1:19" s="15" customFormat="1" ht="15.75" x14ac:dyDescent="0.25">
      <c r="A110" s="14"/>
      <c r="B110" s="50" t="s">
        <v>150</v>
      </c>
      <c r="C110" s="1" t="s">
        <v>17</v>
      </c>
      <c r="D110" s="120"/>
      <c r="E110" s="3"/>
      <c r="F110" s="73"/>
      <c r="G110" s="11" t="s">
        <v>117</v>
      </c>
      <c r="H110" s="1"/>
      <c r="I110" s="48"/>
      <c r="J110" s="45"/>
      <c r="K110" s="40"/>
      <c r="L110" s="37"/>
      <c r="M110" s="38">
        <f t="shared" si="4"/>
        <v>0</v>
      </c>
      <c r="N110" s="42">
        <v>1</v>
      </c>
      <c r="O110" s="40"/>
      <c r="P110" s="40"/>
      <c r="Q110" s="12">
        <f t="shared" si="3"/>
        <v>0</v>
      </c>
    </row>
    <row r="111" spans="1:19" s="13" customFormat="1" ht="15.75" x14ac:dyDescent="0.25">
      <c r="A111" s="10"/>
      <c r="B111" s="30" t="s">
        <v>72</v>
      </c>
      <c r="C111" s="1" t="s">
        <v>17</v>
      </c>
      <c r="D111" s="120"/>
      <c r="E111" s="3" t="s">
        <v>21</v>
      </c>
      <c r="F111" s="73" t="s">
        <v>377</v>
      </c>
      <c r="G111" s="74" t="s">
        <v>112</v>
      </c>
      <c r="H111" s="75">
        <v>3</v>
      </c>
      <c r="I111" s="76">
        <v>1</v>
      </c>
      <c r="J111" s="96">
        <f>1</f>
        <v>1</v>
      </c>
      <c r="K111" s="77">
        <f>633.93</f>
        <v>633.92999999999995</v>
      </c>
      <c r="L111" s="77"/>
      <c r="M111" s="78">
        <f t="shared" si="4"/>
        <v>633.92999999999995</v>
      </c>
      <c r="N111" s="100">
        <f>1+3</f>
        <v>4</v>
      </c>
      <c r="O111" s="81">
        <f>1950.74+10237.13</f>
        <v>12187.869999999999</v>
      </c>
      <c r="P111" s="81"/>
      <c r="Q111" s="79">
        <f t="shared" si="3"/>
        <v>12187.869999999999</v>
      </c>
    </row>
    <row r="112" spans="1:19" s="13" customFormat="1" ht="15.75" x14ac:dyDescent="0.25">
      <c r="A112" s="10"/>
      <c r="B112" s="24" t="s">
        <v>72</v>
      </c>
      <c r="C112" s="1" t="s">
        <v>17</v>
      </c>
      <c r="D112" s="120"/>
      <c r="E112" s="3" t="s">
        <v>21</v>
      </c>
      <c r="F112" s="73" t="s">
        <v>441</v>
      </c>
      <c r="G112" s="11" t="s">
        <v>118</v>
      </c>
      <c r="H112" s="1">
        <v>1</v>
      </c>
      <c r="I112" s="49"/>
      <c r="J112" s="46"/>
      <c r="K112" s="40"/>
      <c r="L112" s="40"/>
      <c r="M112" s="38">
        <f t="shared" si="4"/>
        <v>0</v>
      </c>
      <c r="N112" s="41">
        <v>1</v>
      </c>
      <c r="O112" s="31">
        <v>12247.68</v>
      </c>
      <c r="P112" s="31"/>
      <c r="Q112" s="12">
        <f t="shared" si="3"/>
        <v>12247.68</v>
      </c>
    </row>
    <row r="113" spans="1:17" s="15" customFormat="1" ht="15.75" x14ac:dyDescent="0.25">
      <c r="A113" s="14"/>
      <c r="B113" s="84" t="s">
        <v>73</v>
      </c>
      <c r="C113" s="1" t="s">
        <v>17</v>
      </c>
      <c r="D113" s="120"/>
      <c r="E113" s="3" t="s">
        <v>74</v>
      </c>
      <c r="F113" s="73" t="s">
        <v>378</v>
      </c>
      <c r="G113" s="74" t="s">
        <v>112</v>
      </c>
      <c r="H113" s="75">
        <v>9</v>
      </c>
      <c r="I113" s="76"/>
      <c r="J113" s="96"/>
      <c r="K113" s="77"/>
      <c r="L113" s="77"/>
      <c r="M113" s="78">
        <f t="shared" si="4"/>
        <v>0</v>
      </c>
      <c r="N113" s="100">
        <f>5</f>
        <v>5</v>
      </c>
      <c r="O113" s="81">
        <f>5416.39</f>
        <v>5416.39</v>
      </c>
      <c r="P113" s="81"/>
      <c r="Q113" s="79">
        <f t="shared" si="3"/>
        <v>5416.39</v>
      </c>
    </row>
    <row r="114" spans="1:17" s="15" customFormat="1" ht="15.75" x14ac:dyDescent="0.25">
      <c r="A114" s="14"/>
      <c r="B114" s="29" t="s">
        <v>73</v>
      </c>
      <c r="C114" s="1" t="s">
        <v>17</v>
      </c>
      <c r="D114" s="120"/>
      <c r="E114" s="3" t="s">
        <v>74</v>
      </c>
      <c r="F114" s="73" t="s">
        <v>282</v>
      </c>
      <c r="G114" s="11" t="s">
        <v>114</v>
      </c>
      <c r="H114" s="1"/>
      <c r="I114" s="49"/>
      <c r="J114" s="51"/>
      <c r="K114" s="40"/>
      <c r="L114" s="40"/>
      <c r="M114" s="38">
        <f t="shared" si="4"/>
        <v>0</v>
      </c>
      <c r="N114" s="42">
        <v>1</v>
      </c>
      <c r="O114" s="31"/>
      <c r="P114" s="31"/>
      <c r="Q114" s="12">
        <f t="shared" si="3"/>
        <v>0</v>
      </c>
    </row>
    <row r="115" spans="1:17" s="13" customFormat="1" ht="15.75" x14ac:dyDescent="0.25">
      <c r="A115" s="10"/>
      <c r="B115" s="30" t="s">
        <v>135</v>
      </c>
      <c r="C115" s="1" t="s">
        <v>17</v>
      </c>
      <c r="D115" s="120"/>
      <c r="E115" s="17" t="s">
        <v>35</v>
      </c>
      <c r="F115" s="73" t="s">
        <v>379</v>
      </c>
      <c r="G115" s="74" t="s">
        <v>112</v>
      </c>
      <c r="H115" s="75">
        <v>4</v>
      </c>
      <c r="I115" s="76">
        <v>1</v>
      </c>
      <c r="J115" s="96">
        <f>1</f>
        <v>1</v>
      </c>
      <c r="K115" s="77">
        <v>697.32</v>
      </c>
      <c r="L115" s="77"/>
      <c r="M115" s="38">
        <f t="shared" si="4"/>
        <v>697.32</v>
      </c>
      <c r="N115" s="100">
        <f>2+5+1</f>
        <v>8</v>
      </c>
      <c r="O115" s="81">
        <v>6432.89</v>
      </c>
      <c r="P115" s="81"/>
      <c r="Q115" s="12">
        <f t="shared" si="3"/>
        <v>6432.89</v>
      </c>
    </row>
    <row r="116" spans="1:17" s="13" customFormat="1" ht="15.75" x14ac:dyDescent="0.25">
      <c r="A116" s="10"/>
      <c r="B116" s="24" t="s">
        <v>135</v>
      </c>
      <c r="C116" s="1" t="s">
        <v>17</v>
      </c>
      <c r="D116" s="120"/>
      <c r="E116" s="17" t="s">
        <v>35</v>
      </c>
      <c r="F116" s="73" t="s">
        <v>432</v>
      </c>
      <c r="G116" s="11" t="s">
        <v>115</v>
      </c>
      <c r="H116" s="1"/>
      <c r="I116" s="49"/>
      <c r="J116" s="46"/>
      <c r="K116" s="40"/>
      <c r="L116" s="40"/>
      <c r="M116" s="78">
        <f t="shared" si="4"/>
        <v>0</v>
      </c>
      <c r="N116" s="41"/>
      <c r="O116" s="31"/>
      <c r="P116" s="31"/>
      <c r="Q116" s="79">
        <f t="shared" si="3"/>
        <v>0</v>
      </c>
    </row>
    <row r="117" spans="1:17" s="13" customFormat="1" ht="15.75" x14ac:dyDescent="0.25">
      <c r="A117" s="10"/>
      <c r="B117" s="30" t="s">
        <v>145</v>
      </c>
      <c r="C117" s="1" t="s">
        <v>17</v>
      </c>
      <c r="D117" s="120"/>
      <c r="E117" s="17" t="s">
        <v>20</v>
      </c>
      <c r="F117" s="73" t="s">
        <v>380</v>
      </c>
      <c r="G117" s="74" t="s">
        <v>112</v>
      </c>
      <c r="H117" s="75">
        <v>2</v>
      </c>
      <c r="I117" s="82">
        <v>1</v>
      </c>
      <c r="J117" s="96">
        <f>2</f>
        <v>2</v>
      </c>
      <c r="K117" s="77">
        <f>5169.72</f>
        <v>5169.72</v>
      </c>
      <c r="L117" s="77"/>
      <c r="M117" s="38">
        <f t="shared" si="4"/>
        <v>5169.72</v>
      </c>
      <c r="N117" s="100">
        <f>1+1</f>
        <v>2</v>
      </c>
      <c r="O117" s="81">
        <f>5120.23+3915.15</f>
        <v>9035.3799999999992</v>
      </c>
      <c r="P117" s="81"/>
      <c r="Q117" s="12">
        <f t="shared" si="3"/>
        <v>9035.3799999999992</v>
      </c>
    </row>
    <row r="118" spans="1:17" s="13" customFormat="1" ht="15.75" x14ac:dyDescent="0.25">
      <c r="A118" s="10"/>
      <c r="B118" s="24" t="s">
        <v>145</v>
      </c>
      <c r="C118" s="1" t="s">
        <v>17</v>
      </c>
      <c r="D118" s="120"/>
      <c r="E118" s="17" t="s">
        <v>20</v>
      </c>
      <c r="F118" s="73" t="s">
        <v>461</v>
      </c>
      <c r="G118" s="11" t="s">
        <v>114</v>
      </c>
      <c r="H118" s="1"/>
      <c r="I118" s="49"/>
      <c r="J118" s="51"/>
      <c r="K118" s="40"/>
      <c r="L118" s="40"/>
      <c r="M118" s="78">
        <f t="shared" si="4"/>
        <v>0</v>
      </c>
      <c r="N118" s="41">
        <v>9</v>
      </c>
      <c r="O118" s="31">
        <v>19379.400000000001</v>
      </c>
      <c r="P118" s="31"/>
      <c r="Q118" s="79">
        <f t="shared" si="3"/>
        <v>19379.400000000001</v>
      </c>
    </row>
    <row r="119" spans="1:17" s="13" customFormat="1" ht="15.75" x14ac:dyDescent="0.25">
      <c r="A119" s="10"/>
      <c r="B119" s="62" t="s">
        <v>76</v>
      </c>
      <c r="C119" s="1" t="s">
        <v>17</v>
      </c>
      <c r="D119" s="120"/>
      <c r="E119" s="3" t="s">
        <v>20</v>
      </c>
      <c r="F119" s="73" t="s">
        <v>381</v>
      </c>
      <c r="G119" s="74" t="s">
        <v>112</v>
      </c>
      <c r="H119" s="75">
        <v>9</v>
      </c>
      <c r="I119" s="76">
        <v>1</v>
      </c>
      <c r="J119" s="96">
        <f>1</f>
        <v>1</v>
      </c>
      <c r="K119" s="77"/>
      <c r="L119" s="77"/>
      <c r="M119" s="38">
        <f t="shared" si="4"/>
        <v>0</v>
      </c>
      <c r="N119" s="100">
        <f>5</f>
        <v>5</v>
      </c>
      <c r="O119" s="81">
        <f>11527.9</f>
        <v>11527.9</v>
      </c>
      <c r="P119" s="81"/>
      <c r="Q119" s="12">
        <f t="shared" si="3"/>
        <v>11527.9</v>
      </c>
    </row>
    <row r="120" spans="1:17" s="13" customFormat="1" ht="15.75" x14ac:dyDescent="0.25">
      <c r="A120" s="10"/>
      <c r="B120" s="22" t="s">
        <v>76</v>
      </c>
      <c r="C120" s="1" t="s">
        <v>17</v>
      </c>
      <c r="D120" s="120"/>
      <c r="E120" s="3" t="s">
        <v>20</v>
      </c>
      <c r="F120" s="73" t="s">
        <v>462</v>
      </c>
      <c r="G120" s="11" t="s">
        <v>114</v>
      </c>
      <c r="H120" s="1">
        <v>2</v>
      </c>
      <c r="I120" s="49"/>
      <c r="J120" s="51"/>
      <c r="K120" s="40"/>
      <c r="L120" s="40"/>
      <c r="M120" s="78">
        <f t="shared" si="4"/>
        <v>0</v>
      </c>
      <c r="N120" s="41">
        <v>7</v>
      </c>
      <c r="O120" s="31">
        <v>17927.759999999998</v>
      </c>
      <c r="P120" s="31"/>
      <c r="Q120" s="79">
        <f t="shared" si="3"/>
        <v>17927.759999999998</v>
      </c>
    </row>
    <row r="121" spans="1:17" s="13" customFormat="1" ht="15.75" x14ac:dyDescent="0.25">
      <c r="A121" s="10"/>
      <c r="B121" s="30" t="s">
        <v>77</v>
      </c>
      <c r="C121" s="1" t="s">
        <v>17</v>
      </c>
      <c r="D121" s="120"/>
      <c r="E121" s="3" t="s">
        <v>32</v>
      </c>
      <c r="F121" s="73" t="s">
        <v>388</v>
      </c>
      <c r="G121" s="74" t="s">
        <v>112</v>
      </c>
      <c r="H121" s="75">
        <v>4</v>
      </c>
      <c r="I121" s="76"/>
      <c r="J121" s="96"/>
      <c r="K121" s="77"/>
      <c r="L121" s="77"/>
      <c r="M121" s="38">
        <f t="shared" si="4"/>
        <v>0</v>
      </c>
      <c r="N121" s="100">
        <f>5+2</f>
        <v>7</v>
      </c>
      <c r="O121" s="81">
        <f>11716.73+6848.82</f>
        <v>18565.55</v>
      </c>
      <c r="P121" s="81">
        <f>11716.73</f>
        <v>11716.73</v>
      </c>
      <c r="Q121" s="12">
        <f t="shared" si="3"/>
        <v>6848.82</v>
      </c>
    </row>
    <row r="122" spans="1:17" s="13" customFormat="1" ht="15.75" x14ac:dyDescent="0.25">
      <c r="A122" s="10"/>
      <c r="B122" s="24" t="s">
        <v>77</v>
      </c>
      <c r="C122" s="1" t="s">
        <v>17</v>
      </c>
      <c r="D122" s="120"/>
      <c r="E122" s="3" t="s">
        <v>32</v>
      </c>
      <c r="F122" s="73" t="s">
        <v>433</v>
      </c>
      <c r="G122" s="11" t="s">
        <v>117</v>
      </c>
      <c r="H122" s="1">
        <v>1</v>
      </c>
      <c r="I122" s="49"/>
      <c r="J122" s="46"/>
      <c r="K122" s="40"/>
      <c r="L122" s="40"/>
      <c r="M122" s="78">
        <f t="shared" si="4"/>
        <v>0</v>
      </c>
      <c r="N122" s="41">
        <v>5</v>
      </c>
      <c r="O122" s="31"/>
      <c r="P122" s="31"/>
      <c r="Q122" s="79">
        <f t="shared" si="3"/>
        <v>0</v>
      </c>
    </row>
    <row r="123" spans="1:17" s="13" customFormat="1" ht="15.75" x14ac:dyDescent="0.25">
      <c r="A123" s="10"/>
      <c r="B123" s="24" t="s">
        <v>321</v>
      </c>
      <c r="C123" s="1" t="s">
        <v>17</v>
      </c>
      <c r="D123" s="120"/>
      <c r="E123" s="3" t="s">
        <v>21</v>
      </c>
      <c r="F123" s="73" t="s">
        <v>382</v>
      </c>
      <c r="G123" s="11" t="s">
        <v>112</v>
      </c>
      <c r="H123" s="1">
        <v>1</v>
      </c>
      <c r="I123" s="49"/>
      <c r="J123" s="46"/>
      <c r="K123" s="40"/>
      <c r="L123" s="40"/>
      <c r="M123" s="78"/>
      <c r="N123" s="41"/>
      <c r="O123" s="31"/>
      <c r="P123" s="31"/>
      <c r="Q123" s="79"/>
    </row>
    <row r="124" spans="1:17" s="13" customFormat="1" ht="31.5" x14ac:dyDescent="0.25">
      <c r="A124" s="10"/>
      <c r="B124" s="62" t="s">
        <v>79</v>
      </c>
      <c r="C124" s="1" t="s">
        <v>304</v>
      </c>
      <c r="D124" s="120" t="s">
        <v>385</v>
      </c>
      <c r="E124" s="3" t="s">
        <v>18</v>
      </c>
      <c r="F124" s="73" t="s">
        <v>389</v>
      </c>
      <c r="G124" s="74" t="s">
        <v>112</v>
      </c>
      <c r="H124" s="75">
        <v>2</v>
      </c>
      <c r="I124" s="76"/>
      <c r="J124" s="96"/>
      <c r="K124" s="77"/>
      <c r="L124" s="77"/>
      <c r="M124" s="38">
        <f t="shared" si="4"/>
        <v>0</v>
      </c>
      <c r="N124" s="100">
        <f>2+2</f>
        <v>4</v>
      </c>
      <c r="O124" s="81">
        <f>1547.4+4166.12</f>
        <v>5713.52</v>
      </c>
      <c r="P124" s="81"/>
      <c r="Q124" s="12">
        <f t="shared" si="3"/>
        <v>5713.52</v>
      </c>
    </row>
    <row r="125" spans="1:17" s="13" customFormat="1" ht="31.5" x14ac:dyDescent="0.25">
      <c r="A125" s="10"/>
      <c r="B125" s="22" t="s">
        <v>79</v>
      </c>
      <c r="C125" s="1" t="s">
        <v>304</v>
      </c>
      <c r="D125" s="120" t="s">
        <v>475</v>
      </c>
      <c r="E125" s="3" t="s">
        <v>18</v>
      </c>
      <c r="F125" s="121" t="s">
        <v>329</v>
      </c>
      <c r="G125" s="11" t="s">
        <v>113</v>
      </c>
      <c r="H125" s="1">
        <v>2</v>
      </c>
      <c r="I125" s="53">
        <v>1</v>
      </c>
      <c r="J125" s="127">
        <v>1</v>
      </c>
      <c r="K125" s="31">
        <v>1268</v>
      </c>
      <c r="L125" s="31"/>
      <c r="M125" s="78">
        <f t="shared" si="4"/>
        <v>1268</v>
      </c>
      <c r="N125" s="41">
        <v>4</v>
      </c>
      <c r="O125" s="31">
        <v>23797</v>
      </c>
      <c r="P125" s="31"/>
      <c r="Q125" s="79">
        <f t="shared" si="3"/>
        <v>23797</v>
      </c>
    </row>
    <row r="126" spans="1:17" s="13" customFormat="1" ht="15.75" x14ac:dyDescent="0.25">
      <c r="A126" s="10"/>
      <c r="B126" s="62" t="s">
        <v>151</v>
      </c>
      <c r="C126" s="1" t="s">
        <v>17</v>
      </c>
      <c r="D126" s="120"/>
      <c r="E126" s="3" t="s">
        <v>32</v>
      </c>
      <c r="F126" s="73" t="s">
        <v>390</v>
      </c>
      <c r="G126" s="74" t="s">
        <v>112</v>
      </c>
      <c r="H126" s="75">
        <v>6</v>
      </c>
      <c r="I126" s="82"/>
      <c r="J126" s="96"/>
      <c r="K126" s="81"/>
      <c r="L126" s="81"/>
      <c r="M126" s="38">
        <f t="shared" si="4"/>
        <v>0</v>
      </c>
      <c r="N126" s="100">
        <f>9</f>
        <v>9</v>
      </c>
      <c r="O126" s="81">
        <f>10726.94</f>
        <v>10726.94</v>
      </c>
      <c r="P126" s="81">
        <f>10726.94</f>
        <v>10726.94</v>
      </c>
      <c r="Q126" s="12">
        <f t="shared" si="3"/>
        <v>0</v>
      </c>
    </row>
    <row r="127" spans="1:17" s="13" customFormat="1" ht="15.75" x14ac:dyDescent="0.25">
      <c r="A127" s="10"/>
      <c r="B127" s="22" t="s">
        <v>151</v>
      </c>
      <c r="C127" s="1" t="s">
        <v>17</v>
      </c>
      <c r="D127" s="120"/>
      <c r="E127" s="3" t="s">
        <v>32</v>
      </c>
      <c r="F127" s="73" t="s">
        <v>434</v>
      </c>
      <c r="G127" s="11" t="s">
        <v>117</v>
      </c>
      <c r="H127" s="1">
        <v>4</v>
      </c>
      <c r="I127" s="49"/>
      <c r="J127" s="46"/>
      <c r="K127" s="40"/>
      <c r="L127" s="40"/>
      <c r="M127" s="78">
        <f t="shared" si="4"/>
        <v>0</v>
      </c>
      <c r="N127" s="41">
        <v>8</v>
      </c>
      <c r="O127" s="31"/>
      <c r="P127" s="31"/>
      <c r="Q127" s="79">
        <f t="shared" si="3"/>
        <v>0</v>
      </c>
    </row>
    <row r="128" spans="1:17" s="13" customFormat="1" ht="15.75" x14ac:dyDescent="0.25">
      <c r="A128" s="10"/>
      <c r="B128" s="62" t="s">
        <v>80</v>
      </c>
      <c r="C128" s="1" t="s">
        <v>17</v>
      </c>
      <c r="D128" s="120"/>
      <c r="E128" s="3" t="s">
        <v>81</v>
      </c>
      <c r="F128" s="73" t="s">
        <v>417</v>
      </c>
      <c r="G128" s="74" t="s">
        <v>112</v>
      </c>
      <c r="H128" s="75"/>
      <c r="I128" s="76"/>
      <c r="J128" s="96"/>
      <c r="K128" s="77"/>
      <c r="L128" s="77"/>
      <c r="M128" s="38">
        <f t="shared" si="4"/>
        <v>0</v>
      </c>
      <c r="N128" s="100"/>
      <c r="O128" s="81"/>
      <c r="P128" s="81"/>
      <c r="Q128" s="12">
        <f t="shared" si="3"/>
        <v>0</v>
      </c>
    </row>
    <row r="129" spans="1:17" s="13" customFormat="1" ht="15.75" x14ac:dyDescent="0.25">
      <c r="A129" s="10"/>
      <c r="B129" s="22" t="s">
        <v>80</v>
      </c>
      <c r="C129" s="1" t="s">
        <v>17</v>
      </c>
      <c r="D129" s="120"/>
      <c r="E129" s="3" t="s">
        <v>81</v>
      </c>
      <c r="F129" s="73" t="s">
        <v>285</v>
      </c>
      <c r="G129" s="11" t="s">
        <v>114</v>
      </c>
      <c r="H129" s="1"/>
      <c r="I129" s="49"/>
      <c r="J129" s="51"/>
      <c r="K129" s="40"/>
      <c r="L129" s="40"/>
      <c r="M129" s="78">
        <f t="shared" si="4"/>
        <v>0</v>
      </c>
      <c r="N129" s="41">
        <v>4</v>
      </c>
      <c r="O129" s="31"/>
      <c r="P129" s="31"/>
      <c r="Q129" s="79">
        <f t="shared" si="3"/>
        <v>0</v>
      </c>
    </row>
    <row r="130" spans="1:17" s="13" customFormat="1" ht="15.75" x14ac:dyDescent="0.25">
      <c r="A130" s="10"/>
      <c r="B130" s="30" t="s">
        <v>82</v>
      </c>
      <c r="C130" s="1" t="s">
        <v>17</v>
      </c>
      <c r="D130" s="120"/>
      <c r="E130" s="3" t="s">
        <v>20</v>
      </c>
      <c r="F130" s="73" t="s">
        <v>394</v>
      </c>
      <c r="G130" s="74" t="s">
        <v>112</v>
      </c>
      <c r="H130" s="75">
        <v>2</v>
      </c>
      <c r="I130" s="76"/>
      <c r="J130" s="96"/>
      <c r="K130" s="77"/>
      <c r="L130" s="77"/>
      <c r="M130" s="38">
        <f t="shared" si="4"/>
        <v>0</v>
      </c>
      <c r="N130" s="100">
        <f>3</f>
        <v>3</v>
      </c>
      <c r="O130" s="81">
        <f>5975.84</f>
        <v>5975.84</v>
      </c>
      <c r="P130" s="81"/>
      <c r="Q130" s="12">
        <f t="shared" si="3"/>
        <v>5975.84</v>
      </c>
    </row>
    <row r="131" spans="1:17" s="13" customFormat="1" ht="15.75" x14ac:dyDescent="0.25">
      <c r="A131" s="10"/>
      <c r="B131" s="24" t="s">
        <v>82</v>
      </c>
      <c r="C131" s="1" t="s">
        <v>17</v>
      </c>
      <c r="D131" s="120"/>
      <c r="E131" s="3" t="s">
        <v>20</v>
      </c>
      <c r="F131" s="73" t="s">
        <v>463</v>
      </c>
      <c r="G131" s="11" t="s">
        <v>114</v>
      </c>
      <c r="H131" s="1">
        <v>3</v>
      </c>
      <c r="I131" s="49"/>
      <c r="J131" s="51"/>
      <c r="K131" s="40"/>
      <c r="L131" s="40"/>
      <c r="M131" s="78">
        <f t="shared" si="4"/>
        <v>0</v>
      </c>
      <c r="N131" s="41">
        <v>7</v>
      </c>
      <c r="O131" s="31">
        <v>10757.8</v>
      </c>
      <c r="P131" s="31"/>
      <c r="Q131" s="79">
        <f t="shared" si="3"/>
        <v>10757.8</v>
      </c>
    </row>
    <row r="132" spans="1:17" s="13" customFormat="1" ht="15.75" x14ac:dyDescent="0.25">
      <c r="A132" s="10"/>
      <c r="B132" s="24" t="s">
        <v>309</v>
      </c>
      <c r="C132" s="1"/>
      <c r="D132" s="120"/>
      <c r="E132" s="3" t="s">
        <v>20</v>
      </c>
      <c r="F132" s="73" t="s">
        <v>391</v>
      </c>
      <c r="G132" s="11" t="s">
        <v>112</v>
      </c>
      <c r="H132" s="1">
        <v>5</v>
      </c>
      <c r="I132" s="58"/>
      <c r="J132" s="51"/>
      <c r="K132" s="40"/>
      <c r="L132" s="40"/>
      <c r="M132" s="38">
        <f t="shared" si="4"/>
        <v>0</v>
      </c>
      <c r="N132" s="41">
        <f>1</f>
        <v>1</v>
      </c>
      <c r="O132" s="31">
        <f>3088.97</f>
        <v>3088.97</v>
      </c>
      <c r="P132" s="31"/>
      <c r="Q132" s="79"/>
    </row>
    <row r="133" spans="1:17" s="13" customFormat="1" ht="15.75" x14ac:dyDescent="0.25">
      <c r="A133" s="10"/>
      <c r="B133" s="30" t="s">
        <v>152</v>
      </c>
      <c r="C133" s="1" t="s">
        <v>17</v>
      </c>
      <c r="D133" s="120"/>
      <c r="E133" s="3" t="s">
        <v>35</v>
      </c>
      <c r="F133" s="73" t="s">
        <v>392</v>
      </c>
      <c r="G133" s="74" t="s">
        <v>112</v>
      </c>
      <c r="H133" s="75">
        <v>4</v>
      </c>
      <c r="I133" s="76">
        <v>1</v>
      </c>
      <c r="J133" s="96">
        <f>1</f>
        <v>1</v>
      </c>
      <c r="K133" s="77">
        <f>403.41</f>
        <v>403.41</v>
      </c>
      <c r="L133" s="77"/>
      <c r="M133" s="38">
        <f t="shared" si="4"/>
        <v>403.41</v>
      </c>
      <c r="N133" s="100">
        <f>2+2</f>
        <v>4</v>
      </c>
      <c r="O133" s="81">
        <f>1690.48+3050.26</f>
        <v>4740.74</v>
      </c>
      <c r="P133" s="81">
        <f>1690.4</f>
        <v>1690.4</v>
      </c>
      <c r="Q133" s="12">
        <f t="shared" si="3"/>
        <v>3050.3399999999997</v>
      </c>
    </row>
    <row r="134" spans="1:17" s="13" customFormat="1" ht="15.75" x14ac:dyDescent="0.25">
      <c r="A134" s="10"/>
      <c r="B134" s="24" t="s">
        <v>152</v>
      </c>
      <c r="C134" s="1" t="s">
        <v>17</v>
      </c>
      <c r="D134" s="120"/>
      <c r="E134" s="3" t="s">
        <v>32</v>
      </c>
      <c r="F134" s="73"/>
      <c r="G134" s="11" t="s">
        <v>117</v>
      </c>
      <c r="H134" s="1"/>
      <c r="I134" s="49"/>
      <c r="J134" s="46"/>
      <c r="K134" s="40"/>
      <c r="L134" s="40"/>
      <c r="M134" s="78">
        <f t="shared" si="4"/>
        <v>0</v>
      </c>
      <c r="N134" s="41"/>
      <c r="O134" s="31"/>
      <c r="P134" s="31"/>
      <c r="Q134" s="79">
        <f t="shared" si="3"/>
        <v>0</v>
      </c>
    </row>
    <row r="135" spans="1:17" s="13" customFormat="1" ht="15.75" x14ac:dyDescent="0.25">
      <c r="A135" s="10"/>
      <c r="B135" s="30" t="s">
        <v>83</v>
      </c>
      <c r="C135" s="1" t="s">
        <v>17</v>
      </c>
      <c r="D135" s="120"/>
      <c r="E135" s="3" t="s">
        <v>20</v>
      </c>
      <c r="F135" s="73" t="s">
        <v>393</v>
      </c>
      <c r="G135" s="74" t="s">
        <v>112</v>
      </c>
      <c r="H135" s="75">
        <v>5</v>
      </c>
      <c r="I135" s="76"/>
      <c r="J135" s="96"/>
      <c r="K135" s="77"/>
      <c r="L135" s="77"/>
      <c r="M135" s="38">
        <f t="shared" si="4"/>
        <v>0</v>
      </c>
      <c r="N135" s="100"/>
      <c r="O135" s="81"/>
      <c r="P135" s="81"/>
      <c r="Q135" s="12">
        <f t="shared" si="3"/>
        <v>0</v>
      </c>
    </row>
    <row r="136" spans="1:17" s="13" customFormat="1" ht="15.75" x14ac:dyDescent="0.25">
      <c r="A136" s="10"/>
      <c r="B136" s="24" t="s">
        <v>83</v>
      </c>
      <c r="C136" s="1" t="s">
        <v>17</v>
      </c>
      <c r="D136" s="120"/>
      <c r="E136" s="3" t="s">
        <v>20</v>
      </c>
      <c r="F136" s="73" t="s">
        <v>464</v>
      </c>
      <c r="G136" s="11" t="s">
        <v>114</v>
      </c>
      <c r="H136" s="1">
        <v>2</v>
      </c>
      <c r="I136" s="49"/>
      <c r="J136" s="51"/>
      <c r="K136" s="40"/>
      <c r="L136" s="40"/>
      <c r="M136" s="78">
        <f t="shared" si="4"/>
        <v>0</v>
      </c>
      <c r="N136" s="41">
        <v>22</v>
      </c>
      <c r="O136" s="31">
        <v>43871.3</v>
      </c>
      <c r="P136" s="31"/>
      <c r="Q136" s="79">
        <f t="shared" si="3"/>
        <v>43871.3</v>
      </c>
    </row>
    <row r="137" spans="1:17" s="13" customFormat="1" ht="15.75" x14ac:dyDescent="0.25">
      <c r="A137" s="10"/>
      <c r="B137" s="24" t="s">
        <v>310</v>
      </c>
      <c r="C137" s="1"/>
      <c r="D137" s="120"/>
      <c r="E137" s="3" t="s">
        <v>20</v>
      </c>
      <c r="F137" s="73"/>
      <c r="G137" s="11" t="s">
        <v>114</v>
      </c>
      <c r="H137" s="1"/>
      <c r="I137" s="49"/>
      <c r="J137" s="51"/>
      <c r="K137" s="40"/>
      <c r="L137" s="40"/>
      <c r="M137" s="78"/>
      <c r="N137" s="41"/>
      <c r="O137" s="31"/>
      <c r="P137" s="31"/>
      <c r="Q137" s="79"/>
    </row>
    <row r="138" spans="1:17" s="13" customFormat="1" ht="15.75" x14ac:dyDescent="0.25">
      <c r="A138" s="10"/>
      <c r="B138" s="30" t="s">
        <v>84</v>
      </c>
      <c r="C138" s="1"/>
      <c r="D138" s="120"/>
      <c r="E138" s="3" t="s">
        <v>20</v>
      </c>
      <c r="F138" s="73" t="s">
        <v>287</v>
      </c>
      <c r="G138" s="11" t="s">
        <v>114</v>
      </c>
      <c r="H138" s="1"/>
      <c r="I138" s="49"/>
      <c r="J138" s="51"/>
      <c r="K138" s="40"/>
      <c r="L138" s="40"/>
      <c r="M138" s="38">
        <f t="shared" si="4"/>
        <v>0</v>
      </c>
      <c r="N138" s="41"/>
      <c r="O138" s="31"/>
      <c r="P138" s="31"/>
      <c r="Q138" s="12">
        <f t="shared" si="3"/>
        <v>0</v>
      </c>
    </row>
    <row r="139" spans="1:17" s="13" customFormat="1" ht="47.25" x14ac:dyDescent="0.25">
      <c r="A139" s="10"/>
      <c r="B139" s="30" t="s">
        <v>85</v>
      </c>
      <c r="C139" s="1" t="s">
        <v>304</v>
      </c>
      <c r="D139" s="120" t="s">
        <v>415</v>
      </c>
      <c r="E139" s="3" t="s">
        <v>20</v>
      </c>
      <c r="F139" s="73" t="s">
        <v>395</v>
      </c>
      <c r="G139" s="74" t="s">
        <v>112</v>
      </c>
      <c r="H139" s="75">
        <v>2</v>
      </c>
      <c r="I139" s="76"/>
      <c r="J139" s="96"/>
      <c r="K139" s="77"/>
      <c r="L139" s="77"/>
      <c r="M139" s="38">
        <f t="shared" si="4"/>
        <v>0</v>
      </c>
      <c r="N139" s="100"/>
      <c r="O139" s="81"/>
      <c r="P139" s="81"/>
      <c r="Q139" s="79">
        <f t="shared" si="3"/>
        <v>0</v>
      </c>
    </row>
    <row r="140" spans="1:17" s="13" customFormat="1" ht="15.75" x14ac:dyDescent="0.25">
      <c r="A140" s="10"/>
      <c r="B140" s="27" t="s">
        <v>86</v>
      </c>
      <c r="C140" s="1" t="s">
        <v>17</v>
      </c>
      <c r="D140" s="120"/>
      <c r="E140" s="17" t="s">
        <v>20</v>
      </c>
      <c r="F140" s="73" t="s">
        <v>396</v>
      </c>
      <c r="G140" s="74" t="s">
        <v>112</v>
      </c>
      <c r="H140" s="75">
        <v>4</v>
      </c>
      <c r="I140" s="76">
        <v>1</v>
      </c>
      <c r="J140" s="96">
        <f>1</f>
        <v>1</v>
      </c>
      <c r="K140" s="77">
        <f>950.9</f>
        <v>950.9</v>
      </c>
      <c r="L140" s="77"/>
      <c r="M140" s="38">
        <f t="shared" si="4"/>
        <v>950.9</v>
      </c>
      <c r="N140" s="100">
        <f>15+4</f>
        <v>19</v>
      </c>
      <c r="O140" s="81">
        <f>30236.61+18366.75</f>
        <v>48603.360000000001</v>
      </c>
      <c r="P140" s="81"/>
      <c r="Q140" s="12">
        <f t="shared" si="3"/>
        <v>48603.360000000001</v>
      </c>
    </row>
    <row r="141" spans="1:17" s="13" customFormat="1" ht="15.75" x14ac:dyDescent="0.25">
      <c r="A141" s="10"/>
      <c r="B141" s="25" t="s">
        <v>86</v>
      </c>
      <c r="C141" s="1" t="s">
        <v>17</v>
      </c>
      <c r="D141" s="120"/>
      <c r="E141" s="17" t="s">
        <v>20</v>
      </c>
      <c r="F141" s="73" t="s">
        <v>465</v>
      </c>
      <c r="G141" s="11" t="s">
        <v>114</v>
      </c>
      <c r="H141" s="1"/>
      <c r="I141" s="49"/>
      <c r="J141" s="51"/>
      <c r="K141" s="40"/>
      <c r="L141" s="40"/>
      <c r="M141" s="78">
        <f t="shared" si="4"/>
        <v>0</v>
      </c>
      <c r="N141" s="41">
        <v>3</v>
      </c>
      <c r="O141" s="31"/>
      <c r="P141" s="31"/>
      <c r="Q141" s="79">
        <f t="shared" si="3"/>
        <v>0</v>
      </c>
    </row>
    <row r="142" spans="1:17" s="13" customFormat="1" ht="15.75" x14ac:dyDescent="0.25">
      <c r="A142" s="10"/>
      <c r="B142" s="62" t="s">
        <v>87</v>
      </c>
      <c r="C142" s="1" t="s">
        <v>17</v>
      </c>
      <c r="D142" s="120"/>
      <c r="E142" s="17" t="s">
        <v>78</v>
      </c>
      <c r="F142" s="73" t="s">
        <v>142</v>
      </c>
      <c r="G142" s="74" t="s">
        <v>112</v>
      </c>
      <c r="H142" s="75"/>
      <c r="I142" s="76"/>
      <c r="J142" s="96"/>
      <c r="K142" s="77"/>
      <c r="L142" s="77"/>
      <c r="M142" s="38">
        <f t="shared" si="4"/>
        <v>0</v>
      </c>
      <c r="N142" s="100"/>
      <c r="O142" s="81"/>
      <c r="P142" s="81"/>
      <c r="Q142" s="12">
        <f t="shared" si="3"/>
        <v>0</v>
      </c>
    </row>
    <row r="143" spans="1:17" s="13" customFormat="1" ht="15.75" x14ac:dyDescent="0.25">
      <c r="A143" s="10"/>
      <c r="B143" s="62" t="s">
        <v>312</v>
      </c>
      <c r="C143" s="1" t="s">
        <v>17</v>
      </c>
      <c r="D143" s="120"/>
      <c r="E143" s="17" t="s">
        <v>20</v>
      </c>
      <c r="F143" s="73" t="s">
        <v>320</v>
      </c>
      <c r="G143" s="74" t="s">
        <v>112</v>
      </c>
      <c r="H143" s="75">
        <v>4</v>
      </c>
      <c r="I143" s="76"/>
      <c r="J143" s="96"/>
      <c r="K143" s="77"/>
      <c r="L143" s="77"/>
      <c r="M143" s="38"/>
      <c r="N143" s="100">
        <f>5+6</f>
        <v>11</v>
      </c>
      <c r="O143" s="81">
        <f>4226.2+6627.45</f>
        <v>10853.65</v>
      </c>
      <c r="P143" s="81"/>
      <c r="Q143" s="12"/>
    </row>
    <row r="144" spans="1:17" s="13" customFormat="1" ht="15.75" x14ac:dyDescent="0.25">
      <c r="A144" s="10"/>
      <c r="B144" s="30" t="s">
        <v>88</v>
      </c>
      <c r="C144" s="1" t="s">
        <v>17</v>
      </c>
      <c r="D144" s="120"/>
      <c r="E144" s="3" t="s">
        <v>89</v>
      </c>
      <c r="F144" s="73" t="s">
        <v>397</v>
      </c>
      <c r="G144" s="74" t="s">
        <v>112</v>
      </c>
      <c r="H144" s="75">
        <v>1</v>
      </c>
      <c r="I144" s="76"/>
      <c r="J144" s="96"/>
      <c r="K144" s="77"/>
      <c r="L144" s="77"/>
      <c r="M144" s="38">
        <f t="shared" si="4"/>
        <v>0</v>
      </c>
      <c r="N144" s="100">
        <f>4+1+3+1</f>
        <v>9</v>
      </c>
      <c r="O144" s="81">
        <f>11967.83+2831.55+10544.37</f>
        <v>25343.75</v>
      </c>
      <c r="P144" s="81"/>
      <c r="Q144" s="79">
        <f t="shared" ref="Q144:Q183" si="5">O144-P144</f>
        <v>25343.75</v>
      </c>
    </row>
    <row r="145" spans="1:17" s="13" customFormat="1" ht="15.75" x14ac:dyDescent="0.25">
      <c r="A145" s="10"/>
      <c r="B145" s="24" t="s">
        <v>88</v>
      </c>
      <c r="C145" s="1" t="s">
        <v>17</v>
      </c>
      <c r="D145" s="120"/>
      <c r="E145" s="3" t="s">
        <v>89</v>
      </c>
      <c r="F145" s="73" t="s">
        <v>442</v>
      </c>
      <c r="G145" s="11" t="s">
        <v>118</v>
      </c>
      <c r="H145" s="1">
        <v>2</v>
      </c>
      <c r="I145" s="49"/>
      <c r="J145" s="46"/>
      <c r="K145" s="40"/>
      <c r="L145" s="40"/>
      <c r="M145" s="38">
        <f t="shared" si="4"/>
        <v>0</v>
      </c>
      <c r="N145" s="41">
        <v>1</v>
      </c>
      <c r="O145" s="31">
        <v>6026.87</v>
      </c>
      <c r="P145" s="31"/>
      <c r="Q145" s="12">
        <f t="shared" si="5"/>
        <v>6026.87</v>
      </c>
    </row>
    <row r="146" spans="1:17" s="13" customFormat="1" ht="15.75" x14ac:dyDescent="0.25">
      <c r="A146" s="10"/>
      <c r="B146" s="30" t="s">
        <v>90</v>
      </c>
      <c r="C146" s="1" t="s">
        <v>17</v>
      </c>
      <c r="D146" s="120"/>
      <c r="E146" s="17" t="s">
        <v>20</v>
      </c>
      <c r="F146" s="73" t="s">
        <v>398</v>
      </c>
      <c r="G146" s="74" t="s">
        <v>112</v>
      </c>
      <c r="H146" s="75">
        <v>2</v>
      </c>
      <c r="I146" s="76"/>
      <c r="J146" s="96"/>
      <c r="K146" s="77"/>
      <c r="L146" s="77"/>
      <c r="M146" s="38">
        <f t="shared" si="4"/>
        <v>0</v>
      </c>
      <c r="N146" s="100"/>
      <c r="O146" s="81"/>
      <c r="P146" s="81"/>
      <c r="Q146" s="79">
        <f t="shared" si="5"/>
        <v>0</v>
      </c>
    </row>
    <row r="147" spans="1:17" s="13" customFormat="1" ht="15.75" x14ac:dyDescent="0.25">
      <c r="A147" s="10"/>
      <c r="B147" s="24" t="s">
        <v>90</v>
      </c>
      <c r="C147" s="1" t="s">
        <v>17</v>
      </c>
      <c r="D147" s="120"/>
      <c r="E147" s="17" t="s">
        <v>20</v>
      </c>
      <c r="F147" s="73" t="s">
        <v>466</v>
      </c>
      <c r="G147" s="11" t="s">
        <v>114</v>
      </c>
      <c r="H147" s="1">
        <v>2</v>
      </c>
      <c r="I147" s="49"/>
      <c r="J147" s="51"/>
      <c r="K147" s="40"/>
      <c r="L147" s="40"/>
      <c r="M147" s="78">
        <f t="shared" si="4"/>
        <v>0</v>
      </c>
      <c r="N147" s="41">
        <v>5</v>
      </c>
      <c r="O147" s="31"/>
      <c r="P147" s="31"/>
      <c r="Q147" s="12">
        <f t="shared" si="5"/>
        <v>0</v>
      </c>
    </row>
    <row r="148" spans="1:17" s="13" customFormat="1" ht="15.75" x14ac:dyDescent="0.25">
      <c r="A148" s="10"/>
      <c r="B148" s="30" t="s">
        <v>91</v>
      </c>
      <c r="C148" s="1" t="s">
        <v>17</v>
      </c>
      <c r="D148" s="120"/>
      <c r="E148" s="17" t="s">
        <v>20</v>
      </c>
      <c r="F148" s="73" t="s">
        <v>399</v>
      </c>
      <c r="G148" s="74" t="s">
        <v>112</v>
      </c>
      <c r="H148" s="75"/>
      <c r="I148" s="76"/>
      <c r="J148" s="96"/>
      <c r="K148" s="77"/>
      <c r="L148" s="77"/>
      <c r="M148" s="38">
        <f t="shared" si="4"/>
        <v>0</v>
      </c>
      <c r="N148" s="100"/>
      <c r="O148" s="81"/>
      <c r="P148" s="81"/>
      <c r="Q148" s="79">
        <f t="shared" si="5"/>
        <v>0</v>
      </c>
    </row>
    <row r="149" spans="1:17" s="13" customFormat="1" ht="15.75" x14ac:dyDescent="0.25">
      <c r="A149" s="10">
        <v>93</v>
      </c>
      <c r="B149" s="22" t="s">
        <v>138</v>
      </c>
      <c r="C149" s="1" t="s">
        <v>17</v>
      </c>
      <c r="D149" s="120"/>
      <c r="E149" s="17" t="s">
        <v>20</v>
      </c>
      <c r="F149" s="73" t="s">
        <v>467</v>
      </c>
      <c r="G149" s="11" t="s">
        <v>114</v>
      </c>
      <c r="H149" s="1">
        <v>1</v>
      </c>
      <c r="I149" s="49"/>
      <c r="J149" s="51"/>
      <c r="K149" s="37"/>
      <c r="L149" s="37"/>
      <c r="M149" s="78">
        <f t="shared" si="4"/>
        <v>0</v>
      </c>
      <c r="N149" s="39">
        <v>2</v>
      </c>
      <c r="O149" s="31"/>
      <c r="P149" s="31"/>
      <c r="Q149" s="12">
        <f t="shared" si="5"/>
        <v>0</v>
      </c>
    </row>
    <row r="150" spans="1:17" s="13" customFormat="1" ht="15.75" x14ac:dyDescent="0.25">
      <c r="A150" s="10"/>
      <c r="B150" s="62" t="s">
        <v>138</v>
      </c>
      <c r="C150" s="1" t="s">
        <v>17</v>
      </c>
      <c r="D150" s="120"/>
      <c r="E150" s="17" t="s">
        <v>20</v>
      </c>
      <c r="F150" s="73" t="s">
        <v>400</v>
      </c>
      <c r="G150" s="74" t="s">
        <v>112</v>
      </c>
      <c r="H150" s="75">
        <v>1</v>
      </c>
      <c r="I150" s="82"/>
      <c r="J150" s="96"/>
      <c r="K150" s="77"/>
      <c r="L150" s="77"/>
      <c r="M150" s="38">
        <f t="shared" si="4"/>
        <v>0</v>
      </c>
      <c r="N150" s="100">
        <f>5</f>
        <v>5</v>
      </c>
      <c r="O150" s="81">
        <v>8995.8700000000008</v>
      </c>
      <c r="P150" s="81"/>
      <c r="Q150" s="79">
        <f t="shared" si="5"/>
        <v>8995.8700000000008</v>
      </c>
    </row>
    <row r="151" spans="1:17" s="13" customFormat="1" ht="15.75" x14ac:dyDescent="0.25">
      <c r="A151" s="10"/>
      <c r="B151" s="62" t="s">
        <v>157</v>
      </c>
      <c r="C151" s="1" t="s">
        <v>17</v>
      </c>
      <c r="D151" s="120"/>
      <c r="E151" s="17" t="s">
        <v>20</v>
      </c>
      <c r="F151" s="73" t="s">
        <v>401</v>
      </c>
      <c r="G151" s="74" t="s">
        <v>112</v>
      </c>
      <c r="H151" s="75">
        <v>2</v>
      </c>
      <c r="I151" s="82"/>
      <c r="J151" s="96"/>
      <c r="K151" s="77"/>
      <c r="L151" s="77"/>
      <c r="M151" s="38">
        <f t="shared" ref="M151:M182" si="6">K151-L151</f>
        <v>0</v>
      </c>
      <c r="N151" s="100"/>
      <c r="O151" s="81"/>
      <c r="P151" s="81"/>
      <c r="Q151" s="12">
        <f t="shared" si="5"/>
        <v>0</v>
      </c>
    </row>
    <row r="152" spans="1:17" s="13" customFormat="1" ht="15.75" x14ac:dyDescent="0.25">
      <c r="A152" s="10"/>
      <c r="B152" s="22" t="s">
        <v>157</v>
      </c>
      <c r="C152" s="1" t="s">
        <v>17</v>
      </c>
      <c r="D152" s="120"/>
      <c r="E152" s="17" t="s">
        <v>20</v>
      </c>
      <c r="F152" s="73"/>
      <c r="G152" s="11" t="s">
        <v>114</v>
      </c>
      <c r="H152" s="1"/>
      <c r="I152" s="49"/>
      <c r="J152" s="51"/>
      <c r="K152" s="37"/>
      <c r="L152" s="37"/>
      <c r="M152" s="38">
        <f t="shared" si="6"/>
        <v>0</v>
      </c>
      <c r="N152" s="39"/>
      <c r="O152" s="31"/>
      <c r="P152" s="31"/>
      <c r="Q152" s="79">
        <f t="shared" si="5"/>
        <v>0</v>
      </c>
    </row>
    <row r="153" spans="1:17" s="15" customFormat="1" ht="15.75" x14ac:dyDescent="0.25">
      <c r="A153" s="14"/>
      <c r="B153" s="80" t="s">
        <v>92</v>
      </c>
      <c r="C153" s="1" t="s">
        <v>17</v>
      </c>
      <c r="D153" s="120"/>
      <c r="E153" s="17" t="s">
        <v>20</v>
      </c>
      <c r="F153" s="73" t="s">
        <v>402</v>
      </c>
      <c r="G153" s="74" t="s">
        <v>112</v>
      </c>
      <c r="H153" s="75">
        <v>2</v>
      </c>
      <c r="I153" s="76"/>
      <c r="J153" s="96"/>
      <c r="K153" s="77"/>
      <c r="L153" s="77"/>
      <c r="M153" s="38">
        <f t="shared" si="6"/>
        <v>0</v>
      </c>
      <c r="N153" s="100">
        <f>4</f>
        <v>4</v>
      </c>
      <c r="O153" s="81">
        <f>12624.74</f>
        <v>12624.74</v>
      </c>
      <c r="P153" s="81">
        <f>12624.74</f>
        <v>12624.74</v>
      </c>
      <c r="Q153" s="12">
        <f t="shared" si="5"/>
        <v>0</v>
      </c>
    </row>
    <row r="154" spans="1:17" s="15" customFormat="1" ht="15.75" x14ac:dyDescent="0.25">
      <c r="A154" s="14"/>
      <c r="B154" s="23" t="s">
        <v>92</v>
      </c>
      <c r="C154" s="1" t="s">
        <v>17</v>
      </c>
      <c r="D154" s="120"/>
      <c r="E154" s="17" t="s">
        <v>20</v>
      </c>
      <c r="F154" s="73" t="s">
        <v>129</v>
      </c>
      <c r="G154" s="11" t="s">
        <v>114</v>
      </c>
      <c r="H154" s="1"/>
      <c r="I154" s="49"/>
      <c r="J154" s="51"/>
      <c r="K154" s="40"/>
      <c r="L154" s="40"/>
      <c r="M154" s="38">
        <f t="shared" si="6"/>
        <v>0</v>
      </c>
      <c r="N154" s="39"/>
      <c r="O154" s="31"/>
      <c r="P154" s="31"/>
      <c r="Q154" s="79">
        <f t="shared" si="5"/>
        <v>0</v>
      </c>
    </row>
    <row r="155" spans="1:17" s="13" customFormat="1" ht="15.75" x14ac:dyDescent="0.25">
      <c r="A155" s="10"/>
      <c r="B155" s="30" t="s">
        <v>93</v>
      </c>
      <c r="C155" s="1" t="s">
        <v>17</v>
      </c>
      <c r="D155" s="120"/>
      <c r="E155" s="3" t="s">
        <v>94</v>
      </c>
      <c r="F155" s="73" t="s">
        <v>403</v>
      </c>
      <c r="G155" s="74" t="s">
        <v>112</v>
      </c>
      <c r="H155" s="75">
        <v>7</v>
      </c>
      <c r="I155" s="76">
        <v>2</v>
      </c>
      <c r="J155" s="96">
        <f>2</f>
        <v>2</v>
      </c>
      <c r="K155" s="77"/>
      <c r="L155" s="77"/>
      <c r="M155" s="38">
        <f t="shared" si="6"/>
        <v>0</v>
      </c>
      <c r="N155" s="100">
        <f>3+8</f>
        <v>11</v>
      </c>
      <c r="O155" s="81"/>
      <c r="P155" s="81"/>
      <c r="Q155" s="12">
        <f t="shared" si="5"/>
        <v>0</v>
      </c>
    </row>
    <row r="156" spans="1:17" s="13" customFormat="1" ht="15.75" x14ac:dyDescent="0.25">
      <c r="A156" s="10"/>
      <c r="B156" s="24" t="s">
        <v>93</v>
      </c>
      <c r="C156" s="1" t="s">
        <v>17</v>
      </c>
      <c r="D156" s="120"/>
      <c r="E156" s="3" t="s">
        <v>94</v>
      </c>
      <c r="F156" s="73" t="s">
        <v>130</v>
      </c>
      <c r="G156" s="11" t="s">
        <v>114</v>
      </c>
      <c r="H156" s="1"/>
      <c r="I156" s="49"/>
      <c r="J156" s="51"/>
      <c r="K156" s="40"/>
      <c r="L156" s="77"/>
      <c r="M156" s="38">
        <f t="shared" si="6"/>
        <v>0</v>
      </c>
      <c r="N156" s="41"/>
      <c r="O156" s="31"/>
      <c r="P156" s="31"/>
      <c r="Q156" s="79">
        <f t="shared" si="5"/>
        <v>0</v>
      </c>
    </row>
    <row r="157" spans="1:17" s="13" customFormat="1" ht="15.75" x14ac:dyDescent="0.25">
      <c r="A157" s="10"/>
      <c r="B157" s="24" t="s">
        <v>93</v>
      </c>
      <c r="C157" s="1" t="s">
        <v>17</v>
      </c>
      <c r="D157" s="120"/>
      <c r="E157" s="3" t="s">
        <v>94</v>
      </c>
      <c r="F157" s="73" t="s">
        <v>240</v>
      </c>
      <c r="G157" s="11" t="s">
        <v>118</v>
      </c>
      <c r="H157" s="1"/>
      <c r="I157" s="49"/>
      <c r="J157" s="46"/>
      <c r="K157" s="40"/>
      <c r="L157" s="40"/>
      <c r="M157" s="78">
        <f t="shared" si="6"/>
        <v>0</v>
      </c>
      <c r="N157" s="41"/>
      <c r="O157" s="31"/>
      <c r="P157" s="31"/>
      <c r="Q157" s="12">
        <f t="shared" si="5"/>
        <v>0</v>
      </c>
    </row>
    <row r="158" spans="1:17" s="13" customFormat="1" ht="15.75" x14ac:dyDescent="0.25">
      <c r="A158" s="10"/>
      <c r="B158" s="30" t="s">
        <v>95</v>
      </c>
      <c r="C158" s="1" t="s">
        <v>17</v>
      </c>
      <c r="D158" s="120"/>
      <c r="E158" s="17" t="s">
        <v>20</v>
      </c>
      <c r="F158" s="73" t="s">
        <v>404</v>
      </c>
      <c r="G158" s="74" t="s">
        <v>112</v>
      </c>
      <c r="H158" s="75">
        <v>1</v>
      </c>
      <c r="I158" s="76"/>
      <c r="J158" s="96"/>
      <c r="K158" s="77"/>
      <c r="L158" s="77"/>
      <c r="M158" s="38">
        <f t="shared" si="6"/>
        <v>0</v>
      </c>
      <c r="N158" s="100">
        <f>1</f>
        <v>1</v>
      </c>
      <c r="O158" s="81">
        <f>11603.82</f>
        <v>11603.82</v>
      </c>
      <c r="P158" s="81"/>
      <c r="Q158" s="79">
        <f t="shared" si="5"/>
        <v>11603.82</v>
      </c>
    </row>
    <row r="159" spans="1:17" s="13" customFormat="1" ht="15.75" x14ac:dyDescent="0.25">
      <c r="A159" s="10"/>
      <c r="B159" s="24" t="s">
        <v>95</v>
      </c>
      <c r="C159" s="1" t="s">
        <v>17</v>
      </c>
      <c r="D159" s="120"/>
      <c r="E159" s="17" t="s">
        <v>20</v>
      </c>
      <c r="F159" s="73" t="s">
        <v>291</v>
      </c>
      <c r="G159" s="11" t="s">
        <v>114</v>
      </c>
      <c r="H159" s="1"/>
      <c r="I159" s="49"/>
      <c r="J159" s="51"/>
      <c r="K159" s="40"/>
      <c r="L159" s="40"/>
      <c r="M159" s="78">
        <f t="shared" si="6"/>
        <v>0</v>
      </c>
      <c r="N159" s="41"/>
      <c r="O159" s="31"/>
      <c r="P159" s="31"/>
      <c r="Q159" s="12">
        <f t="shared" si="5"/>
        <v>0</v>
      </c>
    </row>
    <row r="160" spans="1:17" s="13" customFormat="1" ht="15.75" x14ac:dyDescent="0.25">
      <c r="A160" s="10"/>
      <c r="B160" s="30" t="s">
        <v>96</v>
      </c>
      <c r="C160" s="1" t="s">
        <v>17</v>
      </c>
      <c r="D160" s="120"/>
      <c r="E160" s="17" t="s">
        <v>97</v>
      </c>
      <c r="F160" s="73" t="s">
        <v>405</v>
      </c>
      <c r="G160" s="74" t="s">
        <v>112</v>
      </c>
      <c r="H160" s="75"/>
      <c r="I160" s="76"/>
      <c r="J160" s="96"/>
      <c r="K160" s="77"/>
      <c r="L160" s="77"/>
      <c r="M160" s="38">
        <f t="shared" si="6"/>
        <v>0</v>
      </c>
      <c r="N160" s="103">
        <f>1</f>
        <v>1</v>
      </c>
      <c r="O160" s="77">
        <f>1742.31</f>
        <v>1742.31</v>
      </c>
      <c r="P160" s="77"/>
      <c r="Q160" s="79">
        <f t="shared" si="5"/>
        <v>1742.31</v>
      </c>
    </row>
    <row r="161" spans="1:17" s="13" customFormat="1" ht="15.75" x14ac:dyDescent="0.25">
      <c r="A161" s="10"/>
      <c r="B161" s="24" t="s">
        <v>96</v>
      </c>
      <c r="C161" s="1" t="s">
        <v>17</v>
      </c>
      <c r="D161" s="120"/>
      <c r="E161" s="17" t="s">
        <v>97</v>
      </c>
      <c r="F161" s="73" t="s">
        <v>468</v>
      </c>
      <c r="G161" s="11" t="s">
        <v>114</v>
      </c>
      <c r="H161" s="1">
        <v>1</v>
      </c>
      <c r="I161" s="49"/>
      <c r="J161" s="51"/>
      <c r="K161" s="40"/>
      <c r="L161" s="40"/>
      <c r="M161" s="78">
        <f t="shared" si="6"/>
        <v>0</v>
      </c>
      <c r="N161" s="41">
        <v>2</v>
      </c>
      <c r="O161" s="31"/>
      <c r="P161" s="31"/>
      <c r="Q161" s="12">
        <f t="shared" si="5"/>
        <v>0</v>
      </c>
    </row>
    <row r="162" spans="1:17" s="13" customFormat="1" ht="15.75" x14ac:dyDescent="0.25">
      <c r="A162" s="10"/>
      <c r="B162" s="30" t="s">
        <v>98</v>
      </c>
      <c r="C162" s="1" t="s">
        <v>17</v>
      </c>
      <c r="D162" s="120"/>
      <c r="E162" s="17" t="s">
        <v>35</v>
      </c>
      <c r="F162" s="73" t="s">
        <v>406</v>
      </c>
      <c r="G162" s="74" t="s">
        <v>112</v>
      </c>
      <c r="H162" s="75">
        <v>5</v>
      </c>
      <c r="I162" s="76"/>
      <c r="J162" s="96"/>
      <c r="K162" s="77"/>
      <c r="L162" s="77"/>
      <c r="M162" s="38">
        <f t="shared" si="6"/>
        <v>0</v>
      </c>
      <c r="N162" s="100">
        <f>9+1+1</f>
        <v>11</v>
      </c>
      <c r="O162" s="81">
        <f>17007.01+2697.06+1267.86</f>
        <v>20971.93</v>
      </c>
      <c r="P162" s="81"/>
      <c r="Q162" s="79">
        <f t="shared" si="5"/>
        <v>20971.93</v>
      </c>
    </row>
    <row r="163" spans="1:17" s="13" customFormat="1" ht="15.75" x14ac:dyDescent="0.25">
      <c r="A163" s="10"/>
      <c r="B163" s="24" t="s">
        <v>98</v>
      </c>
      <c r="C163" s="1" t="s">
        <v>17</v>
      </c>
      <c r="D163" s="120"/>
      <c r="E163" s="17" t="s">
        <v>35</v>
      </c>
      <c r="F163" s="73" t="s">
        <v>435</v>
      </c>
      <c r="G163" s="8" t="s">
        <v>117</v>
      </c>
      <c r="H163" s="1">
        <v>1</v>
      </c>
      <c r="I163" s="49"/>
      <c r="J163" s="46"/>
      <c r="K163" s="40"/>
      <c r="L163" s="40"/>
      <c r="M163" s="78">
        <f t="shared" si="6"/>
        <v>0</v>
      </c>
      <c r="N163" s="41">
        <f>4</f>
        <v>4</v>
      </c>
      <c r="O163" s="40"/>
      <c r="P163" s="40"/>
      <c r="Q163" s="12">
        <f t="shared" si="5"/>
        <v>0</v>
      </c>
    </row>
    <row r="164" spans="1:17" s="15" customFormat="1" ht="15.75" x14ac:dyDescent="0.25">
      <c r="A164" s="14"/>
      <c r="B164" s="84" t="s">
        <v>99</v>
      </c>
      <c r="C164" s="1" t="s">
        <v>17</v>
      </c>
      <c r="D164" s="120"/>
      <c r="E164" s="3" t="s">
        <v>32</v>
      </c>
      <c r="F164" s="73" t="s">
        <v>418</v>
      </c>
      <c r="G164" s="74" t="s">
        <v>112</v>
      </c>
      <c r="H164" s="75"/>
      <c r="I164" s="76"/>
      <c r="J164" s="96"/>
      <c r="K164" s="77"/>
      <c r="L164" s="77"/>
      <c r="M164" s="38">
        <f t="shared" si="6"/>
        <v>0</v>
      </c>
      <c r="N164" s="100"/>
      <c r="O164" s="81"/>
      <c r="P164" s="81"/>
      <c r="Q164" s="79">
        <f t="shared" si="5"/>
        <v>0</v>
      </c>
    </row>
    <row r="165" spans="1:17" s="15" customFormat="1" ht="15.75" x14ac:dyDescent="0.25">
      <c r="A165" s="14"/>
      <c r="B165" s="29" t="s">
        <v>99</v>
      </c>
      <c r="C165" s="1" t="s">
        <v>17</v>
      </c>
      <c r="D165" s="120"/>
      <c r="E165" s="3" t="s">
        <v>32</v>
      </c>
      <c r="F165" s="73" t="s">
        <v>423</v>
      </c>
      <c r="G165" s="8" t="s">
        <v>117</v>
      </c>
      <c r="H165" s="1"/>
      <c r="I165" s="49"/>
      <c r="J165" s="51"/>
      <c r="K165" s="40"/>
      <c r="L165" s="40"/>
      <c r="M165" s="78">
        <f t="shared" si="6"/>
        <v>0</v>
      </c>
      <c r="N165" s="39"/>
      <c r="O165" s="40"/>
      <c r="P165" s="40"/>
      <c r="Q165" s="12">
        <f t="shared" si="5"/>
        <v>0</v>
      </c>
    </row>
    <row r="166" spans="1:17" s="15" customFormat="1" ht="31.5" x14ac:dyDescent="0.25">
      <c r="A166" s="14"/>
      <c r="B166" s="30" t="s">
        <v>144</v>
      </c>
      <c r="C166" s="1" t="s">
        <v>304</v>
      </c>
      <c r="D166" s="120" t="s">
        <v>313</v>
      </c>
      <c r="E166" s="17" t="s">
        <v>97</v>
      </c>
      <c r="F166" s="73" t="s">
        <v>407</v>
      </c>
      <c r="G166" s="66" t="s">
        <v>112</v>
      </c>
      <c r="H166" s="75">
        <v>4</v>
      </c>
      <c r="I166" s="76">
        <v>2</v>
      </c>
      <c r="J166" s="96">
        <f>2</f>
        <v>2</v>
      </c>
      <c r="K166" s="77">
        <f>950.9</f>
        <v>950.9</v>
      </c>
      <c r="L166" s="77"/>
      <c r="M166" s="38">
        <f t="shared" si="6"/>
        <v>950.9</v>
      </c>
      <c r="N166" s="100">
        <f>3+2</f>
        <v>5</v>
      </c>
      <c r="O166" s="77">
        <f>5020.57+5494.06</f>
        <v>10514.630000000001</v>
      </c>
      <c r="P166" s="77"/>
      <c r="Q166" s="79">
        <f t="shared" si="5"/>
        <v>10514.630000000001</v>
      </c>
    </row>
    <row r="167" spans="1:17" s="15" customFormat="1" ht="31.5" x14ac:dyDescent="0.25">
      <c r="A167" s="14"/>
      <c r="B167" s="34" t="s">
        <v>144</v>
      </c>
      <c r="C167" s="1" t="s">
        <v>446</v>
      </c>
      <c r="D167" s="120" t="s">
        <v>313</v>
      </c>
      <c r="E167" s="3" t="s">
        <v>20</v>
      </c>
      <c r="F167" s="73" t="s">
        <v>485</v>
      </c>
      <c r="G167" s="8" t="s">
        <v>114</v>
      </c>
      <c r="H167" s="1">
        <v>2</v>
      </c>
      <c r="I167" s="49">
        <v>1</v>
      </c>
      <c r="J167" s="51">
        <v>1</v>
      </c>
      <c r="K167" s="40"/>
      <c r="L167" s="40"/>
      <c r="M167" s="78">
        <f t="shared" si="6"/>
        <v>0</v>
      </c>
      <c r="N167" s="42">
        <v>12</v>
      </c>
      <c r="O167" s="31"/>
      <c r="P167" s="31"/>
      <c r="Q167" s="12">
        <f t="shared" si="5"/>
        <v>0</v>
      </c>
    </row>
    <row r="168" spans="1:17" s="21" customFormat="1" ht="47.25" x14ac:dyDescent="0.25">
      <c r="A168" s="1"/>
      <c r="B168" s="30" t="s">
        <v>100</v>
      </c>
      <c r="C168" s="1" t="s">
        <v>304</v>
      </c>
      <c r="D168" s="120" t="s">
        <v>416</v>
      </c>
      <c r="E168" s="17" t="s">
        <v>20</v>
      </c>
      <c r="F168" s="73" t="s">
        <v>408</v>
      </c>
      <c r="G168" s="27" t="s">
        <v>112</v>
      </c>
      <c r="H168" s="75">
        <v>5</v>
      </c>
      <c r="I168" s="76"/>
      <c r="J168" s="98"/>
      <c r="K168" s="86"/>
      <c r="L168" s="86"/>
      <c r="M168" s="38">
        <f t="shared" si="6"/>
        <v>0</v>
      </c>
      <c r="N168" s="100">
        <f>1</f>
        <v>1</v>
      </c>
      <c r="O168" s="87"/>
      <c r="P168" s="87"/>
      <c r="Q168" s="79">
        <f t="shared" si="5"/>
        <v>0</v>
      </c>
    </row>
    <row r="169" spans="1:17" s="21" customFormat="1" ht="47.25" x14ac:dyDescent="0.25">
      <c r="A169" s="1"/>
      <c r="B169" s="24" t="s">
        <v>100</v>
      </c>
      <c r="C169" s="18" t="s">
        <v>125</v>
      </c>
      <c r="D169" s="120" t="s">
        <v>126</v>
      </c>
      <c r="E169" s="17" t="s">
        <v>20</v>
      </c>
      <c r="F169" s="73" t="s">
        <v>486</v>
      </c>
      <c r="G169" s="20" t="s">
        <v>114</v>
      </c>
      <c r="H169" s="1">
        <v>3</v>
      </c>
      <c r="I169" s="53"/>
      <c r="J169" s="52"/>
      <c r="K169" s="55"/>
      <c r="L169" s="55"/>
      <c r="M169" s="78">
        <f t="shared" si="6"/>
        <v>0</v>
      </c>
      <c r="N169" s="41"/>
      <c r="O169" s="54"/>
      <c r="P169" s="54"/>
      <c r="Q169" s="12">
        <f t="shared" si="5"/>
        <v>0</v>
      </c>
    </row>
    <row r="170" spans="1:17" s="13" customFormat="1" ht="15.75" x14ac:dyDescent="0.25">
      <c r="A170" s="10"/>
      <c r="B170" s="62" t="s">
        <v>101</v>
      </c>
      <c r="C170" s="1" t="s">
        <v>17</v>
      </c>
      <c r="D170" s="120"/>
      <c r="E170" s="17" t="s">
        <v>20</v>
      </c>
      <c r="F170" s="73" t="s">
        <v>409</v>
      </c>
      <c r="G170" s="74" t="s">
        <v>112</v>
      </c>
      <c r="H170" s="75">
        <v>1</v>
      </c>
      <c r="I170" s="76"/>
      <c r="J170" s="96"/>
      <c r="K170" s="77"/>
      <c r="L170" s="77"/>
      <c r="M170" s="38">
        <f t="shared" si="6"/>
        <v>0</v>
      </c>
      <c r="N170" s="100">
        <f>5</f>
        <v>5</v>
      </c>
      <c r="O170" s="81">
        <f>6288.07</f>
        <v>6288.07</v>
      </c>
      <c r="P170" s="81"/>
      <c r="Q170" s="79">
        <f t="shared" si="5"/>
        <v>6288.07</v>
      </c>
    </row>
    <row r="171" spans="1:17" s="13" customFormat="1" ht="15.75" x14ac:dyDescent="0.25">
      <c r="A171" s="10"/>
      <c r="B171" s="62" t="s">
        <v>146</v>
      </c>
      <c r="C171" s="1" t="s">
        <v>17</v>
      </c>
      <c r="D171" s="120"/>
      <c r="E171" s="17" t="s">
        <v>20</v>
      </c>
      <c r="F171" s="73" t="s">
        <v>410</v>
      </c>
      <c r="G171" s="74" t="s">
        <v>112</v>
      </c>
      <c r="H171" s="75">
        <v>4</v>
      </c>
      <c r="I171" s="76"/>
      <c r="J171" s="96"/>
      <c r="K171" s="77"/>
      <c r="L171" s="77"/>
      <c r="M171" s="38">
        <f t="shared" si="6"/>
        <v>0</v>
      </c>
      <c r="N171" s="100">
        <f>5+1</f>
        <v>6</v>
      </c>
      <c r="O171" s="81">
        <f>13579.06+1287.07</f>
        <v>14866.13</v>
      </c>
      <c r="P171" s="81"/>
      <c r="Q171" s="12">
        <f t="shared" si="5"/>
        <v>14866.13</v>
      </c>
    </row>
    <row r="172" spans="1:17" s="13" customFormat="1" ht="15.75" x14ac:dyDescent="0.25">
      <c r="A172" s="10"/>
      <c r="B172" s="22" t="s">
        <v>146</v>
      </c>
      <c r="C172" s="1" t="s">
        <v>17</v>
      </c>
      <c r="D172" s="120"/>
      <c r="E172" s="3" t="s">
        <v>21</v>
      </c>
      <c r="F172" s="73" t="s">
        <v>443</v>
      </c>
      <c r="G172" s="11" t="s">
        <v>118</v>
      </c>
      <c r="H172" s="1">
        <v>2</v>
      </c>
      <c r="I172" s="47"/>
      <c r="J172" s="51"/>
      <c r="K172" s="37"/>
      <c r="L172" s="37"/>
      <c r="M172" s="38">
        <f t="shared" si="6"/>
        <v>0</v>
      </c>
      <c r="N172" s="39">
        <v>3</v>
      </c>
      <c r="O172" s="31">
        <v>3035.18</v>
      </c>
      <c r="P172" s="31"/>
      <c r="Q172" s="79">
        <f t="shared" si="5"/>
        <v>3035.18</v>
      </c>
    </row>
    <row r="173" spans="1:17" s="13" customFormat="1" ht="15.75" x14ac:dyDescent="0.25">
      <c r="A173" s="10"/>
      <c r="B173" s="27" t="s">
        <v>102</v>
      </c>
      <c r="C173" s="1" t="s">
        <v>17</v>
      </c>
      <c r="D173" s="120"/>
      <c r="E173" s="17" t="s">
        <v>20</v>
      </c>
      <c r="F173" s="73" t="s">
        <v>411</v>
      </c>
      <c r="G173" s="74" t="s">
        <v>112</v>
      </c>
      <c r="H173" s="75">
        <v>3</v>
      </c>
      <c r="I173" s="76">
        <v>1</v>
      </c>
      <c r="J173" s="96">
        <f>1</f>
        <v>1</v>
      </c>
      <c r="K173" s="77">
        <f>845.24</f>
        <v>845.24</v>
      </c>
      <c r="L173" s="77"/>
      <c r="M173" s="38">
        <f t="shared" si="6"/>
        <v>845.24</v>
      </c>
      <c r="N173" s="100">
        <f>3</f>
        <v>3</v>
      </c>
      <c r="O173" s="81">
        <f>7808.21</f>
        <v>7808.21</v>
      </c>
      <c r="P173" s="81"/>
      <c r="Q173" s="12">
        <f t="shared" si="5"/>
        <v>7808.21</v>
      </c>
    </row>
    <row r="174" spans="1:17" s="13" customFormat="1" ht="15.75" x14ac:dyDescent="0.25">
      <c r="A174" s="10"/>
      <c r="B174" s="25" t="s">
        <v>102</v>
      </c>
      <c r="C174" s="1" t="s">
        <v>17</v>
      </c>
      <c r="D174" s="120"/>
      <c r="E174" s="17" t="s">
        <v>20</v>
      </c>
      <c r="F174" s="73" t="s">
        <v>469</v>
      </c>
      <c r="G174" s="11" t="s">
        <v>114</v>
      </c>
      <c r="H174" s="1"/>
      <c r="I174" s="58"/>
      <c r="J174" s="51"/>
      <c r="K174" s="40"/>
      <c r="L174" s="40"/>
      <c r="M174" s="38">
        <f t="shared" si="6"/>
        <v>0</v>
      </c>
      <c r="N174" s="41">
        <v>2</v>
      </c>
      <c r="O174" s="31"/>
      <c r="P174" s="31"/>
      <c r="Q174" s="79">
        <f t="shared" si="5"/>
        <v>0</v>
      </c>
    </row>
    <row r="175" spans="1:17" s="13" customFormat="1" ht="15.75" x14ac:dyDescent="0.25">
      <c r="A175" s="10"/>
      <c r="B175" s="27" t="s">
        <v>103</v>
      </c>
      <c r="C175" s="1" t="s">
        <v>17</v>
      </c>
      <c r="D175" s="120"/>
      <c r="E175" s="3" t="s">
        <v>20</v>
      </c>
      <c r="F175" s="73" t="s">
        <v>412</v>
      </c>
      <c r="G175" s="74" t="s">
        <v>112</v>
      </c>
      <c r="H175" s="75">
        <v>3</v>
      </c>
      <c r="I175" s="76"/>
      <c r="J175" s="96"/>
      <c r="K175" s="77"/>
      <c r="L175" s="77"/>
      <c r="M175" s="38">
        <f t="shared" si="6"/>
        <v>0</v>
      </c>
      <c r="N175" s="100">
        <f>7</f>
        <v>7</v>
      </c>
      <c r="O175" s="77">
        <f>20192.14</f>
        <v>20192.14</v>
      </c>
      <c r="P175" s="81"/>
      <c r="Q175" s="12">
        <f t="shared" si="5"/>
        <v>20192.14</v>
      </c>
    </row>
    <row r="176" spans="1:17" s="13" customFormat="1" ht="15.75" x14ac:dyDescent="0.25">
      <c r="A176" s="10"/>
      <c r="B176" s="25" t="s">
        <v>103</v>
      </c>
      <c r="C176" s="1" t="s">
        <v>17</v>
      </c>
      <c r="D176" s="120"/>
      <c r="E176" s="3" t="s">
        <v>20</v>
      </c>
      <c r="F176" s="73" t="s">
        <v>470</v>
      </c>
      <c r="G176" s="11" t="s">
        <v>114</v>
      </c>
      <c r="H176" s="1">
        <v>1</v>
      </c>
      <c r="I176" s="49"/>
      <c r="J176" s="51"/>
      <c r="K176" s="40"/>
      <c r="L176" s="40"/>
      <c r="M176" s="38">
        <f t="shared" si="6"/>
        <v>0</v>
      </c>
      <c r="N176" s="41"/>
      <c r="O176" s="31"/>
      <c r="P176" s="31"/>
      <c r="Q176" s="79">
        <f t="shared" si="5"/>
        <v>0</v>
      </c>
    </row>
    <row r="177" spans="1:18" s="15" customFormat="1" ht="15.75" x14ac:dyDescent="0.25">
      <c r="A177" s="14"/>
      <c r="B177" s="28" t="s">
        <v>104</v>
      </c>
      <c r="C177" s="1" t="s">
        <v>17</v>
      </c>
      <c r="D177" s="120"/>
      <c r="E177" s="3" t="s">
        <v>20</v>
      </c>
      <c r="F177" s="73" t="s">
        <v>413</v>
      </c>
      <c r="G177" s="74" t="s">
        <v>112</v>
      </c>
      <c r="H177" s="75">
        <v>3</v>
      </c>
      <c r="I177" s="76"/>
      <c r="J177" s="96"/>
      <c r="K177" s="77"/>
      <c r="L177" s="77"/>
      <c r="M177" s="38">
        <f t="shared" si="6"/>
        <v>0</v>
      </c>
      <c r="N177" s="100">
        <f>4</f>
        <v>4</v>
      </c>
      <c r="O177" s="81">
        <f>7086.22</f>
        <v>7086.22</v>
      </c>
      <c r="P177" s="81"/>
      <c r="Q177" s="12">
        <f t="shared" si="5"/>
        <v>7086.22</v>
      </c>
    </row>
    <row r="178" spans="1:18" s="15" customFormat="1" ht="15.75" x14ac:dyDescent="0.25">
      <c r="A178" s="14"/>
      <c r="B178" s="26" t="s">
        <v>104</v>
      </c>
      <c r="C178" s="1" t="s">
        <v>17</v>
      </c>
      <c r="D178" s="120"/>
      <c r="E178" s="3" t="s">
        <v>20</v>
      </c>
      <c r="F178" s="73" t="s">
        <v>471</v>
      </c>
      <c r="G178" s="11" t="s">
        <v>114</v>
      </c>
      <c r="H178" s="1">
        <v>3</v>
      </c>
      <c r="I178" s="49"/>
      <c r="J178" s="51"/>
      <c r="K178" s="40"/>
      <c r="L178" s="40"/>
      <c r="M178" s="38">
        <f t="shared" si="6"/>
        <v>0</v>
      </c>
      <c r="N178" s="39">
        <v>6</v>
      </c>
      <c r="O178" s="31"/>
      <c r="P178" s="31"/>
      <c r="Q178" s="79">
        <f t="shared" si="5"/>
        <v>0</v>
      </c>
    </row>
    <row r="179" spans="1:18" s="13" customFormat="1" ht="15.75" x14ac:dyDescent="0.25">
      <c r="A179" s="10"/>
      <c r="B179" s="30" t="s">
        <v>105</v>
      </c>
      <c r="C179" s="1" t="s">
        <v>17</v>
      </c>
      <c r="D179" s="120"/>
      <c r="E179" s="17" t="s">
        <v>35</v>
      </c>
      <c r="F179" s="73" t="s">
        <v>419</v>
      </c>
      <c r="G179" s="74" t="s">
        <v>112</v>
      </c>
      <c r="H179" s="75"/>
      <c r="I179" s="76"/>
      <c r="J179" s="96"/>
      <c r="K179" s="77"/>
      <c r="L179" s="77"/>
      <c r="M179" s="38">
        <f t="shared" si="6"/>
        <v>0</v>
      </c>
      <c r="N179" s="100"/>
      <c r="O179" s="81"/>
      <c r="P179" s="81"/>
      <c r="Q179" s="12">
        <f t="shared" si="5"/>
        <v>0</v>
      </c>
    </row>
    <row r="180" spans="1:18" s="13" customFormat="1" ht="15.75" x14ac:dyDescent="0.25">
      <c r="A180" s="10"/>
      <c r="B180" s="30" t="s">
        <v>26</v>
      </c>
      <c r="C180" s="1"/>
      <c r="D180" s="120"/>
      <c r="E180" s="17"/>
      <c r="F180" s="73"/>
      <c r="G180" s="74" t="s">
        <v>117</v>
      </c>
      <c r="H180" s="75"/>
      <c r="I180" s="76"/>
      <c r="J180" s="96"/>
      <c r="K180" s="77"/>
      <c r="L180" s="77"/>
      <c r="M180" s="78">
        <f t="shared" si="6"/>
        <v>0</v>
      </c>
      <c r="N180" s="100">
        <v>3</v>
      </c>
      <c r="O180" s="81"/>
      <c r="P180" s="81"/>
      <c r="Q180" s="12">
        <f t="shared" si="5"/>
        <v>0</v>
      </c>
    </row>
    <row r="181" spans="1:18" s="13" customFormat="1" ht="15.75" x14ac:dyDescent="0.25">
      <c r="A181" s="10"/>
      <c r="B181" s="24" t="s">
        <v>105</v>
      </c>
      <c r="C181" s="1" t="s">
        <v>17</v>
      </c>
      <c r="D181" s="120"/>
      <c r="E181" s="17" t="s">
        <v>35</v>
      </c>
      <c r="F181" s="73" t="s">
        <v>436</v>
      </c>
      <c r="G181" s="11" t="s">
        <v>117</v>
      </c>
      <c r="H181" s="1"/>
      <c r="I181" s="47"/>
      <c r="J181" s="46"/>
      <c r="K181" s="40"/>
      <c r="L181" s="40"/>
      <c r="M181" s="38">
        <f t="shared" si="6"/>
        <v>0</v>
      </c>
      <c r="N181" s="41"/>
      <c r="O181" s="31"/>
      <c r="P181" s="31"/>
      <c r="Q181" s="79">
        <f t="shared" si="5"/>
        <v>0</v>
      </c>
    </row>
    <row r="182" spans="1:18" s="13" customFormat="1" ht="15.75" x14ac:dyDescent="0.25">
      <c r="A182" s="10"/>
      <c r="B182" s="62" t="s">
        <v>106</v>
      </c>
      <c r="C182" s="1" t="s">
        <v>17</v>
      </c>
      <c r="D182" s="2"/>
      <c r="E182" s="17" t="s">
        <v>20</v>
      </c>
      <c r="F182" s="73" t="s">
        <v>414</v>
      </c>
      <c r="G182" s="74" t="s">
        <v>112</v>
      </c>
      <c r="H182" s="75">
        <v>4</v>
      </c>
      <c r="I182" s="76"/>
      <c r="J182" s="96"/>
      <c r="K182" s="77"/>
      <c r="L182" s="77"/>
      <c r="M182" s="38">
        <f t="shared" si="6"/>
        <v>0</v>
      </c>
      <c r="N182" s="100">
        <f>3</f>
        <v>3</v>
      </c>
      <c r="O182" s="81">
        <f>15955.85</f>
        <v>15955.85</v>
      </c>
      <c r="P182" s="81"/>
      <c r="Q182" s="12">
        <f t="shared" si="5"/>
        <v>15955.85</v>
      </c>
    </row>
    <row r="183" spans="1:18" ht="15.75" x14ac:dyDescent="0.25">
      <c r="A183" s="7"/>
      <c r="B183" s="32"/>
      <c r="C183" s="107"/>
      <c r="D183" s="33"/>
      <c r="E183" s="33"/>
      <c r="F183" s="8"/>
      <c r="G183" s="8" t="s">
        <v>131</v>
      </c>
      <c r="H183" s="106">
        <f t="shared" ref="H183:P183" si="7">SUM(H10:H182)</f>
        <v>412</v>
      </c>
      <c r="I183" s="59">
        <f t="shared" si="7"/>
        <v>55</v>
      </c>
      <c r="J183" s="43">
        <f t="shared" si="7"/>
        <v>57</v>
      </c>
      <c r="K183" s="56">
        <f t="shared" si="7"/>
        <v>52339.770000000011</v>
      </c>
      <c r="L183" s="56">
        <f t="shared" si="7"/>
        <v>0</v>
      </c>
      <c r="M183" s="44">
        <f>K183-L183</f>
        <v>52339.770000000011</v>
      </c>
      <c r="N183" s="43">
        <f t="shared" si="7"/>
        <v>819</v>
      </c>
      <c r="O183" s="57">
        <f t="shared" si="7"/>
        <v>1659991.0699999996</v>
      </c>
      <c r="P183" s="57">
        <f t="shared" si="7"/>
        <v>209421.34</v>
      </c>
      <c r="Q183" s="79">
        <f t="shared" si="5"/>
        <v>1450569.7299999995</v>
      </c>
      <c r="R183" s="129"/>
    </row>
    <row r="184" spans="1:18" x14ac:dyDescent="0.25">
      <c r="K184" s="91" t="s">
        <v>305</v>
      </c>
    </row>
    <row r="185" spans="1:18" ht="45" x14ac:dyDescent="0.25">
      <c r="B185" s="89" t="s">
        <v>316</v>
      </c>
      <c r="F185" s="104" t="s">
        <v>317</v>
      </c>
      <c r="Q185" s="133"/>
    </row>
  </sheetData>
  <mergeCells count="7">
    <mergeCell ref="O1:Q1"/>
    <mergeCell ref="A3:Q3"/>
    <mergeCell ref="A4:Q4"/>
    <mergeCell ref="A5:Q5"/>
    <mergeCell ref="B7:G7"/>
    <mergeCell ref="H7:M7"/>
    <mergeCell ref="N7:Q7"/>
  </mergeCell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S184"/>
  <sheetViews>
    <sheetView workbookViewId="0">
      <selection activeCell="J56" sqref="J56"/>
    </sheetView>
  </sheetViews>
  <sheetFormatPr defaultRowHeight="15" x14ac:dyDescent="0.25"/>
  <cols>
    <col min="1" max="1" width="1.85546875" style="6" customWidth="1"/>
    <col min="2" max="2" width="37.5703125" style="88" customWidth="1"/>
    <col min="3" max="3" width="6.5703125" style="19" hidden="1" customWidth="1"/>
    <col min="4" max="4" width="19.85546875" style="19" hidden="1" customWidth="1"/>
    <col min="5" max="5" width="19" style="19" hidden="1" customWidth="1"/>
    <col min="6" max="6" width="20.5703125" style="89" hidden="1" customWidth="1"/>
    <col min="7" max="7" width="21.42578125" style="89" customWidth="1"/>
    <col min="8" max="8" width="11.85546875" style="90" customWidth="1"/>
    <col min="9" max="9" width="10.7109375" style="90" customWidth="1"/>
    <col min="10" max="10" width="8.42578125" style="99" customWidth="1"/>
    <col min="11" max="12" width="15.7109375" style="91" hidden="1" customWidth="1"/>
    <col min="13" max="13" width="15.7109375" style="91" customWidth="1"/>
    <col min="14" max="14" width="10.7109375" style="99" customWidth="1"/>
    <col min="15" max="16" width="15.7109375" style="92" customWidth="1"/>
    <col min="17" max="17" width="18.28515625" style="92" customWidth="1"/>
    <col min="18" max="18" width="11.7109375" style="6" customWidth="1"/>
    <col min="19" max="19" width="9.42578125" style="6" customWidth="1"/>
    <col min="20" max="21" width="9.140625" style="6" customWidth="1"/>
    <col min="22" max="16384" width="9.140625" style="6"/>
  </cols>
  <sheetData>
    <row r="1" spans="1:17" s="105" customFormat="1" x14ac:dyDescent="0.25">
      <c r="B1" s="60"/>
      <c r="C1" s="4"/>
      <c r="D1" s="4"/>
      <c r="E1" s="4"/>
      <c r="F1" s="63"/>
      <c r="G1" s="63"/>
      <c r="H1" s="64"/>
      <c r="I1" s="64"/>
      <c r="J1" s="93"/>
      <c r="K1" s="65"/>
      <c r="L1" s="65"/>
      <c r="M1" s="65"/>
      <c r="N1" s="93"/>
      <c r="O1" s="362" t="s">
        <v>15</v>
      </c>
      <c r="P1" s="362"/>
      <c r="Q1" s="362"/>
    </row>
    <row r="2" spans="1:17" s="105" customFormat="1" x14ac:dyDescent="0.25">
      <c r="A2" s="7"/>
      <c r="B2" s="135"/>
      <c r="C2" s="107"/>
      <c r="D2" s="107"/>
      <c r="E2" s="107"/>
      <c r="F2" s="66"/>
      <c r="G2" s="66"/>
      <c r="H2" s="134"/>
      <c r="I2" s="134"/>
      <c r="J2" s="94"/>
      <c r="K2" s="67"/>
      <c r="L2" s="67"/>
      <c r="M2" s="67"/>
      <c r="N2" s="94"/>
      <c r="O2" s="68"/>
      <c r="P2" s="68"/>
      <c r="Q2" s="68"/>
    </row>
    <row r="3" spans="1:17" s="105" customFormat="1" x14ac:dyDescent="0.25">
      <c r="A3" s="363" t="s">
        <v>318</v>
      </c>
      <c r="B3" s="364"/>
      <c r="C3" s="363"/>
      <c r="D3" s="363"/>
      <c r="E3" s="363"/>
      <c r="F3" s="364"/>
      <c r="G3" s="364"/>
      <c r="H3" s="365"/>
      <c r="I3" s="366"/>
      <c r="J3" s="367"/>
      <c r="K3" s="364"/>
      <c r="L3" s="364"/>
      <c r="M3" s="364"/>
      <c r="N3" s="364"/>
      <c r="O3" s="364"/>
      <c r="P3" s="364"/>
      <c r="Q3" s="364"/>
    </row>
    <row r="4" spans="1:17" s="105" customFormat="1" x14ac:dyDescent="0.25">
      <c r="A4" s="368">
        <v>43521</v>
      </c>
      <c r="B4" s="369"/>
      <c r="C4" s="370"/>
      <c r="D4" s="370"/>
      <c r="E4" s="370"/>
      <c r="F4" s="369"/>
      <c r="G4" s="369"/>
      <c r="H4" s="371"/>
      <c r="I4" s="372"/>
      <c r="J4" s="373"/>
      <c r="K4" s="369"/>
      <c r="L4" s="369"/>
      <c r="M4" s="369"/>
      <c r="N4" s="369"/>
      <c r="O4" s="369"/>
      <c r="P4" s="369"/>
      <c r="Q4" s="369"/>
    </row>
    <row r="5" spans="1:17" s="105" customFormat="1" x14ac:dyDescent="0.25">
      <c r="A5" s="374" t="s">
        <v>14</v>
      </c>
      <c r="B5" s="367"/>
      <c r="C5" s="374"/>
      <c r="D5" s="374"/>
      <c r="E5" s="374"/>
      <c r="F5" s="367"/>
      <c r="G5" s="367"/>
      <c r="H5" s="366"/>
      <c r="I5" s="366"/>
      <c r="J5" s="367"/>
      <c r="K5" s="367"/>
      <c r="L5" s="367"/>
      <c r="M5" s="367"/>
      <c r="N5" s="367"/>
      <c r="O5" s="367"/>
      <c r="P5" s="367"/>
      <c r="Q5" s="367"/>
    </row>
    <row r="6" spans="1:17" s="105" customFormat="1" x14ac:dyDescent="0.25">
      <c r="A6" s="7"/>
      <c r="B6" s="135"/>
      <c r="C6" s="107"/>
      <c r="D6" s="107"/>
      <c r="E6" s="107"/>
      <c r="F6" s="66"/>
      <c r="G6" s="66"/>
      <c r="H6" s="134"/>
      <c r="I6" s="134"/>
      <c r="J6" s="94"/>
      <c r="K6" s="67"/>
      <c r="L6" s="67"/>
      <c r="M6" s="67"/>
      <c r="N6" s="94"/>
      <c r="O6" s="68"/>
      <c r="P6" s="68"/>
      <c r="Q6" s="68"/>
    </row>
    <row r="7" spans="1:17" x14ac:dyDescent="0.25">
      <c r="A7" s="5" t="s">
        <v>0</v>
      </c>
      <c r="B7" s="364" t="s">
        <v>10</v>
      </c>
      <c r="C7" s="375"/>
      <c r="D7" s="375"/>
      <c r="E7" s="375"/>
      <c r="F7" s="364"/>
      <c r="G7" s="364"/>
      <c r="H7" s="365" t="s">
        <v>472</v>
      </c>
      <c r="I7" s="366"/>
      <c r="J7" s="367"/>
      <c r="K7" s="364"/>
      <c r="L7" s="364"/>
      <c r="M7" s="364"/>
      <c r="N7" s="364" t="s">
        <v>132</v>
      </c>
      <c r="O7" s="364"/>
      <c r="P7" s="364"/>
      <c r="Q7" s="364"/>
    </row>
    <row r="8" spans="1:17" ht="195" x14ac:dyDescent="0.25">
      <c r="A8" s="5"/>
      <c r="B8" s="135" t="s">
        <v>4</v>
      </c>
      <c r="C8" s="107" t="s">
        <v>1</v>
      </c>
      <c r="D8" s="107" t="s">
        <v>3</v>
      </c>
      <c r="E8" s="107" t="s">
        <v>2</v>
      </c>
      <c r="F8" s="122" t="s">
        <v>6</v>
      </c>
      <c r="G8" s="66" t="s">
        <v>5</v>
      </c>
      <c r="H8" s="135" t="s">
        <v>7</v>
      </c>
      <c r="I8" s="135" t="s">
        <v>8</v>
      </c>
      <c r="J8" s="94" t="s">
        <v>9</v>
      </c>
      <c r="K8" s="67" t="s">
        <v>11</v>
      </c>
      <c r="L8" s="67" t="s">
        <v>12</v>
      </c>
      <c r="M8" s="67" t="s">
        <v>13</v>
      </c>
      <c r="N8" s="94" t="s">
        <v>9</v>
      </c>
      <c r="O8" s="68" t="s">
        <v>11</v>
      </c>
      <c r="P8" s="68" t="s">
        <v>12</v>
      </c>
      <c r="Q8" s="68" t="s">
        <v>13</v>
      </c>
    </row>
    <row r="9" spans="1:17" x14ac:dyDescent="0.25">
      <c r="A9" s="9">
        <v>1</v>
      </c>
      <c r="B9" s="61">
        <f>A9+1</f>
        <v>2</v>
      </c>
      <c r="C9" s="9">
        <f t="shared" ref="C9:Q9" si="0">B9+1</f>
        <v>3</v>
      </c>
      <c r="D9" s="9">
        <f t="shared" si="0"/>
        <v>4</v>
      </c>
      <c r="E9" s="9">
        <f t="shared" si="0"/>
        <v>5</v>
      </c>
      <c r="F9" s="69">
        <f t="shared" si="0"/>
        <v>6</v>
      </c>
      <c r="G9" s="69">
        <f t="shared" si="0"/>
        <v>7</v>
      </c>
      <c r="H9" s="70">
        <f t="shared" si="0"/>
        <v>8</v>
      </c>
      <c r="I9" s="70">
        <f t="shared" si="0"/>
        <v>9</v>
      </c>
      <c r="J9" s="95">
        <f t="shared" si="0"/>
        <v>10</v>
      </c>
      <c r="K9" s="71">
        <f t="shared" si="0"/>
        <v>11</v>
      </c>
      <c r="L9" s="71">
        <f t="shared" si="0"/>
        <v>12</v>
      </c>
      <c r="M9" s="71">
        <f t="shared" si="0"/>
        <v>13</v>
      </c>
      <c r="N9" s="95">
        <f t="shared" si="0"/>
        <v>14</v>
      </c>
      <c r="O9" s="72">
        <f t="shared" si="0"/>
        <v>15</v>
      </c>
      <c r="P9" s="72">
        <f t="shared" si="0"/>
        <v>16</v>
      </c>
      <c r="Q9" s="72">
        <f t="shared" si="0"/>
        <v>17</v>
      </c>
    </row>
    <row r="10" spans="1:17" s="13" customFormat="1" ht="31.5" hidden="1" x14ac:dyDescent="0.25">
      <c r="A10" s="10"/>
      <c r="B10" s="62" t="s">
        <v>16</v>
      </c>
      <c r="C10" s="1" t="s">
        <v>304</v>
      </c>
      <c r="D10" s="120" t="s">
        <v>315</v>
      </c>
      <c r="E10" s="3" t="s">
        <v>18</v>
      </c>
      <c r="F10" s="73" t="s">
        <v>322</v>
      </c>
      <c r="G10" s="74" t="s">
        <v>112</v>
      </c>
      <c r="H10" s="75">
        <v>2</v>
      </c>
      <c r="I10" s="76"/>
      <c r="J10" s="96"/>
      <c r="K10" s="77">
        <f>4792.51</f>
        <v>4792.51</v>
      </c>
      <c r="L10" s="77"/>
      <c r="M10" s="78">
        <f>K10-L10</f>
        <v>4792.51</v>
      </c>
      <c r="N10" s="100">
        <f>2+5</f>
        <v>7</v>
      </c>
      <c r="O10" s="77">
        <f>4764.04+9108.77</f>
        <v>13872.810000000001</v>
      </c>
      <c r="P10" s="77"/>
      <c r="Q10" s="79">
        <f>O10-P10</f>
        <v>13872.810000000001</v>
      </c>
    </row>
    <row r="11" spans="1:17" s="13" customFormat="1" ht="31.5" hidden="1" x14ac:dyDescent="0.25">
      <c r="A11" s="10"/>
      <c r="B11" s="22" t="s">
        <v>16</v>
      </c>
      <c r="C11" s="1" t="s">
        <v>304</v>
      </c>
      <c r="D11" s="120" t="s">
        <v>315</v>
      </c>
      <c r="E11" s="3" t="s">
        <v>18</v>
      </c>
      <c r="F11" s="73" t="s">
        <v>322</v>
      </c>
      <c r="G11" s="11" t="s">
        <v>116</v>
      </c>
      <c r="H11" s="1">
        <v>2</v>
      </c>
      <c r="I11" s="49"/>
      <c r="J11" s="46"/>
      <c r="K11" s="31"/>
      <c r="L11" s="31"/>
      <c r="M11" s="38">
        <f t="shared" ref="M11:M79" si="1">K11-L11</f>
        <v>0</v>
      </c>
      <c r="N11" s="41"/>
      <c r="O11" s="31">
        <v>2945</v>
      </c>
      <c r="P11" s="31"/>
      <c r="Q11" s="12">
        <f t="shared" ref="Q11:Q74" si="2">O11-P11</f>
        <v>2945</v>
      </c>
    </row>
    <row r="12" spans="1:17" s="15" customFormat="1" ht="15.75" hidden="1" x14ac:dyDescent="0.25">
      <c r="A12" s="14"/>
      <c r="B12" s="80" t="s">
        <v>19</v>
      </c>
      <c r="C12" s="1" t="s">
        <v>17</v>
      </c>
      <c r="D12" s="120"/>
      <c r="E12" s="3" t="s">
        <v>20</v>
      </c>
      <c r="F12" s="73" t="s">
        <v>323</v>
      </c>
      <c r="G12" s="74" t="s">
        <v>112</v>
      </c>
      <c r="H12" s="75">
        <v>6</v>
      </c>
      <c r="I12" s="76">
        <v>3</v>
      </c>
      <c r="J12" s="96">
        <f>1+2</f>
        <v>3</v>
      </c>
      <c r="K12" s="77">
        <v>422.62</v>
      </c>
      <c r="L12" s="77"/>
      <c r="M12" s="78">
        <f t="shared" si="1"/>
        <v>422.62</v>
      </c>
      <c r="N12" s="100">
        <f>8</f>
        <v>8</v>
      </c>
      <c r="O12" s="81">
        <v>6459.36</v>
      </c>
      <c r="P12" s="81"/>
      <c r="Q12" s="79">
        <f t="shared" si="2"/>
        <v>6459.36</v>
      </c>
    </row>
    <row r="13" spans="1:17" s="15" customFormat="1" ht="15.75" x14ac:dyDescent="0.25">
      <c r="A13" s="14"/>
      <c r="B13" s="23" t="s">
        <v>19</v>
      </c>
      <c r="C13" s="1" t="s">
        <v>17</v>
      </c>
      <c r="D13" s="120"/>
      <c r="E13" s="3" t="s">
        <v>20</v>
      </c>
      <c r="F13" s="73" t="s">
        <v>451</v>
      </c>
      <c r="G13" s="11" t="s">
        <v>114</v>
      </c>
      <c r="H13" s="1">
        <v>2</v>
      </c>
      <c r="I13" s="49">
        <v>1</v>
      </c>
      <c r="J13" s="51">
        <v>1</v>
      </c>
      <c r="K13" s="40"/>
      <c r="L13" s="40"/>
      <c r="M13" s="38">
        <f t="shared" si="1"/>
        <v>0</v>
      </c>
      <c r="N13" s="42">
        <v>7</v>
      </c>
      <c r="O13" s="31">
        <v>3818</v>
      </c>
      <c r="P13" s="31">
        <v>3818</v>
      </c>
      <c r="Q13" s="12">
        <f t="shared" si="2"/>
        <v>0</v>
      </c>
    </row>
    <row r="14" spans="1:17" s="15" customFormat="1" ht="15.75" hidden="1" x14ac:dyDescent="0.25">
      <c r="A14" s="14"/>
      <c r="B14" s="62" t="s">
        <v>153</v>
      </c>
      <c r="C14" s="1" t="s">
        <v>17</v>
      </c>
      <c r="D14" s="120"/>
      <c r="E14" s="3" t="s">
        <v>20</v>
      </c>
      <c r="F14" s="73" t="s">
        <v>324</v>
      </c>
      <c r="G14" s="74" t="s">
        <v>112</v>
      </c>
      <c r="H14" s="75">
        <v>3</v>
      </c>
      <c r="I14" s="82">
        <v>1</v>
      </c>
      <c r="J14" s="96">
        <f>1</f>
        <v>1</v>
      </c>
      <c r="K14" s="77">
        <f>950.9</f>
        <v>950.9</v>
      </c>
      <c r="L14" s="77"/>
      <c r="M14" s="78">
        <f t="shared" si="1"/>
        <v>950.9</v>
      </c>
      <c r="N14" s="114">
        <f>1+2</f>
        <v>3</v>
      </c>
      <c r="O14" s="81">
        <f>422.62+945.61</f>
        <v>1368.23</v>
      </c>
      <c r="P14" s="81"/>
      <c r="Q14" s="79">
        <f t="shared" si="2"/>
        <v>1368.23</v>
      </c>
    </row>
    <row r="15" spans="1:17" s="15" customFormat="1" ht="15.75" x14ac:dyDescent="0.25">
      <c r="A15" s="14"/>
      <c r="B15" s="50" t="s">
        <v>153</v>
      </c>
      <c r="C15" s="1" t="s">
        <v>17</v>
      </c>
      <c r="D15" s="120"/>
      <c r="E15" s="3" t="s">
        <v>20</v>
      </c>
      <c r="F15" s="73" t="s">
        <v>452</v>
      </c>
      <c r="G15" s="11" t="s">
        <v>114</v>
      </c>
      <c r="H15" s="1">
        <v>1</v>
      </c>
      <c r="I15" s="49"/>
      <c r="J15" s="51"/>
      <c r="K15" s="40"/>
      <c r="L15" s="40"/>
      <c r="M15" s="38">
        <f t="shared" si="1"/>
        <v>0</v>
      </c>
      <c r="N15" s="42">
        <v>5</v>
      </c>
      <c r="O15" s="31">
        <v>13319</v>
      </c>
      <c r="P15" s="31">
        <f>3073.6</f>
        <v>3073.6</v>
      </c>
      <c r="Q15" s="12">
        <f t="shared" si="2"/>
        <v>10245.4</v>
      </c>
    </row>
    <row r="16" spans="1:17" s="13" customFormat="1" ht="15.75" hidden="1" x14ac:dyDescent="0.25">
      <c r="A16" s="10"/>
      <c r="B16" s="30" t="s">
        <v>22</v>
      </c>
      <c r="C16" s="1" t="s">
        <v>17</v>
      </c>
      <c r="D16" s="120"/>
      <c r="E16" s="3" t="s">
        <v>23</v>
      </c>
      <c r="F16" s="73" t="s">
        <v>325</v>
      </c>
      <c r="G16" s="74" t="s">
        <v>112</v>
      </c>
      <c r="H16" s="75">
        <v>5</v>
      </c>
      <c r="I16" s="76">
        <v>1</v>
      </c>
      <c r="J16" s="96">
        <f>1</f>
        <v>1</v>
      </c>
      <c r="K16" s="77">
        <f>2698.64</f>
        <v>2698.64</v>
      </c>
      <c r="L16" s="77"/>
      <c r="M16" s="78">
        <f t="shared" si="1"/>
        <v>2698.64</v>
      </c>
      <c r="N16" s="100">
        <f>14+3</f>
        <v>17</v>
      </c>
      <c r="O16" s="81">
        <f>22716.4+4171.06</f>
        <v>26887.460000000003</v>
      </c>
      <c r="P16" s="81"/>
      <c r="Q16" s="79">
        <f t="shared" si="2"/>
        <v>26887.460000000003</v>
      </c>
    </row>
    <row r="17" spans="1:17" s="13" customFormat="1" ht="15.75" x14ac:dyDescent="0.25">
      <c r="A17" s="10"/>
      <c r="B17" s="24" t="s">
        <v>154</v>
      </c>
      <c r="C17" s="1" t="s">
        <v>17</v>
      </c>
      <c r="D17" s="120"/>
      <c r="E17" s="3" t="s">
        <v>20</v>
      </c>
      <c r="F17" s="73" t="s">
        <v>453</v>
      </c>
      <c r="G17" s="11" t="s">
        <v>114</v>
      </c>
      <c r="H17" s="1">
        <v>6</v>
      </c>
      <c r="I17" s="47"/>
      <c r="J17" s="51"/>
      <c r="K17" s="37"/>
      <c r="L17" s="37"/>
      <c r="M17" s="38">
        <f t="shared" si="1"/>
        <v>0</v>
      </c>
      <c r="N17" s="39">
        <v>5</v>
      </c>
      <c r="O17" s="31">
        <v>5603</v>
      </c>
      <c r="P17" s="31">
        <f>3682</f>
        <v>3682</v>
      </c>
      <c r="Q17" s="12">
        <f t="shared" si="2"/>
        <v>1921</v>
      </c>
    </row>
    <row r="18" spans="1:17" s="13" customFormat="1" ht="15.75" hidden="1" x14ac:dyDescent="0.25">
      <c r="A18" s="10"/>
      <c r="B18" s="30" t="s">
        <v>154</v>
      </c>
      <c r="C18" s="1" t="s">
        <v>17</v>
      </c>
      <c r="D18" s="120"/>
      <c r="E18" s="3" t="s">
        <v>20</v>
      </c>
      <c r="F18" s="73" t="s">
        <v>326</v>
      </c>
      <c r="G18" s="74" t="s">
        <v>112</v>
      </c>
      <c r="H18" s="75">
        <v>6</v>
      </c>
      <c r="I18" s="76">
        <v>3</v>
      </c>
      <c r="J18" s="96">
        <f>1+1+2</f>
        <v>4</v>
      </c>
      <c r="K18" s="77">
        <f>950.9</f>
        <v>950.9</v>
      </c>
      <c r="L18" s="77"/>
      <c r="M18" s="78">
        <f t="shared" si="1"/>
        <v>950.9</v>
      </c>
      <c r="N18" s="100">
        <f>6+3</f>
        <v>9</v>
      </c>
      <c r="O18" s="128">
        <f>6681.33+7017</f>
        <v>13698.33</v>
      </c>
      <c r="P18" s="81"/>
      <c r="Q18" s="79">
        <f t="shared" si="2"/>
        <v>13698.33</v>
      </c>
    </row>
    <row r="19" spans="1:17" s="13" customFormat="1" ht="15.75" hidden="1" x14ac:dyDescent="0.25">
      <c r="A19" s="10"/>
      <c r="B19" s="62" t="s">
        <v>24</v>
      </c>
      <c r="C19" s="1" t="s">
        <v>17</v>
      </c>
      <c r="D19" s="120"/>
      <c r="E19" s="3" t="s">
        <v>20</v>
      </c>
      <c r="F19" s="73" t="s">
        <v>327</v>
      </c>
      <c r="G19" s="74" t="s">
        <v>112</v>
      </c>
      <c r="H19" s="75">
        <v>1</v>
      </c>
      <c r="I19" s="76"/>
      <c r="J19" s="96"/>
      <c r="K19" s="77"/>
      <c r="L19" s="77"/>
      <c r="M19" s="38">
        <f t="shared" si="1"/>
        <v>0</v>
      </c>
      <c r="N19" s="100">
        <f>1</f>
        <v>1</v>
      </c>
      <c r="O19" s="81">
        <f>575.3</f>
        <v>575.29999999999995</v>
      </c>
      <c r="P19" s="81"/>
      <c r="Q19" s="12">
        <f t="shared" si="2"/>
        <v>575.29999999999995</v>
      </c>
    </row>
    <row r="20" spans="1:17" s="13" customFormat="1" ht="15.75" x14ac:dyDescent="0.25">
      <c r="A20" s="10"/>
      <c r="B20" s="22" t="s">
        <v>24</v>
      </c>
      <c r="C20" s="1" t="s">
        <v>17</v>
      </c>
      <c r="D20" s="120"/>
      <c r="E20" s="3" t="s">
        <v>20</v>
      </c>
      <c r="F20" s="73" t="s">
        <v>454</v>
      </c>
      <c r="G20" s="11" t="s">
        <v>114</v>
      </c>
      <c r="H20" s="1">
        <v>4</v>
      </c>
      <c r="I20" s="49"/>
      <c r="J20" s="51"/>
      <c r="K20" s="40"/>
      <c r="L20" s="40"/>
      <c r="M20" s="78">
        <f t="shared" si="1"/>
        <v>0</v>
      </c>
      <c r="N20" s="41">
        <v>7</v>
      </c>
      <c r="O20" s="31">
        <v>14635.6</v>
      </c>
      <c r="P20" s="31">
        <f>3649.9</f>
        <v>3649.9</v>
      </c>
      <c r="Q20" s="79">
        <f t="shared" si="2"/>
        <v>10985.7</v>
      </c>
    </row>
    <row r="21" spans="1:17" s="13" customFormat="1" ht="15.75" hidden="1" x14ac:dyDescent="0.25">
      <c r="A21" s="10"/>
      <c r="B21" s="62" t="s">
        <v>25</v>
      </c>
      <c r="C21" s="1" t="s">
        <v>17</v>
      </c>
      <c r="D21" s="120"/>
      <c r="E21" s="3" t="s">
        <v>20</v>
      </c>
      <c r="F21" s="73" t="s">
        <v>328</v>
      </c>
      <c r="G21" s="74" t="s">
        <v>112</v>
      </c>
      <c r="H21" s="75">
        <v>2</v>
      </c>
      <c r="I21" s="76">
        <v>1</v>
      </c>
      <c r="J21" s="96">
        <f>1</f>
        <v>1</v>
      </c>
      <c r="K21" s="77">
        <v>1743.31</v>
      </c>
      <c r="L21" s="77"/>
      <c r="M21" s="38">
        <f t="shared" si="1"/>
        <v>1743.31</v>
      </c>
      <c r="N21" s="100">
        <f>6</f>
        <v>6</v>
      </c>
      <c r="O21" s="81">
        <v>14526.7</v>
      </c>
      <c r="P21" s="81"/>
      <c r="Q21" s="12">
        <f t="shared" si="2"/>
        <v>14526.7</v>
      </c>
    </row>
    <row r="22" spans="1:17" s="13" customFormat="1" ht="15.75" x14ac:dyDescent="0.25">
      <c r="A22" s="10"/>
      <c r="B22" s="22" t="s">
        <v>25</v>
      </c>
      <c r="C22" s="1" t="s">
        <v>17</v>
      </c>
      <c r="D22" s="120"/>
      <c r="E22" s="3" t="s">
        <v>20</v>
      </c>
      <c r="F22" s="73" t="s">
        <v>455</v>
      </c>
      <c r="G22" s="11" t="s">
        <v>114</v>
      </c>
      <c r="H22" s="1"/>
      <c r="I22" s="49"/>
      <c r="J22" s="51"/>
      <c r="K22" s="40"/>
      <c r="L22" s="40"/>
      <c r="M22" s="78">
        <f t="shared" si="1"/>
        <v>0</v>
      </c>
      <c r="N22" s="41">
        <v>2</v>
      </c>
      <c r="O22" s="31">
        <v>4146.2</v>
      </c>
      <c r="P22" s="31">
        <f>4146.2</f>
        <v>4146.2</v>
      </c>
      <c r="Q22" s="79">
        <f t="shared" si="2"/>
        <v>0</v>
      </c>
    </row>
    <row r="23" spans="1:17" s="13" customFormat="1" ht="15.75" hidden="1" x14ac:dyDescent="0.25">
      <c r="A23" s="10"/>
      <c r="B23" s="62" t="s">
        <v>26</v>
      </c>
      <c r="C23" s="1" t="s">
        <v>17</v>
      </c>
      <c r="D23" s="120"/>
      <c r="E23" s="3" t="s">
        <v>27</v>
      </c>
      <c r="F23" s="73" t="s">
        <v>329</v>
      </c>
      <c r="G23" s="74" t="s">
        <v>112</v>
      </c>
      <c r="H23" s="75">
        <v>4</v>
      </c>
      <c r="I23" s="76">
        <v>2</v>
      </c>
      <c r="J23" s="96">
        <f>2</f>
        <v>2</v>
      </c>
      <c r="K23" s="77">
        <f>845.24</f>
        <v>845.24</v>
      </c>
      <c r="L23" s="77"/>
      <c r="M23" s="38">
        <f t="shared" si="1"/>
        <v>845.24</v>
      </c>
      <c r="N23" s="100">
        <f>6+1</f>
        <v>7</v>
      </c>
      <c r="O23" s="81">
        <f>17838.53+2535.75</f>
        <v>20374.28</v>
      </c>
      <c r="P23" s="81">
        <v>14149.86</v>
      </c>
      <c r="Q23" s="12">
        <f t="shared" si="2"/>
        <v>6224.4199999999983</v>
      </c>
    </row>
    <row r="24" spans="1:17" s="15" customFormat="1" ht="15.75" hidden="1" x14ac:dyDescent="0.25">
      <c r="A24" s="14"/>
      <c r="B24" s="80" t="s">
        <v>28</v>
      </c>
      <c r="C24" s="1" t="s">
        <v>17</v>
      </c>
      <c r="D24" s="120"/>
      <c r="E24" s="17" t="s">
        <v>29</v>
      </c>
      <c r="F24" s="73" t="s">
        <v>330</v>
      </c>
      <c r="G24" s="74" t="s">
        <v>112</v>
      </c>
      <c r="H24" s="75"/>
      <c r="I24" s="76"/>
      <c r="J24" s="96"/>
      <c r="K24" s="77"/>
      <c r="L24" s="77"/>
      <c r="M24" s="38">
        <f t="shared" si="1"/>
        <v>0</v>
      </c>
      <c r="N24" s="100">
        <f>3+2</f>
        <v>5</v>
      </c>
      <c r="O24" s="81">
        <f>5310.83+4630.52</f>
        <v>9941.35</v>
      </c>
      <c r="P24" s="81"/>
      <c r="Q24" s="12">
        <f t="shared" si="2"/>
        <v>9941.35</v>
      </c>
    </row>
    <row r="25" spans="1:17" s="15" customFormat="1" ht="15.75" hidden="1" x14ac:dyDescent="0.25">
      <c r="A25" s="14"/>
      <c r="B25" s="23" t="s">
        <v>28</v>
      </c>
      <c r="C25" s="1" t="s">
        <v>17</v>
      </c>
      <c r="D25" s="120"/>
      <c r="E25" s="17" t="s">
        <v>29</v>
      </c>
      <c r="F25" s="73" t="s">
        <v>420</v>
      </c>
      <c r="G25" s="8" t="s">
        <v>117</v>
      </c>
      <c r="H25" s="1">
        <v>1</v>
      </c>
      <c r="I25" s="48"/>
      <c r="J25" s="45"/>
      <c r="K25" s="40"/>
      <c r="L25" s="40"/>
      <c r="M25" s="78">
        <f t="shared" si="1"/>
        <v>0</v>
      </c>
      <c r="N25" s="42">
        <v>3</v>
      </c>
      <c r="O25" s="31"/>
      <c r="P25" s="31"/>
      <c r="Q25" s="79">
        <f t="shared" si="2"/>
        <v>0</v>
      </c>
    </row>
    <row r="26" spans="1:17" s="13" customFormat="1" ht="15.75" hidden="1" x14ac:dyDescent="0.25">
      <c r="A26" s="10"/>
      <c r="B26" s="27" t="s">
        <v>30</v>
      </c>
      <c r="C26" s="1" t="s">
        <v>17</v>
      </c>
      <c r="D26" s="120"/>
      <c r="E26" s="17" t="s">
        <v>21</v>
      </c>
      <c r="F26" s="73" t="s">
        <v>333</v>
      </c>
      <c r="G26" s="74" t="s">
        <v>112</v>
      </c>
      <c r="H26" s="75">
        <v>5</v>
      </c>
      <c r="I26" s="76">
        <v>4</v>
      </c>
      <c r="J26" s="96">
        <f>3+1</f>
        <v>4</v>
      </c>
      <c r="K26" s="77">
        <f>2399.78</f>
        <v>2399.7800000000002</v>
      </c>
      <c r="L26" s="77"/>
      <c r="M26" s="38">
        <f t="shared" si="1"/>
        <v>2399.7800000000002</v>
      </c>
      <c r="N26" s="100">
        <f>9+1</f>
        <v>10</v>
      </c>
      <c r="O26" s="81">
        <f>39871.99</f>
        <v>39871.99</v>
      </c>
      <c r="P26" s="81"/>
      <c r="Q26" s="12">
        <f t="shared" si="2"/>
        <v>39871.99</v>
      </c>
    </row>
    <row r="27" spans="1:17" s="13" customFormat="1" ht="15.75" hidden="1" x14ac:dyDescent="0.25">
      <c r="A27" s="10"/>
      <c r="B27" s="30" t="s">
        <v>31</v>
      </c>
      <c r="C27" s="1" t="s">
        <v>17</v>
      </c>
      <c r="D27" s="120"/>
      <c r="E27" s="3" t="s">
        <v>32</v>
      </c>
      <c r="F27" s="73" t="s">
        <v>331</v>
      </c>
      <c r="G27" s="74" t="s">
        <v>112</v>
      </c>
      <c r="H27" s="75">
        <v>3</v>
      </c>
      <c r="I27" s="76">
        <v>1</v>
      </c>
      <c r="J27" s="96">
        <f>1</f>
        <v>1</v>
      </c>
      <c r="K27" s="77">
        <f>633.93</f>
        <v>633.92999999999995</v>
      </c>
      <c r="L27" s="77"/>
      <c r="M27" s="78">
        <f t="shared" si="1"/>
        <v>633.92999999999995</v>
      </c>
      <c r="N27" s="100">
        <f>1+3+3</f>
        <v>7</v>
      </c>
      <c r="O27" s="81">
        <f>2299.8+15239.58+6152.75</f>
        <v>23692.13</v>
      </c>
      <c r="P27" s="81">
        <f>2299.8</f>
        <v>2299.8000000000002</v>
      </c>
      <c r="Q27" s="79">
        <f t="shared" si="2"/>
        <v>21392.33</v>
      </c>
    </row>
    <row r="28" spans="1:17" s="13" customFormat="1" ht="15.75" hidden="1" x14ac:dyDescent="0.25">
      <c r="A28" s="10"/>
      <c r="B28" s="24" t="s">
        <v>31</v>
      </c>
      <c r="C28" s="1" t="s">
        <v>17</v>
      </c>
      <c r="D28" s="120"/>
      <c r="E28" s="3" t="s">
        <v>32</v>
      </c>
      <c r="F28" s="73" t="s">
        <v>422</v>
      </c>
      <c r="G28" s="8" t="s">
        <v>117</v>
      </c>
      <c r="H28" s="1">
        <v>4</v>
      </c>
      <c r="I28" s="49">
        <v>1</v>
      </c>
      <c r="J28" s="46">
        <v>1</v>
      </c>
      <c r="K28" s="40"/>
      <c r="L28" s="40"/>
      <c r="M28" s="38">
        <f t="shared" si="1"/>
        <v>0</v>
      </c>
      <c r="N28" s="41">
        <v>6</v>
      </c>
      <c r="O28" s="40">
        <v>12150.4</v>
      </c>
      <c r="P28" s="40"/>
      <c r="Q28" s="12">
        <f t="shared" si="2"/>
        <v>12150.4</v>
      </c>
    </row>
    <row r="29" spans="1:17" s="15" customFormat="1" ht="15.75" hidden="1" x14ac:dyDescent="0.25">
      <c r="A29" s="14"/>
      <c r="B29" s="80" t="s">
        <v>33</v>
      </c>
      <c r="C29" s="1" t="s">
        <v>17</v>
      </c>
      <c r="D29" s="120"/>
      <c r="E29" s="3" t="s">
        <v>20</v>
      </c>
      <c r="F29" s="73" t="s">
        <v>332</v>
      </c>
      <c r="G29" s="74" t="s">
        <v>112</v>
      </c>
      <c r="H29" s="75">
        <v>3</v>
      </c>
      <c r="I29" s="76"/>
      <c r="J29" s="96"/>
      <c r="K29" s="77"/>
      <c r="L29" s="77"/>
      <c r="M29" s="78">
        <f t="shared" si="1"/>
        <v>0</v>
      </c>
      <c r="N29" s="100">
        <f>2+1</f>
        <v>3</v>
      </c>
      <c r="O29" s="81">
        <v>1613.64</v>
      </c>
      <c r="P29" s="81"/>
      <c r="Q29" s="79">
        <f t="shared" si="2"/>
        <v>1613.64</v>
      </c>
    </row>
    <row r="30" spans="1:17" s="15" customFormat="1" ht="15.75" x14ac:dyDescent="0.25">
      <c r="A30" s="14"/>
      <c r="B30" s="23" t="s">
        <v>33</v>
      </c>
      <c r="C30" s="1" t="s">
        <v>17</v>
      </c>
      <c r="D30" s="120"/>
      <c r="E30" s="3" t="s">
        <v>20</v>
      </c>
      <c r="F30" s="73" t="s">
        <v>481</v>
      </c>
      <c r="G30" s="11" t="s">
        <v>114</v>
      </c>
      <c r="H30" s="1">
        <v>1</v>
      </c>
      <c r="I30" s="49"/>
      <c r="J30" s="51"/>
      <c r="K30" s="40"/>
      <c r="L30" s="40"/>
      <c r="M30" s="38">
        <f t="shared" si="1"/>
        <v>0</v>
      </c>
      <c r="N30" s="42">
        <v>12</v>
      </c>
      <c r="O30" s="31">
        <v>13071.87</v>
      </c>
      <c r="P30" s="31">
        <f>3738</f>
        <v>3738</v>
      </c>
      <c r="Q30" s="12">
        <f t="shared" si="2"/>
        <v>9333.8700000000008</v>
      </c>
    </row>
    <row r="31" spans="1:17" s="15" customFormat="1" ht="15.75" hidden="1" x14ac:dyDescent="0.25">
      <c r="A31" s="14"/>
      <c r="B31" s="62" t="s">
        <v>147</v>
      </c>
      <c r="C31" s="1" t="s">
        <v>17</v>
      </c>
      <c r="D31" s="120"/>
      <c r="E31" s="3" t="s">
        <v>29</v>
      </c>
      <c r="F31" s="73" t="s">
        <v>334</v>
      </c>
      <c r="G31" s="74" t="s">
        <v>112</v>
      </c>
      <c r="H31" s="75">
        <v>2</v>
      </c>
      <c r="I31" s="102"/>
      <c r="J31" s="97"/>
      <c r="K31" s="77"/>
      <c r="L31" s="77"/>
      <c r="M31" s="78">
        <f t="shared" si="1"/>
        <v>0</v>
      </c>
      <c r="N31" s="114">
        <f>1</f>
        <v>1</v>
      </c>
      <c r="O31" s="81">
        <f>1394.65</f>
        <v>1394.65</v>
      </c>
      <c r="P31" s="81">
        <f>1394.65</f>
        <v>1394.65</v>
      </c>
      <c r="Q31" s="79">
        <f t="shared" si="2"/>
        <v>0</v>
      </c>
    </row>
    <row r="32" spans="1:17" s="15" customFormat="1" ht="15.75" hidden="1" x14ac:dyDescent="0.25">
      <c r="A32" s="14"/>
      <c r="B32" s="50" t="s">
        <v>147</v>
      </c>
      <c r="C32" s="1" t="s">
        <v>17</v>
      </c>
      <c r="D32" s="120"/>
      <c r="E32" s="3" t="s">
        <v>29</v>
      </c>
      <c r="F32" s="73" t="s">
        <v>423</v>
      </c>
      <c r="G32" s="11" t="s">
        <v>117</v>
      </c>
      <c r="H32" s="1">
        <v>1</v>
      </c>
      <c r="I32" s="48"/>
      <c r="J32" s="45"/>
      <c r="K32" s="40"/>
      <c r="L32" s="40"/>
      <c r="M32" s="38">
        <f t="shared" si="1"/>
        <v>0</v>
      </c>
      <c r="N32" s="42">
        <f>2</f>
        <v>2</v>
      </c>
      <c r="O32" s="31">
        <v>3361.75</v>
      </c>
      <c r="P32" s="31"/>
      <c r="Q32" s="12">
        <f t="shared" si="2"/>
        <v>3361.75</v>
      </c>
    </row>
    <row r="33" spans="1:17" s="13" customFormat="1" ht="15.75" hidden="1" x14ac:dyDescent="0.25">
      <c r="A33" s="10"/>
      <c r="B33" s="62" t="s">
        <v>34</v>
      </c>
      <c r="C33" s="1" t="s">
        <v>17</v>
      </c>
      <c r="D33" s="120"/>
      <c r="E33" s="17" t="s">
        <v>35</v>
      </c>
      <c r="F33" s="73" t="s">
        <v>335</v>
      </c>
      <c r="G33" s="74" t="s">
        <v>112</v>
      </c>
      <c r="H33" s="75">
        <v>6</v>
      </c>
      <c r="I33" s="76"/>
      <c r="J33" s="96"/>
      <c r="K33" s="77"/>
      <c r="L33" s="77"/>
      <c r="M33" s="78">
        <f t="shared" si="1"/>
        <v>0</v>
      </c>
      <c r="N33" s="100">
        <f>4+4+6+1</f>
        <v>15</v>
      </c>
      <c r="O33" s="81">
        <f>23915.04+21171.88</f>
        <v>45086.92</v>
      </c>
      <c r="P33" s="81"/>
      <c r="Q33" s="79">
        <f t="shared" si="2"/>
        <v>45086.92</v>
      </c>
    </row>
    <row r="34" spans="1:17" s="13" customFormat="1" ht="15.75" hidden="1" x14ac:dyDescent="0.25">
      <c r="A34" s="10"/>
      <c r="B34" s="22" t="s">
        <v>34</v>
      </c>
      <c r="C34" s="1" t="s">
        <v>17</v>
      </c>
      <c r="D34" s="120"/>
      <c r="E34" s="17" t="s">
        <v>35</v>
      </c>
      <c r="F34" s="73" t="s">
        <v>424</v>
      </c>
      <c r="G34" s="8" t="s">
        <v>117</v>
      </c>
      <c r="H34" s="1">
        <v>1</v>
      </c>
      <c r="I34" s="49"/>
      <c r="J34" s="46"/>
      <c r="K34" s="40"/>
      <c r="L34" s="40"/>
      <c r="M34" s="38">
        <f t="shared" si="1"/>
        <v>0</v>
      </c>
      <c r="N34" s="41">
        <v>2</v>
      </c>
      <c r="O34" s="31">
        <v>5570.9</v>
      </c>
      <c r="P34" s="31"/>
      <c r="Q34" s="12">
        <f t="shared" si="2"/>
        <v>5570.9</v>
      </c>
    </row>
    <row r="35" spans="1:17" s="13" customFormat="1" ht="15.75" hidden="1" x14ac:dyDescent="0.25">
      <c r="A35" s="10"/>
      <c r="B35" s="27" t="s">
        <v>36</v>
      </c>
      <c r="C35" s="1" t="s">
        <v>17</v>
      </c>
      <c r="D35" s="120"/>
      <c r="E35" s="17" t="s">
        <v>32</v>
      </c>
      <c r="F35" s="73" t="s">
        <v>336</v>
      </c>
      <c r="G35" s="74" t="s">
        <v>112</v>
      </c>
      <c r="H35" s="75">
        <v>3</v>
      </c>
      <c r="I35" s="76">
        <v>1</v>
      </c>
      <c r="J35" s="96">
        <f>1</f>
        <v>1</v>
      </c>
      <c r="K35" s="77">
        <f>2091.97</f>
        <v>2091.9699999999998</v>
      </c>
      <c r="L35" s="77"/>
      <c r="M35" s="78">
        <f t="shared" si="1"/>
        <v>2091.9699999999998</v>
      </c>
      <c r="N35" s="100">
        <f>4+2+5</f>
        <v>11</v>
      </c>
      <c r="O35" s="81">
        <v>26828.22</v>
      </c>
      <c r="P35" s="81">
        <f>8144.95</f>
        <v>8144.95</v>
      </c>
      <c r="Q35" s="79">
        <f t="shared" si="2"/>
        <v>18683.27</v>
      </c>
    </row>
    <row r="36" spans="1:17" s="13" customFormat="1" ht="15.75" hidden="1" x14ac:dyDescent="0.25">
      <c r="A36" s="10"/>
      <c r="B36" s="27" t="s">
        <v>38</v>
      </c>
      <c r="C36" s="1" t="s">
        <v>17</v>
      </c>
      <c r="D36" s="120"/>
      <c r="E36" s="3" t="s">
        <v>20</v>
      </c>
      <c r="F36" s="73" t="s">
        <v>338</v>
      </c>
      <c r="G36" s="74" t="s">
        <v>112</v>
      </c>
      <c r="H36" s="75">
        <v>13</v>
      </c>
      <c r="I36" s="76">
        <v>5</v>
      </c>
      <c r="J36" s="96">
        <f>5</f>
        <v>5</v>
      </c>
      <c r="K36" s="77">
        <f>4427.07</f>
        <v>4427.07</v>
      </c>
      <c r="L36" s="77"/>
      <c r="M36" s="78">
        <f t="shared" si="1"/>
        <v>4427.07</v>
      </c>
      <c r="N36" s="100">
        <f>1+14</f>
        <v>15</v>
      </c>
      <c r="O36" s="81">
        <f>34449.99+27363.78</f>
        <v>61813.77</v>
      </c>
      <c r="P36" s="81">
        <f>34449.99</f>
        <v>34449.99</v>
      </c>
      <c r="Q36" s="79">
        <f t="shared" si="2"/>
        <v>27363.78</v>
      </c>
    </row>
    <row r="37" spans="1:17" s="13" customFormat="1" ht="15.75" x14ac:dyDescent="0.25">
      <c r="A37" s="10"/>
      <c r="B37" s="25" t="s">
        <v>38</v>
      </c>
      <c r="C37" s="1" t="s">
        <v>17</v>
      </c>
      <c r="D37" s="120"/>
      <c r="E37" s="3" t="s">
        <v>20</v>
      </c>
      <c r="F37" s="73" t="s">
        <v>268</v>
      </c>
      <c r="G37" s="11" t="s">
        <v>114</v>
      </c>
      <c r="H37" s="1"/>
      <c r="I37" s="49"/>
      <c r="J37" s="51"/>
      <c r="K37" s="40"/>
      <c r="L37" s="40"/>
      <c r="M37" s="38">
        <f t="shared" si="1"/>
        <v>0</v>
      </c>
      <c r="N37" s="41"/>
      <c r="O37" s="31"/>
      <c r="P37" s="31"/>
      <c r="Q37" s="12">
        <f t="shared" si="2"/>
        <v>0</v>
      </c>
    </row>
    <row r="38" spans="1:17" s="13" customFormat="1" ht="15.75" hidden="1" x14ac:dyDescent="0.25">
      <c r="A38" s="10"/>
      <c r="B38" s="25" t="s">
        <v>38</v>
      </c>
      <c r="C38" s="1" t="s">
        <v>17</v>
      </c>
      <c r="D38" s="120"/>
      <c r="E38" s="3"/>
      <c r="F38" s="73"/>
      <c r="G38" s="11" t="s">
        <v>116</v>
      </c>
      <c r="H38" s="1">
        <v>3</v>
      </c>
      <c r="I38" s="49"/>
      <c r="J38" s="51"/>
      <c r="K38" s="40"/>
      <c r="L38" s="40"/>
      <c r="M38" s="38">
        <f t="shared" si="1"/>
        <v>0</v>
      </c>
      <c r="N38" s="41"/>
      <c r="O38" s="31"/>
      <c r="P38" s="31"/>
      <c r="Q38" s="12">
        <f t="shared" si="2"/>
        <v>0</v>
      </c>
    </row>
    <row r="39" spans="1:17" s="13" customFormat="1" ht="15.75" x14ac:dyDescent="0.25">
      <c r="A39" s="10"/>
      <c r="B39" s="22" t="s">
        <v>39</v>
      </c>
      <c r="C39" s="1" t="s">
        <v>17</v>
      </c>
      <c r="D39" s="120"/>
      <c r="E39" s="3" t="s">
        <v>20</v>
      </c>
      <c r="F39" s="73" t="s">
        <v>269</v>
      </c>
      <c r="G39" s="11" t="s">
        <v>114</v>
      </c>
      <c r="H39" s="1"/>
      <c r="I39" s="49"/>
      <c r="J39" s="51"/>
      <c r="K39" s="40"/>
      <c r="L39" s="40"/>
      <c r="M39" s="38">
        <f t="shared" si="1"/>
        <v>0</v>
      </c>
      <c r="N39" s="41"/>
      <c r="O39" s="31"/>
      <c r="P39" s="31"/>
      <c r="Q39" s="12">
        <f t="shared" si="2"/>
        <v>0</v>
      </c>
    </row>
    <row r="40" spans="1:17" s="13" customFormat="1" ht="15.75" hidden="1" x14ac:dyDescent="0.25">
      <c r="A40" s="10"/>
      <c r="B40" s="27" t="s">
        <v>40</v>
      </c>
      <c r="C40" s="1" t="s">
        <v>17</v>
      </c>
      <c r="D40" s="120"/>
      <c r="E40" s="17" t="s">
        <v>41</v>
      </c>
      <c r="F40" s="73" t="s">
        <v>339</v>
      </c>
      <c r="G40" s="74" t="s">
        <v>112</v>
      </c>
      <c r="H40" s="75">
        <v>7</v>
      </c>
      <c r="I40" s="76">
        <v>2</v>
      </c>
      <c r="J40" s="96">
        <f>1+1</f>
        <v>2</v>
      </c>
      <c r="K40" s="77">
        <f>1045.98</f>
        <v>1045.98</v>
      </c>
      <c r="L40" s="77"/>
      <c r="M40" s="78">
        <f t="shared" si="1"/>
        <v>1045.98</v>
      </c>
      <c r="N40" s="100">
        <f>3+13+6</f>
        <v>22</v>
      </c>
      <c r="O40" s="81">
        <f>17269.31+39990.78+16582.12</f>
        <v>73842.209999999992</v>
      </c>
      <c r="P40" s="81">
        <f>17269.31</f>
        <v>17269.310000000001</v>
      </c>
      <c r="Q40" s="79">
        <f t="shared" si="2"/>
        <v>56572.899999999994</v>
      </c>
    </row>
    <row r="41" spans="1:17" s="13" customFormat="1" ht="15.75" x14ac:dyDescent="0.25">
      <c r="A41" s="10"/>
      <c r="B41" s="25" t="s">
        <v>40</v>
      </c>
      <c r="C41" s="1" t="s">
        <v>17</v>
      </c>
      <c r="D41" s="120"/>
      <c r="E41" s="17" t="s">
        <v>41</v>
      </c>
      <c r="F41" s="73" t="s">
        <v>482</v>
      </c>
      <c r="G41" s="11" t="s">
        <v>114</v>
      </c>
      <c r="H41" s="1"/>
      <c r="I41" s="49"/>
      <c r="J41" s="51"/>
      <c r="K41" s="40"/>
      <c r="L41" s="40"/>
      <c r="M41" s="38">
        <f t="shared" si="1"/>
        <v>0</v>
      </c>
      <c r="N41" s="41">
        <v>1</v>
      </c>
      <c r="O41" s="31">
        <v>3073.6</v>
      </c>
      <c r="P41" s="31">
        <f>3073.6</f>
        <v>3073.6</v>
      </c>
      <c r="Q41" s="12">
        <f t="shared" si="2"/>
        <v>0</v>
      </c>
    </row>
    <row r="42" spans="1:17" s="13" customFormat="1" ht="15.75" hidden="1" x14ac:dyDescent="0.25">
      <c r="A42" s="10"/>
      <c r="B42" s="27" t="s">
        <v>148</v>
      </c>
      <c r="C42" s="1" t="s">
        <v>17</v>
      </c>
      <c r="D42" s="120"/>
      <c r="E42" s="3" t="s">
        <v>20</v>
      </c>
      <c r="F42" s="73" t="s">
        <v>340</v>
      </c>
      <c r="G42" s="74" t="s">
        <v>112</v>
      </c>
      <c r="H42" s="75">
        <v>2</v>
      </c>
      <c r="I42" s="82">
        <v>1</v>
      </c>
      <c r="J42" s="96">
        <f>1</f>
        <v>1</v>
      </c>
      <c r="K42" s="77">
        <f>537.88</f>
        <v>537.88</v>
      </c>
      <c r="L42" s="77"/>
      <c r="M42" s="78">
        <f t="shared" si="1"/>
        <v>537.88</v>
      </c>
      <c r="N42" s="100">
        <f>6+5+3</f>
        <v>14</v>
      </c>
      <c r="O42" s="81">
        <f>9370.6+9456.38+8868.69</f>
        <v>27695.67</v>
      </c>
      <c r="P42" s="81">
        <f>9370.6</f>
        <v>9370.6</v>
      </c>
      <c r="Q42" s="79">
        <f t="shared" si="2"/>
        <v>18325.07</v>
      </c>
    </row>
    <row r="43" spans="1:17" s="13" customFormat="1" ht="15.75" hidden="1" x14ac:dyDescent="0.25">
      <c r="A43" s="10"/>
      <c r="B43" s="25" t="s">
        <v>148</v>
      </c>
      <c r="C43" s="1" t="s">
        <v>17</v>
      </c>
      <c r="D43" s="120"/>
      <c r="E43" s="17" t="s">
        <v>32</v>
      </c>
      <c r="F43" s="73" t="s">
        <v>425</v>
      </c>
      <c r="G43" s="11" t="s">
        <v>117</v>
      </c>
      <c r="H43" s="1">
        <v>1</v>
      </c>
      <c r="I43" s="49"/>
      <c r="J43" s="46"/>
      <c r="K43" s="40"/>
      <c r="L43" s="40"/>
      <c r="M43" s="38">
        <f t="shared" si="1"/>
        <v>0</v>
      </c>
      <c r="N43" s="41">
        <v>2</v>
      </c>
      <c r="O43" s="31">
        <v>7472.69</v>
      </c>
      <c r="P43" s="31"/>
      <c r="Q43" s="12">
        <f t="shared" si="2"/>
        <v>7472.69</v>
      </c>
    </row>
    <row r="44" spans="1:17" s="13" customFormat="1" ht="15.75" hidden="1" x14ac:dyDescent="0.25">
      <c r="A44" s="10"/>
      <c r="B44" s="30" t="s">
        <v>42</v>
      </c>
      <c r="C44" s="1" t="s">
        <v>17</v>
      </c>
      <c r="D44" s="120"/>
      <c r="E44" s="3" t="s">
        <v>23</v>
      </c>
      <c r="F44" s="73" t="s">
        <v>341</v>
      </c>
      <c r="G44" s="74" t="s">
        <v>112</v>
      </c>
      <c r="H44" s="75">
        <v>8</v>
      </c>
      <c r="I44" s="76">
        <v>4</v>
      </c>
      <c r="J44" s="96">
        <f>5</f>
        <v>5</v>
      </c>
      <c r="K44" s="77"/>
      <c r="L44" s="77"/>
      <c r="M44" s="78">
        <f t="shared" si="1"/>
        <v>0</v>
      </c>
      <c r="N44" s="100">
        <f>4+6+9+2</f>
        <v>21</v>
      </c>
      <c r="O44" s="81">
        <f>5364.2+26170.88</f>
        <v>31535.08</v>
      </c>
      <c r="P44" s="81"/>
      <c r="Q44" s="79">
        <f t="shared" si="2"/>
        <v>31535.08</v>
      </c>
    </row>
    <row r="45" spans="1:17" s="13" customFormat="1" ht="15.75" hidden="1" x14ac:dyDescent="0.25">
      <c r="A45" s="10"/>
      <c r="B45" s="24" t="s">
        <v>42</v>
      </c>
      <c r="C45" s="1" t="s">
        <v>17</v>
      </c>
      <c r="D45" s="120"/>
      <c r="E45" s="3" t="s">
        <v>23</v>
      </c>
      <c r="F45" s="73" t="s">
        <v>437</v>
      </c>
      <c r="G45" s="11" t="s">
        <v>118</v>
      </c>
      <c r="H45" s="1">
        <v>2</v>
      </c>
      <c r="I45" s="49"/>
      <c r="J45" s="46"/>
      <c r="K45" s="40"/>
      <c r="L45" s="40"/>
      <c r="M45" s="38">
        <f t="shared" si="1"/>
        <v>0</v>
      </c>
      <c r="N45" s="41"/>
      <c r="O45" s="31">
        <v>4226.2</v>
      </c>
      <c r="P45" s="31"/>
      <c r="Q45" s="12">
        <f t="shared" si="2"/>
        <v>4226.2</v>
      </c>
    </row>
    <row r="46" spans="1:17" s="13" customFormat="1" ht="15.75" hidden="1" x14ac:dyDescent="0.25">
      <c r="A46" s="10"/>
      <c r="B46" s="30" t="s">
        <v>173</v>
      </c>
      <c r="C46" s="1" t="s">
        <v>17</v>
      </c>
      <c r="D46" s="120"/>
      <c r="E46" s="11" t="s">
        <v>118</v>
      </c>
      <c r="F46" s="73" t="s">
        <v>342</v>
      </c>
      <c r="G46" s="74" t="s">
        <v>112</v>
      </c>
      <c r="H46" s="75">
        <v>4</v>
      </c>
      <c r="I46" s="76">
        <v>3</v>
      </c>
      <c r="J46" s="96">
        <f>1+2</f>
        <v>3</v>
      </c>
      <c r="K46" s="77">
        <f>6833.76</f>
        <v>6833.76</v>
      </c>
      <c r="L46" s="77"/>
      <c r="M46" s="78">
        <f t="shared" si="1"/>
        <v>6833.76</v>
      </c>
      <c r="N46" s="100">
        <f>4+2</f>
        <v>6</v>
      </c>
      <c r="O46" s="81">
        <f>5931.9+4183.92+3158.95</f>
        <v>13274.77</v>
      </c>
      <c r="P46" s="81">
        <f>5931.9</f>
        <v>5931.9</v>
      </c>
      <c r="Q46" s="79">
        <f t="shared" si="2"/>
        <v>7342.8700000000008</v>
      </c>
    </row>
    <row r="47" spans="1:17" s="13" customFormat="1" ht="15.75" x14ac:dyDescent="0.25">
      <c r="A47" s="10"/>
      <c r="B47" s="22" t="s">
        <v>143</v>
      </c>
      <c r="C47" s="1" t="s">
        <v>64</v>
      </c>
      <c r="D47" s="120" t="s">
        <v>444</v>
      </c>
      <c r="E47" s="3" t="s">
        <v>20</v>
      </c>
      <c r="F47" s="73" t="s">
        <v>445</v>
      </c>
      <c r="G47" s="11" t="s">
        <v>114</v>
      </c>
      <c r="H47" s="1">
        <v>4</v>
      </c>
      <c r="I47" s="47"/>
      <c r="J47" s="51"/>
      <c r="K47" s="37"/>
      <c r="L47" s="37"/>
      <c r="M47" s="78">
        <f t="shared" si="1"/>
        <v>0</v>
      </c>
      <c r="N47" s="39">
        <v>11</v>
      </c>
      <c r="O47" s="31">
        <v>13367.1</v>
      </c>
      <c r="P47" s="31">
        <f>3762</f>
        <v>3762</v>
      </c>
      <c r="Q47" s="79">
        <f t="shared" si="2"/>
        <v>9605.1</v>
      </c>
    </row>
    <row r="48" spans="1:17" s="13" customFormat="1" ht="15.75" hidden="1" x14ac:dyDescent="0.25">
      <c r="A48" s="10"/>
      <c r="B48" s="24" t="s">
        <v>158</v>
      </c>
      <c r="C48" s="1" t="s">
        <v>17</v>
      </c>
      <c r="D48" s="120"/>
      <c r="E48" s="17" t="s">
        <v>32</v>
      </c>
      <c r="F48" s="73" t="s">
        <v>426</v>
      </c>
      <c r="G48" s="11" t="s">
        <v>117</v>
      </c>
      <c r="H48" s="1">
        <v>4</v>
      </c>
      <c r="I48" s="47"/>
      <c r="J48" s="51"/>
      <c r="K48" s="37"/>
      <c r="L48" s="37"/>
      <c r="M48" s="38">
        <f t="shared" si="1"/>
        <v>0</v>
      </c>
      <c r="N48" s="39">
        <v>4</v>
      </c>
      <c r="O48" s="31">
        <v>6907.7</v>
      </c>
      <c r="P48" s="31"/>
      <c r="Q48" s="12">
        <f t="shared" si="2"/>
        <v>6907.7</v>
      </c>
    </row>
    <row r="49" spans="1:17" s="15" customFormat="1" ht="15.75" hidden="1" x14ac:dyDescent="0.25">
      <c r="A49" s="14"/>
      <c r="B49" s="80" t="s">
        <v>43</v>
      </c>
      <c r="C49" s="1" t="s">
        <v>17</v>
      </c>
      <c r="D49" s="120"/>
      <c r="E49" s="3" t="s">
        <v>18</v>
      </c>
      <c r="F49" s="73" t="s">
        <v>344</v>
      </c>
      <c r="G49" s="74" t="s">
        <v>112</v>
      </c>
      <c r="H49" s="75">
        <v>8</v>
      </c>
      <c r="I49" s="76">
        <v>1</v>
      </c>
      <c r="J49" s="96">
        <f>1</f>
        <v>1</v>
      </c>
      <c r="K49" s="77"/>
      <c r="L49" s="77"/>
      <c r="M49" s="78">
        <f t="shared" si="1"/>
        <v>0</v>
      </c>
      <c r="N49" s="100">
        <f>1+5+4</f>
        <v>10</v>
      </c>
      <c r="O49" s="81">
        <f>1223.8+3810.29+4959.02</f>
        <v>9993.11</v>
      </c>
      <c r="P49" s="81"/>
      <c r="Q49" s="79">
        <f t="shared" si="2"/>
        <v>9993.11</v>
      </c>
    </row>
    <row r="50" spans="1:17" s="15" customFormat="1" ht="31.5" hidden="1" x14ac:dyDescent="0.25">
      <c r="A50" s="14"/>
      <c r="B50" s="22" t="s">
        <v>43</v>
      </c>
      <c r="C50" s="1" t="s">
        <v>304</v>
      </c>
      <c r="D50" s="120" t="s">
        <v>473</v>
      </c>
      <c r="E50" s="3" t="s">
        <v>18</v>
      </c>
      <c r="F50" s="73" t="s">
        <v>323</v>
      </c>
      <c r="G50" s="11" t="s">
        <v>113</v>
      </c>
      <c r="H50" s="1">
        <v>3</v>
      </c>
      <c r="I50" s="126">
        <v>4</v>
      </c>
      <c r="J50" s="125">
        <v>4</v>
      </c>
      <c r="K50" s="40">
        <v>3804</v>
      </c>
      <c r="L50" s="40"/>
      <c r="M50" s="38">
        <f t="shared" si="1"/>
        <v>3804</v>
      </c>
      <c r="N50" s="39">
        <v>4</v>
      </c>
      <c r="O50" s="31">
        <v>5575</v>
      </c>
      <c r="P50" s="31"/>
      <c r="Q50" s="12">
        <f t="shared" si="2"/>
        <v>5575</v>
      </c>
    </row>
    <row r="51" spans="1:17" s="13" customFormat="1" ht="15.75" hidden="1" x14ac:dyDescent="0.25">
      <c r="A51" s="10"/>
      <c r="B51" s="30" t="s">
        <v>44</v>
      </c>
      <c r="C51" s="1" t="s">
        <v>17</v>
      </c>
      <c r="D51" s="120"/>
      <c r="E51" s="3" t="s">
        <v>20</v>
      </c>
      <c r="F51" s="73" t="s">
        <v>345</v>
      </c>
      <c r="G51" s="74" t="s">
        <v>112</v>
      </c>
      <c r="H51" s="75">
        <v>6</v>
      </c>
      <c r="I51" s="76">
        <v>3</v>
      </c>
      <c r="J51" s="96">
        <f>1+1</f>
        <v>2</v>
      </c>
      <c r="K51" s="77"/>
      <c r="L51" s="77"/>
      <c r="M51" s="78">
        <f t="shared" si="1"/>
        <v>0</v>
      </c>
      <c r="N51" s="100">
        <f>1</f>
        <v>1</v>
      </c>
      <c r="O51" s="81">
        <f>421.62+4603.39</f>
        <v>5025.01</v>
      </c>
      <c r="P51" s="81"/>
      <c r="Q51" s="79">
        <f t="shared" si="2"/>
        <v>5025.01</v>
      </c>
    </row>
    <row r="52" spans="1:17" s="13" customFormat="1" ht="15.75" x14ac:dyDescent="0.25">
      <c r="A52" s="10"/>
      <c r="B52" s="24" t="s">
        <v>44</v>
      </c>
      <c r="C52" s="1" t="s">
        <v>17</v>
      </c>
      <c r="D52" s="120"/>
      <c r="E52" s="3" t="s">
        <v>20</v>
      </c>
      <c r="F52" s="73" t="s">
        <v>483</v>
      </c>
      <c r="G52" s="11" t="s">
        <v>114</v>
      </c>
      <c r="H52" s="1"/>
      <c r="I52" s="49"/>
      <c r="J52" s="51"/>
      <c r="K52" s="40"/>
      <c r="L52" s="40"/>
      <c r="M52" s="78">
        <f t="shared" si="1"/>
        <v>0</v>
      </c>
      <c r="N52" s="41">
        <v>2</v>
      </c>
      <c r="O52" s="31"/>
      <c r="P52" s="31"/>
      <c r="Q52" s="12">
        <f t="shared" si="2"/>
        <v>0</v>
      </c>
    </row>
    <row r="53" spans="1:17" s="13" customFormat="1" ht="15.75" hidden="1" x14ac:dyDescent="0.25">
      <c r="A53" s="10"/>
      <c r="B53" s="27" t="s">
        <v>45</v>
      </c>
      <c r="C53" s="1" t="s">
        <v>17</v>
      </c>
      <c r="D53" s="120"/>
      <c r="E53" s="3" t="s">
        <v>20</v>
      </c>
      <c r="F53" s="73" t="s">
        <v>346</v>
      </c>
      <c r="G53" s="74" t="s">
        <v>112</v>
      </c>
      <c r="H53" s="75"/>
      <c r="I53" s="76"/>
      <c r="J53" s="96"/>
      <c r="K53" s="77"/>
      <c r="L53" s="77"/>
      <c r="M53" s="38">
        <f t="shared" si="1"/>
        <v>0</v>
      </c>
      <c r="N53" s="100">
        <f>1</f>
        <v>1</v>
      </c>
      <c r="O53" s="81">
        <f>17995.91</f>
        <v>17995.91</v>
      </c>
      <c r="P53" s="81"/>
      <c r="Q53" s="79">
        <f t="shared" si="2"/>
        <v>17995.91</v>
      </c>
    </row>
    <row r="54" spans="1:17" s="13" customFormat="1" ht="15.75" x14ac:dyDescent="0.25">
      <c r="A54" s="10"/>
      <c r="B54" s="25" t="s">
        <v>45</v>
      </c>
      <c r="C54" s="1" t="s">
        <v>17</v>
      </c>
      <c r="D54" s="120"/>
      <c r="E54" s="3" t="s">
        <v>20</v>
      </c>
      <c r="F54" s="73" t="s">
        <v>484</v>
      </c>
      <c r="G54" s="11" t="s">
        <v>114</v>
      </c>
      <c r="H54" s="1"/>
      <c r="I54" s="49"/>
      <c r="J54" s="51"/>
      <c r="K54" s="40"/>
      <c r="L54" s="40"/>
      <c r="M54" s="78">
        <f t="shared" si="1"/>
        <v>0</v>
      </c>
      <c r="N54" s="41"/>
      <c r="O54" s="31"/>
      <c r="P54" s="31"/>
      <c r="Q54" s="12">
        <f t="shared" si="2"/>
        <v>0</v>
      </c>
    </row>
    <row r="55" spans="1:17" s="15" customFormat="1" ht="15.75" hidden="1" x14ac:dyDescent="0.25">
      <c r="A55" s="14"/>
      <c r="B55" s="28" t="s">
        <v>46</v>
      </c>
      <c r="C55" s="1" t="s">
        <v>17</v>
      </c>
      <c r="D55" s="120"/>
      <c r="E55" s="3" t="s">
        <v>20</v>
      </c>
      <c r="F55" s="73" t="s">
        <v>347</v>
      </c>
      <c r="G55" s="74" t="s">
        <v>112</v>
      </c>
      <c r="H55" s="75">
        <v>4</v>
      </c>
      <c r="I55" s="76">
        <v>1</v>
      </c>
      <c r="J55" s="96">
        <f>1</f>
        <v>1</v>
      </c>
      <c r="K55" s="77">
        <f>1045.98</f>
        <v>1045.98</v>
      </c>
      <c r="L55" s="77"/>
      <c r="M55" s="38">
        <f t="shared" si="1"/>
        <v>1045.98</v>
      </c>
      <c r="N55" s="100">
        <f>4</f>
        <v>4</v>
      </c>
      <c r="O55" s="81">
        <f>10759.2</f>
        <v>10759.2</v>
      </c>
      <c r="P55" s="81"/>
      <c r="Q55" s="79">
        <f t="shared" si="2"/>
        <v>10759.2</v>
      </c>
    </row>
    <row r="56" spans="1:17" s="15" customFormat="1" ht="15.75" x14ac:dyDescent="0.25">
      <c r="A56" s="14"/>
      <c r="B56" s="26" t="s">
        <v>46</v>
      </c>
      <c r="C56" s="1" t="s">
        <v>17</v>
      </c>
      <c r="D56" s="120"/>
      <c r="E56" s="3" t="s">
        <v>20</v>
      </c>
      <c r="F56" s="73" t="s">
        <v>273</v>
      </c>
      <c r="G56" s="11" t="s">
        <v>114</v>
      </c>
      <c r="H56" s="1">
        <v>1</v>
      </c>
      <c r="I56" s="49"/>
      <c r="J56" s="51"/>
      <c r="K56" s="40"/>
      <c r="L56" s="40"/>
      <c r="M56" s="78">
        <f t="shared" si="1"/>
        <v>0</v>
      </c>
      <c r="N56" s="42">
        <v>2</v>
      </c>
      <c r="O56" s="31">
        <v>8068.2</v>
      </c>
      <c r="P56" s="31">
        <f>4034.1</f>
        <v>4034.1</v>
      </c>
      <c r="Q56" s="12">
        <f t="shared" si="2"/>
        <v>4034.1</v>
      </c>
    </row>
    <row r="57" spans="1:17" s="13" customFormat="1" ht="47.25" hidden="1" x14ac:dyDescent="0.25">
      <c r="A57" s="10"/>
      <c r="B57" s="30" t="s">
        <v>47</v>
      </c>
      <c r="C57" s="1" t="s">
        <v>304</v>
      </c>
      <c r="D57" s="120" t="s">
        <v>474</v>
      </c>
      <c r="E57" s="3" t="s">
        <v>18</v>
      </c>
      <c r="F57" s="73" t="s">
        <v>348</v>
      </c>
      <c r="G57" s="74" t="s">
        <v>112</v>
      </c>
      <c r="H57" s="75">
        <v>7</v>
      </c>
      <c r="I57" s="76">
        <v>2</v>
      </c>
      <c r="J57" s="96">
        <f>1+1</f>
        <v>2</v>
      </c>
      <c r="K57" s="77">
        <f>1129.78</f>
        <v>1129.78</v>
      </c>
      <c r="L57" s="77"/>
      <c r="M57" s="38">
        <f t="shared" si="1"/>
        <v>1129.78</v>
      </c>
      <c r="N57" s="100">
        <f>7+3+4+10+6</f>
        <v>30</v>
      </c>
      <c r="O57" s="81">
        <f>8477.51+15159.83+14079.46</f>
        <v>37716.800000000003</v>
      </c>
      <c r="P57" s="81"/>
      <c r="Q57" s="79">
        <f t="shared" si="2"/>
        <v>37716.800000000003</v>
      </c>
    </row>
    <row r="58" spans="1:17" s="13" customFormat="1" ht="47.25" hidden="1" x14ac:dyDescent="0.25">
      <c r="A58" s="10"/>
      <c r="B58" s="22" t="s">
        <v>120</v>
      </c>
      <c r="C58" s="1" t="s">
        <v>304</v>
      </c>
      <c r="D58" s="120" t="s">
        <v>474</v>
      </c>
      <c r="E58" s="3" t="s">
        <v>18</v>
      </c>
      <c r="F58" s="73" t="s">
        <v>334</v>
      </c>
      <c r="G58" s="11" t="s">
        <v>116</v>
      </c>
      <c r="H58" s="1">
        <v>10</v>
      </c>
      <c r="I58" s="53">
        <v>2</v>
      </c>
      <c r="J58" s="127">
        <v>2</v>
      </c>
      <c r="K58" s="40">
        <v>1268</v>
      </c>
      <c r="L58" s="40"/>
      <c r="M58" s="78">
        <f t="shared" si="1"/>
        <v>1268</v>
      </c>
      <c r="N58" s="41">
        <v>2</v>
      </c>
      <c r="O58" s="31">
        <v>26068</v>
      </c>
      <c r="P58" s="31"/>
      <c r="Q58" s="12">
        <f t="shared" si="2"/>
        <v>26068</v>
      </c>
    </row>
    <row r="59" spans="1:17" s="13" customFormat="1" ht="15.75" hidden="1" x14ac:dyDescent="0.25">
      <c r="A59" s="10"/>
      <c r="B59" s="30" t="s">
        <v>134</v>
      </c>
      <c r="C59" s="1" t="s">
        <v>17</v>
      </c>
      <c r="D59" s="120"/>
      <c r="E59" s="3" t="s">
        <v>20</v>
      </c>
      <c r="F59" s="73" t="s">
        <v>349</v>
      </c>
      <c r="G59" s="74" t="s">
        <v>112</v>
      </c>
      <c r="H59" s="75">
        <v>7</v>
      </c>
      <c r="I59" s="76">
        <v>2</v>
      </c>
      <c r="J59" s="96">
        <f>1</f>
        <v>1</v>
      </c>
      <c r="K59" s="77">
        <f>7301.48</f>
        <v>7301.48</v>
      </c>
      <c r="L59" s="77"/>
      <c r="M59" s="38">
        <f t="shared" si="1"/>
        <v>7301.48</v>
      </c>
      <c r="N59" s="100">
        <f>4</f>
        <v>4</v>
      </c>
      <c r="O59" s="81">
        <f>5020.05</f>
        <v>5020.05</v>
      </c>
      <c r="P59" s="81"/>
      <c r="Q59" s="79">
        <f t="shared" si="2"/>
        <v>5020.05</v>
      </c>
    </row>
    <row r="60" spans="1:17" s="13" customFormat="1" ht="15.75" x14ac:dyDescent="0.25">
      <c r="A60" s="10"/>
      <c r="B60" s="24" t="s">
        <v>134</v>
      </c>
      <c r="C60" s="1" t="s">
        <v>17</v>
      </c>
      <c r="D60" s="120"/>
      <c r="E60" s="3" t="s">
        <v>20</v>
      </c>
      <c r="F60" s="73" t="s">
        <v>456</v>
      </c>
      <c r="G60" s="11" t="s">
        <v>114</v>
      </c>
      <c r="H60" s="1">
        <v>3</v>
      </c>
      <c r="I60" s="49"/>
      <c r="J60" s="51"/>
      <c r="K60" s="40"/>
      <c r="L60" s="40"/>
      <c r="M60" s="78">
        <f t="shared" si="1"/>
        <v>0</v>
      </c>
      <c r="N60" s="41">
        <v>19</v>
      </c>
      <c r="O60" s="31">
        <v>16425.57</v>
      </c>
      <c r="P60" s="31">
        <f>3241.7</f>
        <v>3241.7</v>
      </c>
      <c r="Q60" s="12">
        <f t="shared" si="2"/>
        <v>13183.869999999999</v>
      </c>
    </row>
    <row r="61" spans="1:17" s="13" customFormat="1" ht="15.75" hidden="1" x14ac:dyDescent="0.25">
      <c r="A61" s="10"/>
      <c r="B61" s="62" t="s">
        <v>48</v>
      </c>
      <c r="C61" s="1" t="s">
        <v>17</v>
      </c>
      <c r="D61" s="120"/>
      <c r="E61" s="3" t="s">
        <v>20</v>
      </c>
      <c r="F61" s="73" t="s">
        <v>350</v>
      </c>
      <c r="G61" s="74" t="s">
        <v>112</v>
      </c>
      <c r="H61" s="75">
        <v>3</v>
      </c>
      <c r="I61" s="76">
        <v>1</v>
      </c>
      <c r="J61" s="96">
        <f>1</f>
        <v>1</v>
      </c>
      <c r="K61" s="77"/>
      <c r="L61" s="77"/>
      <c r="M61" s="38">
        <f t="shared" si="1"/>
        <v>0</v>
      </c>
      <c r="N61" s="100">
        <f>2+1</f>
        <v>3</v>
      </c>
      <c r="O61" s="81">
        <f>23173.33+2535.72</f>
        <v>25709.050000000003</v>
      </c>
      <c r="P61" s="81"/>
      <c r="Q61" s="79">
        <f t="shared" si="2"/>
        <v>25709.050000000003</v>
      </c>
    </row>
    <row r="62" spans="1:17" s="13" customFormat="1" ht="15.75" hidden="1" x14ac:dyDescent="0.25">
      <c r="A62" s="10"/>
      <c r="B62" s="62" t="s">
        <v>49</v>
      </c>
      <c r="C62" s="1" t="s">
        <v>17</v>
      </c>
      <c r="D62" s="120"/>
      <c r="E62" s="3" t="s">
        <v>50</v>
      </c>
      <c r="F62" s="73" t="s">
        <v>351</v>
      </c>
      <c r="G62" s="74" t="s">
        <v>112</v>
      </c>
      <c r="H62" s="75">
        <v>5</v>
      </c>
      <c r="I62" s="76"/>
      <c r="J62" s="96"/>
      <c r="K62" s="77"/>
      <c r="L62" s="77"/>
      <c r="M62" s="78">
        <f t="shared" si="1"/>
        <v>0</v>
      </c>
      <c r="N62" s="100">
        <f>5+1+3</f>
        <v>9</v>
      </c>
      <c r="O62" s="81">
        <f>7374+1806.93+7275.53</f>
        <v>16456.46</v>
      </c>
      <c r="P62" s="81">
        <f>7374</f>
        <v>7374</v>
      </c>
      <c r="Q62" s="12">
        <f t="shared" si="2"/>
        <v>9082.4599999999991</v>
      </c>
    </row>
    <row r="63" spans="1:17" s="13" customFormat="1" ht="15.75" hidden="1" x14ac:dyDescent="0.25">
      <c r="A63" s="10"/>
      <c r="B63" s="22" t="s">
        <v>49</v>
      </c>
      <c r="C63" s="1" t="s">
        <v>17</v>
      </c>
      <c r="D63" s="120"/>
      <c r="E63" s="3" t="s">
        <v>50</v>
      </c>
      <c r="F63" s="73" t="s">
        <v>427</v>
      </c>
      <c r="G63" s="11" t="s">
        <v>115</v>
      </c>
      <c r="H63" s="1">
        <v>1</v>
      </c>
      <c r="I63" s="49"/>
      <c r="J63" s="46"/>
      <c r="K63" s="40"/>
      <c r="L63" s="40"/>
      <c r="M63" s="38">
        <f t="shared" si="1"/>
        <v>0</v>
      </c>
      <c r="N63" s="41">
        <v>7</v>
      </c>
      <c r="O63" s="31">
        <v>4898.6000000000004</v>
      </c>
      <c r="P63" s="31"/>
      <c r="Q63" s="79">
        <f t="shared" si="2"/>
        <v>4898.6000000000004</v>
      </c>
    </row>
    <row r="64" spans="1:17" s="13" customFormat="1" ht="15.75" hidden="1" x14ac:dyDescent="0.25">
      <c r="A64" s="10"/>
      <c r="B64" s="27" t="s">
        <v>51</v>
      </c>
      <c r="C64" s="1" t="s">
        <v>17</v>
      </c>
      <c r="D64" s="120"/>
      <c r="E64" s="3" t="s">
        <v>20</v>
      </c>
      <c r="F64" s="73" t="s">
        <v>186</v>
      </c>
      <c r="G64" s="74" t="s">
        <v>112</v>
      </c>
      <c r="H64" s="75"/>
      <c r="I64" s="76"/>
      <c r="J64" s="96"/>
      <c r="K64" s="77"/>
      <c r="L64" s="77"/>
      <c r="M64" s="78">
        <f t="shared" si="1"/>
        <v>0</v>
      </c>
      <c r="N64" s="100">
        <f>1</f>
        <v>1</v>
      </c>
      <c r="O64" s="81">
        <v>2451.87</v>
      </c>
      <c r="P64" s="81"/>
      <c r="Q64" s="12">
        <f t="shared" si="2"/>
        <v>2451.87</v>
      </c>
    </row>
    <row r="65" spans="1:17" s="13" customFormat="1" ht="15.75" x14ac:dyDescent="0.25">
      <c r="A65" s="10"/>
      <c r="B65" s="27" t="s">
        <v>51</v>
      </c>
      <c r="C65" s="1" t="s">
        <v>17</v>
      </c>
      <c r="D65" s="120"/>
      <c r="E65" s="3" t="s">
        <v>20</v>
      </c>
      <c r="F65" s="73" t="s">
        <v>276</v>
      </c>
      <c r="G65" s="11" t="s">
        <v>114</v>
      </c>
      <c r="H65" s="1"/>
      <c r="I65" s="49"/>
      <c r="J65" s="51"/>
      <c r="K65" s="40"/>
      <c r="L65" s="40"/>
      <c r="M65" s="38">
        <f t="shared" si="1"/>
        <v>0</v>
      </c>
      <c r="N65" s="41">
        <v>3</v>
      </c>
      <c r="O65" s="31">
        <v>6763.6</v>
      </c>
      <c r="P65" s="31">
        <f>3465.7</f>
        <v>3465.7</v>
      </c>
      <c r="Q65" s="79">
        <f t="shared" si="2"/>
        <v>3297.9000000000005</v>
      </c>
    </row>
    <row r="66" spans="1:17" s="13" customFormat="1" ht="15.75" hidden="1" x14ac:dyDescent="0.25">
      <c r="A66" s="10"/>
      <c r="B66" s="62" t="s">
        <v>52</v>
      </c>
      <c r="C66" s="1" t="s">
        <v>17</v>
      </c>
      <c r="D66" s="120"/>
      <c r="E66" s="3" t="s">
        <v>20</v>
      </c>
      <c r="F66" s="73" t="s">
        <v>352</v>
      </c>
      <c r="G66" s="74" t="s">
        <v>112</v>
      </c>
      <c r="H66" s="75">
        <v>3</v>
      </c>
      <c r="I66" s="76"/>
      <c r="J66" s="96"/>
      <c r="K66" s="77"/>
      <c r="L66" s="77"/>
      <c r="M66" s="78">
        <f t="shared" si="1"/>
        <v>0</v>
      </c>
      <c r="N66" s="100">
        <f>4+3+1</f>
        <v>8</v>
      </c>
      <c r="O66" s="81">
        <f>5977.15+48296.91+7596.86</f>
        <v>61870.920000000006</v>
      </c>
      <c r="P66" s="81"/>
      <c r="Q66" s="12">
        <f t="shared" si="2"/>
        <v>61870.920000000006</v>
      </c>
    </row>
    <row r="67" spans="1:17" s="13" customFormat="1" ht="15.75" x14ac:dyDescent="0.25">
      <c r="A67" s="10"/>
      <c r="B67" s="22" t="s">
        <v>52</v>
      </c>
      <c r="C67" s="1" t="s">
        <v>17</v>
      </c>
      <c r="D67" s="120"/>
      <c r="E67" s="3" t="s">
        <v>20</v>
      </c>
      <c r="F67" s="73" t="s">
        <v>457</v>
      </c>
      <c r="G67" s="11" t="s">
        <v>114</v>
      </c>
      <c r="H67" s="1">
        <v>3</v>
      </c>
      <c r="I67" s="49"/>
      <c r="J67" s="51"/>
      <c r="K67" s="40"/>
      <c r="L67" s="40"/>
      <c r="M67" s="38">
        <f t="shared" si="1"/>
        <v>0</v>
      </c>
      <c r="N67" s="41">
        <v>12</v>
      </c>
      <c r="O67" s="31">
        <v>19664.86</v>
      </c>
      <c r="P67" s="31">
        <f>3328.16</f>
        <v>3328.16</v>
      </c>
      <c r="Q67" s="79">
        <f t="shared" si="2"/>
        <v>16336.7</v>
      </c>
    </row>
    <row r="68" spans="1:17" s="13" customFormat="1" ht="15.75" hidden="1" x14ac:dyDescent="0.25">
      <c r="A68" s="10"/>
      <c r="B68" s="27" t="s">
        <v>53</v>
      </c>
      <c r="C68" s="1" t="s">
        <v>17</v>
      </c>
      <c r="D68" s="120"/>
      <c r="E68" s="3" t="s">
        <v>20</v>
      </c>
      <c r="F68" s="73" t="s">
        <v>353</v>
      </c>
      <c r="G68" s="74" t="s">
        <v>112</v>
      </c>
      <c r="H68" s="75">
        <v>2</v>
      </c>
      <c r="I68" s="76"/>
      <c r="J68" s="96"/>
      <c r="K68" s="77"/>
      <c r="L68" s="77"/>
      <c r="M68" s="78">
        <f>K68-L68</f>
        <v>0</v>
      </c>
      <c r="N68" s="100">
        <f>1+2+2</f>
        <v>5</v>
      </c>
      <c r="O68" s="81">
        <f>1743.3+3921.71</f>
        <v>5665.01</v>
      </c>
      <c r="P68" s="81">
        <f>422.62</f>
        <v>422.62</v>
      </c>
      <c r="Q68" s="12">
        <f t="shared" si="2"/>
        <v>5242.3900000000003</v>
      </c>
    </row>
    <row r="69" spans="1:17" s="13" customFormat="1" ht="15.75" hidden="1" x14ac:dyDescent="0.25">
      <c r="A69" s="10"/>
      <c r="B69" s="27" t="s">
        <v>149</v>
      </c>
      <c r="C69" s="1" t="s">
        <v>17</v>
      </c>
      <c r="D69" s="120"/>
      <c r="E69" s="3" t="s">
        <v>383</v>
      </c>
      <c r="F69" s="73" t="s">
        <v>354</v>
      </c>
      <c r="G69" s="74" t="s">
        <v>112</v>
      </c>
      <c r="H69" s="75">
        <v>7</v>
      </c>
      <c r="I69" s="76"/>
      <c r="J69" s="96"/>
      <c r="K69" s="77"/>
      <c r="L69" s="77"/>
      <c r="M69" s="38">
        <f t="shared" si="1"/>
        <v>0</v>
      </c>
      <c r="N69" s="100">
        <f>2+2</f>
        <v>4</v>
      </c>
      <c r="O69" s="81">
        <f>3676.8</f>
        <v>3676.8</v>
      </c>
      <c r="P69" s="81"/>
      <c r="Q69" s="79">
        <f t="shared" si="2"/>
        <v>3676.8</v>
      </c>
    </row>
    <row r="70" spans="1:17" s="13" customFormat="1" ht="15.75" hidden="1" x14ac:dyDescent="0.25">
      <c r="A70" s="10"/>
      <c r="B70" s="25" t="s">
        <v>149</v>
      </c>
      <c r="C70" s="1" t="s">
        <v>17</v>
      </c>
      <c r="D70" s="120"/>
      <c r="E70" s="3" t="s">
        <v>383</v>
      </c>
      <c r="F70" s="73" t="s">
        <v>438</v>
      </c>
      <c r="G70" s="11" t="s">
        <v>118</v>
      </c>
      <c r="H70" s="1">
        <v>3</v>
      </c>
      <c r="I70" s="47"/>
      <c r="J70" s="51"/>
      <c r="K70" s="37"/>
      <c r="L70" s="37"/>
      <c r="M70" s="78">
        <f t="shared" si="1"/>
        <v>0</v>
      </c>
      <c r="N70" s="39">
        <v>3</v>
      </c>
      <c r="O70" s="31">
        <v>4994.6000000000004</v>
      </c>
      <c r="P70" s="31"/>
      <c r="Q70" s="12">
        <f t="shared" si="2"/>
        <v>4994.6000000000004</v>
      </c>
    </row>
    <row r="71" spans="1:17" s="13" customFormat="1" ht="15.75" hidden="1" x14ac:dyDescent="0.25">
      <c r="A71" s="10"/>
      <c r="B71" s="62" t="s">
        <v>107</v>
      </c>
      <c r="C71" s="1" t="s">
        <v>17</v>
      </c>
      <c r="D71" s="120"/>
      <c r="E71" s="17" t="s">
        <v>20</v>
      </c>
      <c r="F71" s="73" t="s">
        <v>355</v>
      </c>
      <c r="G71" s="74" t="s">
        <v>112</v>
      </c>
      <c r="H71" s="75">
        <v>3</v>
      </c>
      <c r="I71" s="76"/>
      <c r="J71" s="96">
        <f>1</f>
        <v>1</v>
      </c>
      <c r="K71" s="77">
        <f>666.63</f>
        <v>666.63</v>
      </c>
      <c r="L71" s="77"/>
      <c r="M71" s="38">
        <f t="shared" si="1"/>
        <v>666.63</v>
      </c>
      <c r="N71" s="100">
        <f>2+6</f>
        <v>8</v>
      </c>
      <c r="O71" s="81">
        <f>7612.92+18804.48</f>
        <v>26417.4</v>
      </c>
      <c r="P71" s="81"/>
      <c r="Q71" s="79">
        <f t="shared" si="2"/>
        <v>26417.4</v>
      </c>
    </row>
    <row r="72" spans="1:17" s="13" customFormat="1" ht="15.75" hidden="1" x14ac:dyDescent="0.25">
      <c r="A72" s="10"/>
      <c r="B72" s="30" t="s">
        <v>54</v>
      </c>
      <c r="C72" s="1" t="s">
        <v>17</v>
      </c>
      <c r="D72" s="120"/>
      <c r="E72" s="17" t="s">
        <v>20</v>
      </c>
      <c r="F72" s="73" t="s">
        <v>356</v>
      </c>
      <c r="G72" s="74" t="s">
        <v>112</v>
      </c>
      <c r="H72" s="75"/>
      <c r="I72" s="76"/>
      <c r="J72" s="96"/>
      <c r="K72" s="77"/>
      <c r="L72" s="77"/>
      <c r="M72" s="38">
        <f t="shared" si="1"/>
        <v>0</v>
      </c>
      <c r="N72" s="100">
        <f>4</f>
        <v>4</v>
      </c>
      <c r="O72" s="81">
        <f>17895.28</f>
        <v>17895.28</v>
      </c>
      <c r="P72" s="81"/>
      <c r="Q72" s="79">
        <f t="shared" si="2"/>
        <v>17895.28</v>
      </c>
    </row>
    <row r="73" spans="1:17" s="13" customFormat="1" ht="31.5" hidden="1" x14ac:dyDescent="0.25">
      <c r="A73" s="10"/>
      <c r="B73" s="27" t="s">
        <v>55</v>
      </c>
      <c r="C73" s="1" t="s">
        <v>304</v>
      </c>
      <c r="D73" s="120" t="s">
        <v>387</v>
      </c>
      <c r="E73" s="3" t="s">
        <v>20</v>
      </c>
      <c r="F73" s="73" t="s">
        <v>357</v>
      </c>
      <c r="G73" s="74" t="s">
        <v>112</v>
      </c>
      <c r="H73" s="75">
        <v>6</v>
      </c>
      <c r="I73" s="76"/>
      <c r="J73" s="96"/>
      <c r="K73" s="77"/>
      <c r="L73" s="77"/>
      <c r="M73" s="78">
        <f t="shared" si="1"/>
        <v>0</v>
      </c>
      <c r="N73" s="100">
        <f>2+1</f>
        <v>3</v>
      </c>
      <c r="O73" s="81">
        <f>34854.19+2113.1</f>
        <v>36967.29</v>
      </c>
      <c r="P73" s="81">
        <f>34854.19</f>
        <v>34854.19</v>
      </c>
      <c r="Q73" s="12">
        <f t="shared" si="2"/>
        <v>2113.0999999999985</v>
      </c>
    </row>
    <row r="74" spans="1:17" s="13" customFormat="1" ht="31.5" hidden="1" x14ac:dyDescent="0.25">
      <c r="A74" s="10"/>
      <c r="B74" s="62" t="s">
        <v>56</v>
      </c>
      <c r="C74" s="1" t="s">
        <v>17</v>
      </c>
      <c r="D74" s="120" t="s">
        <v>386</v>
      </c>
      <c r="E74" s="3" t="s">
        <v>18</v>
      </c>
      <c r="F74" s="73" t="s">
        <v>358</v>
      </c>
      <c r="G74" s="74" t="s">
        <v>112</v>
      </c>
      <c r="H74" s="75">
        <v>2</v>
      </c>
      <c r="I74" s="76">
        <v>1</v>
      </c>
      <c r="J74" s="96">
        <f>1</f>
        <v>1</v>
      </c>
      <c r="K74" s="77">
        <f>677.11</f>
        <v>677.11</v>
      </c>
      <c r="L74" s="77"/>
      <c r="M74" s="38">
        <f t="shared" si="1"/>
        <v>677.11</v>
      </c>
      <c r="N74" s="100"/>
      <c r="O74" s="81"/>
      <c r="P74" s="81"/>
      <c r="Q74" s="79">
        <f t="shared" si="2"/>
        <v>0</v>
      </c>
    </row>
    <row r="75" spans="1:17" s="13" customFormat="1" ht="31.5" hidden="1" x14ac:dyDescent="0.25">
      <c r="A75" s="10"/>
      <c r="B75" s="22" t="s">
        <v>56</v>
      </c>
      <c r="C75" s="1" t="s">
        <v>304</v>
      </c>
      <c r="D75" s="120" t="s">
        <v>386</v>
      </c>
      <c r="E75" s="3" t="s">
        <v>18</v>
      </c>
      <c r="F75" s="73" t="s">
        <v>476</v>
      </c>
      <c r="G75" s="11" t="s">
        <v>113</v>
      </c>
      <c r="H75" s="1">
        <v>1</v>
      </c>
      <c r="I75" s="49"/>
      <c r="J75" s="46"/>
      <c r="K75" s="40"/>
      <c r="L75" s="40"/>
      <c r="M75" s="78">
        <f t="shared" si="1"/>
        <v>0</v>
      </c>
      <c r="N75" s="41"/>
      <c r="O75" s="31">
        <v>7612</v>
      </c>
      <c r="P75" s="31"/>
      <c r="Q75" s="12">
        <f t="shared" ref="Q75:Q141" si="3">O75-P75</f>
        <v>7612</v>
      </c>
    </row>
    <row r="76" spans="1:17" s="13" customFormat="1" ht="15.75" hidden="1" x14ac:dyDescent="0.25">
      <c r="A76" s="10"/>
      <c r="B76" s="62" t="s">
        <v>156</v>
      </c>
      <c r="C76" s="1" t="s">
        <v>304</v>
      </c>
      <c r="D76" s="120"/>
      <c r="E76" s="3" t="s">
        <v>20</v>
      </c>
      <c r="F76" s="73" t="s">
        <v>359</v>
      </c>
      <c r="G76" s="74" t="s">
        <v>112</v>
      </c>
      <c r="H76" s="75">
        <v>3</v>
      </c>
      <c r="I76" s="76"/>
      <c r="J76" s="96"/>
      <c r="K76" s="77"/>
      <c r="L76" s="77"/>
      <c r="M76" s="38">
        <f t="shared" si="1"/>
        <v>0</v>
      </c>
      <c r="N76" s="100">
        <f>3</f>
        <v>3</v>
      </c>
      <c r="O76" s="81">
        <f>5487.54</f>
        <v>5487.54</v>
      </c>
      <c r="P76" s="81"/>
      <c r="Q76" s="79">
        <f t="shared" si="3"/>
        <v>5487.54</v>
      </c>
    </row>
    <row r="77" spans="1:17" s="15" customFormat="1" ht="15.75" hidden="1" x14ac:dyDescent="0.25">
      <c r="A77" s="14"/>
      <c r="B77" s="80" t="s">
        <v>57</v>
      </c>
      <c r="C77" s="1" t="s">
        <v>17</v>
      </c>
      <c r="D77" s="120"/>
      <c r="E77" s="3" t="s">
        <v>20</v>
      </c>
      <c r="F77" s="73" t="s">
        <v>360</v>
      </c>
      <c r="G77" s="74" t="s">
        <v>112</v>
      </c>
      <c r="H77" s="75">
        <v>2</v>
      </c>
      <c r="I77" s="76"/>
      <c r="J77" s="96"/>
      <c r="K77" s="77"/>
      <c r="L77" s="77"/>
      <c r="M77" s="78">
        <f t="shared" si="1"/>
        <v>0</v>
      </c>
      <c r="N77" s="100">
        <f>2</f>
        <v>2</v>
      </c>
      <c r="O77" s="81">
        <f>2744.3</f>
        <v>2744.3</v>
      </c>
      <c r="P77" s="81"/>
      <c r="Q77" s="12">
        <f t="shared" si="3"/>
        <v>2744.3</v>
      </c>
    </row>
    <row r="78" spans="1:17" s="15" customFormat="1" ht="15.75" x14ac:dyDescent="0.25">
      <c r="A78" s="14"/>
      <c r="B78" s="23" t="s">
        <v>57</v>
      </c>
      <c r="C78" s="1" t="s">
        <v>17</v>
      </c>
      <c r="D78" s="120"/>
      <c r="E78" s="3" t="s">
        <v>20</v>
      </c>
      <c r="F78" s="73" t="s">
        <v>458</v>
      </c>
      <c r="G78" s="11" t="s">
        <v>114</v>
      </c>
      <c r="H78" s="1">
        <v>6</v>
      </c>
      <c r="I78" s="49">
        <v>1</v>
      </c>
      <c r="J78" s="51">
        <v>1</v>
      </c>
      <c r="K78" s="40"/>
      <c r="L78" s="40"/>
      <c r="M78" s="38">
        <f t="shared" si="1"/>
        <v>0</v>
      </c>
      <c r="N78" s="42">
        <v>7</v>
      </c>
      <c r="O78" s="31"/>
      <c r="P78" s="31"/>
      <c r="Q78" s="79">
        <f t="shared" si="3"/>
        <v>0</v>
      </c>
    </row>
    <row r="79" spans="1:17" s="13" customFormat="1" ht="15.75" hidden="1" x14ac:dyDescent="0.25">
      <c r="A79" s="10"/>
      <c r="B79" s="62" t="s">
        <v>58</v>
      </c>
      <c r="C79" s="1" t="s">
        <v>17</v>
      </c>
      <c r="D79" s="120"/>
      <c r="E79" s="3" t="s">
        <v>20</v>
      </c>
      <c r="F79" s="73" t="s">
        <v>361</v>
      </c>
      <c r="G79" s="74" t="s">
        <v>112</v>
      </c>
      <c r="H79" s="75">
        <v>1</v>
      </c>
      <c r="I79" s="76"/>
      <c r="J79" s="96"/>
      <c r="K79" s="77"/>
      <c r="L79" s="77"/>
      <c r="M79" s="78">
        <f t="shared" si="1"/>
        <v>0</v>
      </c>
      <c r="N79" s="100">
        <f>1</f>
        <v>1</v>
      </c>
      <c r="O79" s="81">
        <f>9196.24</f>
        <v>9196.24</v>
      </c>
      <c r="P79" s="81"/>
      <c r="Q79" s="12">
        <f t="shared" si="3"/>
        <v>9196.24</v>
      </c>
    </row>
    <row r="80" spans="1:17" s="13" customFormat="1" ht="15.75" x14ac:dyDescent="0.25">
      <c r="A80" s="10"/>
      <c r="B80" s="22" t="s">
        <v>58</v>
      </c>
      <c r="C80" s="1" t="s">
        <v>17</v>
      </c>
      <c r="D80" s="120"/>
      <c r="E80" s="3" t="s">
        <v>20</v>
      </c>
      <c r="F80" s="73" t="s">
        <v>478</v>
      </c>
      <c r="G80" s="11" t="s">
        <v>114</v>
      </c>
      <c r="H80" s="1">
        <v>2</v>
      </c>
      <c r="I80" s="49"/>
      <c r="J80" s="51"/>
      <c r="K80" s="40"/>
      <c r="L80" s="40"/>
      <c r="M80" s="38">
        <f t="shared" ref="M80:M149" si="4">K80-L80</f>
        <v>0</v>
      </c>
      <c r="N80" s="41">
        <v>15</v>
      </c>
      <c r="O80" s="31">
        <v>23095.57</v>
      </c>
      <c r="P80" s="31">
        <f>4035.73</f>
        <v>4035.73</v>
      </c>
      <c r="Q80" s="79">
        <f t="shared" si="3"/>
        <v>19059.84</v>
      </c>
    </row>
    <row r="81" spans="1:17" s="13" customFormat="1" ht="15.75" hidden="1" x14ac:dyDescent="0.25">
      <c r="A81" s="10"/>
      <c r="B81" s="62" t="s">
        <v>59</v>
      </c>
      <c r="C81" s="1" t="s">
        <v>17</v>
      </c>
      <c r="D81" s="120"/>
      <c r="E81" s="3" t="s">
        <v>20</v>
      </c>
      <c r="F81" s="73" t="s">
        <v>362</v>
      </c>
      <c r="G81" s="74" t="s">
        <v>112</v>
      </c>
      <c r="H81" s="75">
        <v>3</v>
      </c>
      <c r="I81" s="76">
        <v>2</v>
      </c>
      <c r="J81" s="96">
        <f>1+1</f>
        <v>2</v>
      </c>
      <c r="K81" s="77"/>
      <c r="L81" s="77"/>
      <c r="M81" s="78">
        <f t="shared" si="4"/>
        <v>0</v>
      </c>
      <c r="N81" s="100">
        <f>1+2+2</f>
        <v>5</v>
      </c>
      <c r="O81" s="81">
        <f>6646.05+1267.86</f>
        <v>7913.91</v>
      </c>
      <c r="P81" s="81"/>
      <c r="Q81" s="12">
        <f t="shared" si="3"/>
        <v>7913.91</v>
      </c>
    </row>
    <row r="82" spans="1:17" s="13" customFormat="1" ht="15.75" x14ac:dyDescent="0.25">
      <c r="A82" s="10"/>
      <c r="B82" s="22" t="s">
        <v>59</v>
      </c>
      <c r="C82" s="1" t="s">
        <v>17</v>
      </c>
      <c r="D82" s="120"/>
      <c r="E82" s="3" t="s">
        <v>20</v>
      </c>
      <c r="F82" s="73" t="s">
        <v>128</v>
      </c>
      <c r="G82" s="11" t="s">
        <v>114</v>
      </c>
      <c r="H82" s="1"/>
      <c r="I82" s="49"/>
      <c r="J82" s="51"/>
      <c r="K82" s="40"/>
      <c r="L82" s="40"/>
      <c r="M82" s="38">
        <f t="shared" si="4"/>
        <v>0</v>
      </c>
      <c r="N82" s="41"/>
      <c r="O82" s="31"/>
      <c r="P82" s="31"/>
      <c r="Q82" s="79">
        <f t="shared" si="3"/>
        <v>0</v>
      </c>
    </row>
    <row r="83" spans="1:17" s="13" customFormat="1" ht="15.75" hidden="1" x14ac:dyDescent="0.25">
      <c r="A83" s="10"/>
      <c r="B83" s="27" t="s">
        <v>60</v>
      </c>
      <c r="C83" s="1" t="s">
        <v>17</v>
      </c>
      <c r="D83" s="120"/>
      <c r="E83" s="3" t="s">
        <v>20</v>
      </c>
      <c r="F83" s="73" t="s">
        <v>364</v>
      </c>
      <c r="G83" s="74" t="s">
        <v>112</v>
      </c>
      <c r="H83" s="75">
        <v>4</v>
      </c>
      <c r="I83" s="76">
        <v>1</v>
      </c>
      <c r="J83" s="96">
        <f>1</f>
        <v>1</v>
      </c>
      <c r="K83" s="77">
        <f>633.93</f>
        <v>633.92999999999995</v>
      </c>
      <c r="L83" s="77"/>
      <c r="M83" s="78">
        <f t="shared" si="4"/>
        <v>633.92999999999995</v>
      </c>
      <c r="N83" s="100">
        <f>4+1</f>
        <v>5</v>
      </c>
      <c r="O83" s="81">
        <f>15124.53+2065.75</f>
        <v>17190.28</v>
      </c>
      <c r="P83" s="81"/>
      <c r="Q83" s="12">
        <f t="shared" si="3"/>
        <v>17190.28</v>
      </c>
    </row>
    <row r="84" spans="1:17" s="13" customFormat="1" ht="15.75" x14ac:dyDescent="0.25">
      <c r="A84" s="10"/>
      <c r="B84" s="25" t="s">
        <v>60</v>
      </c>
      <c r="C84" s="1" t="s">
        <v>17</v>
      </c>
      <c r="D84" s="120"/>
      <c r="E84" s="3" t="s">
        <v>20</v>
      </c>
      <c r="F84" s="73" t="s">
        <v>479</v>
      </c>
      <c r="G84" s="11" t="s">
        <v>114</v>
      </c>
      <c r="H84" s="1">
        <v>2</v>
      </c>
      <c r="I84" s="49"/>
      <c r="J84" s="51"/>
      <c r="K84" s="40"/>
      <c r="L84" s="40"/>
      <c r="M84" s="38">
        <f t="shared" si="4"/>
        <v>0</v>
      </c>
      <c r="N84" s="41">
        <v>7</v>
      </c>
      <c r="O84" s="31">
        <v>6259.4</v>
      </c>
      <c r="P84" s="31">
        <f>2945.6</f>
        <v>2945.6</v>
      </c>
      <c r="Q84" s="79">
        <f t="shared" si="3"/>
        <v>3313.7999999999997</v>
      </c>
    </row>
    <row r="85" spans="1:17" s="15" customFormat="1" ht="15.75" hidden="1" x14ac:dyDescent="0.25">
      <c r="A85" s="14"/>
      <c r="B85" s="28" t="s">
        <v>61</v>
      </c>
      <c r="C85" s="1" t="s">
        <v>17</v>
      </c>
      <c r="D85" s="120"/>
      <c r="E85" s="3" t="s">
        <v>20</v>
      </c>
      <c r="F85" s="73" t="s">
        <v>363</v>
      </c>
      <c r="G85" s="74" t="s">
        <v>112</v>
      </c>
      <c r="H85" s="75"/>
      <c r="I85" s="76"/>
      <c r="J85" s="96"/>
      <c r="K85" s="77"/>
      <c r="L85" s="77"/>
      <c r="M85" s="78">
        <f t="shared" si="4"/>
        <v>0</v>
      </c>
      <c r="N85" s="100"/>
      <c r="O85" s="81"/>
      <c r="P85" s="81"/>
      <c r="Q85" s="12">
        <f t="shared" si="3"/>
        <v>0</v>
      </c>
    </row>
    <row r="86" spans="1:17" s="15" customFormat="1" ht="15.75" x14ac:dyDescent="0.25">
      <c r="A86" s="14"/>
      <c r="B86" s="26" t="s">
        <v>61</v>
      </c>
      <c r="C86" s="1" t="s">
        <v>17</v>
      </c>
      <c r="D86" s="120"/>
      <c r="E86" s="3" t="s">
        <v>20</v>
      </c>
      <c r="F86" s="73" t="s">
        <v>121</v>
      </c>
      <c r="G86" s="11" t="s">
        <v>114</v>
      </c>
      <c r="H86" s="1"/>
      <c r="I86" s="49"/>
      <c r="J86" s="51"/>
      <c r="K86" s="40"/>
      <c r="L86" s="40"/>
      <c r="M86" s="38">
        <f t="shared" si="4"/>
        <v>0</v>
      </c>
      <c r="N86" s="42"/>
      <c r="O86" s="31"/>
      <c r="P86" s="31"/>
      <c r="Q86" s="79">
        <f t="shared" si="3"/>
        <v>0</v>
      </c>
    </row>
    <row r="87" spans="1:17" s="15" customFormat="1" ht="15.75" hidden="1" x14ac:dyDescent="0.25">
      <c r="A87" s="14"/>
      <c r="B87" s="20" t="s">
        <v>306</v>
      </c>
      <c r="C87" s="1" t="s">
        <v>17</v>
      </c>
      <c r="D87" s="120"/>
      <c r="E87" s="3" t="s">
        <v>35</v>
      </c>
      <c r="F87" s="73" t="s">
        <v>365</v>
      </c>
      <c r="G87" s="11" t="s">
        <v>112</v>
      </c>
      <c r="H87" s="1">
        <v>9</v>
      </c>
      <c r="I87" s="58">
        <v>3</v>
      </c>
      <c r="J87" s="51">
        <f>1+2</f>
        <v>3</v>
      </c>
      <c r="K87" s="40">
        <f>1045.98</f>
        <v>1045.98</v>
      </c>
      <c r="L87" s="40"/>
      <c r="M87" s="78">
        <f t="shared" si="4"/>
        <v>1045.98</v>
      </c>
      <c r="N87" s="39">
        <f>7+2+2</f>
        <v>11</v>
      </c>
      <c r="O87" s="31">
        <f>2313.84+6162.57</f>
        <v>8476.41</v>
      </c>
      <c r="P87" s="31">
        <f>2313.84</f>
        <v>2313.84</v>
      </c>
      <c r="Q87" s="12">
        <f t="shared" si="3"/>
        <v>6162.57</v>
      </c>
    </row>
    <row r="88" spans="1:17" s="13" customFormat="1" ht="15.75" hidden="1" x14ac:dyDescent="0.25">
      <c r="A88" s="10"/>
      <c r="B88" s="22" t="s">
        <v>306</v>
      </c>
      <c r="C88" s="1" t="s">
        <v>17</v>
      </c>
      <c r="D88" s="120"/>
      <c r="E88" s="3" t="s">
        <v>27</v>
      </c>
      <c r="F88" s="73" t="s">
        <v>421</v>
      </c>
      <c r="G88" s="11" t="s">
        <v>117</v>
      </c>
      <c r="H88" s="1">
        <v>1</v>
      </c>
      <c r="I88" s="49"/>
      <c r="J88" s="46"/>
      <c r="K88" s="40"/>
      <c r="L88" s="40"/>
      <c r="M88" s="78">
        <f>K88-L88</f>
        <v>0</v>
      </c>
      <c r="N88" s="41">
        <f>3</f>
        <v>3</v>
      </c>
      <c r="O88" s="40"/>
      <c r="P88" s="40"/>
      <c r="Q88" s="79">
        <f>O88-P88</f>
        <v>0</v>
      </c>
    </row>
    <row r="89" spans="1:17" s="13" customFormat="1" ht="15.75" hidden="1" x14ac:dyDescent="0.25">
      <c r="A89" s="10"/>
      <c r="B89" s="27" t="s">
        <v>62</v>
      </c>
      <c r="C89" s="1" t="s">
        <v>17</v>
      </c>
      <c r="D89" s="120"/>
      <c r="E89" s="3" t="s">
        <v>35</v>
      </c>
      <c r="F89" s="73" t="s">
        <v>366</v>
      </c>
      <c r="G89" s="74" t="s">
        <v>112</v>
      </c>
      <c r="H89" s="75">
        <v>6</v>
      </c>
      <c r="I89" s="76">
        <v>1</v>
      </c>
      <c r="J89" s="96">
        <f>1</f>
        <v>1</v>
      </c>
      <c r="K89" s="77"/>
      <c r="L89" s="77"/>
      <c r="M89" s="38">
        <f t="shared" si="4"/>
        <v>0</v>
      </c>
      <c r="N89" s="100">
        <f>6+2+1</f>
        <v>9</v>
      </c>
      <c r="O89" s="81">
        <f>19511.33+1270.93</f>
        <v>20782.260000000002</v>
      </c>
      <c r="P89" s="81"/>
      <c r="Q89" s="79">
        <f t="shared" si="3"/>
        <v>20782.260000000002</v>
      </c>
    </row>
    <row r="90" spans="1:17" s="13" customFormat="1" ht="15.75" hidden="1" x14ac:dyDescent="0.25">
      <c r="A90" s="10"/>
      <c r="B90" s="25" t="s">
        <v>62</v>
      </c>
      <c r="C90" s="1" t="s">
        <v>17</v>
      </c>
      <c r="D90" s="120"/>
      <c r="E90" s="3" t="s">
        <v>35</v>
      </c>
      <c r="F90" s="73" t="s">
        <v>428</v>
      </c>
      <c r="G90" s="11" t="s">
        <v>117</v>
      </c>
      <c r="H90" s="1">
        <v>2</v>
      </c>
      <c r="I90" s="49"/>
      <c r="J90" s="46"/>
      <c r="K90" s="40"/>
      <c r="L90" s="40"/>
      <c r="M90" s="78">
        <f t="shared" si="4"/>
        <v>0</v>
      </c>
      <c r="N90" s="41">
        <f>7</f>
        <v>7</v>
      </c>
      <c r="O90" s="31">
        <v>17217.2</v>
      </c>
      <c r="P90" s="31"/>
      <c r="Q90" s="12">
        <f t="shared" si="3"/>
        <v>17217.2</v>
      </c>
    </row>
    <row r="91" spans="1:17" s="13" customFormat="1" ht="15.75" x14ac:dyDescent="0.25">
      <c r="A91" s="10"/>
      <c r="B91" s="25" t="s">
        <v>63</v>
      </c>
      <c r="C91" s="1" t="s">
        <v>64</v>
      </c>
      <c r="D91" s="120" t="s">
        <v>65</v>
      </c>
      <c r="E91" s="3" t="s">
        <v>20</v>
      </c>
      <c r="F91" s="73" t="s">
        <v>480</v>
      </c>
      <c r="G91" s="11" t="s">
        <v>114</v>
      </c>
      <c r="H91" s="1"/>
      <c r="I91" s="49"/>
      <c r="J91" s="51"/>
      <c r="K91" s="40"/>
      <c r="L91" s="40"/>
      <c r="M91" s="38">
        <f t="shared" si="4"/>
        <v>0</v>
      </c>
      <c r="N91" s="41"/>
      <c r="O91" s="31"/>
      <c r="P91" s="31"/>
      <c r="Q91" s="79">
        <f t="shared" si="3"/>
        <v>0</v>
      </c>
    </row>
    <row r="92" spans="1:17" s="13" customFormat="1" ht="15.75" hidden="1" x14ac:dyDescent="0.25">
      <c r="A92" s="10"/>
      <c r="B92" s="27" t="s">
        <v>155</v>
      </c>
      <c r="C92" s="1" t="s">
        <v>17</v>
      </c>
      <c r="D92" s="120"/>
      <c r="E92" s="3" t="s">
        <v>20</v>
      </c>
      <c r="F92" s="73" t="s">
        <v>367</v>
      </c>
      <c r="G92" s="74" t="s">
        <v>112</v>
      </c>
      <c r="H92" s="75">
        <v>3</v>
      </c>
      <c r="I92" s="82">
        <v>1</v>
      </c>
      <c r="J92" s="96">
        <f>1</f>
        <v>1</v>
      </c>
      <c r="K92" s="77"/>
      <c r="L92" s="77"/>
      <c r="M92" s="78">
        <f t="shared" si="4"/>
        <v>0</v>
      </c>
      <c r="N92" s="100">
        <f>1</f>
        <v>1</v>
      </c>
      <c r="O92" s="81"/>
      <c r="P92" s="81"/>
      <c r="Q92" s="12">
        <f t="shared" si="3"/>
        <v>0</v>
      </c>
    </row>
    <row r="93" spans="1:17" s="13" customFormat="1" ht="15.75" x14ac:dyDescent="0.25">
      <c r="A93" s="10"/>
      <c r="B93" s="25" t="s">
        <v>155</v>
      </c>
      <c r="C93" s="1" t="s">
        <v>17</v>
      </c>
      <c r="D93" s="120"/>
      <c r="E93" s="3" t="s">
        <v>20</v>
      </c>
      <c r="F93" s="73" t="s">
        <v>459</v>
      </c>
      <c r="G93" s="11" t="s">
        <v>114</v>
      </c>
      <c r="H93" s="1">
        <v>3</v>
      </c>
      <c r="I93" s="49"/>
      <c r="J93" s="51"/>
      <c r="K93" s="40"/>
      <c r="L93" s="40"/>
      <c r="M93" s="38">
        <f t="shared" si="4"/>
        <v>0</v>
      </c>
      <c r="N93" s="41">
        <v>13</v>
      </c>
      <c r="O93" s="31">
        <v>17392.43</v>
      </c>
      <c r="P93" s="31">
        <f>3369.8</f>
        <v>3369.8</v>
      </c>
      <c r="Q93" s="79">
        <f t="shared" si="3"/>
        <v>14022.630000000001</v>
      </c>
    </row>
    <row r="94" spans="1:17" s="13" customFormat="1" ht="15.75" hidden="1" x14ac:dyDescent="0.25">
      <c r="A94" s="10"/>
      <c r="B94" s="30" t="s">
        <v>66</v>
      </c>
      <c r="C94" s="1" t="s">
        <v>17</v>
      </c>
      <c r="D94" s="120"/>
      <c r="E94" s="3" t="s">
        <v>21</v>
      </c>
      <c r="F94" s="73" t="s">
        <v>368</v>
      </c>
      <c r="G94" s="74" t="s">
        <v>112</v>
      </c>
      <c r="H94" s="75">
        <v>5</v>
      </c>
      <c r="I94" s="76">
        <v>4</v>
      </c>
      <c r="J94" s="96">
        <f>1+3</f>
        <v>4</v>
      </c>
      <c r="K94" s="77">
        <f>1045.98</f>
        <v>1045.98</v>
      </c>
      <c r="L94" s="77"/>
      <c r="M94" s="78">
        <f t="shared" si="4"/>
        <v>1045.98</v>
      </c>
      <c r="N94" s="100">
        <f>6+3+8+7+1</f>
        <v>25</v>
      </c>
      <c r="O94" s="81">
        <f>11911.17+23136+18060.17</f>
        <v>53107.34</v>
      </c>
      <c r="P94" s="81"/>
      <c r="Q94" s="12">
        <f t="shared" si="3"/>
        <v>53107.34</v>
      </c>
    </row>
    <row r="95" spans="1:17" s="13" customFormat="1" ht="15.75" hidden="1" x14ac:dyDescent="0.25">
      <c r="A95" s="10"/>
      <c r="B95" s="24" t="s">
        <v>66</v>
      </c>
      <c r="C95" s="1" t="s">
        <v>17</v>
      </c>
      <c r="D95" s="120"/>
      <c r="E95" s="3" t="s">
        <v>21</v>
      </c>
      <c r="F95" s="73" t="s">
        <v>439</v>
      </c>
      <c r="G95" s="11" t="s">
        <v>118</v>
      </c>
      <c r="H95" s="1">
        <v>2</v>
      </c>
      <c r="I95" s="49"/>
      <c r="J95" s="46"/>
      <c r="K95" s="40"/>
      <c r="L95" s="40"/>
      <c r="M95" s="38">
        <f t="shared" si="4"/>
        <v>0</v>
      </c>
      <c r="N95" s="41">
        <v>10</v>
      </c>
      <c r="O95" s="31">
        <v>4977.07</v>
      </c>
      <c r="P95" s="31"/>
      <c r="Q95" s="79">
        <f t="shared" si="3"/>
        <v>4977.07</v>
      </c>
    </row>
    <row r="96" spans="1:17" s="13" customFormat="1" ht="15.75" hidden="1" x14ac:dyDescent="0.25">
      <c r="A96" s="10"/>
      <c r="B96" s="62" t="s">
        <v>137</v>
      </c>
      <c r="C96" s="1" t="s">
        <v>17</v>
      </c>
      <c r="D96" s="120"/>
      <c r="E96" s="17" t="s">
        <v>35</v>
      </c>
      <c r="F96" s="73" t="s">
        <v>369</v>
      </c>
      <c r="G96" s="74" t="s">
        <v>112</v>
      </c>
      <c r="H96" s="75">
        <v>7</v>
      </c>
      <c r="I96" s="76"/>
      <c r="J96" s="96"/>
      <c r="K96" s="77"/>
      <c r="L96" s="77"/>
      <c r="M96" s="78">
        <f t="shared" si="4"/>
        <v>0</v>
      </c>
      <c r="N96" s="100">
        <f>5+1</f>
        <v>6</v>
      </c>
      <c r="O96" s="81">
        <f>2617.36</f>
        <v>2617.36</v>
      </c>
      <c r="P96" s="81"/>
      <c r="Q96" s="12">
        <f t="shared" si="3"/>
        <v>2617.36</v>
      </c>
    </row>
    <row r="97" spans="1:19" s="13" customFormat="1" ht="15.75" hidden="1" x14ac:dyDescent="0.25">
      <c r="A97" s="10"/>
      <c r="B97" s="22" t="s">
        <v>137</v>
      </c>
      <c r="C97" s="1" t="s">
        <v>17</v>
      </c>
      <c r="D97" s="120"/>
      <c r="E97" s="17" t="s">
        <v>35</v>
      </c>
      <c r="F97" s="73" t="s">
        <v>429</v>
      </c>
      <c r="G97" s="11" t="s">
        <v>117</v>
      </c>
      <c r="H97" s="1"/>
      <c r="I97" s="49"/>
      <c r="J97" s="51"/>
      <c r="K97" s="37"/>
      <c r="L97" s="37"/>
      <c r="M97" s="78">
        <f t="shared" si="4"/>
        <v>0</v>
      </c>
      <c r="N97" s="39">
        <v>1</v>
      </c>
      <c r="O97" s="31">
        <v>7299.8</v>
      </c>
      <c r="P97" s="31"/>
      <c r="Q97" s="79">
        <f t="shared" si="3"/>
        <v>7299.8</v>
      </c>
    </row>
    <row r="98" spans="1:19" s="13" customFormat="1" ht="15.75" hidden="1" x14ac:dyDescent="0.25">
      <c r="A98" s="10"/>
      <c r="B98" s="30" t="s">
        <v>67</v>
      </c>
      <c r="C98" s="1" t="s">
        <v>17</v>
      </c>
      <c r="D98" s="120"/>
      <c r="E98" s="17" t="s">
        <v>21</v>
      </c>
      <c r="F98" s="73" t="s">
        <v>370</v>
      </c>
      <c r="G98" s="74" t="s">
        <v>112</v>
      </c>
      <c r="H98" s="75">
        <v>4</v>
      </c>
      <c r="I98" s="76">
        <v>1</v>
      </c>
      <c r="J98" s="96">
        <f>2</f>
        <v>2</v>
      </c>
      <c r="K98" s="77">
        <f>3319.85</f>
        <v>3319.85</v>
      </c>
      <c r="L98" s="77"/>
      <c r="M98" s="38">
        <f t="shared" si="4"/>
        <v>3319.85</v>
      </c>
      <c r="N98" s="100">
        <f>4+9+4</f>
        <v>17</v>
      </c>
      <c r="O98" s="81">
        <f>29696.65+38129.03+13567.9</f>
        <v>81393.579999999987</v>
      </c>
      <c r="P98" s="81"/>
      <c r="Q98" s="12">
        <f t="shared" si="3"/>
        <v>81393.579999999987</v>
      </c>
    </row>
    <row r="99" spans="1:19" s="13" customFormat="1" ht="15.75" hidden="1" x14ac:dyDescent="0.25">
      <c r="A99" s="10"/>
      <c r="B99" s="24" t="s">
        <v>67</v>
      </c>
      <c r="C99" s="1" t="s">
        <v>17</v>
      </c>
      <c r="D99" s="120"/>
      <c r="E99" s="17" t="s">
        <v>21</v>
      </c>
      <c r="F99" s="73" t="s">
        <v>440</v>
      </c>
      <c r="G99" s="11" t="s">
        <v>118</v>
      </c>
      <c r="H99" s="1">
        <v>3</v>
      </c>
      <c r="I99" s="49"/>
      <c r="J99" s="46"/>
      <c r="K99" s="40"/>
      <c r="L99" s="40"/>
      <c r="M99" s="78">
        <f t="shared" si="4"/>
        <v>0</v>
      </c>
      <c r="N99" s="41">
        <v>6</v>
      </c>
      <c r="O99" s="31">
        <v>16540.89</v>
      </c>
      <c r="P99" s="31"/>
      <c r="Q99" s="79">
        <f t="shared" si="3"/>
        <v>16540.89</v>
      </c>
    </row>
    <row r="100" spans="1:19" s="13" customFormat="1" ht="15.75" hidden="1" x14ac:dyDescent="0.25">
      <c r="A100" s="10"/>
      <c r="B100" s="30" t="s">
        <v>68</v>
      </c>
      <c r="C100" s="1" t="s">
        <v>17</v>
      </c>
      <c r="D100" s="120"/>
      <c r="E100" s="17" t="s">
        <v>32</v>
      </c>
      <c r="F100" s="73" t="s">
        <v>371</v>
      </c>
      <c r="G100" s="74" t="s">
        <v>112</v>
      </c>
      <c r="H100" s="75">
        <v>5</v>
      </c>
      <c r="I100" s="76">
        <v>2</v>
      </c>
      <c r="J100" s="96">
        <f>2</f>
        <v>2</v>
      </c>
      <c r="K100" s="77">
        <f>1128.59</f>
        <v>1128.5899999999999</v>
      </c>
      <c r="L100" s="77"/>
      <c r="M100" s="38">
        <f t="shared" si="4"/>
        <v>1128.5899999999999</v>
      </c>
      <c r="N100" s="100">
        <f>6+5+1</f>
        <v>12</v>
      </c>
      <c r="O100" s="81">
        <f>7813.73+38129.03+8523.5+1452.28</f>
        <v>55918.539999999994</v>
      </c>
      <c r="P100" s="81">
        <f>7813.73</f>
        <v>7813.73</v>
      </c>
      <c r="Q100" s="12">
        <f t="shared" si="3"/>
        <v>48104.81</v>
      </c>
    </row>
    <row r="101" spans="1:19" s="13" customFormat="1" ht="15.75" hidden="1" x14ac:dyDescent="0.25">
      <c r="A101" s="10"/>
      <c r="B101" s="24" t="s">
        <v>68</v>
      </c>
      <c r="C101" s="1" t="s">
        <v>17</v>
      </c>
      <c r="D101" s="120"/>
      <c r="E101" s="17" t="s">
        <v>32</v>
      </c>
      <c r="F101" s="73" t="s">
        <v>430</v>
      </c>
      <c r="G101" s="8" t="s">
        <v>117</v>
      </c>
      <c r="H101" s="1"/>
      <c r="I101" s="49"/>
      <c r="J101" s="46"/>
      <c r="K101" s="40"/>
      <c r="L101" s="40"/>
      <c r="M101" s="78">
        <f t="shared" si="4"/>
        <v>0</v>
      </c>
      <c r="N101" s="41"/>
      <c r="O101" s="40"/>
      <c r="P101" s="40"/>
      <c r="Q101" s="79">
        <f t="shared" si="3"/>
        <v>0</v>
      </c>
    </row>
    <row r="102" spans="1:19" s="15" customFormat="1" ht="15.75" hidden="1" x14ac:dyDescent="0.25">
      <c r="A102" s="14"/>
      <c r="B102" s="28" t="s">
        <v>69</v>
      </c>
      <c r="C102" s="1" t="s">
        <v>17</v>
      </c>
      <c r="D102" s="120"/>
      <c r="E102" s="3" t="s">
        <v>20</v>
      </c>
      <c r="F102" s="73" t="s">
        <v>372</v>
      </c>
      <c r="G102" s="74" t="s">
        <v>112</v>
      </c>
      <c r="H102" s="75">
        <v>1</v>
      </c>
      <c r="I102" s="76"/>
      <c r="J102" s="96"/>
      <c r="K102" s="77"/>
      <c r="L102" s="77"/>
      <c r="M102" s="38">
        <f t="shared" si="4"/>
        <v>0</v>
      </c>
      <c r="N102" s="100">
        <f>3+2</f>
        <v>5</v>
      </c>
      <c r="O102" s="77">
        <f>7210.31+3647.96</f>
        <v>10858.27</v>
      </c>
      <c r="P102" s="77"/>
      <c r="Q102" s="12">
        <f t="shared" si="3"/>
        <v>10858.27</v>
      </c>
    </row>
    <row r="103" spans="1:19" s="13" customFormat="1" ht="15.75" hidden="1" x14ac:dyDescent="0.25">
      <c r="A103" s="10"/>
      <c r="B103" s="62" t="s">
        <v>70</v>
      </c>
      <c r="C103" s="1" t="s">
        <v>17</v>
      </c>
      <c r="D103" s="120"/>
      <c r="E103" s="3" t="s">
        <v>20</v>
      </c>
      <c r="F103" s="73" t="s">
        <v>373</v>
      </c>
      <c r="G103" s="74" t="s">
        <v>112</v>
      </c>
      <c r="H103" s="75">
        <v>4</v>
      </c>
      <c r="I103" s="76"/>
      <c r="J103" s="96"/>
      <c r="K103" s="77"/>
      <c r="L103" s="77"/>
      <c r="M103" s="78">
        <f t="shared" si="4"/>
        <v>0</v>
      </c>
      <c r="N103" s="100">
        <f>2</f>
        <v>2</v>
      </c>
      <c r="O103" s="81">
        <v>3534.95</v>
      </c>
      <c r="P103" s="81"/>
      <c r="Q103" s="79">
        <f t="shared" si="3"/>
        <v>3534.95</v>
      </c>
      <c r="R103" s="35"/>
    </row>
    <row r="104" spans="1:19" s="13" customFormat="1" ht="15.75" x14ac:dyDescent="0.25">
      <c r="A104" s="10"/>
      <c r="B104" s="22" t="s">
        <v>70</v>
      </c>
      <c r="C104" s="1" t="s">
        <v>17</v>
      </c>
      <c r="D104" s="120"/>
      <c r="E104" s="3" t="s">
        <v>20</v>
      </c>
      <c r="F104" s="73" t="s">
        <v>460</v>
      </c>
      <c r="G104" s="11" t="s">
        <v>114</v>
      </c>
      <c r="H104" s="1">
        <v>6</v>
      </c>
      <c r="I104" s="49"/>
      <c r="J104" s="51"/>
      <c r="K104" s="40"/>
      <c r="L104" s="40"/>
      <c r="M104" s="38">
        <f t="shared" si="4"/>
        <v>0</v>
      </c>
      <c r="N104" s="41">
        <v>23</v>
      </c>
      <c r="O104" s="31">
        <v>36457.769999999997</v>
      </c>
      <c r="P104" s="31">
        <f>2945.6</f>
        <v>2945.6</v>
      </c>
      <c r="Q104" s="12">
        <f t="shared" si="3"/>
        <v>33512.17</v>
      </c>
    </row>
    <row r="105" spans="1:19" s="15" customFormat="1" ht="15.75" hidden="1" x14ac:dyDescent="0.25">
      <c r="A105" s="14"/>
      <c r="B105" s="80" t="s">
        <v>71</v>
      </c>
      <c r="C105" s="1" t="s">
        <v>17</v>
      </c>
      <c r="D105" s="120"/>
      <c r="E105" s="3" t="s">
        <v>32</v>
      </c>
      <c r="F105" s="73" t="s">
        <v>374</v>
      </c>
      <c r="G105" s="74" t="s">
        <v>112</v>
      </c>
      <c r="H105" s="75">
        <v>5</v>
      </c>
      <c r="I105" s="76">
        <v>3</v>
      </c>
      <c r="J105" s="96">
        <f>3</f>
        <v>3</v>
      </c>
      <c r="K105" s="77"/>
      <c r="L105" s="77"/>
      <c r="M105" s="78">
        <f t="shared" si="4"/>
        <v>0</v>
      </c>
      <c r="N105" s="100">
        <f>3+2</f>
        <v>5</v>
      </c>
      <c r="O105" s="81">
        <f>9567.93</f>
        <v>9567.93</v>
      </c>
      <c r="P105" s="81">
        <f>9567.93</f>
        <v>9567.93</v>
      </c>
      <c r="Q105" s="79">
        <f t="shared" si="3"/>
        <v>0</v>
      </c>
      <c r="R105" s="36"/>
      <c r="S105" s="36"/>
    </row>
    <row r="106" spans="1:19" s="15" customFormat="1" ht="15.75" hidden="1" x14ac:dyDescent="0.25">
      <c r="A106" s="14"/>
      <c r="B106" s="23" t="s">
        <v>71</v>
      </c>
      <c r="C106" s="1" t="s">
        <v>17</v>
      </c>
      <c r="D106" s="120"/>
      <c r="E106" s="3" t="s">
        <v>32</v>
      </c>
      <c r="F106" s="73" t="s">
        <v>431</v>
      </c>
      <c r="G106" s="11" t="s">
        <v>115</v>
      </c>
      <c r="H106" s="1">
        <v>3</v>
      </c>
      <c r="I106" s="48"/>
      <c r="J106" s="45"/>
      <c r="K106" s="40"/>
      <c r="L106" s="40"/>
      <c r="M106" s="38">
        <f t="shared" si="4"/>
        <v>0</v>
      </c>
      <c r="N106" s="39">
        <f>5</f>
        <v>5</v>
      </c>
      <c r="O106" s="40">
        <v>6595.5</v>
      </c>
      <c r="P106" s="40"/>
      <c r="Q106" s="12">
        <f t="shared" si="3"/>
        <v>6595.5</v>
      </c>
    </row>
    <row r="107" spans="1:19" s="13" customFormat="1" ht="15.75" hidden="1" x14ac:dyDescent="0.25">
      <c r="A107" s="10"/>
      <c r="B107" s="62" t="s">
        <v>319</v>
      </c>
      <c r="C107" s="1" t="s">
        <v>17</v>
      </c>
      <c r="D107" s="120"/>
      <c r="E107" s="3" t="s">
        <v>20</v>
      </c>
      <c r="F107" s="73" t="s">
        <v>375</v>
      </c>
      <c r="G107" s="74" t="s">
        <v>112</v>
      </c>
      <c r="H107" s="75">
        <v>5</v>
      </c>
      <c r="I107" s="76">
        <v>3</v>
      </c>
      <c r="J107" s="96">
        <f>2+1</f>
        <v>3</v>
      </c>
      <c r="K107" s="77">
        <f>710.77+1523.35</f>
        <v>2234.12</v>
      </c>
      <c r="L107" s="77"/>
      <c r="M107" s="78">
        <f>K107-L107</f>
        <v>2234.12</v>
      </c>
      <c r="N107" s="100">
        <f>3+1</f>
        <v>4</v>
      </c>
      <c r="O107" s="77">
        <f>13419.94+726.71</f>
        <v>14146.650000000001</v>
      </c>
      <c r="P107" s="77">
        <f>13419.94</f>
        <v>13419.94</v>
      </c>
      <c r="Q107" s="79">
        <f>O107-P107</f>
        <v>726.71000000000095</v>
      </c>
    </row>
    <row r="108" spans="1:19" s="15" customFormat="1" ht="15.75" hidden="1" x14ac:dyDescent="0.25">
      <c r="A108" s="14"/>
      <c r="B108" s="62" t="s">
        <v>150</v>
      </c>
      <c r="C108" s="1" t="s">
        <v>17</v>
      </c>
      <c r="D108" s="120"/>
      <c r="E108" s="3" t="s">
        <v>35</v>
      </c>
      <c r="F108" s="73" t="s">
        <v>376</v>
      </c>
      <c r="G108" s="74" t="s">
        <v>112</v>
      </c>
      <c r="H108" s="75">
        <v>8</v>
      </c>
      <c r="I108" s="76">
        <v>2</v>
      </c>
      <c r="J108" s="97">
        <f>1+1</f>
        <v>2</v>
      </c>
      <c r="K108" s="77">
        <f>1343.65</f>
        <v>1343.65</v>
      </c>
      <c r="L108" s="77"/>
      <c r="M108" s="78">
        <f t="shared" si="4"/>
        <v>1343.65</v>
      </c>
      <c r="N108" s="114">
        <f>8+1+1+2</f>
        <v>12</v>
      </c>
      <c r="O108" s="77">
        <f>5997.32+3719.39</f>
        <v>9716.7099999999991</v>
      </c>
      <c r="P108" s="81">
        <f>3885.22</f>
        <v>3885.22</v>
      </c>
      <c r="Q108" s="79">
        <f t="shared" si="3"/>
        <v>5831.49</v>
      </c>
    </row>
    <row r="109" spans="1:19" s="15" customFormat="1" ht="15.75" hidden="1" x14ac:dyDescent="0.25">
      <c r="A109" s="14"/>
      <c r="B109" s="50" t="s">
        <v>150</v>
      </c>
      <c r="C109" s="1" t="s">
        <v>17</v>
      </c>
      <c r="D109" s="120"/>
      <c r="E109" s="3" t="s">
        <v>32</v>
      </c>
      <c r="F109" s="73" t="s">
        <v>487</v>
      </c>
      <c r="G109" s="11" t="s">
        <v>117</v>
      </c>
      <c r="H109" s="1"/>
      <c r="I109" s="48"/>
      <c r="J109" s="45"/>
      <c r="K109" s="40"/>
      <c r="L109" s="37"/>
      <c r="M109" s="38">
        <f t="shared" si="4"/>
        <v>0</v>
      </c>
      <c r="N109" s="42">
        <v>1</v>
      </c>
      <c r="O109" s="40">
        <v>4226.2</v>
      </c>
      <c r="P109" s="40"/>
      <c r="Q109" s="12">
        <f t="shared" si="3"/>
        <v>4226.2</v>
      </c>
    </row>
    <row r="110" spans="1:19" s="13" customFormat="1" ht="15.75" hidden="1" x14ac:dyDescent="0.25">
      <c r="A110" s="10"/>
      <c r="B110" s="30" t="s">
        <v>72</v>
      </c>
      <c r="C110" s="1" t="s">
        <v>17</v>
      </c>
      <c r="D110" s="120"/>
      <c r="E110" s="3" t="s">
        <v>21</v>
      </c>
      <c r="F110" s="73" t="s">
        <v>377</v>
      </c>
      <c r="G110" s="74" t="s">
        <v>112</v>
      </c>
      <c r="H110" s="75">
        <v>5</v>
      </c>
      <c r="I110" s="76">
        <v>1</v>
      </c>
      <c r="J110" s="96">
        <f>1</f>
        <v>1</v>
      </c>
      <c r="K110" s="77">
        <f>633.93</f>
        <v>633.92999999999995</v>
      </c>
      <c r="L110" s="77"/>
      <c r="M110" s="78">
        <f t="shared" si="4"/>
        <v>633.92999999999995</v>
      </c>
      <c r="N110" s="100">
        <f>1+3+1</f>
        <v>5</v>
      </c>
      <c r="O110" s="81">
        <f>1950.74+10237.13</f>
        <v>12187.869999999999</v>
      </c>
      <c r="P110" s="81"/>
      <c r="Q110" s="79">
        <f t="shared" si="3"/>
        <v>12187.869999999999</v>
      </c>
    </row>
    <row r="111" spans="1:19" s="13" customFormat="1" ht="15.75" hidden="1" x14ac:dyDescent="0.25">
      <c r="A111" s="10"/>
      <c r="B111" s="24" t="s">
        <v>72</v>
      </c>
      <c r="C111" s="1" t="s">
        <v>17</v>
      </c>
      <c r="D111" s="120"/>
      <c r="E111" s="3" t="s">
        <v>21</v>
      </c>
      <c r="F111" s="73" t="s">
        <v>441</v>
      </c>
      <c r="G111" s="11" t="s">
        <v>118</v>
      </c>
      <c r="H111" s="1">
        <v>1</v>
      </c>
      <c r="I111" s="49"/>
      <c r="J111" s="46"/>
      <c r="K111" s="40"/>
      <c r="L111" s="40"/>
      <c r="M111" s="38">
        <f t="shared" si="4"/>
        <v>0</v>
      </c>
      <c r="N111" s="41">
        <v>6</v>
      </c>
      <c r="O111" s="31">
        <v>12247.68</v>
      </c>
      <c r="P111" s="31"/>
      <c r="Q111" s="12">
        <f t="shared" si="3"/>
        <v>12247.68</v>
      </c>
    </row>
    <row r="112" spans="1:19" s="15" customFormat="1" ht="15.75" hidden="1" x14ac:dyDescent="0.25">
      <c r="A112" s="14"/>
      <c r="B112" s="84" t="s">
        <v>73</v>
      </c>
      <c r="C112" s="1" t="s">
        <v>17</v>
      </c>
      <c r="D112" s="120"/>
      <c r="E112" s="3" t="s">
        <v>74</v>
      </c>
      <c r="F112" s="73" t="s">
        <v>378</v>
      </c>
      <c r="G112" s="74" t="s">
        <v>112</v>
      </c>
      <c r="H112" s="75">
        <v>11</v>
      </c>
      <c r="I112" s="76"/>
      <c r="J112" s="96"/>
      <c r="K112" s="77"/>
      <c r="L112" s="77"/>
      <c r="M112" s="78">
        <f t="shared" si="4"/>
        <v>0</v>
      </c>
      <c r="N112" s="100">
        <f>5</f>
        <v>5</v>
      </c>
      <c r="O112" s="81">
        <f>5416.39</f>
        <v>5416.39</v>
      </c>
      <c r="P112" s="81"/>
      <c r="Q112" s="79">
        <f t="shared" si="3"/>
        <v>5416.39</v>
      </c>
    </row>
    <row r="113" spans="1:17" s="15" customFormat="1" ht="15.75" x14ac:dyDescent="0.25">
      <c r="A113" s="14"/>
      <c r="B113" s="29" t="s">
        <v>73</v>
      </c>
      <c r="C113" s="1" t="s">
        <v>17</v>
      </c>
      <c r="D113" s="120"/>
      <c r="E113" s="3" t="s">
        <v>74</v>
      </c>
      <c r="F113" s="73" t="s">
        <v>282</v>
      </c>
      <c r="G113" s="11" t="s">
        <v>114</v>
      </c>
      <c r="H113" s="1"/>
      <c r="I113" s="49"/>
      <c r="J113" s="51"/>
      <c r="K113" s="40"/>
      <c r="L113" s="40"/>
      <c r="M113" s="38">
        <f t="shared" si="4"/>
        <v>0</v>
      </c>
      <c r="N113" s="42">
        <v>1</v>
      </c>
      <c r="O113" s="31"/>
      <c r="P113" s="31"/>
      <c r="Q113" s="12">
        <f t="shared" si="3"/>
        <v>0</v>
      </c>
    </row>
    <row r="114" spans="1:17" s="13" customFormat="1" ht="15.75" hidden="1" x14ac:dyDescent="0.25">
      <c r="A114" s="10"/>
      <c r="B114" s="30" t="s">
        <v>135</v>
      </c>
      <c r="C114" s="1" t="s">
        <v>17</v>
      </c>
      <c r="D114" s="120"/>
      <c r="E114" s="17" t="s">
        <v>35</v>
      </c>
      <c r="F114" s="73" t="s">
        <v>379</v>
      </c>
      <c r="G114" s="74" t="s">
        <v>112</v>
      </c>
      <c r="H114" s="75">
        <v>7</v>
      </c>
      <c r="I114" s="76">
        <v>1</v>
      </c>
      <c r="J114" s="96">
        <f>1</f>
        <v>1</v>
      </c>
      <c r="K114" s="77">
        <v>697.32</v>
      </c>
      <c r="L114" s="77"/>
      <c r="M114" s="38">
        <f t="shared" si="4"/>
        <v>697.32</v>
      </c>
      <c r="N114" s="100">
        <f>2+5+1</f>
        <v>8</v>
      </c>
      <c r="O114" s="81">
        <v>6432.89</v>
      </c>
      <c r="P114" s="81"/>
      <c r="Q114" s="12">
        <f t="shared" si="3"/>
        <v>6432.89</v>
      </c>
    </row>
    <row r="115" spans="1:17" s="13" customFormat="1" ht="15.75" hidden="1" x14ac:dyDescent="0.25">
      <c r="A115" s="10"/>
      <c r="B115" s="24" t="s">
        <v>135</v>
      </c>
      <c r="C115" s="1" t="s">
        <v>17</v>
      </c>
      <c r="D115" s="120"/>
      <c r="E115" s="17" t="s">
        <v>35</v>
      </c>
      <c r="F115" s="73" t="s">
        <v>432</v>
      </c>
      <c r="G115" s="11" t="s">
        <v>115</v>
      </c>
      <c r="H115" s="1"/>
      <c r="I115" s="49"/>
      <c r="J115" s="46"/>
      <c r="K115" s="40"/>
      <c r="L115" s="40"/>
      <c r="M115" s="78">
        <f t="shared" si="4"/>
        <v>0</v>
      </c>
      <c r="N115" s="41"/>
      <c r="O115" s="31"/>
      <c r="P115" s="31"/>
      <c r="Q115" s="79">
        <f t="shared" si="3"/>
        <v>0</v>
      </c>
    </row>
    <row r="116" spans="1:17" s="13" customFormat="1" ht="15.75" hidden="1" x14ac:dyDescent="0.25">
      <c r="A116" s="10"/>
      <c r="B116" s="30" t="s">
        <v>145</v>
      </c>
      <c r="C116" s="1" t="s">
        <v>17</v>
      </c>
      <c r="D116" s="120"/>
      <c r="E116" s="17" t="s">
        <v>20</v>
      </c>
      <c r="F116" s="73" t="s">
        <v>380</v>
      </c>
      <c r="G116" s="74" t="s">
        <v>112</v>
      </c>
      <c r="H116" s="75">
        <v>2</v>
      </c>
      <c r="I116" s="82">
        <v>1</v>
      </c>
      <c r="J116" s="96">
        <f>2</f>
        <v>2</v>
      </c>
      <c r="K116" s="77">
        <f>5169.72</f>
        <v>5169.72</v>
      </c>
      <c r="L116" s="77"/>
      <c r="M116" s="38">
        <f t="shared" si="4"/>
        <v>5169.72</v>
      </c>
      <c r="N116" s="100">
        <f>1+1+2</f>
        <v>4</v>
      </c>
      <c r="O116" s="81">
        <f>5120.23+3915.15</f>
        <v>9035.3799999999992</v>
      </c>
      <c r="P116" s="81"/>
      <c r="Q116" s="12">
        <f t="shared" si="3"/>
        <v>9035.3799999999992</v>
      </c>
    </row>
    <row r="117" spans="1:17" s="13" customFormat="1" ht="15.75" x14ac:dyDescent="0.25">
      <c r="A117" s="10"/>
      <c r="B117" s="24" t="s">
        <v>145</v>
      </c>
      <c r="C117" s="1" t="s">
        <v>17</v>
      </c>
      <c r="D117" s="120"/>
      <c r="E117" s="17" t="s">
        <v>20</v>
      </c>
      <c r="F117" s="73" t="s">
        <v>461</v>
      </c>
      <c r="G117" s="11" t="s">
        <v>114</v>
      </c>
      <c r="H117" s="1"/>
      <c r="I117" s="49"/>
      <c r="J117" s="51"/>
      <c r="K117" s="40"/>
      <c r="L117" s="40"/>
      <c r="M117" s="78">
        <f t="shared" si="4"/>
        <v>0</v>
      </c>
      <c r="N117" s="41">
        <v>9</v>
      </c>
      <c r="O117" s="31">
        <v>19379.400000000001</v>
      </c>
      <c r="P117" s="31">
        <f>2633.4</f>
        <v>2633.4</v>
      </c>
      <c r="Q117" s="79">
        <f t="shared" si="3"/>
        <v>16746</v>
      </c>
    </row>
    <row r="118" spans="1:17" s="13" customFormat="1" ht="15.75" hidden="1" x14ac:dyDescent="0.25">
      <c r="A118" s="10"/>
      <c r="B118" s="62" t="s">
        <v>76</v>
      </c>
      <c r="C118" s="1" t="s">
        <v>17</v>
      </c>
      <c r="D118" s="120"/>
      <c r="E118" s="3" t="s">
        <v>20</v>
      </c>
      <c r="F118" s="73" t="s">
        <v>381</v>
      </c>
      <c r="G118" s="74" t="s">
        <v>112</v>
      </c>
      <c r="H118" s="75">
        <v>10</v>
      </c>
      <c r="I118" s="76">
        <v>7</v>
      </c>
      <c r="J118" s="96">
        <f>1+6</f>
        <v>7</v>
      </c>
      <c r="K118" s="77"/>
      <c r="L118" s="77"/>
      <c r="M118" s="38">
        <f t="shared" si="4"/>
        <v>0</v>
      </c>
      <c r="N118" s="100">
        <f>5+6</f>
        <v>11</v>
      </c>
      <c r="O118" s="81">
        <f>11527.9</f>
        <v>11527.9</v>
      </c>
      <c r="P118" s="81"/>
      <c r="Q118" s="12">
        <f t="shared" si="3"/>
        <v>11527.9</v>
      </c>
    </row>
    <row r="119" spans="1:17" s="13" customFormat="1" ht="15.75" x14ac:dyDescent="0.25">
      <c r="A119" s="10"/>
      <c r="B119" s="22" t="s">
        <v>76</v>
      </c>
      <c r="C119" s="1" t="s">
        <v>17</v>
      </c>
      <c r="D119" s="120"/>
      <c r="E119" s="3" t="s">
        <v>20</v>
      </c>
      <c r="F119" s="73" t="s">
        <v>462</v>
      </c>
      <c r="G119" s="11" t="s">
        <v>114</v>
      </c>
      <c r="H119" s="1">
        <v>3</v>
      </c>
      <c r="I119" s="49"/>
      <c r="J119" s="51"/>
      <c r="K119" s="40"/>
      <c r="L119" s="40"/>
      <c r="M119" s="78">
        <f t="shared" si="4"/>
        <v>0</v>
      </c>
      <c r="N119" s="41">
        <v>7</v>
      </c>
      <c r="O119" s="31">
        <v>17927.759999999998</v>
      </c>
      <c r="P119" s="31">
        <f>3649.9</f>
        <v>3649.9</v>
      </c>
      <c r="Q119" s="79">
        <f t="shared" si="3"/>
        <v>14277.859999999999</v>
      </c>
    </row>
    <row r="120" spans="1:17" s="13" customFormat="1" ht="15.75" hidden="1" x14ac:dyDescent="0.25">
      <c r="A120" s="10"/>
      <c r="B120" s="30" t="s">
        <v>77</v>
      </c>
      <c r="C120" s="1" t="s">
        <v>17</v>
      </c>
      <c r="D120" s="120"/>
      <c r="E120" s="3" t="s">
        <v>32</v>
      </c>
      <c r="F120" s="73" t="s">
        <v>388</v>
      </c>
      <c r="G120" s="74" t="s">
        <v>112</v>
      </c>
      <c r="H120" s="75">
        <v>4</v>
      </c>
      <c r="I120" s="76">
        <v>2</v>
      </c>
      <c r="J120" s="96">
        <f>2</f>
        <v>2</v>
      </c>
      <c r="K120" s="77"/>
      <c r="L120" s="77"/>
      <c r="M120" s="38">
        <f t="shared" si="4"/>
        <v>0</v>
      </c>
      <c r="N120" s="100">
        <f>5+2+3</f>
        <v>10</v>
      </c>
      <c r="O120" s="81">
        <f>11716.73+6848.82</f>
        <v>18565.55</v>
      </c>
      <c r="P120" s="81">
        <f>11716.73</f>
        <v>11716.73</v>
      </c>
      <c r="Q120" s="12">
        <f t="shared" si="3"/>
        <v>6848.82</v>
      </c>
    </row>
    <row r="121" spans="1:17" s="13" customFormat="1" ht="15.75" hidden="1" x14ac:dyDescent="0.25">
      <c r="A121" s="10"/>
      <c r="B121" s="24" t="s">
        <v>77</v>
      </c>
      <c r="C121" s="1" t="s">
        <v>17</v>
      </c>
      <c r="D121" s="120"/>
      <c r="E121" s="3" t="s">
        <v>32</v>
      </c>
      <c r="F121" s="73" t="s">
        <v>433</v>
      </c>
      <c r="G121" s="11" t="s">
        <v>117</v>
      </c>
      <c r="H121" s="1">
        <v>1</v>
      </c>
      <c r="I121" s="49"/>
      <c r="J121" s="46"/>
      <c r="K121" s="40"/>
      <c r="L121" s="40"/>
      <c r="M121" s="78">
        <f t="shared" si="4"/>
        <v>0</v>
      </c>
      <c r="N121" s="41">
        <v>5</v>
      </c>
      <c r="O121" s="31">
        <v>15666.81</v>
      </c>
      <c r="P121" s="31"/>
      <c r="Q121" s="79">
        <f t="shared" si="3"/>
        <v>15666.81</v>
      </c>
    </row>
    <row r="122" spans="1:17" s="13" customFormat="1" ht="15.75" hidden="1" x14ac:dyDescent="0.25">
      <c r="A122" s="10"/>
      <c r="B122" s="24" t="s">
        <v>321</v>
      </c>
      <c r="C122" s="1" t="s">
        <v>17</v>
      </c>
      <c r="D122" s="120"/>
      <c r="E122" s="3" t="s">
        <v>21</v>
      </c>
      <c r="F122" s="73" t="s">
        <v>382</v>
      </c>
      <c r="G122" s="11" t="s">
        <v>112</v>
      </c>
      <c r="H122" s="1">
        <v>1</v>
      </c>
      <c r="I122" s="49"/>
      <c r="J122" s="46"/>
      <c r="K122" s="40"/>
      <c r="L122" s="40"/>
      <c r="M122" s="78"/>
      <c r="N122" s="41"/>
      <c r="O122" s="31"/>
      <c r="P122" s="31"/>
      <c r="Q122" s="79"/>
    </row>
    <row r="123" spans="1:17" s="13" customFormat="1" ht="31.5" hidden="1" x14ac:dyDescent="0.25">
      <c r="A123" s="10"/>
      <c r="B123" s="62" t="s">
        <v>79</v>
      </c>
      <c r="C123" s="1" t="s">
        <v>304</v>
      </c>
      <c r="D123" s="120" t="s">
        <v>385</v>
      </c>
      <c r="E123" s="3" t="s">
        <v>18</v>
      </c>
      <c r="F123" s="73" t="s">
        <v>389</v>
      </c>
      <c r="G123" s="74" t="s">
        <v>112</v>
      </c>
      <c r="H123" s="75">
        <v>2</v>
      </c>
      <c r="I123" s="76"/>
      <c r="J123" s="96"/>
      <c r="K123" s="77"/>
      <c r="L123" s="77"/>
      <c r="M123" s="38">
        <f t="shared" si="4"/>
        <v>0</v>
      </c>
      <c r="N123" s="100">
        <f>2+2</f>
        <v>4</v>
      </c>
      <c r="O123" s="81">
        <f>1547.4+4166.12</f>
        <v>5713.52</v>
      </c>
      <c r="P123" s="81"/>
      <c r="Q123" s="12">
        <f t="shared" si="3"/>
        <v>5713.52</v>
      </c>
    </row>
    <row r="124" spans="1:17" s="13" customFormat="1" ht="31.5" hidden="1" x14ac:dyDescent="0.25">
      <c r="A124" s="10"/>
      <c r="B124" s="22" t="s">
        <v>79</v>
      </c>
      <c r="C124" s="1" t="s">
        <v>304</v>
      </c>
      <c r="D124" s="120" t="s">
        <v>475</v>
      </c>
      <c r="E124" s="3" t="s">
        <v>18</v>
      </c>
      <c r="F124" s="73" t="s">
        <v>329</v>
      </c>
      <c r="G124" s="11" t="s">
        <v>113</v>
      </c>
      <c r="H124" s="1">
        <v>5</v>
      </c>
      <c r="I124" s="53">
        <v>1</v>
      </c>
      <c r="J124" s="127">
        <v>1</v>
      </c>
      <c r="K124" s="31">
        <v>1268</v>
      </c>
      <c r="L124" s="31"/>
      <c r="M124" s="78">
        <f t="shared" si="4"/>
        <v>1268</v>
      </c>
      <c r="N124" s="41">
        <v>6</v>
      </c>
      <c r="O124" s="31">
        <v>23797</v>
      </c>
      <c r="P124" s="31"/>
      <c r="Q124" s="79">
        <f t="shared" si="3"/>
        <v>23797</v>
      </c>
    </row>
    <row r="125" spans="1:17" s="13" customFormat="1" ht="15.75" hidden="1" x14ac:dyDescent="0.25">
      <c r="A125" s="10"/>
      <c r="B125" s="62" t="s">
        <v>151</v>
      </c>
      <c r="C125" s="1" t="s">
        <v>17</v>
      </c>
      <c r="D125" s="120"/>
      <c r="E125" s="3" t="s">
        <v>32</v>
      </c>
      <c r="F125" s="73" t="s">
        <v>390</v>
      </c>
      <c r="G125" s="74" t="s">
        <v>112</v>
      </c>
      <c r="H125" s="75">
        <v>8</v>
      </c>
      <c r="I125" s="82">
        <v>1</v>
      </c>
      <c r="J125" s="96">
        <f>1</f>
        <v>1</v>
      </c>
      <c r="K125" s="81"/>
      <c r="L125" s="81"/>
      <c r="M125" s="38">
        <f t="shared" si="4"/>
        <v>0</v>
      </c>
      <c r="N125" s="100">
        <f>9+3</f>
        <v>12</v>
      </c>
      <c r="O125" s="81">
        <f>10726.94</f>
        <v>10726.94</v>
      </c>
      <c r="P125" s="81">
        <f>10726.94</f>
        <v>10726.94</v>
      </c>
      <c r="Q125" s="12">
        <f t="shared" si="3"/>
        <v>0</v>
      </c>
    </row>
    <row r="126" spans="1:17" s="13" customFormat="1" ht="15.75" hidden="1" x14ac:dyDescent="0.25">
      <c r="A126" s="10"/>
      <c r="B126" s="22" t="s">
        <v>151</v>
      </c>
      <c r="C126" s="1" t="s">
        <v>17</v>
      </c>
      <c r="D126" s="120"/>
      <c r="E126" s="3" t="s">
        <v>32</v>
      </c>
      <c r="F126" s="73" t="s">
        <v>434</v>
      </c>
      <c r="G126" s="11" t="s">
        <v>117</v>
      </c>
      <c r="H126" s="1">
        <v>4</v>
      </c>
      <c r="I126" s="49"/>
      <c r="J126" s="46"/>
      <c r="K126" s="40"/>
      <c r="L126" s="40"/>
      <c r="M126" s="78">
        <f t="shared" si="4"/>
        <v>0</v>
      </c>
      <c r="N126" s="41">
        <v>8</v>
      </c>
      <c r="O126" s="31">
        <v>14253.2</v>
      </c>
      <c r="P126" s="31"/>
      <c r="Q126" s="79">
        <f t="shared" si="3"/>
        <v>14253.2</v>
      </c>
    </row>
    <row r="127" spans="1:17" s="13" customFormat="1" ht="15.75" hidden="1" x14ac:dyDescent="0.25">
      <c r="A127" s="10"/>
      <c r="B127" s="62" t="s">
        <v>80</v>
      </c>
      <c r="C127" s="1" t="s">
        <v>17</v>
      </c>
      <c r="D127" s="120"/>
      <c r="E127" s="3" t="s">
        <v>81</v>
      </c>
      <c r="F127" s="73" t="s">
        <v>417</v>
      </c>
      <c r="G127" s="74" t="s">
        <v>112</v>
      </c>
      <c r="H127" s="75"/>
      <c r="I127" s="76"/>
      <c r="J127" s="96"/>
      <c r="K127" s="77"/>
      <c r="L127" s="77"/>
      <c r="M127" s="38">
        <f t="shared" si="4"/>
        <v>0</v>
      </c>
      <c r="N127" s="100">
        <f>2</f>
        <v>2</v>
      </c>
      <c r="O127" s="81"/>
      <c r="P127" s="81"/>
      <c r="Q127" s="12">
        <f t="shared" si="3"/>
        <v>0</v>
      </c>
    </row>
    <row r="128" spans="1:17" s="13" customFormat="1" ht="15.75" x14ac:dyDescent="0.25">
      <c r="A128" s="10"/>
      <c r="B128" s="22" t="s">
        <v>80</v>
      </c>
      <c r="C128" s="1" t="s">
        <v>17</v>
      </c>
      <c r="D128" s="120"/>
      <c r="E128" s="3" t="s">
        <v>81</v>
      </c>
      <c r="F128" s="73" t="s">
        <v>285</v>
      </c>
      <c r="G128" s="11" t="s">
        <v>114</v>
      </c>
      <c r="H128" s="1"/>
      <c r="I128" s="49"/>
      <c r="J128" s="51"/>
      <c r="K128" s="40"/>
      <c r="L128" s="40"/>
      <c r="M128" s="78">
        <f t="shared" si="4"/>
        <v>0</v>
      </c>
      <c r="N128" s="41">
        <v>15</v>
      </c>
      <c r="O128" s="31">
        <f>21200.04</f>
        <v>21200.04</v>
      </c>
      <c r="P128" s="31">
        <f>4610.4</f>
        <v>4610.3999999999996</v>
      </c>
      <c r="Q128" s="79">
        <f t="shared" si="3"/>
        <v>16589.64</v>
      </c>
    </row>
    <row r="129" spans="1:17" s="13" customFormat="1" ht="15.75" hidden="1" x14ac:dyDescent="0.25">
      <c r="A129" s="10"/>
      <c r="B129" s="30" t="s">
        <v>82</v>
      </c>
      <c r="C129" s="1" t="s">
        <v>17</v>
      </c>
      <c r="D129" s="120"/>
      <c r="E129" s="3" t="s">
        <v>20</v>
      </c>
      <c r="F129" s="73" t="s">
        <v>394</v>
      </c>
      <c r="G129" s="74" t="s">
        <v>112</v>
      </c>
      <c r="H129" s="75">
        <v>3</v>
      </c>
      <c r="I129" s="76"/>
      <c r="J129" s="96"/>
      <c r="K129" s="77"/>
      <c r="L129" s="77"/>
      <c r="M129" s="38">
        <f t="shared" si="4"/>
        <v>0</v>
      </c>
      <c r="N129" s="100">
        <f>3+5</f>
        <v>8</v>
      </c>
      <c r="O129" s="81">
        <f>5975.84</f>
        <v>5975.84</v>
      </c>
      <c r="P129" s="81"/>
      <c r="Q129" s="12">
        <f t="shared" si="3"/>
        <v>5975.84</v>
      </c>
    </row>
    <row r="130" spans="1:17" s="13" customFormat="1" ht="15.75" x14ac:dyDescent="0.25">
      <c r="A130" s="10"/>
      <c r="B130" s="24" t="s">
        <v>82</v>
      </c>
      <c r="C130" s="1" t="s">
        <v>17</v>
      </c>
      <c r="D130" s="120"/>
      <c r="E130" s="3" t="s">
        <v>20</v>
      </c>
      <c r="F130" s="73" t="s">
        <v>463</v>
      </c>
      <c r="G130" s="11" t="s">
        <v>114</v>
      </c>
      <c r="H130" s="1">
        <v>3</v>
      </c>
      <c r="I130" s="49"/>
      <c r="J130" s="51"/>
      <c r="K130" s="40"/>
      <c r="L130" s="40"/>
      <c r="M130" s="78">
        <f t="shared" si="4"/>
        <v>0</v>
      </c>
      <c r="N130" s="41">
        <v>7</v>
      </c>
      <c r="O130" s="31">
        <v>10757.8</v>
      </c>
      <c r="P130" s="31">
        <f>4314.3</f>
        <v>4314.3</v>
      </c>
      <c r="Q130" s="79">
        <f t="shared" si="3"/>
        <v>6443.4999999999991</v>
      </c>
    </row>
    <row r="131" spans="1:17" s="13" customFormat="1" ht="15.75" hidden="1" x14ac:dyDescent="0.25">
      <c r="A131" s="10"/>
      <c r="B131" s="24" t="s">
        <v>309</v>
      </c>
      <c r="C131" s="1"/>
      <c r="D131" s="120"/>
      <c r="E131" s="3" t="s">
        <v>20</v>
      </c>
      <c r="F131" s="73" t="s">
        <v>391</v>
      </c>
      <c r="G131" s="11" t="s">
        <v>112</v>
      </c>
      <c r="H131" s="1">
        <v>6</v>
      </c>
      <c r="I131" s="58">
        <v>1</v>
      </c>
      <c r="J131" s="51">
        <f>1</f>
        <v>1</v>
      </c>
      <c r="K131" s="40"/>
      <c r="L131" s="40"/>
      <c r="M131" s="38">
        <f t="shared" si="4"/>
        <v>0</v>
      </c>
      <c r="N131" s="41">
        <f>1+5</f>
        <v>6</v>
      </c>
      <c r="O131" s="31">
        <f>3088.97</f>
        <v>3088.97</v>
      </c>
      <c r="P131" s="31"/>
      <c r="Q131" s="79"/>
    </row>
    <row r="132" spans="1:17" s="13" customFormat="1" ht="15.75" hidden="1" x14ac:dyDescent="0.25">
      <c r="A132" s="10"/>
      <c r="B132" s="30" t="s">
        <v>152</v>
      </c>
      <c r="C132" s="1" t="s">
        <v>17</v>
      </c>
      <c r="D132" s="120"/>
      <c r="E132" s="3" t="s">
        <v>35</v>
      </c>
      <c r="F132" s="73" t="s">
        <v>392</v>
      </c>
      <c r="G132" s="74" t="s">
        <v>112</v>
      </c>
      <c r="H132" s="75">
        <v>7</v>
      </c>
      <c r="I132" s="76">
        <v>1</v>
      </c>
      <c r="J132" s="96">
        <f>1+1</f>
        <v>2</v>
      </c>
      <c r="K132" s="77">
        <f>403.41</f>
        <v>403.41</v>
      </c>
      <c r="L132" s="77"/>
      <c r="M132" s="38">
        <f t="shared" si="4"/>
        <v>403.41</v>
      </c>
      <c r="N132" s="100">
        <f>2+2+2</f>
        <v>6</v>
      </c>
      <c r="O132" s="81">
        <f>1690.48+3050.26</f>
        <v>4740.74</v>
      </c>
      <c r="P132" s="81">
        <f>1690.4</f>
        <v>1690.4</v>
      </c>
      <c r="Q132" s="12">
        <f t="shared" si="3"/>
        <v>3050.3399999999997</v>
      </c>
    </row>
    <row r="133" spans="1:17" s="13" customFormat="1" ht="15.75" hidden="1" x14ac:dyDescent="0.25">
      <c r="A133" s="10"/>
      <c r="B133" s="24" t="s">
        <v>152</v>
      </c>
      <c r="C133" s="1" t="s">
        <v>17</v>
      </c>
      <c r="D133" s="120"/>
      <c r="E133" s="3" t="s">
        <v>32</v>
      </c>
      <c r="F133" s="73"/>
      <c r="G133" s="11" t="s">
        <v>117</v>
      </c>
      <c r="H133" s="1"/>
      <c r="I133" s="49"/>
      <c r="J133" s="46"/>
      <c r="K133" s="40"/>
      <c r="L133" s="40"/>
      <c r="M133" s="78">
        <f t="shared" si="4"/>
        <v>0</v>
      </c>
      <c r="N133" s="41"/>
      <c r="O133" s="31"/>
      <c r="P133" s="31"/>
      <c r="Q133" s="79">
        <f t="shared" si="3"/>
        <v>0</v>
      </c>
    </row>
    <row r="134" spans="1:17" s="13" customFormat="1" ht="15.75" hidden="1" x14ac:dyDescent="0.25">
      <c r="A134" s="10"/>
      <c r="B134" s="30" t="s">
        <v>83</v>
      </c>
      <c r="C134" s="1" t="s">
        <v>17</v>
      </c>
      <c r="D134" s="120"/>
      <c r="E134" s="3" t="s">
        <v>20</v>
      </c>
      <c r="F134" s="73" t="s">
        <v>393</v>
      </c>
      <c r="G134" s="74" t="s">
        <v>112</v>
      </c>
      <c r="H134" s="75">
        <v>7</v>
      </c>
      <c r="I134" s="76">
        <v>1</v>
      </c>
      <c r="J134" s="96">
        <f>1</f>
        <v>1</v>
      </c>
      <c r="K134" s="77"/>
      <c r="L134" s="77"/>
      <c r="M134" s="38">
        <f t="shared" si="4"/>
        <v>0</v>
      </c>
      <c r="N134" s="100">
        <f>1</f>
        <v>1</v>
      </c>
      <c r="O134" s="81"/>
      <c r="P134" s="81"/>
      <c r="Q134" s="12">
        <f t="shared" si="3"/>
        <v>0</v>
      </c>
    </row>
    <row r="135" spans="1:17" s="13" customFormat="1" ht="15.75" x14ac:dyDescent="0.25">
      <c r="A135" s="10"/>
      <c r="B135" s="24" t="s">
        <v>83</v>
      </c>
      <c r="C135" s="1" t="s">
        <v>17</v>
      </c>
      <c r="D135" s="120"/>
      <c r="E135" s="3" t="s">
        <v>20</v>
      </c>
      <c r="F135" s="73" t="s">
        <v>464</v>
      </c>
      <c r="G135" s="11" t="s">
        <v>114</v>
      </c>
      <c r="H135" s="1">
        <v>2</v>
      </c>
      <c r="I135" s="49"/>
      <c r="J135" s="51"/>
      <c r="K135" s="40"/>
      <c r="L135" s="40"/>
      <c r="M135" s="78">
        <f t="shared" si="4"/>
        <v>0</v>
      </c>
      <c r="N135" s="41">
        <v>22</v>
      </c>
      <c r="O135" s="31">
        <v>43871.3</v>
      </c>
      <c r="P135" s="31">
        <f>3649.9</f>
        <v>3649.9</v>
      </c>
      <c r="Q135" s="79">
        <f t="shared" si="3"/>
        <v>40221.4</v>
      </c>
    </row>
    <row r="136" spans="1:17" s="13" customFormat="1" ht="15.75" x14ac:dyDescent="0.25">
      <c r="A136" s="10"/>
      <c r="B136" s="24" t="s">
        <v>310</v>
      </c>
      <c r="C136" s="1"/>
      <c r="D136" s="120"/>
      <c r="E136" s="3" t="s">
        <v>20</v>
      </c>
      <c r="F136" s="73"/>
      <c r="G136" s="11" t="s">
        <v>114</v>
      </c>
      <c r="H136" s="1"/>
      <c r="I136" s="49"/>
      <c r="J136" s="51"/>
      <c r="K136" s="40"/>
      <c r="L136" s="40"/>
      <c r="M136" s="78"/>
      <c r="N136" s="41"/>
      <c r="O136" s="31"/>
      <c r="P136" s="31"/>
      <c r="Q136" s="79"/>
    </row>
    <row r="137" spans="1:17" s="13" customFormat="1" ht="15.75" x14ac:dyDescent="0.25">
      <c r="A137" s="10"/>
      <c r="B137" s="30" t="s">
        <v>84</v>
      </c>
      <c r="C137" s="1"/>
      <c r="D137" s="120"/>
      <c r="E137" s="3" t="s">
        <v>20</v>
      </c>
      <c r="F137" s="73" t="s">
        <v>287</v>
      </c>
      <c r="G137" s="11" t="s">
        <v>114</v>
      </c>
      <c r="H137" s="1"/>
      <c r="I137" s="49"/>
      <c r="J137" s="51"/>
      <c r="K137" s="40"/>
      <c r="L137" s="40"/>
      <c r="M137" s="38">
        <f t="shared" si="4"/>
        <v>0</v>
      </c>
      <c r="N137" s="41"/>
      <c r="O137" s="31"/>
      <c r="P137" s="31"/>
      <c r="Q137" s="12">
        <f t="shared" si="3"/>
        <v>0</v>
      </c>
    </row>
    <row r="138" spans="1:17" s="13" customFormat="1" ht="47.25" hidden="1" x14ac:dyDescent="0.25">
      <c r="A138" s="10"/>
      <c r="B138" s="30" t="s">
        <v>85</v>
      </c>
      <c r="C138" s="1" t="s">
        <v>304</v>
      </c>
      <c r="D138" s="120" t="s">
        <v>415</v>
      </c>
      <c r="E138" s="3" t="s">
        <v>20</v>
      </c>
      <c r="F138" s="73" t="s">
        <v>395</v>
      </c>
      <c r="G138" s="74" t="s">
        <v>112</v>
      </c>
      <c r="H138" s="75">
        <v>2</v>
      </c>
      <c r="I138" s="76"/>
      <c r="J138" s="96"/>
      <c r="K138" s="77"/>
      <c r="L138" s="77"/>
      <c r="M138" s="38">
        <f t="shared" si="4"/>
        <v>0</v>
      </c>
      <c r="N138" s="100"/>
      <c r="O138" s="81"/>
      <c r="P138" s="81"/>
      <c r="Q138" s="79">
        <f t="shared" si="3"/>
        <v>0</v>
      </c>
    </row>
    <row r="139" spans="1:17" s="13" customFormat="1" ht="15.75" hidden="1" x14ac:dyDescent="0.25">
      <c r="A139" s="10"/>
      <c r="B139" s="27" t="s">
        <v>86</v>
      </c>
      <c r="C139" s="1" t="s">
        <v>17</v>
      </c>
      <c r="D139" s="120"/>
      <c r="E139" s="17" t="s">
        <v>20</v>
      </c>
      <c r="F139" s="73" t="s">
        <v>396</v>
      </c>
      <c r="G139" s="74" t="s">
        <v>112</v>
      </c>
      <c r="H139" s="75">
        <v>4</v>
      </c>
      <c r="I139" s="76">
        <v>1</v>
      </c>
      <c r="J139" s="96">
        <f>1</f>
        <v>1</v>
      </c>
      <c r="K139" s="77">
        <f>950.9</f>
        <v>950.9</v>
      </c>
      <c r="L139" s="77"/>
      <c r="M139" s="38">
        <f t="shared" si="4"/>
        <v>950.9</v>
      </c>
      <c r="N139" s="100">
        <f>15+4</f>
        <v>19</v>
      </c>
      <c r="O139" s="81">
        <f>30236.61+18366.75</f>
        <v>48603.360000000001</v>
      </c>
      <c r="P139" s="81"/>
      <c r="Q139" s="12">
        <f t="shared" si="3"/>
        <v>48603.360000000001</v>
      </c>
    </row>
    <row r="140" spans="1:17" s="13" customFormat="1" ht="15.75" x14ac:dyDescent="0.25">
      <c r="A140" s="10"/>
      <c r="B140" s="25" t="s">
        <v>86</v>
      </c>
      <c r="C140" s="1" t="s">
        <v>17</v>
      </c>
      <c r="D140" s="120"/>
      <c r="E140" s="17" t="s">
        <v>20</v>
      </c>
      <c r="F140" s="73" t="s">
        <v>465</v>
      </c>
      <c r="G140" s="11" t="s">
        <v>114</v>
      </c>
      <c r="H140" s="1"/>
      <c r="I140" s="49"/>
      <c r="J140" s="51"/>
      <c r="K140" s="40"/>
      <c r="L140" s="40"/>
      <c r="M140" s="78">
        <f t="shared" si="4"/>
        <v>0</v>
      </c>
      <c r="N140" s="41">
        <v>3</v>
      </c>
      <c r="O140" s="31"/>
      <c r="P140" s="31"/>
      <c r="Q140" s="79">
        <f t="shared" si="3"/>
        <v>0</v>
      </c>
    </row>
    <row r="141" spans="1:17" s="13" customFormat="1" ht="15.75" hidden="1" x14ac:dyDescent="0.25">
      <c r="A141" s="10"/>
      <c r="B141" s="62" t="s">
        <v>87</v>
      </c>
      <c r="C141" s="1" t="s">
        <v>17</v>
      </c>
      <c r="D141" s="120"/>
      <c r="E141" s="17" t="s">
        <v>78</v>
      </c>
      <c r="F141" s="73" t="s">
        <v>142</v>
      </c>
      <c r="G141" s="74" t="s">
        <v>112</v>
      </c>
      <c r="H141" s="75"/>
      <c r="I141" s="76"/>
      <c r="J141" s="96"/>
      <c r="K141" s="77"/>
      <c r="L141" s="77"/>
      <c r="M141" s="38">
        <f t="shared" si="4"/>
        <v>0</v>
      </c>
      <c r="N141" s="100"/>
      <c r="O141" s="81"/>
      <c r="P141" s="81"/>
      <c r="Q141" s="12">
        <f t="shared" si="3"/>
        <v>0</v>
      </c>
    </row>
    <row r="142" spans="1:17" s="13" customFormat="1" ht="15.75" hidden="1" x14ac:dyDescent="0.25">
      <c r="A142" s="10"/>
      <c r="B142" s="62" t="s">
        <v>312</v>
      </c>
      <c r="C142" s="1" t="s">
        <v>17</v>
      </c>
      <c r="D142" s="120"/>
      <c r="E142" s="17" t="s">
        <v>20</v>
      </c>
      <c r="F142" s="73" t="s">
        <v>320</v>
      </c>
      <c r="G142" s="74" t="s">
        <v>112</v>
      </c>
      <c r="H142" s="75">
        <v>4</v>
      </c>
      <c r="I142" s="76">
        <v>1</v>
      </c>
      <c r="J142" s="96">
        <f>1</f>
        <v>1</v>
      </c>
      <c r="K142" s="77"/>
      <c r="L142" s="77"/>
      <c r="M142" s="38"/>
      <c r="N142" s="100">
        <f>5+6</f>
        <v>11</v>
      </c>
      <c r="O142" s="81">
        <f>4226.2+6627.45</f>
        <v>10853.65</v>
      </c>
      <c r="P142" s="81"/>
      <c r="Q142" s="12"/>
    </row>
    <row r="143" spans="1:17" s="13" customFormat="1" ht="15.75" hidden="1" x14ac:dyDescent="0.25">
      <c r="A143" s="10"/>
      <c r="B143" s="30" t="s">
        <v>88</v>
      </c>
      <c r="C143" s="1" t="s">
        <v>17</v>
      </c>
      <c r="D143" s="120"/>
      <c r="E143" s="3" t="s">
        <v>89</v>
      </c>
      <c r="F143" s="73" t="s">
        <v>397</v>
      </c>
      <c r="G143" s="74" t="s">
        <v>112</v>
      </c>
      <c r="H143" s="75">
        <v>1</v>
      </c>
      <c r="I143" s="76"/>
      <c r="J143" s="96"/>
      <c r="K143" s="77"/>
      <c r="L143" s="77"/>
      <c r="M143" s="38">
        <f t="shared" si="4"/>
        <v>0</v>
      </c>
      <c r="N143" s="100">
        <f>4+1+3+1+2</f>
        <v>11</v>
      </c>
      <c r="O143" s="81">
        <f>11967.83+2831.55+10544.37</f>
        <v>25343.75</v>
      </c>
      <c r="P143" s="81"/>
      <c r="Q143" s="79">
        <f t="shared" ref="Q143:Q182" si="5">O143-P143</f>
        <v>25343.75</v>
      </c>
    </row>
    <row r="144" spans="1:17" s="13" customFormat="1" ht="15.75" hidden="1" x14ac:dyDescent="0.25">
      <c r="A144" s="10"/>
      <c r="B144" s="24" t="s">
        <v>88</v>
      </c>
      <c r="C144" s="1" t="s">
        <v>17</v>
      </c>
      <c r="D144" s="120"/>
      <c r="E144" s="3" t="s">
        <v>89</v>
      </c>
      <c r="F144" s="73" t="s">
        <v>442</v>
      </c>
      <c r="G144" s="11" t="s">
        <v>118</v>
      </c>
      <c r="H144" s="1">
        <v>2</v>
      </c>
      <c r="I144" s="49"/>
      <c r="J144" s="46"/>
      <c r="K144" s="40"/>
      <c r="L144" s="40"/>
      <c r="M144" s="38">
        <f t="shared" si="4"/>
        <v>0</v>
      </c>
      <c r="N144" s="41">
        <v>2</v>
      </c>
      <c r="O144" s="31">
        <v>6026.87</v>
      </c>
      <c r="P144" s="31"/>
      <c r="Q144" s="12">
        <f t="shared" si="5"/>
        <v>6026.87</v>
      </c>
    </row>
    <row r="145" spans="1:17" s="13" customFormat="1" ht="15.75" hidden="1" x14ac:dyDescent="0.25">
      <c r="A145" s="10"/>
      <c r="B145" s="30" t="s">
        <v>90</v>
      </c>
      <c r="C145" s="1" t="s">
        <v>17</v>
      </c>
      <c r="D145" s="120"/>
      <c r="E145" s="17" t="s">
        <v>20</v>
      </c>
      <c r="F145" s="73" t="s">
        <v>398</v>
      </c>
      <c r="G145" s="74" t="s">
        <v>112</v>
      </c>
      <c r="H145" s="75">
        <v>2</v>
      </c>
      <c r="I145" s="76"/>
      <c r="J145" s="96"/>
      <c r="K145" s="77"/>
      <c r="L145" s="77"/>
      <c r="M145" s="38">
        <f t="shared" si="4"/>
        <v>0</v>
      </c>
      <c r="N145" s="100">
        <f>1</f>
        <v>1</v>
      </c>
      <c r="O145" s="81"/>
      <c r="P145" s="81"/>
      <c r="Q145" s="79">
        <f t="shared" si="5"/>
        <v>0</v>
      </c>
    </row>
    <row r="146" spans="1:17" s="13" customFormat="1" ht="15.75" x14ac:dyDescent="0.25">
      <c r="A146" s="10"/>
      <c r="B146" s="24" t="s">
        <v>90</v>
      </c>
      <c r="C146" s="1" t="s">
        <v>17</v>
      </c>
      <c r="D146" s="120"/>
      <c r="E146" s="17" t="s">
        <v>20</v>
      </c>
      <c r="F146" s="73" t="s">
        <v>466</v>
      </c>
      <c r="G146" s="11" t="s">
        <v>114</v>
      </c>
      <c r="H146" s="1">
        <v>2</v>
      </c>
      <c r="I146" s="49"/>
      <c r="J146" s="51"/>
      <c r="K146" s="40"/>
      <c r="L146" s="40"/>
      <c r="M146" s="78">
        <f t="shared" si="4"/>
        <v>0</v>
      </c>
      <c r="N146" s="41">
        <v>15</v>
      </c>
      <c r="O146" s="31">
        <f>31793</f>
        <v>31793</v>
      </c>
      <c r="P146" s="31">
        <f>3682</f>
        <v>3682</v>
      </c>
      <c r="Q146" s="12">
        <f t="shared" si="5"/>
        <v>28111</v>
      </c>
    </row>
    <row r="147" spans="1:17" s="13" customFormat="1" ht="15.75" hidden="1" x14ac:dyDescent="0.25">
      <c r="A147" s="10"/>
      <c r="B147" s="30" t="s">
        <v>91</v>
      </c>
      <c r="C147" s="1" t="s">
        <v>17</v>
      </c>
      <c r="D147" s="120"/>
      <c r="E147" s="17" t="s">
        <v>20</v>
      </c>
      <c r="F147" s="73" t="s">
        <v>399</v>
      </c>
      <c r="G147" s="74" t="s">
        <v>112</v>
      </c>
      <c r="H147" s="75"/>
      <c r="I147" s="76"/>
      <c r="J147" s="96"/>
      <c r="K147" s="77"/>
      <c r="L147" s="77"/>
      <c r="M147" s="38">
        <f t="shared" si="4"/>
        <v>0</v>
      </c>
      <c r="N147" s="100"/>
      <c r="O147" s="81"/>
      <c r="P147" s="81"/>
      <c r="Q147" s="79">
        <f t="shared" si="5"/>
        <v>0</v>
      </c>
    </row>
    <row r="148" spans="1:17" s="13" customFormat="1" ht="15.75" x14ac:dyDescent="0.25">
      <c r="A148" s="10"/>
      <c r="B148" s="22" t="s">
        <v>138</v>
      </c>
      <c r="C148" s="1" t="s">
        <v>17</v>
      </c>
      <c r="D148" s="120"/>
      <c r="E148" s="17" t="s">
        <v>20</v>
      </c>
      <c r="F148" s="73" t="s">
        <v>467</v>
      </c>
      <c r="G148" s="11" t="s">
        <v>114</v>
      </c>
      <c r="H148" s="1">
        <v>1</v>
      </c>
      <c r="I148" s="49"/>
      <c r="J148" s="51"/>
      <c r="K148" s="37"/>
      <c r="L148" s="37"/>
      <c r="M148" s="78">
        <f t="shared" si="4"/>
        <v>0</v>
      </c>
      <c r="N148" s="39">
        <v>4</v>
      </c>
      <c r="O148" s="31"/>
      <c r="P148" s="31"/>
      <c r="Q148" s="12">
        <f t="shared" si="5"/>
        <v>0</v>
      </c>
    </row>
    <row r="149" spans="1:17" s="13" customFormat="1" ht="15.75" hidden="1" x14ac:dyDescent="0.25">
      <c r="A149" s="10"/>
      <c r="B149" s="62" t="s">
        <v>138</v>
      </c>
      <c r="C149" s="1" t="s">
        <v>17</v>
      </c>
      <c r="D149" s="120"/>
      <c r="E149" s="17" t="s">
        <v>20</v>
      </c>
      <c r="F149" s="73" t="s">
        <v>400</v>
      </c>
      <c r="G149" s="74" t="s">
        <v>112</v>
      </c>
      <c r="H149" s="75">
        <v>3</v>
      </c>
      <c r="I149" s="82"/>
      <c r="J149" s="96"/>
      <c r="K149" s="77"/>
      <c r="L149" s="77"/>
      <c r="M149" s="38">
        <f t="shared" si="4"/>
        <v>0</v>
      </c>
      <c r="N149" s="100">
        <f>5</f>
        <v>5</v>
      </c>
      <c r="O149" s="81">
        <v>8995.8700000000008</v>
      </c>
      <c r="P149" s="81"/>
      <c r="Q149" s="79">
        <f t="shared" si="5"/>
        <v>8995.8700000000008</v>
      </c>
    </row>
    <row r="150" spans="1:17" s="13" customFormat="1" ht="15.75" hidden="1" x14ac:dyDescent="0.25">
      <c r="A150" s="10"/>
      <c r="B150" s="62" t="s">
        <v>157</v>
      </c>
      <c r="C150" s="1" t="s">
        <v>17</v>
      </c>
      <c r="D150" s="120"/>
      <c r="E150" s="17" t="s">
        <v>20</v>
      </c>
      <c r="F150" s="73" t="s">
        <v>401</v>
      </c>
      <c r="G150" s="74" t="s">
        <v>112</v>
      </c>
      <c r="H150" s="75">
        <v>2</v>
      </c>
      <c r="I150" s="82"/>
      <c r="J150" s="96"/>
      <c r="K150" s="77"/>
      <c r="L150" s="77"/>
      <c r="M150" s="38">
        <f t="shared" ref="M150:M181" si="6">K150-L150</f>
        <v>0</v>
      </c>
      <c r="N150" s="100"/>
      <c r="O150" s="81"/>
      <c r="P150" s="81"/>
      <c r="Q150" s="12">
        <f t="shared" si="5"/>
        <v>0</v>
      </c>
    </row>
    <row r="151" spans="1:17" s="13" customFormat="1" ht="15.75" x14ac:dyDescent="0.25">
      <c r="A151" s="10"/>
      <c r="B151" s="22" t="s">
        <v>157</v>
      </c>
      <c r="C151" s="1" t="s">
        <v>17</v>
      </c>
      <c r="D151" s="120"/>
      <c r="E151" s="17" t="s">
        <v>20</v>
      </c>
      <c r="F151" s="73"/>
      <c r="G151" s="11" t="s">
        <v>114</v>
      </c>
      <c r="H151" s="1"/>
      <c r="I151" s="49"/>
      <c r="J151" s="51"/>
      <c r="K151" s="37"/>
      <c r="L151" s="37"/>
      <c r="M151" s="38">
        <f t="shared" si="6"/>
        <v>0</v>
      </c>
      <c r="N151" s="39"/>
      <c r="O151" s="31"/>
      <c r="P151" s="31"/>
      <c r="Q151" s="79">
        <f t="shared" si="5"/>
        <v>0</v>
      </c>
    </row>
    <row r="152" spans="1:17" s="15" customFormat="1" ht="15.75" hidden="1" x14ac:dyDescent="0.25">
      <c r="A152" s="14"/>
      <c r="B152" s="80" t="s">
        <v>92</v>
      </c>
      <c r="C152" s="1" t="s">
        <v>17</v>
      </c>
      <c r="D152" s="120"/>
      <c r="E152" s="17" t="s">
        <v>20</v>
      </c>
      <c r="F152" s="73" t="s">
        <v>402</v>
      </c>
      <c r="G152" s="74" t="s">
        <v>112</v>
      </c>
      <c r="H152" s="75">
        <v>2</v>
      </c>
      <c r="I152" s="76"/>
      <c r="J152" s="96"/>
      <c r="K152" s="77"/>
      <c r="L152" s="77"/>
      <c r="M152" s="38">
        <f t="shared" si="6"/>
        <v>0</v>
      </c>
      <c r="N152" s="100">
        <f>4+1</f>
        <v>5</v>
      </c>
      <c r="O152" s="81">
        <f>12624.74</f>
        <v>12624.74</v>
      </c>
      <c r="P152" s="81">
        <f>12624.74</f>
        <v>12624.74</v>
      </c>
      <c r="Q152" s="12">
        <f t="shared" si="5"/>
        <v>0</v>
      </c>
    </row>
    <row r="153" spans="1:17" s="15" customFormat="1" ht="15.75" x14ac:dyDescent="0.25">
      <c r="A153" s="14"/>
      <c r="B153" s="23" t="s">
        <v>92</v>
      </c>
      <c r="C153" s="1" t="s">
        <v>17</v>
      </c>
      <c r="D153" s="120"/>
      <c r="E153" s="17" t="s">
        <v>20</v>
      </c>
      <c r="F153" s="73" t="s">
        <v>129</v>
      </c>
      <c r="G153" s="11" t="s">
        <v>114</v>
      </c>
      <c r="H153" s="1"/>
      <c r="I153" s="49"/>
      <c r="J153" s="51"/>
      <c r="K153" s="40"/>
      <c r="L153" s="40"/>
      <c r="M153" s="38">
        <f t="shared" si="6"/>
        <v>0</v>
      </c>
      <c r="N153" s="39"/>
      <c r="O153" s="31"/>
      <c r="P153" s="31"/>
      <c r="Q153" s="79">
        <f t="shared" si="5"/>
        <v>0</v>
      </c>
    </row>
    <row r="154" spans="1:17" s="13" customFormat="1" ht="15.75" hidden="1" x14ac:dyDescent="0.25">
      <c r="A154" s="10"/>
      <c r="B154" s="30" t="s">
        <v>93</v>
      </c>
      <c r="C154" s="1" t="s">
        <v>17</v>
      </c>
      <c r="D154" s="120"/>
      <c r="E154" s="3" t="s">
        <v>94</v>
      </c>
      <c r="F154" s="73" t="s">
        <v>403</v>
      </c>
      <c r="G154" s="74" t="s">
        <v>112</v>
      </c>
      <c r="H154" s="75">
        <v>7</v>
      </c>
      <c r="I154" s="76">
        <v>2</v>
      </c>
      <c r="J154" s="96">
        <f>2</f>
        <v>2</v>
      </c>
      <c r="K154" s="77"/>
      <c r="L154" s="77"/>
      <c r="M154" s="38">
        <f t="shared" si="6"/>
        <v>0</v>
      </c>
      <c r="N154" s="100">
        <f>3+8</f>
        <v>11</v>
      </c>
      <c r="O154" s="81"/>
      <c r="P154" s="81"/>
      <c r="Q154" s="12">
        <f t="shared" si="5"/>
        <v>0</v>
      </c>
    </row>
    <row r="155" spans="1:17" s="13" customFormat="1" ht="15.75" x14ac:dyDescent="0.25">
      <c r="A155" s="10"/>
      <c r="B155" s="24" t="s">
        <v>93</v>
      </c>
      <c r="C155" s="1" t="s">
        <v>17</v>
      </c>
      <c r="D155" s="120"/>
      <c r="E155" s="3" t="s">
        <v>94</v>
      </c>
      <c r="F155" s="73" t="s">
        <v>130</v>
      </c>
      <c r="G155" s="11" t="s">
        <v>114</v>
      </c>
      <c r="H155" s="1"/>
      <c r="I155" s="49"/>
      <c r="J155" s="51"/>
      <c r="K155" s="40"/>
      <c r="L155" s="77"/>
      <c r="M155" s="38">
        <f t="shared" si="6"/>
        <v>0</v>
      </c>
      <c r="N155" s="41"/>
      <c r="O155" s="31"/>
      <c r="P155" s="31"/>
      <c r="Q155" s="79">
        <f t="shared" si="5"/>
        <v>0</v>
      </c>
    </row>
    <row r="156" spans="1:17" s="13" customFormat="1" ht="15.75" hidden="1" x14ac:dyDescent="0.25">
      <c r="A156" s="10"/>
      <c r="B156" s="24" t="s">
        <v>93</v>
      </c>
      <c r="C156" s="1" t="s">
        <v>17</v>
      </c>
      <c r="D156" s="120"/>
      <c r="E156" s="3" t="s">
        <v>94</v>
      </c>
      <c r="F156" s="73" t="s">
        <v>240</v>
      </c>
      <c r="G156" s="11" t="s">
        <v>118</v>
      </c>
      <c r="H156" s="1"/>
      <c r="I156" s="49"/>
      <c r="J156" s="46"/>
      <c r="K156" s="40"/>
      <c r="L156" s="40"/>
      <c r="M156" s="78">
        <f t="shared" si="6"/>
        <v>0</v>
      </c>
      <c r="N156" s="41"/>
      <c r="O156" s="31"/>
      <c r="P156" s="31"/>
      <c r="Q156" s="12">
        <f t="shared" si="5"/>
        <v>0</v>
      </c>
    </row>
    <row r="157" spans="1:17" s="13" customFormat="1" ht="15.75" hidden="1" x14ac:dyDescent="0.25">
      <c r="A157" s="10"/>
      <c r="B157" s="30" t="s">
        <v>95</v>
      </c>
      <c r="C157" s="1" t="s">
        <v>17</v>
      </c>
      <c r="D157" s="120"/>
      <c r="E157" s="17" t="s">
        <v>20</v>
      </c>
      <c r="F157" s="73" t="s">
        <v>404</v>
      </c>
      <c r="G157" s="74" t="s">
        <v>112</v>
      </c>
      <c r="H157" s="75">
        <v>3</v>
      </c>
      <c r="I157" s="76"/>
      <c r="J157" s="96"/>
      <c r="K157" s="77"/>
      <c r="L157" s="77"/>
      <c r="M157" s="38">
        <f t="shared" si="6"/>
        <v>0</v>
      </c>
      <c r="N157" s="100">
        <f>1</f>
        <v>1</v>
      </c>
      <c r="O157" s="81">
        <f>11603.82</f>
        <v>11603.82</v>
      </c>
      <c r="P157" s="81"/>
      <c r="Q157" s="79">
        <f t="shared" si="5"/>
        <v>11603.82</v>
      </c>
    </row>
    <row r="158" spans="1:17" s="13" customFormat="1" ht="15.75" x14ac:dyDescent="0.25">
      <c r="A158" s="10"/>
      <c r="B158" s="24" t="s">
        <v>95</v>
      </c>
      <c r="C158" s="1" t="s">
        <v>17</v>
      </c>
      <c r="D158" s="120"/>
      <c r="E158" s="17" t="s">
        <v>20</v>
      </c>
      <c r="F158" s="73" t="s">
        <v>291</v>
      </c>
      <c r="G158" s="11" t="s">
        <v>114</v>
      </c>
      <c r="H158" s="1">
        <v>1</v>
      </c>
      <c r="I158" s="49"/>
      <c r="J158" s="51"/>
      <c r="K158" s="40"/>
      <c r="L158" s="40"/>
      <c r="M158" s="78">
        <f t="shared" si="6"/>
        <v>0</v>
      </c>
      <c r="N158" s="41"/>
      <c r="O158" s="31"/>
      <c r="P158" s="31"/>
      <c r="Q158" s="12">
        <f t="shared" si="5"/>
        <v>0</v>
      </c>
    </row>
    <row r="159" spans="1:17" s="13" customFormat="1" ht="15.75" hidden="1" x14ac:dyDescent="0.25">
      <c r="A159" s="10"/>
      <c r="B159" s="30" t="s">
        <v>96</v>
      </c>
      <c r="C159" s="1" t="s">
        <v>17</v>
      </c>
      <c r="D159" s="120"/>
      <c r="E159" s="17" t="s">
        <v>97</v>
      </c>
      <c r="F159" s="73" t="s">
        <v>405</v>
      </c>
      <c r="G159" s="74" t="s">
        <v>112</v>
      </c>
      <c r="H159" s="75"/>
      <c r="I159" s="76"/>
      <c r="J159" s="96"/>
      <c r="K159" s="77"/>
      <c r="L159" s="77"/>
      <c r="M159" s="38">
        <f t="shared" si="6"/>
        <v>0</v>
      </c>
      <c r="N159" s="103">
        <f>1</f>
        <v>1</v>
      </c>
      <c r="O159" s="77">
        <f>1742.31</f>
        <v>1742.31</v>
      </c>
      <c r="P159" s="77"/>
      <c r="Q159" s="79">
        <f t="shared" si="5"/>
        <v>1742.31</v>
      </c>
    </row>
    <row r="160" spans="1:17" s="13" customFormat="1" ht="15.75" x14ac:dyDescent="0.25">
      <c r="A160" s="10"/>
      <c r="B160" s="24" t="s">
        <v>96</v>
      </c>
      <c r="C160" s="1" t="s">
        <v>17</v>
      </c>
      <c r="D160" s="120"/>
      <c r="E160" s="17" t="s">
        <v>97</v>
      </c>
      <c r="F160" s="73" t="s">
        <v>468</v>
      </c>
      <c r="G160" s="11" t="s">
        <v>114</v>
      </c>
      <c r="H160" s="1">
        <v>1</v>
      </c>
      <c r="I160" s="49"/>
      <c r="J160" s="51"/>
      <c r="K160" s="40"/>
      <c r="L160" s="40"/>
      <c r="M160" s="78">
        <f t="shared" si="6"/>
        <v>0</v>
      </c>
      <c r="N160" s="41">
        <v>2</v>
      </c>
      <c r="O160" s="31"/>
      <c r="P160" s="31"/>
      <c r="Q160" s="12">
        <f t="shared" si="5"/>
        <v>0</v>
      </c>
    </row>
    <row r="161" spans="1:17" s="13" customFormat="1" ht="15.75" hidden="1" x14ac:dyDescent="0.25">
      <c r="A161" s="10"/>
      <c r="B161" s="30" t="s">
        <v>98</v>
      </c>
      <c r="C161" s="1" t="s">
        <v>17</v>
      </c>
      <c r="D161" s="120"/>
      <c r="E161" s="17" t="s">
        <v>35</v>
      </c>
      <c r="F161" s="73" t="s">
        <v>406</v>
      </c>
      <c r="G161" s="74" t="s">
        <v>112</v>
      </c>
      <c r="H161" s="75">
        <v>7</v>
      </c>
      <c r="I161" s="76">
        <v>1</v>
      </c>
      <c r="J161" s="96">
        <f>1</f>
        <v>1</v>
      </c>
      <c r="K161" s="77"/>
      <c r="L161" s="77"/>
      <c r="M161" s="38">
        <f t="shared" si="6"/>
        <v>0</v>
      </c>
      <c r="N161" s="100">
        <f>9+1+1+4</f>
        <v>15</v>
      </c>
      <c r="O161" s="81">
        <f>17007.01+2697.06+1267.86</f>
        <v>20971.93</v>
      </c>
      <c r="P161" s="81"/>
      <c r="Q161" s="79">
        <f t="shared" si="5"/>
        <v>20971.93</v>
      </c>
    </row>
    <row r="162" spans="1:17" s="13" customFormat="1" ht="15.75" hidden="1" x14ac:dyDescent="0.25">
      <c r="A162" s="10"/>
      <c r="B162" s="24" t="s">
        <v>98</v>
      </c>
      <c r="C162" s="1" t="s">
        <v>17</v>
      </c>
      <c r="D162" s="120"/>
      <c r="E162" s="17" t="s">
        <v>35</v>
      </c>
      <c r="F162" s="73" t="s">
        <v>435</v>
      </c>
      <c r="G162" s="8" t="s">
        <v>117</v>
      </c>
      <c r="H162" s="1">
        <v>1</v>
      </c>
      <c r="I162" s="49"/>
      <c r="J162" s="46"/>
      <c r="K162" s="40"/>
      <c r="L162" s="40"/>
      <c r="M162" s="78">
        <f t="shared" si="6"/>
        <v>0</v>
      </c>
      <c r="N162" s="41">
        <f>4</f>
        <v>4</v>
      </c>
      <c r="O162" s="40">
        <v>10721.75</v>
      </c>
      <c r="P162" s="40"/>
      <c r="Q162" s="12">
        <f t="shared" si="5"/>
        <v>10721.75</v>
      </c>
    </row>
    <row r="163" spans="1:17" s="15" customFormat="1" ht="15.75" hidden="1" x14ac:dyDescent="0.25">
      <c r="A163" s="14"/>
      <c r="B163" s="84" t="s">
        <v>99</v>
      </c>
      <c r="C163" s="1" t="s">
        <v>17</v>
      </c>
      <c r="D163" s="120"/>
      <c r="E163" s="3" t="s">
        <v>32</v>
      </c>
      <c r="F163" s="73" t="s">
        <v>418</v>
      </c>
      <c r="G163" s="74" t="s">
        <v>112</v>
      </c>
      <c r="H163" s="75"/>
      <c r="I163" s="76"/>
      <c r="J163" s="96"/>
      <c r="K163" s="77"/>
      <c r="L163" s="77"/>
      <c r="M163" s="38">
        <f t="shared" si="6"/>
        <v>0</v>
      </c>
      <c r="N163" s="100"/>
      <c r="O163" s="81"/>
      <c r="P163" s="81"/>
      <c r="Q163" s="79">
        <f t="shared" si="5"/>
        <v>0</v>
      </c>
    </row>
    <row r="164" spans="1:17" s="15" customFormat="1" ht="15.75" hidden="1" x14ac:dyDescent="0.25">
      <c r="A164" s="14"/>
      <c r="B164" s="29" t="s">
        <v>99</v>
      </c>
      <c r="C164" s="1" t="s">
        <v>17</v>
      </c>
      <c r="D164" s="120"/>
      <c r="E164" s="3" t="s">
        <v>32</v>
      </c>
      <c r="F164" s="73" t="s">
        <v>423</v>
      </c>
      <c r="G164" s="8" t="s">
        <v>117</v>
      </c>
      <c r="H164" s="1"/>
      <c r="I164" s="49"/>
      <c r="J164" s="51"/>
      <c r="K164" s="40"/>
      <c r="L164" s="40"/>
      <c r="M164" s="78">
        <f t="shared" si="6"/>
        <v>0</v>
      </c>
      <c r="N164" s="39"/>
      <c r="O164" s="40"/>
      <c r="P164" s="40"/>
      <c r="Q164" s="12">
        <f t="shared" si="5"/>
        <v>0</v>
      </c>
    </row>
    <row r="165" spans="1:17" s="15" customFormat="1" ht="31.5" hidden="1" x14ac:dyDescent="0.25">
      <c r="A165" s="14"/>
      <c r="B165" s="30" t="s">
        <v>144</v>
      </c>
      <c r="C165" s="1" t="s">
        <v>304</v>
      </c>
      <c r="D165" s="120" t="s">
        <v>313</v>
      </c>
      <c r="E165" s="17" t="s">
        <v>97</v>
      </c>
      <c r="F165" s="73" t="s">
        <v>407</v>
      </c>
      <c r="G165" s="66" t="s">
        <v>112</v>
      </c>
      <c r="H165" s="75">
        <v>4</v>
      </c>
      <c r="I165" s="76">
        <v>4</v>
      </c>
      <c r="J165" s="98">
        <f>2+2</f>
        <v>4</v>
      </c>
      <c r="K165" s="77">
        <f>950.9</f>
        <v>950.9</v>
      </c>
      <c r="L165" s="77"/>
      <c r="M165" s="38">
        <f t="shared" si="6"/>
        <v>950.9</v>
      </c>
      <c r="N165" s="100">
        <f>3+2</f>
        <v>5</v>
      </c>
      <c r="O165" s="77">
        <f>5020.57+5494.06</f>
        <v>10514.630000000001</v>
      </c>
      <c r="P165" s="77"/>
      <c r="Q165" s="79">
        <f t="shared" si="5"/>
        <v>10514.630000000001</v>
      </c>
    </row>
    <row r="166" spans="1:17" s="15" customFormat="1" ht="31.5" x14ac:dyDescent="0.25">
      <c r="A166" s="14"/>
      <c r="B166" s="34" t="s">
        <v>144</v>
      </c>
      <c r="C166" s="1" t="s">
        <v>446</v>
      </c>
      <c r="D166" s="120" t="s">
        <v>313</v>
      </c>
      <c r="E166" s="3" t="s">
        <v>20</v>
      </c>
      <c r="F166" s="73" t="s">
        <v>485</v>
      </c>
      <c r="G166" s="8" t="s">
        <v>114</v>
      </c>
      <c r="H166" s="1">
        <v>6</v>
      </c>
      <c r="I166" s="49">
        <v>1</v>
      </c>
      <c r="J166" s="51">
        <v>1</v>
      </c>
      <c r="K166" s="40"/>
      <c r="L166" s="40"/>
      <c r="M166" s="78">
        <f t="shared" si="6"/>
        <v>0</v>
      </c>
      <c r="N166" s="42">
        <v>17</v>
      </c>
      <c r="O166" s="31">
        <f>10845.7</f>
        <v>10845.7</v>
      </c>
      <c r="P166" s="31">
        <f>3738</f>
        <v>3738</v>
      </c>
      <c r="Q166" s="12">
        <f t="shared" si="5"/>
        <v>7107.7000000000007</v>
      </c>
    </row>
    <row r="167" spans="1:17" s="21" customFormat="1" ht="47.25" hidden="1" x14ac:dyDescent="0.25">
      <c r="A167" s="1"/>
      <c r="B167" s="30" t="s">
        <v>100</v>
      </c>
      <c r="C167" s="1" t="s">
        <v>304</v>
      </c>
      <c r="D167" s="120" t="s">
        <v>416</v>
      </c>
      <c r="E167" s="17" t="s">
        <v>20</v>
      </c>
      <c r="F167" s="73" t="s">
        <v>408</v>
      </c>
      <c r="G167" s="27" t="s">
        <v>112</v>
      </c>
      <c r="H167" s="75">
        <v>5</v>
      </c>
      <c r="I167" s="76"/>
      <c r="J167" s="98"/>
      <c r="K167" s="86"/>
      <c r="L167" s="86"/>
      <c r="M167" s="38">
        <f t="shared" si="6"/>
        <v>0</v>
      </c>
      <c r="N167" s="100">
        <f>1</f>
        <v>1</v>
      </c>
      <c r="O167" s="87"/>
      <c r="P167" s="87"/>
      <c r="Q167" s="79">
        <f t="shared" si="5"/>
        <v>0</v>
      </c>
    </row>
    <row r="168" spans="1:17" s="21" customFormat="1" ht="47.25" x14ac:dyDescent="0.25">
      <c r="A168" s="1"/>
      <c r="B168" s="24" t="s">
        <v>100</v>
      </c>
      <c r="C168" s="18" t="s">
        <v>125</v>
      </c>
      <c r="D168" s="120" t="s">
        <v>126</v>
      </c>
      <c r="E168" s="17" t="s">
        <v>20</v>
      </c>
      <c r="F168" s="73" t="s">
        <v>486</v>
      </c>
      <c r="G168" s="20" t="s">
        <v>114</v>
      </c>
      <c r="H168" s="1">
        <v>3</v>
      </c>
      <c r="I168" s="53"/>
      <c r="J168" s="52"/>
      <c r="K168" s="55"/>
      <c r="L168" s="55"/>
      <c r="M168" s="78">
        <f t="shared" si="6"/>
        <v>0</v>
      </c>
      <c r="N168" s="41"/>
      <c r="O168" s="54"/>
      <c r="P168" s="54"/>
      <c r="Q168" s="12">
        <f t="shared" si="5"/>
        <v>0</v>
      </c>
    </row>
    <row r="169" spans="1:17" s="13" customFormat="1" ht="15.75" hidden="1" x14ac:dyDescent="0.25">
      <c r="A169" s="10"/>
      <c r="B169" s="62" t="s">
        <v>101</v>
      </c>
      <c r="C169" s="1" t="s">
        <v>17</v>
      </c>
      <c r="D169" s="120"/>
      <c r="E169" s="17" t="s">
        <v>20</v>
      </c>
      <c r="F169" s="73" t="s">
        <v>409</v>
      </c>
      <c r="G169" s="74" t="s">
        <v>112</v>
      </c>
      <c r="H169" s="75">
        <v>1</v>
      </c>
      <c r="I169" s="76"/>
      <c r="J169" s="96"/>
      <c r="K169" s="77"/>
      <c r="L169" s="77"/>
      <c r="M169" s="38">
        <f t="shared" si="6"/>
        <v>0</v>
      </c>
      <c r="N169" s="100">
        <f>5</f>
        <v>5</v>
      </c>
      <c r="O169" s="81">
        <f>6288.07</f>
        <v>6288.07</v>
      </c>
      <c r="P169" s="81"/>
      <c r="Q169" s="79">
        <f t="shared" si="5"/>
        <v>6288.07</v>
      </c>
    </row>
    <row r="170" spans="1:17" s="13" customFormat="1" ht="15.75" hidden="1" x14ac:dyDescent="0.25">
      <c r="A170" s="10"/>
      <c r="B170" s="62" t="s">
        <v>146</v>
      </c>
      <c r="C170" s="1" t="s">
        <v>17</v>
      </c>
      <c r="D170" s="120"/>
      <c r="E170" s="17" t="s">
        <v>20</v>
      </c>
      <c r="F170" s="73" t="s">
        <v>410</v>
      </c>
      <c r="G170" s="74" t="s">
        <v>112</v>
      </c>
      <c r="H170" s="75">
        <v>4</v>
      </c>
      <c r="I170" s="76">
        <v>3</v>
      </c>
      <c r="J170" s="96">
        <f>4</f>
        <v>4</v>
      </c>
      <c r="K170" s="77"/>
      <c r="L170" s="77"/>
      <c r="M170" s="38">
        <f t="shared" si="6"/>
        <v>0</v>
      </c>
      <c r="N170" s="100">
        <f>5+1+1</f>
        <v>7</v>
      </c>
      <c r="O170" s="81">
        <f>13579.06+1287.07</f>
        <v>14866.13</v>
      </c>
      <c r="P170" s="81"/>
      <c r="Q170" s="12">
        <f t="shared" si="5"/>
        <v>14866.13</v>
      </c>
    </row>
    <row r="171" spans="1:17" s="13" customFormat="1" ht="15.75" hidden="1" x14ac:dyDescent="0.25">
      <c r="A171" s="10"/>
      <c r="B171" s="22" t="s">
        <v>146</v>
      </c>
      <c r="C171" s="1" t="s">
        <v>17</v>
      </c>
      <c r="D171" s="120"/>
      <c r="E171" s="3" t="s">
        <v>21</v>
      </c>
      <c r="F171" s="73" t="s">
        <v>443</v>
      </c>
      <c r="G171" s="11" t="s">
        <v>118</v>
      </c>
      <c r="H171" s="1">
        <v>2</v>
      </c>
      <c r="I171" s="47"/>
      <c r="J171" s="51"/>
      <c r="K171" s="37"/>
      <c r="L171" s="37"/>
      <c r="M171" s="38">
        <f t="shared" si="6"/>
        <v>0</v>
      </c>
      <c r="N171" s="39">
        <v>3</v>
      </c>
      <c r="O171" s="31">
        <v>3035.18</v>
      </c>
      <c r="P171" s="31"/>
      <c r="Q171" s="79">
        <f t="shared" si="5"/>
        <v>3035.18</v>
      </c>
    </row>
    <row r="172" spans="1:17" s="13" customFormat="1" ht="15.75" hidden="1" x14ac:dyDescent="0.25">
      <c r="A172" s="10"/>
      <c r="B172" s="27" t="s">
        <v>102</v>
      </c>
      <c r="C172" s="1" t="s">
        <v>17</v>
      </c>
      <c r="D172" s="120"/>
      <c r="E172" s="17" t="s">
        <v>20</v>
      </c>
      <c r="F172" s="73" t="s">
        <v>411</v>
      </c>
      <c r="G172" s="74" t="s">
        <v>112</v>
      </c>
      <c r="H172" s="75">
        <v>6</v>
      </c>
      <c r="I172" s="76">
        <v>1</v>
      </c>
      <c r="J172" s="96">
        <f>1</f>
        <v>1</v>
      </c>
      <c r="K172" s="77">
        <f>845.24</f>
        <v>845.24</v>
      </c>
      <c r="L172" s="77"/>
      <c r="M172" s="38">
        <f t="shared" si="6"/>
        <v>845.24</v>
      </c>
      <c r="N172" s="100">
        <f>3</f>
        <v>3</v>
      </c>
      <c r="O172" s="81">
        <f>7808.21</f>
        <v>7808.21</v>
      </c>
      <c r="P172" s="81"/>
      <c r="Q172" s="12">
        <f t="shared" si="5"/>
        <v>7808.21</v>
      </c>
    </row>
    <row r="173" spans="1:17" s="13" customFormat="1" ht="15.75" x14ac:dyDescent="0.25">
      <c r="A173" s="10"/>
      <c r="B173" s="25" t="s">
        <v>102</v>
      </c>
      <c r="C173" s="1" t="s">
        <v>17</v>
      </c>
      <c r="D173" s="120"/>
      <c r="E173" s="17" t="s">
        <v>20</v>
      </c>
      <c r="F173" s="73" t="s">
        <v>469</v>
      </c>
      <c r="G173" s="11" t="s">
        <v>114</v>
      </c>
      <c r="H173" s="1"/>
      <c r="I173" s="58"/>
      <c r="J173" s="51"/>
      <c r="K173" s="40"/>
      <c r="L173" s="40"/>
      <c r="M173" s="38">
        <f t="shared" si="6"/>
        <v>0</v>
      </c>
      <c r="N173" s="41">
        <v>7</v>
      </c>
      <c r="O173" s="31">
        <f>7604.1</f>
        <v>7604.1</v>
      </c>
      <c r="P173" s="31">
        <f>3129.7</f>
        <v>3129.7</v>
      </c>
      <c r="Q173" s="79">
        <f t="shared" si="5"/>
        <v>4474.4000000000005</v>
      </c>
    </row>
    <row r="174" spans="1:17" s="13" customFormat="1" ht="15.75" hidden="1" x14ac:dyDescent="0.25">
      <c r="A174" s="10"/>
      <c r="B174" s="27" t="s">
        <v>103</v>
      </c>
      <c r="C174" s="1" t="s">
        <v>17</v>
      </c>
      <c r="D174" s="120"/>
      <c r="E174" s="3" t="s">
        <v>20</v>
      </c>
      <c r="F174" s="73" t="s">
        <v>412</v>
      </c>
      <c r="G174" s="74" t="s">
        <v>112</v>
      </c>
      <c r="H174" s="75">
        <v>4</v>
      </c>
      <c r="I174" s="76"/>
      <c r="J174" s="96"/>
      <c r="K174" s="77"/>
      <c r="L174" s="77"/>
      <c r="M174" s="38">
        <f t="shared" si="6"/>
        <v>0</v>
      </c>
      <c r="N174" s="100">
        <f>7</f>
        <v>7</v>
      </c>
      <c r="O174" s="77">
        <f>20192.14</f>
        <v>20192.14</v>
      </c>
      <c r="P174" s="81"/>
      <c r="Q174" s="12">
        <f t="shared" si="5"/>
        <v>20192.14</v>
      </c>
    </row>
    <row r="175" spans="1:17" s="13" customFormat="1" ht="15.75" x14ac:dyDescent="0.25">
      <c r="A175" s="10"/>
      <c r="B175" s="25" t="s">
        <v>103</v>
      </c>
      <c r="C175" s="1" t="s">
        <v>17</v>
      </c>
      <c r="D175" s="120"/>
      <c r="E175" s="3" t="s">
        <v>20</v>
      </c>
      <c r="F175" s="73" t="s">
        <v>470</v>
      </c>
      <c r="G175" s="11" t="s">
        <v>114</v>
      </c>
      <c r="H175" s="1">
        <v>2</v>
      </c>
      <c r="I175" s="49"/>
      <c r="J175" s="51"/>
      <c r="K175" s="40"/>
      <c r="L175" s="40"/>
      <c r="M175" s="38">
        <f t="shared" si="6"/>
        <v>0</v>
      </c>
      <c r="N175" s="41">
        <v>3</v>
      </c>
      <c r="O175" s="31">
        <f>8510.89</f>
        <v>8510.89</v>
      </c>
      <c r="P175" s="31">
        <f>3380.96</f>
        <v>3380.96</v>
      </c>
      <c r="Q175" s="79">
        <f t="shared" si="5"/>
        <v>5129.9299999999994</v>
      </c>
    </row>
    <row r="176" spans="1:17" s="15" customFormat="1" ht="15.75" hidden="1" x14ac:dyDescent="0.25">
      <c r="A176" s="14"/>
      <c r="B176" s="28" t="s">
        <v>104</v>
      </c>
      <c r="C176" s="1" t="s">
        <v>17</v>
      </c>
      <c r="D176" s="120"/>
      <c r="E176" s="3" t="s">
        <v>20</v>
      </c>
      <c r="F176" s="73" t="s">
        <v>413</v>
      </c>
      <c r="G176" s="74" t="s">
        <v>112</v>
      </c>
      <c r="H176" s="75">
        <v>4</v>
      </c>
      <c r="I176" s="76">
        <v>3</v>
      </c>
      <c r="J176" s="96">
        <f>3</f>
        <v>3</v>
      </c>
      <c r="K176" s="77"/>
      <c r="L176" s="77"/>
      <c r="M176" s="38">
        <f t="shared" si="6"/>
        <v>0</v>
      </c>
      <c r="N176" s="100">
        <f>4</f>
        <v>4</v>
      </c>
      <c r="O176" s="81">
        <f>7086.22</f>
        <v>7086.22</v>
      </c>
      <c r="P176" s="81"/>
      <c r="Q176" s="12">
        <f t="shared" si="5"/>
        <v>7086.22</v>
      </c>
    </row>
    <row r="177" spans="1:18" s="15" customFormat="1" ht="15.75" x14ac:dyDescent="0.25">
      <c r="A177" s="14"/>
      <c r="B177" s="26" t="s">
        <v>104</v>
      </c>
      <c r="C177" s="1" t="s">
        <v>17</v>
      </c>
      <c r="D177" s="120"/>
      <c r="E177" s="3" t="s">
        <v>20</v>
      </c>
      <c r="F177" s="73" t="s">
        <v>471</v>
      </c>
      <c r="G177" s="11" t="s">
        <v>114</v>
      </c>
      <c r="H177" s="1">
        <v>6</v>
      </c>
      <c r="I177" s="49"/>
      <c r="J177" s="51"/>
      <c r="K177" s="40"/>
      <c r="L177" s="40"/>
      <c r="M177" s="38">
        <f t="shared" si="6"/>
        <v>0</v>
      </c>
      <c r="N177" s="39">
        <v>12</v>
      </c>
      <c r="O177" s="31">
        <f>8717.37</f>
        <v>8717.3700000000008</v>
      </c>
      <c r="P177" s="31">
        <v>3338.57</v>
      </c>
      <c r="Q177" s="79">
        <f t="shared" si="5"/>
        <v>5378.8000000000011</v>
      </c>
    </row>
    <row r="178" spans="1:18" s="13" customFormat="1" ht="15.75" hidden="1" x14ac:dyDescent="0.25">
      <c r="A178" s="10"/>
      <c r="B178" s="30" t="s">
        <v>105</v>
      </c>
      <c r="C178" s="1" t="s">
        <v>17</v>
      </c>
      <c r="D178" s="120"/>
      <c r="E178" s="17" t="s">
        <v>35</v>
      </c>
      <c r="F178" s="73" t="s">
        <v>419</v>
      </c>
      <c r="G178" s="74" t="s">
        <v>112</v>
      </c>
      <c r="H178" s="75"/>
      <c r="I178" s="76"/>
      <c r="J178" s="96"/>
      <c r="K178" s="77"/>
      <c r="L178" s="77"/>
      <c r="M178" s="38">
        <f t="shared" si="6"/>
        <v>0</v>
      </c>
      <c r="N178" s="100"/>
      <c r="O178" s="81"/>
      <c r="P178" s="81"/>
      <c r="Q178" s="12">
        <f t="shared" si="5"/>
        <v>0</v>
      </c>
    </row>
    <row r="179" spans="1:18" s="13" customFormat="1" ht="15.75" hidden="1" x14ac:dyDescent="0.25">
      <c r="A179" s="10"/>
      <c r="B179" s="30" t="s">
        <v>26</v>
      </c>
      <c r="C179" s="1" t="s">
        <v>17</v>
      </c>
      <c r="D179" s="120"/>
      <c r="E179" s="3" t="s">
        <v>32</v>
      </c>
      <c r="F179" s="73" t="s">
        <v>246</v>
      </c>
      <c r="G179" s="74" t="s">
        <v>117</v>
      </c>
      <c r="H179" s="75"/>
      <c r="I179" s="76"/>
      <c r="J179" s="96"/>
      <c r="K179" s="77"/>
      <c r="L179" s="77"/>
      <c r="M179" s="78">
        <f t="shared" si="6"/>
        <v>0</v>
      </c>
      <c r="N179" s="100">
        <v>3</v>
      </c>
      <c r="O179" s="81">
        <v>3774.05</v>
      </c>
      <c r="P179" s="81"/>
      <c r="Q179" s="12">
        <f t="shared" si="5"/>
        <v>3774.05</v>
      </c>
    </row>
    <row r="180" spans="1:18" s="13" customFormat="1" ht="15.75" hidden="1" x14ac:dyDescent="0.25">
      <c r="A180" s="10"/>
      <c r="B180" s="24" t="s">
        <v>105</v>
      </c>
      <c r="C180" s="1" t="s">
        <v>17</v>
      </c>
      <c r="D180" s="120"/>
      <c r="E180" s="17" t="s">
        <v>35</v>
      </c>
      <c r="F180" s="73" t="s">
        <v>436</v>
      </c>
      <c r="G180" s="11" t="s">
        <v>117</v>
      </c>
      <c r="H180" s="1"/>
      <c r="I180" s="47"/>
      <c r="J180" s="46"/>
      <c r="K180" s="40"/>
      <c r="L180" s="40"/>
      <c r="M180" s="38">
        <f t="shared" si="6"/>
        <v>0</v>
      </c>
      <c r="N180" s="41"/>
      <c r="O180" s="31"/>
      <c r="P180" s="31"/>
      <c r="Q180" s="79">
        <f t="shared" si="5"/>
        <v>0</v>
      </c>
    </row>
    <row r="181" spans="1:18" s="13" customFormat="1" ht="15.75" hidden="1" x14ac:dyDescent="0.25">
      <c r="A181" s="10"/>
      <c r="B181" s="62" t="s">
        <v>106</v>
      </c>
      <c r="C181" s="1" t="s">
        <v>17</v>
      </c>
      <c r="D181" s="2"/>
      <c r="E181" s="17" t="s">
        <v>20</v>
      </c>
      <c r="F181" s="73" t="s">
        <v>414</v>
      </c>
      <c r="G181" s="74" t="s">
        <v>112</v>
      </c>
      <c r="H181" s="75">
        <v>4</v>
      </c>
      <c r="I181" s="76"/>
      <c r="J181" s="96"/>
      <c r="K181" s="77"/>
      <c r="L181" s="77"/>
      <c r="M181" s="38">
        <f t="shared" si="6"/>
        <v>0</v>
      </c>
      <c r="N181" s="100">
        <f>3</f>
        <v>3</v>
      </c>
      <c r="O181" s="81">
        <f>15955.85</f>
        <v>15955.85</v>
      </c>
      <c r="P181" s="81"/>
      <c r="Q181" s="12">
        <f t="shared" si="5"/>
        <v>15955.85</v>
      </c>
    </row>
    <row r="182" spans="1:18" ht="15.75" hidden="1" x14ac:dyDescent="0.25">
      <c r="A182" s="7"/>
      <c r="B182" s="32"/>
      <c r="C182" s="107"/>
      <c r="D182" s="33"/>
      <c r="E182" s="33"/>
      <c r="F182" s="73"/>
      <c r="G182" s="8" t="s">
        <v>131</v>
      </c>
      <c r="H182" s="106">
        <f t="shared" ref="H182:P182" si="7">SUM(H10:H181)</f>
        <v>503</v>
      </c>
      <c r="I182" s="59">
        <f t="shared" si="7"/>
        <v>109</v>
      </c>
      <c r="J182" s="43">
        <f t="shared" si="7"/>
        <v>114</v>
      </c>
      <c r="K182" s="56">
        <f t="shared" si="7"/>
        <v>67938.990000000005</v>
      </c>
      <c r="L182" s="56">
        <f t="shared" si="7"/>
        <v>0</v>
      </c>
      <c r="M182" s="44">
        <f>K182-L182</f>
        <v>67938.990000000005</v>
      </c>
      <c r="N182" s="43">
        <f t="shared" si="7"/>
        <v>987</v>
      </c>
      <c r="O182" s="57">
        <f t="shared" si="7"/>
        <v>1991419.14</v>
      </c>
      <c r="P182" s="57">
        <f t="shared" si="7"/>
        <v>301858.16000000009</v>
      </c>
      <c r="Q182" s="79">
        <f t="shared" si="5"/>
        <v>1689560.9799999997</v>
      </c>
      <c r="R182" s="129"/>
    </row>
    <row r="183" spans="1:18" hidden="1" x14ac:dyDescent="0.25">
      <c r="K183" s="91" t="s">
        <v>305</v>
      </c>
    </row>
    <row r="184" spans="1:18" ht="45" hidden="1" x14ac:dyDescent="0.25">
      <c r="B184" s="89" t="s">
        <v>316</v>
      </c>
      <c r="F184" s="104" t="s">
        <v>317</v>
      </c>
      <c r="Q184" s="133"/>
    </row>
  </sheetData>
  <autoFilter ref="A9:U184">
    <filterColumn colId="6">
      <filters>
        <filter val="Сумський МЦ"/>
      </filters>
    </filterColumn>
  </autoFilter>
  <mergeCells count="7">
    <mergeCell ref="O1:Q1"/>
    <mergeCell ref="A3:Q3"/>
    <mergeCell ref="A4:Q4"/>
    <mergeCell ref="A5:Q5"/>
    <mergeCell ref="B7:G7"/>
    <mergeCell ref="H7:M7"/>
    <mergeCell ref="N7:Q7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85"/>
  <sheetViews>
    <sheetView workbookViewId="0">
      <selection sqref="A1:XFD1048576"/>
    </sheetView>
  </sheetViews>
  <sheetFormatPr defaultRowHeight="15" x14ac:dyDescent="0.25"/>
  <cols>
    <col min="1" max="1" width="1.85546875" style="6" customWidth="1"/>
    <col min="2" max="2" width="37.5703125" style="88" customWidth="1"/>
    <col min="3" max="3" width="6.5703125" style="19" customWidth="1"/>
    <col min="4" max="4" width="19.85546875" style="19" customWidth="1"/>
    <col min="5" max="5" width="19" style="19" customWidth="1"/>
    <col min="6" max="6" width="20.5703125" style="89" customWidth="1"/>
    <col min="7" max="7" width="21.42578125" style="89" customWidth="1"/>
    <col min="8" max="8" width="11.85546875" style="90" customWidth="1"/>
    <col min="9" max="9" width="10.7109375" style="90" customWidth="1"/>
    <col min="10" max="10" width="8.42578125" style="99" customWidth="1"/>
    <col min="11" max="13" width="15.7109375" style="91" customWidth="1"/>
    <col min="14" max="14" width="10.7109375" style="99" customWidth="1"/>
    <col min="15" max="16" width="15.7109375" style="92" customWidth="1"/>
    <col min="17" max="17" width="18.28515625" style="92" customWidth="1"/>
    <col min="18" max="18" width="11.7109375" style="6" customWidth="1"/>
    <col min="19" max="19" width="9.42578125" style="6" customWidth="1"/>
    <col min="20" max="21" width="9.140625" style="6" customWidth="1"/>
    <col min="22" max="16384" width="9.140625" style="6"/>
  </cols>
  <sheetData>
    <row r="1" spans="1:17" s="105" customFormat="1" x14ac:dyDescent="0.25">
      <c r="B1" s="60"/>
      <c r="C1" s="4"/>
      <c r="D1" s="4"/>
      <c r="E1" s="4"/>
      <c r="F1" s="63"/>
      <c r="G1" s="63"/>
      <c r="H1" s="64"/>
      <c r="I1" s="64"/>
      <c r="J1" s="93"/>
      <c r="K1" s="65"/>
      <c r="L1" s="65"/>
      <c r="M1" s="65"/>
      <c r="N1" s="93"/>
      <c r="O1" s="362" t="s">
        <v>15</v>
      </c>
      <c r="P1" s="362"/>
      <c r="Q1" s="362"/>
    </row>
    <row r="2" spans="1:17" s="105" customFormat="1" x14ac:dyDescent="0.25">
      <c r="A2" s="7"/>
      <c r="B2" s="137"/>
      <c r="C2" s="107"/>
      <c r="D2" s="107"/>
      <c r="E2" s="107"/>
      <c r="F2" s="66"/>
      <c r="G2" s="66"/>
      <c r="H2" s="136"/>
      <c r="I2" s="136"/>
      <c r="J2" s="94"/>
      <c r="K2" s="67"/>
      <c r="L2" s="67"/>
      <c r="M2" s="67"/>
      <c r="N2" s="94"/>
      <c r="O2" s="68"/>
      <c r="P2" s="68"/>
      <c r="Q2" s="68"/>
    </row>
    <row r="3" spans="1:17" s="105" customFormat="1" x14ac:dyDescent="0.25">
      <c r="A3" s="363" t="s">
        <v>318</v>
      </c>
      <c r="B3" s="364"/>
      <c r="C3" s="363"/>
      <c r="D3" s="363"/>
      <c r="E3" s="363"/>
      <c r="F3" s="364"/>
      <c r="G3" s="364"/>
      <c r="H3" s="365"/>
      <c r="I3" s="366"/>
      <c r="J3" s="367"/>
      <c r="K3" s="364"/>
      <c r="L3" s="364"/>
      <c r="M3" s="364"/>
      <c r="N3" s="364"/>
      <c r="O3" s="364"/>
      <c r="P3" s="364"/>
      <c r="Q3" s="364"/>
    </row>
    <row r="4" spans="1:17" s="105" customFormat="1" x14ac:dyDescent="0.25">
      <c r="A4" s="368">
        <v>43528</v>
      </c>
      <c r="B4" s="369"/>
      <c r="C4" s="370"/>
      <c r="D4" s="370"/>
      <c r="E4" s="370"/>
      <c r="F4" s="369"/>
      <c r="G4" s="369"/>
      <c r="H4" s="371"/>
      <c r="I4" s="372"/>
      <c r="J4" s="373"/>
      <c r="K4" s="369"/>
      <c r="L4" s="369"/>
      <c r="M4" s="369"/>
      <c r="N4" s="369"/>
      <c r="O4" s="369"/>
      <c r="P4" s="369"/>
      <c r="Q4" s="369"/>
    </row>
    <row r="5" spans="1:17" s="105" customFormat="1" x14ac:dyDescent="0.25">
      <c r="A5" s="374" t="s">
        <v>14</v>
      </c>
      <c r="B5" s="367"/>
      <c r="C5" s="374"/>
      <c r="D5" s="374"/>
      <c r="E5" s="374"/>
      <c r="F5" s="367"/>
      <c r="G5" s="367"/>
      <c r="H5" s="366"/>
      <c r="I5" s="366"/>
      <c r="J5" s="367"/>
      <c r="K5" s="367"/>
      <c r="L5" s="367"/>
      <c r="M5" s="367"/>
      <c r="N5" s="367"/>
      <c r="O5" s="367"/>
      <c r="P5" s="367"/>
      <c r="Q5" s="367"/>
    </row>
    <row r="6" spans="1:17" s="105" customFormat="1" x14ac:dyDescent="0.25">
      <c r="A6" s="7"/>
      <c r="B6" s="137"/>
      <c r="C6" s="107"/>
      <c r="D6" s="107"/>
      <c r="E6" s="107"/>
      <c r="F6" s="66"/>
      <c r="G6" s="66"/>
      <c r="H6" s="136"/>
      <c r="I6" s="136"/>
      <c r="J6" s="94"/>
      <c r="K6" s="67"/>
      <c r="L6" s="67"/>
      <c r="M6" s="67"/>
      <c r="N6" s="94"/>
      <c r="O6" s="68"/>
      <c r="P6" s="68"/>
      <c r="Q6" s="68"/>
    </row>
    <row r="7" spans="1:17" x14ac:dyDescent="0.25">
      <c r="A7" s="5" t="s">
        <v>0</v>
      </c>
      <c r="B7" s="364" t="s">
        <v>10</v>
      </c>
      <c r="C7" s="375"/>
      <c r="D7" s="375"/>
      <c r="E7" s="375"/>
      <c r="F7" s="364"/>
      <c r="G7" s="364"/>
      <c r="H7" s="365" t="s">
        <v>472</v>
      </c>
      <c r="I7" s="366"/>
      <c r="J7" s="367"/>
      <c r="K7" s="364"/>
      <c r="L7" s="364"/>
      <c r="M7" s="364"/>
      <c r="N7" s="364" t="s">
        <v>132</v>
      </c>
      <c r="O7" s="364"/>
      <c r="P7" s="364"/>
      <c r="Q7" s="364"/>
    </row>
    <row r="8" spans="1:17" ht="195" x14ac:dyDescent="0.25">
      <c r="A8" s="5"/>
      <c r="B8" s="137" t="s">
        <v>4</v>
      </c>
      <c r="C8" s="107" t="s">
        <v>1</v>
      </c>
      <c r="D8" s="107" t="s">
        <v>3</v>
      </c>
      <c r="E8" s="107" t="s">
        <v>2</v>
      </c>
      <c r="F8" s="122" t="s">
        <v>6</v>
      </c>
      <c r="G8" s="66" t="s">
        <v>5</v>
      </c>
      <c r="H8" s="137" t="s">
        <v>7</v>
      </c>
      <c r="I8" s="137" t="s">
        <v>8</v>
      </c>
      <c r="J8" s="94" t="s">
        <v>9</v>
      </c>
      <c r="K8" s="67" t="s">
        <v>11</v>
      </c>
      <c r="L8" s="67" t="s">
        <v>12</v>
      </c>
      <c r="M8" s="67" t="s">
        <v>13</v>
      </c>
      <c r="N8" s="94" t="s">
        <v>9</v>
      </c>
      <c r="O8" s="68" t="s">
        <v>11</v>
      </c>
      <c r="P8" s="68" t="s">
        <v>12</v>
      </c>
      <c r="Q8" s="68" t="s">
        <v>13</v>
      </c>
    </row>
    <row r="9" spans="1:17" x14ac:dyDescent="0.25">
      <c r="A9" s="9">
        <v>1</v>
      </c>
      <c r="B9" s="61">
        <f>A9+1</f>
        <v>2</v>
      </c>
      <c r="C9" s="9">
        <f t="shared" ref="C9:Q9" si="0">B9+1</f>
        <v>3</v>
      </c>
      <c r="D9" s="9">
        <f t="shared" si="0"/>
        <v>4</v>
      </c>
      <c r="E9" s="9">
        <f t="shared" si="0"/>
        <v>5</v>
      </c>
      <c r="F9" s="69">
        <f t="shared" si="0"/>
        <v>6</v>
      </c>
      <c r="G9" s="69">
        <f t="shared" si="0"/>
        <v>7</v>
      </c>
      <c r="H9" s="70">
        <f t="shared" si="0"/>
        <v>8</v>
      </c>
      <c r="I9" s="70">
        <f t="shared" si="0"/>
        <v>9</v>
      </c>
      <c r="J9" s="95">
        <f t="shared" si="0"/>
        <v>10</v>
      </c>
      <c r="K9" s="71">
        <f t="shared" si="0"/>
        <v>11</v>
      </c>
      <c r="L9" s="71">
        <f t="shared" si="0"/>
        <v>12</v>
      </c>
      <c r="M9" s="71">
        <f t="shared" si="0"/>
        <v>13</v>
      </c>
      <c r="N9" s="95">
        <f t="shared" si="0"/>
        <v>14</v>
      </c>
      <c r="O9" s="72">
        <f t="shared" si="0"/>
        <v>15</v>
      </c>
      <c r="P9" s="72">
        <f t="shared" si="0"/>
        <v>16</v>
      </c>
      <c r="Q9" s="72">
        <f t="shared" si="0"/>
        <v>17</v>
      </c>
    </row>
    <row r="10" spans="1:17" s="13" customFormat="1" ht="31.5" x14ac:dyDescent="0.25">
      <c r="A10" s="10"/>
      <c r="B10" s="62" t="s">
        <v>16</v>
      </c>
      <c r="C10" s="1" t="s">
        <v>304</v>
      </c>
      <c r="D10" s="120" t="s">
        <v>315</v>
      </c>
      <c r="E10" s="3" t="s">
        <v>18</v>
      </c>
      <c r="F10" s="73" t="s">
        <v>322</v>
      </c>
      <c r="G10" s="74" t="s">
        <v>112</v>
      </c>
      <c r="H10" s="75">
        <v>2</v>
      </c>
      <c r="I10" s="76"/>
      <c r="J10" s="96"/>
      <c r="K10" s="77">
        <f>4792.51</f>
        <v>4792.51</v>
      </c>
      <c r="L10" s="77"/>
      <c r="M10" s="78">
        <f>K10-L10</f>
        <v>4792.51</v>
      </c>
      <c r="N10" s="100">
        <f>2+5</f>
        <v>7</v>
      </c>
      <c r="O10" s="77">
        <f>4764.04+9108.77</f>
        <v>13872.810000000001</v>
      </c>
      <c r="P10" s="77"/>
      <c r="Q10" s="79">
        <f>O10-P10</f>
        <v>13872.810000000001</v>
      </c>
    </row>
    <row r="11" spans="1:17" s="13" customFormat="1" ht="31.5" x14ac:dyDescent="0.25">
      <c r="A11" s="10"/>
      <c r="B11" s="22" t="s">
        <v>16</v>
      </c>
      <c r="C11" s="1" t="s">
        <v>304</v>
      </c>
      <c r="D11" s="120" t="s">
        <v>315</v>
      </c>
      <c r="E11" s="3" t="s">
        <v>18</v>
      </c>
      <c r="F11" s="73" t="s">
        <v>322</v>
      </c>
      <c r="G11" s="11" t="s">
        <v>116</v>
      </c>
      <c r="H11" s="1">
        <v>2</v>
      </c>
      <c r="I11" s="49"/>
      <c r="J11" s="46"/>
      <c r="K11" s="31"/>
      <c r="L11" s="31"/>
      <c r="M11" s="38">
        <f t="shared" ref="M11:M79" si="1">K11-L11</f>
        <v>0</v>
      </c>
      <c r="N11" s="41"/>
      <c r="O11" s="31">
        <v>2945</v>
      </c>
      <c r="P11" s="31"/>
      <c r="Q11" s="12">
        <f t="shared" ref="Q11:Q74" si="2">O11-P11</f>
        <v>2945</v>
      </c>
    </row>
    <row r="12" spans="1:17" s="15" customFormat="1" ht="15.75" x14ac:dyDescent="0.25">
      <c r="A12" s="14"/>
      <c r="B12" s="80" t="s">
        <v>19</v>
      </c>
      <c r="C12" s="1" t="s">
        <v>17</v>
      </c>
      <c r="D12" s="120"/>
      <c r="E12" s="3" t="s">
        <v>20</v>
      </c>
      <c r="F12" s="73" t="s">
        <v>323</v>
      </c>
      <c r="G12" s="74" t="s">
        <v>112</v>
      </c>
      <c r="H12" s="75">
        <v>7</v>
      </c>
      <c r="I12" s="76">
        <v>3</v>
      </c>
      <c r="J12" s="96">
        <f>1+2</f>
        <v>3</v>
      </c>
      <c r="K12" s="77">
        <v>422.62</v>
      </c>
      <c r="L12" s="77"/>
      <c r="M12" s="78">
        <f t="shared" si="1"/>
        <v>422.62</v>
      </c>
      <c r="N12" s="100">
        <f>8</f>
        <v>8</v>
      </c>
      <c r="O12" s="81">
        <v>6459.36</v>
      </c>
      <c r="P12" s="81"/>
      <c r="Q12" s="79">
        <f t="shared" si="2"/>
        <v>6459.36</v>
      </c>
    </row>
    <row r="13" spans="1:17" s="15" customFormat="1" ht="15.75" x14ac:dyDescent="0.25">
      <c r="A13" s="14"/>
      <c r="B13" s="23" t="s">
        <v>19</v>
      </c>
      <c r="C13" s="1" t="s">
        <v>17</v>
      </c>
      <c r="D13" s="120"/>
      <c r="E13" s="3" t="s">
        <v>20</v>
      </c>
      <c r="F13" s="73" t="s">
        <v>451</v>
      </c>
      <c r="G13" s="11" t="s">
        <v>114</v>
      </c>
      <c r="H13" s="1">
        <v>2</v>
      </c>
      <c r="I13" s="49">
        <v>1</v>
      </c>
      <c r="J13" s="51">
        <v>1</v>
      </c>
      <c r="K13" s="40"/>
      <c r="L13" s="40"/>
      <c r="M13" s="38">
        <f t="shared" si="1"/>
        <v>0</v>
      </c>
      <c r="N13" s="42">
        <v>7</v>
      </c>
      <c r="O13" s="31">
        <v>3818</v>
      </c>
      <c r="P13" s="31">
        <v>3818</v>
      </c>
      <c r="Q13" s="12">
        <f t="shared" si="2"/>
        <v>0</v>
      </c>
    </row>
    <row r="14" spans="1:17" s="15" customFormat="1" ht="15.75" x14ac:dyDescent="0.25">
      <c r="A14" s="14"/>
      <c r="B14" s="62" t="s">
        <v>153</v>
      </c>
      <c r="C14" s="1" t="s">
        <v>17</v>
      </c>
      <c r="D14" s="120"/>
      <c r="E14" s="3" t="s">
        <v>20</v>
      </c>
      <c r="F14" s="73" t="s">
        <v>324</v>
      </c>
      <c r="G14" s="74" t="s">
        <v>112</v>
      </c>
      <c r="H14" s="75">
        <v>3</v>
      </c>
      <c r="I14" s="82">
        <v>1</v>
      </c>
      <c r="J14" s="96">
        <f>1</f>
        <v>1</v>
      </c>
      <c r="K14" s="77">
        <f>950.9</f>
        <v>950.9</v>
      </c>
      <c r="L14" s="77"/>
      <c r="M14" s="78">
        <f t="shared" si="1"/>
        <v>950.9</v>
      </c>
      <c r="N14" s="114">
        <f>1+2</f>
        <v>3</v>
      </c>
      <c r="O14" s="81">
        <f>422.62+945.61</f>
        <v>1368.23</v>
      </c>
      <c r="P14" s="81"/>
      <c r="Q14" s="79">
        <f t="shared" si="2"/>
        <v>1368.23</v>
      </c>
    </row>
    <row r="15" spans="1:17" s="15" customFormat="1" ht="15.75" x14ac:dyDescent="0.25">
      <c r="A15" s="14"/>
      <c r="B15" s="50" t="s">
        <v>153</v>
      </c>
      <c r="C15" s="1" t="s">
        <v>17</v>
      </c>
      <c r="D15" s="120"/>
      <c r="E15" s="3" t="s">
        <v>20</v>
      </c>
      <c r="F15" s="73" t="s">
        <v>452</v>
      </c>
      <c r="G15" s="11" t="s">
        <v>114</v>
      </c>
      <c r="H15" s="1">
        <v>1</v>
      </c>
      <c r="I15" s="49"/>
      <c r="J15" s="51"/>
      <c r="K15" s="40"/>
      <c r="L15" s="40"/>
      <c r="M15" s="38">
        <f t="shared" si="1"/>
        <v>0</v>
      </c>
      <c r="N15" s="42">
        <v>5</v>
      </c>
      <c r="O15" s="31">
        <v>13319</v>
      </c>
      <c r="P15" s="31">
        <f>3073.6</f>
        <v>3073.6</v>
      </c>
      <c r="Q15" s="12">
        <f t="shared" si="2"/>
        <v>10245.4</v>
      </c>
    </row>
    <row r="16" spans="1:17" s="13" customFormat="1" ht="15.75" x14ac:dyDescent="0.25">
      <c r="A16" s="10"/>
      <c r="B16" s="30" t="s">
        <v>22</v>
      </c>
      <c r="C16" s="1" t="s">
        <v>17</v>
      </c>
      <c r="D16" s="120"/>
      <c r="E16" s="3" t="s">
        <v>23</v>
      </c>
      <c r="F16" s="73" t="s">
        <v>325</v>
      </c>
      <c r="G16" s="74" t="s">
        <v>112</v>
      </c>
      <c r="H16" s="75">
        <v>5</v>
      </c>
      <c r="I16" s="76">
        <v>1</v>
      </c>
      <c r="J16" s="96">
        <f>1</f>
        <v>1</v>
      </c>
      <c r="K16" s="77">
        <f>2698.64</f>
        <v>2698.64</v>
      </c>
      <c r="L16" s="77"/>
      <c r="M16" s="78">
        <f t="shared" si="1"/>
        <v>2698.64</v>
      </c>
      <c r="N16" s="100">
        <f>14+3</f>
        <v>17</v>
      </c>
      <c r="O16" s="81">
        <f>22716.4+4171.06</f>
        <v>26887.460000000003</v>
      </c>
      <c r="P16" s="81"/>
      <c r="Q16" s="79">
        <f t="shared" si="2"/>
        <v>26887.460000000003</v>
      </c>
    </row>
    <row r="17" spans="1:17" s="13" customFormat="1" ht="15.75" x14ac:dyDescent="0.25">
      <c r="A17" s="10"/>
      <c r="B17" s="24" t="s">
        <v>154</v>
      </c>
      <c r="C17" s="1" t="s">
        <v>17</v>
      </c>
      <c r="D17" s="120"/>
      <c r="E17" s="3" t="s">
        <v>20</v>
      </c>
      <c r="F17" s="73" t="s">
        <v>453</v>
      </c>
      <c r="G17" s="11" t="s">
        <v>114</v>
      </c>
      <c r="H17" s="1">
        <v>6</v>
      </c>
      <c r="I17" s="47"/>
      <c r="J17" s="51"/>
      <c r="K17" s="37"/>
      <c r="L17" s="37"/>
      <c r="M17" s="38">
        <f t="shared" si="1"/>
        <v>0</v>
      </c>
      <c r="N17" s="39">
        <v>5</v>
      </c>
      <c r="O17" s="31">
        <v>5603</v>
      </c>
      <c r="P17" s="31">
        <f>3682</f>
        <v>3682</v>
      </c>
      <c r="Q17" s="12">
        <f t="shared" si="2"/>
        <v>1921</v>
      </c>
    </row>
    <row r="18" spans="1:17" s="13" customFormat="1" ht="15.75" x14ac:dyDescent="0.25">
      <c r="A18" s="10"/>
      <c r="B18" s="30" t="s">
        <v>154</v>
      </c>
      <c r="C18" s="1" t="s">
        <v>17</v>
      </c>
      <c r="D18" s="120"/>
      <c r="E18" s="3" t="s">
        <v>20</v>
      </c>
      <c r="F18" s="73" t="s">
        <v>326</v>
      </c>
      <c r="G18" s="74" t="s">
        <v>112</v>
      </c>
      <c r="H18" s="75">
        <v>7</v>
      </c>
      <c r="I18" s="76">
        <v>3</v>
      </c>
      <c r="J18" s="96">
        <f>1+1+2</f>
        <v>4</v>
      </c>
      <c r="K18" s="77">
        <f>950.9</f>
        <v>950.9</v>
      </c>
      <c r="L18" s="77"/>
      <c r="M18" s="78">
        <f t="shared" si="1"/>
        <v>950.9</v>
      </c>
      <c r="N18" s="100">
        <f>6+3</f>
        <v>9</v>
      </c>
      <c r="O18" s="128">
        <f>6681.33+7017</f>
        <v>13698.33</v>
      </c>
      <c r="P18" s="81"/>
      <c r="Q18" s="79">
        <f t="shared" si="2"/>
        <v>13698.33</v>
      </c>
    </row>
    <row r="19" spans="1:17" s="13" customFormat="1" ht="15.75" x14ac:dyDescent="0.25">
      <c r="A19" s="10"/>
      <c r="B19" s="62" t="s">
        <v>24</v>
      </c>
      <c r="C19" s="1" t="s">
        <v>17</v>
      </c>
      <c r="D19" s="120"/>
      <c r="E19" s="3" t="s">
        <v>20</v>
      </c>
      <c r="F19" s="73" t="s">
        <v>327</v>
      </c>
      <c r="G19" s="74" t="s">
        <v>112</v>
      </c>
      <c r="H19" s="75">
        <v>1</v>
      </c>
      <c r="I19" s="76"/>
      <c r="J19" s="96"/>
      <c r="K19" s="77"/>
      <c r="L19" s="77"/>
      <c r="M19" s="38">
        <f t="shared" si="1"/>
        <v>0</v>
      </c>
      <c r="N19" s="100">
        <f>1</f>
        <v>1</v>
      </c>
      <c r="O19" s="81">
        <f>575.3</f>
        <v>575.29999999999995</v>
      </c>
      <c r="P19" s="81"/>
      <c r="Q19" s="12">
        <f t="shared" si="2"/>
        <v>575.29999999999995</v>
      </c>
    </row>
    <row r="20" spans="1:17" s="13" customFormat="1" ht="15.75" x14ac:dyDescent="0.25">
      <c r="A20" s="10"/>
      <c r="B20" s="22" t="s">
        <v>24</v>
      </c>
      <c r="C20" s="1" t="s">
        <v>17</v>
      </c>
      <c r="D20" s="120"/>
      <c r="E20" s="3" t="s">
        <v>20</v>
      </c>
      <c r="F20" s="73" t="s">
        <v>454</v>
      </c>
      <c r="G20" s="11" t="s">
        <v>114</v>
      </c>
      <c r="H20" s="1">
        <v>4</v>
      </c>
      <c r="I20" s="49"/>
      <c r="J20" s="51"/>
      <c r="K20" s="40"/>
      <c r="L20" s="40"/>
      <c r="M20" s="78">
        <f t="shared" si="1"/>
        <v>0</v>
      </c>
      <c r="N20" s="41">
        <v>7</v>
      </c>
      <c r="O20" s="31">
        <v>14635.6</v>
      </c>
      <c r="P20" s="31">
        <f>3649.9</f>
        <v>3649.9</v>
      </c>
      <c r="Q20" s="79">
        <f t="shared" si="2"/>
        <v>10985.7</v>
      </c>
    </row>
    <row r="21" spans="1:17" s="13" customFormat="1" ht="15.75" x14ac:dyDescent="0.25">
      <c r="A21" s="10"/>
      <c r="B21" s="62" t="s">
        <v>25</v>
      </c>
      <c r="C21" s="1" t="s">
        <v>17</v>
      </c>
      <c r="D21" s="120"/>
      <c r="E21" s="3" t="s">
        <v>20</v>
      </c>
      <c r="F21" s="73" t="s">
        <v>328</v>
      </c>
      <c r="G21" s="74" t="s">
        <v>112</v>
      </c>
      <c r="H21" s="75">
        <v>3</v>
      </c>
      <c r="I21" s="76">
        <v>1</v>
      </c>
      <c r="J21" s="96">
        <f>1</f>
        <v>1</v>
      </c>
      <c r="K21" s="77">
        <v>1743.31</v>
      </c>
      <c r="L21" s="77"/>
      <c r="M21" s="38">
        <f t="shared" si="1"/>
        <v>1743.31</v>
      </c>
      <c r="N21" s="100">
        <f>6</f>
        <v>6</v>
      </c>
      <c r="O21" s="81">
        <v>14526.7</v>
      </c>
      <c r="P21" s="81"/>
      <c r="Q21" s="12">
        <f t="shared" si="2"/>
        <v>14526.7</v>
      </c>
    </row>
    <row r="22" spans="1:17" s="13" customFormat="1" ht="15.75" x14ac:dyDescent="0.25">
      <c r="A22" s="10"/>
      <c r="B22" s="22" t="s">
        <v>25</v>
      </c>
      <c r="C22" s="1" t="s">
        <v>17</v>
      </c>
      <c r="D22" s="120"/>
      <c r="E22" s="3" t="s">
        <v>20</v>
      </c>
      <c r="F22" s="73" t="s">
        <v>455</v>
      </c>
      <c r="G22" s="11" t="s">
        <v>114</v>
      </c>
      <c r="H22" s="1"/>
      <c r="I22" s="49"/>
      <c r="J22" s="51"/>
      <c r="K22" s="40"/>
      <c r="L22" s="40"/>
      <c r="M22" s="78">
        <f t="shared" si="1"/>
        <v>0</v>
      </c>
      <c r="N22" s="41">
        <v>2</v>
      </c>
      <c r="O22" s="31">
        <v>4146.2</v>
      </c>
      <c r="P22" s="31">
        <f>4146.2</f>
        <v>4146.2</v>
      </c>
      <c r="Q22" s="79">
        <f t="shared" si="2"/>
        <v>0</v>
      </c>
    </row>
    <row r="23" spans="1:17" s="13" customFormat="1" ht="15.75" x14ac:dyDescent="0.25">
      <c r="A23" s="10"/>
      <c r="B23" s="62" t="s">
        <v>26</v>
      </c>
      <c r="C23" s="1" t="s">
        <v>17</v>
      </c>
      <c r="D23" s="120"/>
      <c r="E23" s="3" t="s">
        <v>27</v>
      </c>
      <c r="F23" s="73" t="s">
        <v>329</v>
      </c>
      <c r="G23" s="74" t="s">
        <v>112</v>
      </c>
      <c r="H23" s="75">
        <v>4</v>
      </c>
      <c r="I23" s="76">
        <v>2</v>
      </c>
      <c r="J23" s="96">
        <f>2</f>
        <v>2</v>
      </c>
      <c r="K23" s="77">
        <f>845.24</f>
        <v>845.24</v>
      </c>
      <c r="L23" s="77"/>
      <c r="M23" s="38">
        <f t="shared" si="1"/>
        <v>845.24</v>
      </c>
      <c r="N23" s="100">
        <f>6+1</f>
        <v>7</v>
      </c>
      <c r="O23" s="81">
        <f>17838.53+2535.75</f>
        <v>20374.28</v>
      </c>
      <c r="P23" s="81">
        <v>14149.86</v>
      </c>
      <c r="Q23" s="12">
        <f t="shared" si="2"/>
        <v>6224.4199999999983</v>
      </c>
    </row>
    <row r="24" spans="1:17" s="15" customFormat="1" ht="15.75" x14ac:dyDescent="0.25">
      <c r="A24" s="14"/>
      <c r="B24" s="80" t="s">
        <v>28</v>
      </c>
      <c r="C24" s="1" t="s">
        <v>17</v>
      </c>
      <c r="D24" s="120"/>
      <c r="E24" s="17" t="s">
        <v>29</v>
      </c>
      <c r="F24" s="73" t="s">
        <v>330</v>
      </c>
      <c r="G24" s="74" t="s">
        <v>112</v>
      </c>
      <c r="H24" s="75">
        <v>1</v>
      </c>
      <c r="I24" s="76"/>
      <c r="J24" s="96"/>
      <c r="K24" s="77"/>
      <c r="L24" s="77"/>
      <c r="M24" s="38">
        <f t="shared" si="1"/>
        <v>0</v>
      </c>
      <c r="N24" s="100">
        <f>3+2</f>
        <v>5</v>
      </c>
      <c r="O24" s="81">
        <f>5310.83+4630.52</f>
        <v>9941.35</v>
      </c>
      <c r="P24" s="81"/>
      <c r="Q24" s="12">
        <f t="shared" si="2"/>
        <v>9941.35</v>
      </c>
    </row>
    <row r="25" spans="1:17" s="15" customFormat="1" ht="15.75" x14ac:dyDescent="0.25">
      <c r="A25" s="14"/>
      <c r="B25" s="23" t="s">
        <v>28</v>
      </c>
      <c r="C25" s="1" t="s">
        <v>17</v>
      </c>
      <c r="D25" s="120"/>
      <c r="E25" s="17" t="s">
        <v>29</v>
      </c>
      <c r="F25" s="73" t="s">
        <v>420</v>
      </c>
      <c r="G25" s="8" t="s">
        <v>117</v>
      </c>
      <c r="H25" s="1">
        <v>2</v>
      </c>
      <c r="I25" s="48"/>
      <c r="J25" s="45"/>
      <c r="K25" s="40"/>
      <c r="L25" s="40"/>
      <c r="M25" s="78">
        <f t="shared" si="1"/>
        <v>0</v>
      </c>
      <c r="N25" s="42">
        <v>3</v>
      </c>
      <c r="O25" s="31"/>
      <c r="P25" s="31"/>
      <c r="Q25" s="79">
        <f t="shared" si="2"/>
        <v>0</v>
      </c>
    </row>
    <row r="26" spans="1:17" s="13" customFormat="1" ht="15.75" x14ac:dyDescent="0.25">
      <c r="A26" s="10"/>
      <c r="B26" s="27" t="s">
        <v>30</v>
      </c>
      <c r="C26" s="1" t="s">
        <v>17</v>
      </c>
      <c r="D26" s="120"/>
      <c r="E26" s="17" t="s">
        <v>21</v>
      </c>
      <c r="F26" s="73" t="s">
        <v>333</v>
      </c>
      <c r="G26" s="74" t="s">
        <v>112</v>
      </c>
      <c r="H26" s="75">
        <v>5</v>
      </c>
      <c r="I26" s="76">
        <v>4</v>
      </c>
      <c r="J26" s="96">
        <f>3+1</f>
        <v>4</v>
      </c>
      <c r="K26" s="77">
        <f>2399.78+806.82</f>
        <v>3206.6000000000004</v>
      </c>
      <c r="L26" s="77"/>
      <c r="M26" s="38">
        <f t="shared" si="1"/>
        <v>3206.6000000000004</v>
      </c>
      <c r="N26" s="100">
        <f>9+1</f>
        <v>10</v>
      </c>
      <c r="O26" s="81">
        <f>39871.99+5530.04</f>
        <v>45402.03</v>
      </c>
      <c r="P26" s="81"/>
      <c r="Q26" s="12">
        <f t="shared" si="2"/>
        <v>45402.03</v>
      </c>
    </row>
    <row r="27" spans="1:17" s="13" customFormat="1" ht="15.75" x14ac:dyDescent="0.25">
      <c r="A27" s="10"/>
      <c r="B27" s="30" t="s">
        <v>31</v>
      </c>
      <c r="C27" s="1" t="s">
        <v>17</v>
      </c>
      <c r="D27" s="120"/>
      <c r="E27" s="3" t="s">
        <v>32</v>
      </c>
      <c r="F27" s="73" t="s">
        <v>331</v>
      </c>
      <c r="G27" s="74" t="s">
        <v>112</v>
      </c>
      <c r="H27" s="75">
        <v>4</v>
      </c>
      <c r="I27" s="76">
        <v>1</v>
      </c>
      <c r="J27" s="96">
        <f>1</f>
        <v>1</v>
      </c>
      <c r="K27" s="77">
        <f>633.93</f>
        <v>633.92999999999995</v>
      </c>
      <c r="L27" s="77"/>
      <c r="M27" s="78">
        <f t="shared" si="1"/>
        <v>633.92999999999995</v>
      </c>
      <c r="N27" s="100">
        <f>1+3+3</f>
        <v>7</v>
      </c>
      <c r="O27" s="81">
        <f>2299.8+15239.58+6152.75</f>
        <v>23692.13</v>
      </c>
      <c r="P27" s="81">
        <f>2299.8</f>
        <v>2299.8000000000002</v>
      </c>
      <c r="Q27" s="79">
        <f t="shared" si="2"/>
        <v>21392.33</v>
      </c>
    </row>
    <row r="28" spans="1:17" s="13" customFormat="1" ht="15.75" x14ac:dyDescent="0.25">
      <c r="A28" s="10"/>
      <c r="B28" s="24" t="s">
        <v>31</v>
      </c>
      <c r="C28" s="1" t="s">
        <v>17</v>
      </c>
      <c r="D28" s="120"/>
      <c r="E28" s="3" t="s">
        <v>32</v>
      </c>
      <c r="F28" s="73" t="s">
        <v>422</v>
      </c>
      <c r="G28" s="8" t="s">
        <v>117</v>
      </c>
      <c r="H28" s="1">
        <v>4</v>
      </c>
      <c r="I28" s="49">
        <v>1</v>
      </c>
      <c r="J28" s="46">
        <v>1</v>
      </c>
      <c r="K28" s="40">
        <v>2344.3000000000002</v>
      </c>
      <c r="L28" s="40"/>
      <c r="M28" s="38">
        <f t="shared" si="1"/>
        <v>2344.3000000000002</v>
      </c>
      <c r="N28" s="41">
        <v>6</v>
      </c>
      <c r="O28" s="40">
        <v>12150.4</v>
      </c>
      <c r="P28" s="40"/>
      <c r="Q28" s="12">
        <f t="shared" si="2"/>
        <v>12150.4</v>
      </c>
    </row>
    <row r="29" spans="1:17" s="15" customFormat="1" ht="15.75" x14ac:dyDescent="0.25">
      <c r="A29" s="14"/>
      <c r="B29" s="80" t="s">
        <v>33</v>
      </c>
      <c r="C29" s="1" t="s">
        <v>17</v>
      </c>
      <c r="D29" s="120"/>
      <c r="E29" s="3" t="s">
        <v>20</v>
      </c>
      <c r="F29" s="73" t="s">
        <v>332</v>
      </c>
      <c r="G29" s="74" t="s">
        <v>112</v>
      </c>
      <c r="H29" s="75">
        <v>3</v>
      </c>
      <c r="I29" s="76"/>
      <c r="J29" s="96"/>
      <c r="K29" s="77"/>
      <c r="L29" s="77"/>
      <c r="M29" s="78">
        <f t="shared" si="1"/>
        <v>0</v>
      </c>
      <c r="N29" s="100">
        <f>2+1</f>
        <v>3</v>
      </c>
      <c r="O29" s="81">
        <v>1613.64</v>
      </c>
      <c r="P29" s="81"/>
      <c r="Q29" s="79">
        <f t="shared" si="2"/>
        <v>1613.64</v>
      </c>
    </row>
    <row r="30" spans="1:17" s="15" customFormat="1" ht="15.75" x14ac:dyDescent="0.25">
      <c r="A30" s="14"/>
      <c r="B30" s="23" t="s">
        <v>33</v>
      </c>
      <c r="C30" s="1" t="s">
        <v>17</v>
      </c>
      <c r="D30" s="120"/>
      <c r="E30" s="3" t="s">
        <v>20</v>
      </c>
      <c r="F30" s="73" t="s">
        <v>481</v>
      </c>
      <c r="G30" s="11" t="s">
        <v>114</v>
      </c>
      <c r="H30" s="1">
        <v>1</v>
      </c>
      <c r="I30" s="49"/>
      <c r="J30" s="51"/>
      <c r="K30" s="40"/>
      <c r="L30" s="40"/>
      <c r="M30" s="38">
        <f t="shared" si="1"/>
        <v>0</v>
      </c>
      <c r="N30" s="42">
        <v>12</v>
      </c>
      <c r="O30" s="31">
        <v>13071.87</v>
      </c>
      <c r="P30" s="31">
        <f>3738</f>
        <v>3738</v>
      </c>
      <c r="Q30" s="12">
        <f t="shared" si="2"/>
        <v>9333.8700000000008</v>
      </c>
    </row>
    <row r="31" spans="1:17" s="15" customFormat="1" ht="15.75" x14ac:dyDescent="0.25">
      <c r="A31" s="14"/>
      <c r="B31" s="62" t="s">
        <v>147</v>
      </c>
      <c r="C31" s="1" t="s">
        <v>17</v>
      </c>
      <c r="D31" s="120"/>
      <c r="E31" s="3" t="s">
        <v>29</v>
      </c>
      <c r="F31" s="73" t="s">
        <v>334</v>
      </c>
      <c r="G31" s="74" t="s">
        <v>112</v>
      </c>
      <c r="H31" s="75">
        <v>2</v>
      </c>
      <c r="I31" s="102"/>
      <c r="J31" s="97"/>
      <c r="K31" s="77"/>
      <c r="L31" s="77"/>
      <c r="M31" s="78">
        <f t="shared" si="1"/>
        <v>0</v>
      </c>
      <c r="N31" s="114">
        <f>1</f>
        <v>1</v>
      </c>
      <c r="O31" s="81">
        <f>1394.65</f>
        <v>1394.65</v>
      </c>
      <c r="P31" s="81">
        <f>1394.65</f>
        <v>1394.65</v>
      </c>
      <c r="Q31" s="79">
        <f t="shared" si="2"/>
        <v>0</v>
      </c>
    </row>
    <row r="32" spans="1:17" s="15" customFormat="1" ht="15.75" x14ac:dyDescent="0.25">
      <c r="A32" s="14"/>
      <c r="B32" s="50" t="s">
        <v>147</v>
      </c>
      <c r="C32" s="1" t="s">
        <v>17</v>
      </c>
      <c r="D32" s="120"/>
      <c r="E32" s="3" t="s">
        <v>29</v>
      </c>
      <c r="F32" s="73" t="s">
        <v>423</v>
      </c>
      <c r="G32" s="11" t="s">
        <v>117</v>
      </c>
      <c r="H32" s="1">
        <v>2</v>
      </c>
      <c r="I32" s="48"/>
      <c r="J32" s="45"/>
      <c r="K32" s="40"/>
      <c r="L32" s="40"/>
      <c r="M32" s="38">
        <f t="shared" si="1"/>
        <v>0</v>
      </c>
      <c r="N32" s="42">
        <f>2</f>
        <v>2</v>
      </c>
      <c r="O32" s="31">
        <v>3361.75</v>
      </c>
      <c r="P32" s="31"/>
      <c r="Q32" s="12">
        <f t="shared" si="2"/>
        <v>3361.75</v>
      </c>
    </row>
    <row r="33" spans="1:17" s="13" customFormat="1" ht="15.75" x14ac:dyDescent="0.25">
      <c r="A33" s="10"/>
      <c r="B33" s="62" t="s">
        <v>34</v>
      </c>
      <c r="C33" s="1" t="s">
        <v>17</v>
      </c>
      <c r="D33" s="120"/>
      <c r="E33" s="17" t="s">
        <v>35</v>
      </c>
      <c r="F33" s="73" t="s">
        <v>335</v>
      </c>
      <c r="G33" s="74" t="s">
        <v>112</v>
      </c>
      <c r="H33" s="75">
        <v>7</v>
      </c>
      <c r="I33" s="76"/>
      <c r="J33" s="96"/>
      <c r="K33" s="77"/>
      <c r="L33" s="77"/>
      <c r="M33" s="78">
        <f t="shared" si="1"/>
        <v>0</v>
      </c>
      <c r="N33" s="100">
        <f>4+4+6+1</f>
        <v>15</v>
      </c>
      <c r="O33" s="81">
        <f>23915.04+21171.88</f>
        <v>45086.92</v>
      </c>
      <c r="P33" s="81"/>
      <c r="Q33" s="79">
        <f t="shared" si="2"/>
        <v>45086.92</v>
      </c>
    </row>
    <row r="34" spans="1:17" s="13" customFormat="1" ht="15.75" x14ac:dyDescent="0.25">
      <c r="A34" s="10"/>
      <c r="B34" s="22" t="s">
        <v>34</v>
      </c>
      <c r="C34" s="1" t="s">
        <v>17</v>
      </c>
      <c r="D34" s="120"/>
      <c r="E34" s="17" t="s">
        <v>35</v>
      </c>
      <c r="F34" s="73" t="s">
        <v>424</v>
      </c>
      <c r="G34" s="8" t="s">
        <v>117</v>
      </c>
      <c r="H34" s="1">
        <v>1</v>
      </c>
      <c r="I34" s="49"/>
      <c r="J34" s="46"/>
      <c r="K34" s="40"/>
      <c r="L34" s="40"/>
      <c r="M34" s="38">
        <f t="shared" si="1"/>
        <v>0</v>
      </c>
      <c r="N34" s="41">
        <v>2</v>
      </c>
      <c r="O34" s="31">
        <v>5570.9</v>
      </c>
      <c r="P34" s="31"/>
      <c r="Q34" s="12">
        <f t="shared" si="2"/>
        <v>5570.9</v>
      </c>
    </row>
    <row r="35" spans="1:17" s="13" customFormat="1" ht="15.75" x14ac:dyDescent="0.25">
      <c r="A35" s="10"/>
      <c r="B35" s="27" t="s">
        <v>36</v>
      </c>
      <c r="C35" s="1" t="s">
        <v>17</v>
      </c>
      <c r="D35" s="120"/>
      <c r="E35" s="17" t="s">
        <v>32</v>
      </c>
      <c r="F35" s="73" t="s">
        <v>336</v>
      </c>
      <c r="G35" s="74" t="s">
        <v>112</v>
      </c>
      <c r="H35" s="75">
        <v>4</v>
      </c>
      <c r="I35" s="76">
        <v>1</v>
      </c>
      <c r="J35" s="96">
        <f>1</f>
        <v>1</v>
      </c>
      <c r="K35" s="77">
        <f>2091.97</f>
        <v>2091.9699999999998</v>
      </c>
      <c r="L35" s="77"/>
      <c r="M35" s="78">
        <f t="shared" si="1"/>
        <v>2091.9699999999998</v>
      </c>
      <c r="N35" s="100">
        <f>4+2+5</f>
        <v>11</v>
      </c>
      <c r="O35" s="81">
        <v>26828.22</v>
      </c>
      <c r="P35" s="81">
        <f>8144.95</f>
        <v>8144.95</v>
      </c>
      <c r="Q35" s="79">
        <f t="shared" si="2"/>
        <v>18683.27</v>
      </c>
    </row>
    <row r="36" spans="1:17" s="13" customFormat="1" ht="15.75" x14ac:dyDescent="0.25">
      <c r="A36" s="10"/>
      <c r="B36" s="27" t="s">
        <v>38</v>
      </c>
      <c r="C36" s="1" t="s">
        <v>17</v>
      </c>
      <c r="D36" s="120"/>
      <c r="E36" s="3" t="s">
        <v>20</v>
      </c>
      <c r="F36" s="73" t="s">
        <v>338</v>
      </c>
      <c r="G36" s="74" t="s">
        <v>112</v>
      </c>
      <c r="H36" s="75">
        <v>13</v>
      </c>
      <c r="I36" s="76">
        <v>5</v>
      </c>
      <c r="J36" s="96">
        <f>5</f>
        <v>5</v>
      </c>
      <c r="K36" s="77">
        <f>4427.07</f>
        <v>4427.07</v>
      </c>
      <c r="L36" s="77"/>
      <c r="M36" s="78">
        <f t="shared" si="1"/>
        <v>4427.07</v>
      </c>
      <c r="N36" s="100">
        <f>1+14</f>
        <v>15</v>
      </c>
      <c r="O36" s="81">
        <f>34449.99+27363.78</f>
        <v>61813.77</v>
      </c>
      <c r="P36" s="81">
        <f>34449.99</f>
        <v>34449.99</v>
      </c>
      <c r="Q36" s="79">
        <f t="shared" si="2"/>
        <v>27363.78</v>
      </c>
    </row>
    <row r="37" spans="1:17" s="13" customFormat="1" ht="15.75" x14ac:dyDescent="0.25">
      <c r="A37" s="10"/>
      <c r="B37" s="25" t="s">
        <v>38</v>
      </c>
      <c r="C37" s="1" t="s">
        <v>17</v>
      </c>
      <c r="D37" s="120"/>
      <c r="E37" s="3" t="s">
        <v>20</v>
      </c>
      <c r="F37" s="73" t="s">
        <v>268</v>
      </c>
      <c r="G37" s="11" t="s">
        <v>114</v>
      </c>
      <c r="H37" s="1"/>
      <c r="I37" s="49"/>
      <c r="J37" s="51"/>
      <c r="K37" s="40"/>
      <c r="L37" s="40"/>
      <c r="M37" s="38">
        <f t="shared" si="1"/>
        <v>0</v>
      </c>
      <c r="N37" s="41"/>
      <c r="O37" s="31"/>
      <c r="P37" s="31"/>
      <c r="Q37" s="12">
        <f t="shared" si="2"/>
        <v>0</v>
      </c>
    </row>
    <row r="38" spans="1:17" s="13" customFormat="1" ht="15.75" x14ac:dyDescent="0.25">
      <c r="A38" s="10"/>
      <c r="B38" s="25" t="s">
        <v>38</v>
      </c>
      <c r="C38" s="1" t="s">
        <v>17</v>
      </c>
      <c r="D38" s="120"/>
      <c r="E38" s="3"/>
      <c r="F38" s="73"/>
      <c r="G38" s="11" t="s">
        <v>116</v>
      </c>
      <c r="H38" s="1">
        <v>3</v>
      </c>
      <c r="I38" s="49"/>
      <c r="J38" s="51"/>
      <c r="K38" s="40"/>
      <c r="L38" s="40"/>
      <c r="M38" s="38">
        <f t="shared" si="1"/>
        <v>0</v>
      </c>
      <c r="N38" s="41"/>
      <c r="O38" s="31"/>
      <c r="P38" s="31"/>
      <c r="Q38" s="12">
        <f t="shared" si="2"/>
        <v>0</v>
      </c>
    </row>
    <row r="39" spans="1:17" s="13" customFormat="1" ht="15.75" x14ac:dyDescent="0.25">
      <c r="A39" s="10"/>
      <c r="B39" s="22" t="s">
        <v>39</v>
      </c>
      <c r="C39" s="1" t="s">
        <v>17</v>
      </c>
      <c r="D39" s="120"/>
      <c r="E39" s="3" t="s">
        <v>20</v>
      </c>
      <c r="F39" s="73" t="s">
        <v>269</v>
      </c>
      <c r="G39" s="11" t="s">
        <v>114</v>
      </c>
      <c r="H39" s="1"/>
      <c r="I39" s="49"/>
      <c r="J39" s="51"/>
      <c r="K39" s="40"/>
      <c r="L39" s="40"/>
      <c r="M39" s="38">
        <f t="shared" si="1"/>
        <v>0</v>
      </c>
      <c r="N39" s="41"/>
      <c r="O39" s="31"/>
      <c r="P39" s="31"/>
      <c r="Q39" s="12">
        <f t="shared" si="2"/>
        <v>0</v>
      </c>
    </row>
    <row r="40" spans="1:17" s="13" customFormat="1" ht="15.75" x14ac:dyDescent="0.25">
      <c r="A40" s="10"/>
      <c r="B40" s="27" t="s">
        <v>40</v>
      </c>
      <c r="C40" s="1" t="s">
        <v>17</v>
      </c>
      <c r="D40" s="120"/>
      <c r="E40" s="17" t="s">
        <v>41</v>
      </c>
      <c r="F40" s="73" t="s">
        <v>339</v>
      </c>
      <c r="G40" s="74" t="s">
        <v>112</v>
      </c>
      <c r="H40" s="75">
        <v>8</v>
      </c>
      <c r="I40" s="76">
        <v>2</v>
      </c>
      <c r="J40" s="96">
        <f>1+1</f>
        <v>2</v>
      </c>
      <c r="K40" s="77">
        <f>1045.98</f>
        <v>1045.98</v>
      </c>
      <c r="L40" s="77"/>
      <c r="M40" s="78">
        <f t="shared" si="1"/>
        <v>1045.98</v>
      </c>
      <c r="N40" s="100">
        <f>3+13+6</f>
        <v>22</v>
      </c>
      <c r="O40" s="81">
        <f>17269.31+39990.78+16582.12</f>
        <v>73842.209999999992</v>
      </c>
      <c r="P40" s="81">
        <f>17269.31</f>
        <v>17269.310000000001</v>
      </c>
      <c r="Q40" s="79">
        <f t="shared" si="2"/>
        <v>56572.899999999994</v>
      </c>
    </row>
    <row r="41" spans="1:17" s="13" customFormat="1" ht="15.75" x14ac:dyDescent="0.25">
      <c r="A41" s="10"/>
      <c r="B41" s="25" t="s">
        <v>40</v>
      </c>
      <c r="C41" s="1" t="s">
        <v>17</v>
      </c>
      <c r="D41" s="120"/>
      <c r="E41" s="17" t="s">
        <v>41</v>
      </c>
      <c r="F41" s="73" t="s">
        <v>482</v>
      </c>
      <c r="G41" s="11" t="s">
        <v>114</v>
      </c>
      <c r="H41" s="1"/>
      <c r="I41" s="49"/>
      <c r="J41" s="51"/>
      <c r="K41" s="40"/>
      <c r="L41" s="40"/>
      <c r="M41" s="38">
        <f t="shared" si="1"/>
        <v>0</v>
      </c>
      <c r="N41" s="41">
        <v>1</v>
      </c>
      <c r="O41" s="31">
        <v>3073.6</v>
      </c>
      <c r="P41" s="31">
        <f>3073.6</f>
        <v>3073.6</v>
      </c>
      <c r="Q41" s="12">
        <f t="shared" si="2"/>
        <v>0</v>
      </c>
    </row>
    <row r="42" spans="1:17" s="13" customFormat="1" ht="15.75" x14ac:dyDescent="0.25">
      <c r="A42" s="10"/>
      <c r="B42" s="27" t="s">
        <v>148</v>
      </c>
      <c r="C42" s="1" t="s">
        <v>17</v>
      </c>
      <c r="D42" s="120"/>
      <c r="E42" s="3" t="s">
        <v>20</v>
      </c>
      <c r="F42" s="73" t="s">
        <v>340</v>
      </c>
      <c r="G42" s="74" t="s">
        <v>112</v>
      </c>
      <c r="H42" s="75">
        <v>4</v>
      </c>
      <c r="I42" s="82">
        <v>1</v>
      </c>
      <c r="J42" s="96">
        <f>1</f>
        <v>1</v>
      </c>
      <c r="K42" s="77">
        <f>537.88</f>
        <v>537.88</v>
      </c>
      <c r="L42" s="77"/>
      <c r="M42" s="78">
        <f t="shared" si="1"/>
        <v>537.88</v>
      </c>
      <c r="N42" s="100">
        <f>6+5+3</f>
        <v>14</v>
      </c>
      <c r="O42" s="81">
        <f>9370.6+9456.38+8868.69</f>
        <v>27695.67</v>
      </c>
      <c r="P42" s="81">
        <f>9370.6</f>
        <v>9370.6</v>
      </c>
      <c r="Q42" s="79">
        <f t="shared" si="2"/>
        <v>18325.07</v>
      </c>
    </row>
    <row r="43" spans="1:17" s="13" customFormat="1" ht="15.75" x14ac:dyDescent="0.25">
      <c r="A43" s="10"/>
      <c r="B43" s="25" t="s">
        <v>148</v>
      </c>
      <c r="C43" s="1" t="s">
        <v>17</v>
      </c>
      <c r="D43" s="120"/>
      <c r="E43" s="17" t="s">
        <v>32</v>
      </c>
      <c r="F43" s="73" t="s">
        <v>425</v>
      </c>
      <c r="G43" s="11" t="s">
        <v>117</v>
      </c>
      <c r="H43" s="1">
        <v>1</v>
      </c>
      <c r="I43" s="49"/>
      <c r="J43" s="46"/>
      <c r="K43" s="40"/>
      <c r="L43" s="40"/>
      <c r="M43" s="38">
        <f t="shared" si="1"/>
        <v>0</v>
      </c>
      <c r="N43" s="41">
        <v>2</v>
      </c>
      <c r="O43" s="31">
        <v>7472.69</v>
      </c>
      <c r="P43" s="31"/>
      <c r="Q43" s="12">
        <f t="shared" si="2"/>
        <v>7472.69</v>
      </c>
    </row>
    <row r="44" spans="1:17" s="13" customFormat="1" ht="15.75" x14ac:dyDescent="0.25">
      <c r="A44" s="10"/>
      <c r="B44" s="30" t="s">
        <v>42</v>
      </c>
      <c r="C44" s="1" t="s">
        <v>17</v>
      </c>
      <c r="D44" s="120"/>
      <c r="E44" s="3" t="s">
        <v>23</v>
      </c>
      <c r="F44" s="73" t="s">
        <v>341</v>
      </c>
      <c r="G44" s="74" t="s">
        <v>112</v>
      </c>
      <c r="H44" s="75">
        <v>9</v>
      </c>
      <c r="I44" s="76">
        <v>4</v>
      </c>
      <c r="J44" s="96">
        <f>5</f>
        <v>5</v>
      </c>
      <c r="K44" s="77">
        <f>7156.22</f>
        <v>7156.22</v>
      </c>
      <c r="L44" s="77"/>
      <c r="M44" s="78">
        <f t="shared" si="1"/>
        <v>7156.22</v>
      </c>
      <c r="N44" s="100">
        <f>4+6+9+2</f>
        <v>21</v>
      </c>
      <c r="O44" s="81">
        <f>5364.2+26170.88+2849.25</f>
        <v>34384.33</v>
      </c>
      <c r="P44" s="81"/>
      <c r="Q44" s="79">
        <f t="shared" si="2"/>
        <v>34384.33</v>
      </c>
    </row>
    <row r="45" spans="1:17" s="13" customFormat="1" ht="15.75" x14ac:dyDescent="0.25">
      <c r="A45" s="10"/>
      <c r="B45" s="24" t="s">
        <v>42</v>
      </c>
      <c r="C45" s="1" t="s">
        <v>17</v>
      </c>
      <c r="D45" s="120"/>
      <c r="E45" s="3" t="s">
        <v>23</v>
      </c>
      <c r="F45" s="73" t="s">
        <v>437</v>
      </c>
      <c r="G45" s="11" t="s">
        <v>118</v>
      </c>
      <c r="H45" s="1">
        <v>2</v>
      </c>
      <c r="I45" s="49"/>
      <c r="J45" s="46"/>
      <c r="K45" s="40"/>
      <c r="L45" s="40"/>
      <c r="M45" s="38">
        <f t="shared" si="1"/>
        <v>0</v>
      </c>
      <c r="N45" s="41"/>
      <c r="O45" s="31">
        <v>4226.2</v>
      </c>
      <c r="P45" s="31"/>
      <c r="Q45" s="12">
        <f t="shared" si="2"/>
        <v>4226.2</v>
      </c>
    </row>
    <row r="46" spans="1:17" s="13" customFormat="1" ht="15.75" x14ac:dyDescent="0.25">
      <c r="A46" s="10"/>
      <c r="B46" s="30" t="s">
        <v>173</v>
      </c>
      <c r="C46" s="1" t="s">
        <v>17</v>
      </c>
      <c r="D46" s="120"/>
      <c r="E46" s="11" t="s">
        <v>118</v>
      </c>
      <c r="F46" s="73" t="s">
        <v>342</v>
      </c>
      <c r="G46" s="74" t="s">
        <v>112</v>
      </c>
      <c r="H46" s="75">
        <v>4</v>
      </c>
      <c r="I46" s="76">
        <v>3</v>
      </c>
      <c r="J46" s="96">
        <f>1+2</f>
        <v>3</v>
      </c>
      <c r="K46" s="77">
        <f>6833.76</f>
        <v>6833.76</v>
      </c>
      <c r="L46" s="77"/>
      <c r="M46" s="78">
        <f t="shared" si="1"/>
        <v>6833.76</v>
      </c>
      <c r="N46" s="100">
        <f>4+2</f>
        <v>6</v>
      </c>
      <c r="O46" s="81">
        <f>5931.9+4183.92+3158.95</f>
        <v>13274.77</v>
      </c>
      <c r="P46" s="81">
        <f>5931.9</f>
        <v>5931.9</v>
      </c>
      <c r="Q46" s="79">
        <f t="shared" si="2"/>
        <v>7342.8700000000008</v>
      </c>
    </row>
    <row r="47" spans="1:17" s="13" customFormat="1" ht="15.75" x14ac:dyDescent="0.25">
      <c r="A47" s="10"/>
      <c r="B47" s="22" t="s">
        <v>143</v>
      </c>
      <c r="C47" s="1" t="s">
        <v>64</v>
      </c>
      <c r="D47" s="120" t="s">
        <v>444</v>
      </c>
      <c r="E47" s="3" t="s">
        <v>20</v>
      </c>
      <c r="F47" s="73" t="s">
        <v>445</v>
      </c>
      <c r="G47" s="11" t="s">
        <v>114</v>
      </c>
      <c r="H47" s="1">
        <v>4</v>
      </c>
      <c r="I47" s="47"/>
      <c r="J47" s="51"/>
      <c r="K47" s="37"/>
      <c r="L47" s="37"/>
      <c r="M47" s="78">
        <f t="shared" si="1"/>
        <v>0</v>
      </c>
      <c r="N47" s="39">
        <v>11</v>
      </c>
      <c r="O47" s="31">
        <v>13367.1</v>
      </c>
      <c r="P47" s="31">
        <f>3762</f>
        <v>3762</v>
      </c>
      <c r="Q47" s="79">
        <f t="shared" si="2"/>
        <v>9605.1</v>
      </c>
    </row>
    <row r="48" spans="1:17" s="13" customFormat="1" ht="15.75" x14ac:dyDescent="0.25">
      <c r="A48" s="10"/>
      <c r="B48" s="24" t="s">
        <v>158</v>
      </c>
      <c r="C48" s="1" t="s">
        <v>17</v>
      </c>
      <c r="D48" s="120"/>
      <c r="E48" s="17" t="s">
        <v>32</v>
      </c>
      <c r="F48" s="73" t="s">
        <v>426</v>
      </c>
      <c r="G48" s="11" t="s">
        <v>117</v>
      </c>
      <c r="H48" s="1">
        <v>5</v>
      </c>
      <c r="I48" s="47"/>
      <c r="J48" s="51"/>
      <c r="K48" s="37"/>
      <c r="L48" s="37"/>
      <c r="M48" s="38">
        <f t="shared" si="1"/>
        <v>0</v>
      </c>
      <c r="N48" s="39">
        <v>4</v>
      </c>
      <c r="O48" s="31">
        <v>6907.7</v>
      </c>
      <c r="P48" s="31"/>
      <c r="Q48" s="12">
        <f t="shared" si="2"/>
        <v>6907.7</v>
      </c>
    </row>
    <row r="49" spans="1:17" s="15" customFormat="1" ht="15.75" x14ac:dyDescent="0.25">
      <c r="A49" s="14"/>
      <c r="B49" s="80" t="s">
        <v>43</v>
      </c>
      <c r="C49" s="1" t="s">
        <v>17</v>
      </c>
      <c r="D49" s="120"/>
      <c r="E49" s="3" t="s">
        <v>18</v>
      </c>
      <c r="F49" s="73" t="s">
        <v>344</v>
      </c>
      <c r="G49" s="74" t="s">
        <v>112</v>
      </c>
      <c r="H49" s="75">
        <v>8</v>
      </c>
      <c r="I49" s="76">
        <v>3</v>
      </c>
      <c r="J49" s="96">
        <f>1</f>
        <v>1</v>
      </c>
      <c r="K49" s="77"/>
      <c r="L49" s="77"/>
      <c r="M49" s="78">
        <f t="shared" si="1"/>
        <v>0</v>
      </c>
      <c r="N49" s="100">
        <f>1+5+4</f>
        <v>10</v>
      </c>
      <c r="O49" s="81">
        <f>1223.8+3810.29+4959.02</f>
        <v>9993.11</v>
      </c>
      <c r="P49" s="81"/>
      <c r="Q49" s="79">
        <f t="shared" si="2"/>
        <v>9993.11</v>
      </c>
    </row>
    <row r="50" spans="1:17" s="15" customFormat="1" ht="31.5" x14ac:dyDescent="0.25">
      <c r="A50" s="14"/>
      <c r="B50" s="22" t="s">
        <v>43</v>
      </c>
      <c r="C50" s="1" t="s">
        <v>304</v>
      </c>
      <c r="D50" s="120" t="s">
        <v>473</v>
      </c>
      <c r="E50" s="3" t="s">
        <v>18</v>
      </c>
      <c r="F50" s="73" t="s">
        <v>323</v>
      </c>
      <c r="G50" s="11" t="s">
        <v>113</v>
      </c>
      <c r="H50" s="1">
        <v>3</v>
      </c>
      <c r="I50" s="126">
        <v>4</v>
      </c>
      <c r="J50" s="125">
        <v>4</v>
      </c>
      <c r="K50" s="40">
        <v>5071</v>
      </c>
      <c r="L50" s="40"/>
      <c r="M50" s="38">
        <f t="shared" si="1"/>
        <v>5071</v>
      </c>
      <c r="N50" s="39">
        <v>4</v>
      </c>
      <c r="O50" s="31">
        <v>8937</v>
      </c>
      <c r="P50" s="31"/>
      <c r="Q50" s="12">
        <f t="shared" si="2"/>
        <v>8937</v>
      </c>
    </row>
    <row r="51" spans="1:17" s="13" customFormat="1" ht="15.75" x14ac:dyDescent="0.25">
      <c r="A51" s="10"/>
      <c r="B51" s="30" t="s">
        <v>44</v>
      </c>
      <c r="C51" s="1" t="s">
        <v>17</v>
      </c>
      <c r="D51" s="120"/>
      <c r="E51" s="3" t="s">
        <v>20</v>
      </c>
      <c r="F51" s="73" t="s">
        <v>345</v>
      </c>
      <c r="G51" s="74" t="s">
        <v>112</v>
      </c>
      <c r="H51" s="75">
        <v>6</v>
      </c>
      <c r="I51" s="76">
        <v>3</v>
      </c>
      <c r="J51" s="96">
        <f>1+1</f>
        <v>2</v>
      </c>
      <c r="K51" s="77"/>
      <c r="L51" s="77"/>
      <c r="M51" s="78">
        <f t="shared" si="1"/>
        <v>0</v>
      </c>
      <c r="N51" s="100">
        <f>1</f>
        <v>1</v>
      </c>
      <c r="O51" s="81">
        <f>421.62+4603.39</f>
        <v>5025.01</v>
      </c>
      <c r="P51" s="81"/>
      <c r="Q51" s="79">
        <f t="shared" si="2"/>
        <v>5025.01</v>
      </c>
    </row>
    <row r="52" spans="1:17" s="13" customFormat="1" ht="15.75" x14ac:dyDescent="0.25">
      <c r="A52" s="10"/>
      <c r="B52" s="24" t="s">
        <v>44</v>
      </c>
      <c r="C52" s="1" t="s">
        <v>17</v>
      </c>
      <c r="D52" s="120"/>
      <c r="E52" s="3" t="s">
        <v>20</v>
      </c>
      <c r="F52" s="73" t="s">
        <v>483</v>
      </c>
      <c r="G52" s="11" t="s">
        <v>114</v>
      </c>
      <c r="H52" s="1"/>
      <c r="I52" s="49"/>
      <c r="J52" s="51"/>
      <c r="K52" s="40"/>
      <c r="L52" s="40"/>
      <c r="M52" s="78">
        <f t="shared" si="1"/>
        <v>0</v>
      </c>
      <c r="N52" s="41">
        <v>2</v>
      </c>
      <c r="O52" s="31"/>
      <c r="P52" s="31"/>
      <c r="Q52" s="12">
        <f t="shared" si="2"/>
        <v>0</v>
      </c>
    </row>
    <row r="53" spans="1:17" s="13" customFormat="1" ht="15.75" x14ac:dyDescent="0.25">
      <c r="A53" s="10"/>
      <c r="B53" s="27" t="s">
        <v>45</v>
      </c>
      <c r="C53" s="1" t="s">
        <v>17</v>
      </c>
      <c r="D53" s="120"/>
      <c r="E53" s="3" t="s">
        <v>20</v>
      </c>
      <c r="F53" s="73" t="s">
        <v>346</v>
      </c>
      <c r="G53" s="74" t="s">
        <v>112</v>
      </c>
      <c r="H53" s="75"/>
      <c r="I53" s="76"/>
      <c r="J53" s="96"/>
      <c r="K53" s="77"/>
      <c r="L53" s="77"/>
      <c r="M53" s="38">
        <f t="shared" si="1"/>
        <v>0</v>
      </c>
      <c r="N53" s="100">
        <f>1</f>
        <v>1</v>
      </c>
      <c r="O53" s="81">
        <f>17995.91</f>
        <v>17995.91</v>
      </c>
      <c r="P53" s="81"/>
      <c r="Q53" s="79">
        <f t="shared" si="2"/>
        <v>17995.91</v>
      </c>
    </row>
    <row r="54" spans="1:17" s="13" customFormat="1" ht="15.75" x14ac:dyDescent="0.25">
      <c r="A54" s="10"/>
      <c r="B54" s="25" t="s">
        <v>45</v>
      </c>
      <c r="C54" s="1" t="s">
        <v>17</v>
      </c>
      <c r="D54" s="120"/>
      <c r="E54" s="3" t="s">
        <v>20</v>
      </c>
      <c r="F54" s="73" t="s">
        <v>484</v>
      </c>
      <c r="G54" s="11" t="s">
        <v>114</v>
      </c>
      <c r="H54" s="1"/>
      <c r="I54" s="49"/>
      <c r="J54" s="51"/>
      <c r="K54" s="40"/>
      <c r="L54" s="40"/>
      <c r="M54" s="78">
        <f t="shared" si="1"/>
        <v>0</v>
      </c>
      <c r="N54" s="41"/>
      <c r="O54" s="31"/>
      <c r="P54" s="31"/>
      <c r="Q54" s="12">
        <f t="shared" si="2"/>
        <v>0</v>
      </c>
    </row>
    <row r="55" spans="1:17" s="15" customFormat="1" ht="15.75" x14ac:dyDescent="0.25">
      <c r="A55" s="14"/>
      <c r="B55" s="28" t="s">
        <v>46</v>
      </c>
      <c r="C55" s="1" t="s">
        <v>17</v>
      </c>
      <c r="D55" s="120"/>
      <c r="E55" s="3" t="s">
        <v>20</v>
      </c>
      <c r="F55" s="73" t="s">
        <v>347</v>
      </c>
      <c r="G55" s="74" t="s">
        <v>112</v>
      </c>
      <c r="H55" s="75">
        <v>4</v>
      </c>
      <c r="I55" s="76">
        <v>1</v>
      </c>
      <c r="J55" s="96">
        <f>1</f>
        <v>1</v>
      </c>
      <c r="K55" s="77">
        <f>1045.98</f>
        <v>1045.98</v>
      </c>
      <c r="L55" s="77"/>
      <c r="M55" s="38">
        <f t="shared" si="1"/>
        <v>1045.98</v>
      </c>
      <c r="N55" s="100">
        <f>4</f>
        <v>4</v>
      </c>
      <c r="O55" s="81">
        <f>10759.2</f>
        <v>10759.2</v>
      </c>
      <c r="P55" s="81"/>
      <c r="Q55" s="79">
        <f t="shared" si="2"/>
        <v>10759.2</v>
      </c>
    </row>
    <row r="56" spans="1:17" s="15" customFormat="1" ht="15.75" x14ac:dyDescent="0.25">
      <c r="A56" s="14"/>
      <c r="B56" s="26" t="s">
        <v>46</v>
      </c>
      <c r="C56" s="1" t="s">
        <v>17</v>
      </c>
      <c r="D56" s="120"/>
      <c r="E56" s="3" t="s">
        <v>20</v>
      </c>
      <c r="F56" s="73" t="s">
        <v>273</v>
      </c>
      <c r="G56" s="11" t="s">
        <v>114</v>
      </c>
      <c r="H56" s="1">
        <v>1</v>
      </c>
      <c r="I56" s="49"/>
      <c r="J56" s="51"/>
      <c r="K56" s="40"/>
      <c r="L56" s="40"/>
      <c r="M56" s="78">
        <f t="shared" si="1"/>
        <v>0</v>
      </c>
      <c r="N56" s="42">
        <v>2</v>
      </c>
      <c r="O56" s="31">
        <v>8068.2</v>
      </c>
      <c r="P56" s="31">
        <f>4034.1</f>
        <v>4034.1</v>
      </c>
      <c r="Q56" s="12">
        <f t="shared" si="2"/>
        <v>4034.1</v>
      </c>
    </row>
    <row r="57" spans="1:17" s="13" customFormat="1" ht="47.25" x14ac:dyDescent="0.25">
      <c r="A57" s="10"/>
      <c r="B57" s="30" t="s">
        <v>47</v>
      </c>
      <c r="C57" s="1" t="s">
        <v>304</v>
      </c>
      <c r="D57" s="120" t="s">
        <v>474</v>
      </c>
      <c r="E57" s="3" t="s">
        <v>18</v>
      </c>
      <c r="F57" s="73" t="s">
        <v>348</v>
      </c>
      <c r="G57" s="74" t="s">
        <v>112</v>
      </c>
      <c r="H57" s="75">
        <v>7</v>
      </c>
      <c r="I57" s="76">
        <v>3</v>
      </c>
      <c r="J57" s="96">
        <f>1+1</f>
        <v>2</v>
      </c>
      <c r="K57" s="77">
        <f>1129.78</f>
        <v>1129.78</v>
      </c>
      <c r="L57" s="77"/>
      <c r="M57" s="38">
        <f t="shared" si="1"/>
        <v>1129.78</v>
      </c>
      <c r="N57" s="100">
        <f>7+3+4+10+6</f>
        <v>30</v>
      </c>
      <c r="O57" s="81">
        <f>8477.51+15159.83+14079.46</f>
        <v>37716.800000000003</v>
      </c>
      <c r="P57" s="81"/>
      <c r="Q57" s="79">
        <f t="shared" si="2"/>
        <v>37716.800000000003</v>
      </c>
    </row>
    <row r="58" spans="1:17" s="13" customFormat="1" ht="47.25" x14ac:dyDescent="0.25">
      <c r="A58" s="10"/>
      <c r="B58" s="22" t="s">
        <v>120</v>
      </c>
      <c r="C58" s="1" t="s">
        <v>304</v>
      </c>
      <c r="D58" s="120" t="s">
        <v>474</v>
      </c>
      <c r="E58" s="3" t="s">
        <v>18</v>
      </c>
      <c r="F58" s="73" t="s">
        <v>334</v>
      </c>
      <c r="G58" s="11" t="s">
        <v>116</v>
      </c>
      <c r="H58" s="1">
        <v>12</v>
      </c>
      <c r="I58" s="53">
        <v>2</v>
      </c>
      <c r="J58" s="127">
        <v>2</v>
      </c>
      <c r="K58" s="40">
        <v>3170</v>
      </c>
      <c r="L58" s="40"/>
      <c r="M58" s="78">
        <f t="shared" si="1"/>
        <v>3170</v>
      </c>
      <c r="N58" s="41">
        <v>2</v>
      </c>
      <c r="O58" s="31">
        <v>27965</v>
      </c>
      <c r="P58" s="31"/>
      <c r="Q58" s="12">
        <f t="shared" si="2"/>
        <v>27965</v>
      </c>
    </row>
    <row r="59" spans="1:17" s="13" customFormat="1" ht="15.75" x14ac:dyDescent="0.25">
      <c r="A59" s="10"/>
      <c r="B59" s="30" t="s">
        <v>134</v>
      </c>
      <c r="C59" s="1" t="s">
        <v>17</v>
      </c>
      <c r="D59" s="120"/>
      <c r="E59" s="3" t="s">
        <v>20</v>
      </c>
      <c r="F59" s="73" t="s">
        <v>349</v>
      </c>
      <c r="G59" s="74" t="s">
        <v>112</v>
      </c>
      <c r="H59" s="75">
        <v>7</v>
      </c>
      <c r="I59" s="76">
        <v>2</v>
      </c>
      <c r="J59" s="96">
        <f>1</f>
        <v>1</v>
      </c>
      <c r="K59" s="77">
        <f>7301.48+1473.89</f>
        <v>8775.369999999999</v>
      </c>
      <c r="L59" s="77"/>
      <c r="M59" s="38">
        <f t="shared" si="1"/>
        <v>8775.369999999999</v>
      </c>
      <c r="N59" s="100">
        <f>4</f>
        <v>4</v>
      </c>
      <c r="O59" s="81">
        <f>5020.05+3215.31</f>
        <v>8235.36</v>
      </c>
      <c r="P59" s="81"/>
      <c r="Q59" s="79">
        <f t="shared" si="2"/>
        <v>8235.36</v>
      </c>
    </row>
    <row r="60" spans="1:17" s="13" customFormat="1" ht="15.75" x14ac:dyDescent="0.25">
      <c r="A60" s="10"/>
      <c r="B60" s="24" t="s">
        <v>134</v>
      </c>
      <c r="C60" s="1" t="s">
        <v>17</v>
      </c>
      <c r="D60" s="120"/>
      <c r="E60" s="3" t="s">
        <v>20</v>
      </c>
      <c r="F60" s="73" t="s">
        <v>456</v>
      </c>
      <c r="G60" s="11" t="s">
        <v>114</v>
      </c>
      <c r="H60" s="1">
        <v>8</v>
      </c>
      <c r="I60" s="49"/>
      <c r="J60" s="51"/>
      <c r="K60" s="40"/>
      <c r="L60" s="40"/>
      <c r="M60" s="78">
        <f t="shared" si="1"/>
        <v>0</v>
      </c>
      <c r="N60" s="41">
        <v>19</v>
      </c>
      <c r="O60" s="31">
        <v>16425.57</v>
      </c>
      <c r="P60" s="31">
        <f>3241.7</f>
        <v>3241.7</v>
      </c>
      <c r="Q60" s="12">
        <f t="shared" si="2"/>
        <v>13183.869999999999</v>
      </c>
    </row>
    <row r="61" spans="1:17" s="13" customFormat="1" ht="15.75" x14ac:dyDescent="0.25">
      <c r="A61" s="10"/>
      <c r="B61" s="62" t="s">
        <v>48</v>
      </c>
      <c r="C61" s="1" t="s">
        <v>17</v>
      </c>
      <c r="D61" s="120"/>
      <c r="E61" s="3" t="s">
        <v>20</v>
      </c>
      <c r="F61" s="73" t="s">
        <v>350</v>
      </c>
      <c r="G61" s="74" t="s">
        <v>112</v>
      </c>
      <c r="H61" s="75">
        <v>3</v>
      </c>
      <c r="I61" s="76">
        <v>2</v>
      </c>
      <c r="J61" s="96">
        <f>1</f>
        <v>1</v>
      </c>
      <c r="K61" s="77"/>
      <c r="L61" s="77"/>
      <c r="M61" s="38">
        <f t="shared" si="1"/>
        <v>0</v>
      </c>
      <c r="N61" s="100">
        <f>2+1</f>
        <v>3</v>
      </c>
      <c r="O61" s="81">
        <f>23173.33+2535.72</f>
        <v>25709.050000000003</v>
      </c>
      <c r="P61" s="81"/>
      <c r="Q61" s="79">
        <f t="shared" si="2"/>
        <v>25709.050000000003</v>
      </c>
    </row>
    <row r="62" spans="1:17" s="13" customFormat="1" ht="15.75" x14ac:dyDescent="0.25">
      <c r="A62" s="10"/>
      <c r="B62" s="62" t="s">
        <v>49</v>
      </c>
      <c r="C62" s="1" t="s">
        <v>17</v>
      </c>
      <c r="D62" s="120"/>
      <c r="E62" s="3" t="s">
        <v>50</v>
      </c>
      <c r="F62" s="73" t="s">
        <v>351</v>
      </c>
      <c r="G62" s="74" t="s">
        <v>112</v>
      </c>
      <c r="H62" s="75">
        <v>5</v>
      </c>
      <c r="I62" s="76"/>
      <c r="J62" s="96"/>
      <c r="K62" s="77"/>
      <c r="L62" s="77"/>
      <c r="M62" s="78">
        <f t="shared" si="1"/>
        <v>0</v>
      </c>
      <c r="N62" s="100">
        <f>5+1+3</f>
        <v>9</v>
      </c>
      <c r="O62" s="81">
        <f>7374+1806.93+7275.53</f>
        <v>16456.46</v>
      </c>
      <c r="P62" s="81">
        <f>7374</f>
        <v>7374</v>
      </c>
      <c r="Q62" s="12">
        <f t="shared" si="2"/>
        <v>9082.4599999999991</v>
      </c>
    </row>
    <row r="63" spans="1:17" s="13" customFormat="1" ht="15.75" x14ac:dyDescent="0.25">
      <c r="A63" s="10"/>
      <c r="B63" s="22" t="s">
        <v>49</v>
      </c>
      <c r="C63" s="1" t="s">
        <v>17</v>
      </c>
      <c r="D63" s="120"/>
      <c r="E63" s="3" t="s">
        <v>50</v>
      </c>
      <c r="F63" s="73" t="s">
        <v>427</v>
      </c>
      <c r="G63" s="11" t="s">
        <v>115</v>
      </c>
      <c r="H63" s="1">
        <v>2</v>
      </c>
      <c r="I63" s="49"/>
      <c r="J63" s="46"/>
      <c r="K63" s="40"/>
      <c r="L63" s="40"/>
      <c r="M63" s="38">
        <f t="shared" si="1"/>
        <v>0</v>
      </c>
      <c r="N63" s="41">
        <v>7</v>
      </c>
      <c r="O63" s="31">
        <v>4898.6000000000004</v>
      </c>
      <c r="P63" s="31"/>
      <c r="Q63" s="79">
        <f t="shared" si="2"/>
        <v>4898.6000000000004</v>
      </c>
    </row>
    <row r="64" spans="1:17" s="13" customFormat="1" ht="15.75" x14ac:dyDescent="0.25">
      <c r="A64" s="10"/>
      <c r="B64" s="27" t="s">
        <v>51</v>
      </c>
      <c r="C64" s="1" t="s">
        <v>17</v>
      </c>
      <c r="D64" s="120"/>
      <c r="E64" s="3" t="s">
        <v>20</v>
      </c>
      <c r="F64" s="73" t="s">
        <v>186</v>
      </c>
      <c r="G64" s="74" t="s">
        <v>112</v>
      </c>
      <c r="H64" s="75"/>
      <c r="I64" s="76"/>
      <c r="J64" s="96"/>
      <c r="K64" s="77"/>
      <c r="L64" s="77"/>
      <c r="M64" s="78">
        <f t="shared" si="1"/>
        <v>0</v>
      </c>
      <c r="N64" s="100">
        <f>1</f>
        <v>1</v>
      </c>
      <c r="O64" s="81">
        <v>2451.87</v>
      </c>
      <c r="P64" s="81"/>
      <c r="Q64" s="12">
        <f t="shared" si="2"/>
        <v>2451.87</v>
      </c>
    </row>
    <row r="65" spans="1:17" s="13" customFormat="1" ht="15.75" x14ac:dyDescent="0.25">
      <c r="A65" s="10"/>
      <c r="B65" s="27" t="s">
        <v>51</v>
      </c>
      <c r="C65" s="1" t="s">
        <v>17</v>
      </c>
      <c r="D65" s="120"/>
      <c r="E65" s="3" t="s">
        <v>20</v>
      </c>
      <c r="F65" s="73" t="s">
        <v>276</v>
      </c>
      <c r="G65" s="11" t="s">
        <v>114</v>
      </c>
      <c r="H65" s="1"/>
      <c r="I65" s="49"/>
      <c r="J65" s="51"/>
      <c r="K65" s="40"/>
      <c r="L65" s="40"/>
      <c r="M65" s="38">
        <f t="shared" si="1"/>
        <v>0</v>
      </c>
      <c r="N65" s="41">
        <v>3</v>
      </c>
      <c r="O65" s="31">
        <v>6763.6</v>
      </c>
      <c r="P65" s="31">
        <f>3465.7</f>
        <v>3465.7</v>
      </c>
      <c r="Q65" s="79">
        <f t="shared" si="2"/>
        <v>3297.9000000000005</v>
      </c>
    </row>
    <row r="66" spans="1:17" s="13" customFormat="1" ht="15.75" x14ac:dyDescent="0.25">
      <c r="A66" s="10"/>
      <c r="B66" s="62" t="s">
        <v>52</v>
      </c>
      <c r="C66" s="1" t="s">
        <v>17</v>
      </c>
      <c r="D66" s="120"/>
      <c r="E66" s="3" t="s">
        <v>20</v>
      </c>
      <c r="F66" s="73" t="s">
        <v>352</v>
      </c>
      <c r="G66" s="74" t="s">
        <v>112</v>
      </c>
      <c r="H66" s="75">
        <v>3</v>
      </c>
      <c r="I66" s="76"/>
      <c r="J66" s="96"/>
      <c r="K66" s="77"/>
      <c r="L66" s="77"/>
      <c r="M66" s="78">
        <f t="shared" si="1"/>
        <v>0</v>
      </c>
      <c r="N66" s="100">
        <f>4+3+1</f>
        <v>8</v>
      </c>
      <c r="O66" s="81">
        <f>5977.15+48296.91+7596.86</f>
        <v>61870.920000000006</v>
      </c>
      <c r="P66" s="81"/>
      <c r="Q66" s="12">
        <f t="shared" si="2"/>
        <v>61870.920000000006</v>
      </c>
    </row>
    <row r="67" spans="1:17" s="13" customFormat="1" ht="15.75" x14ac:dyDescent="0.25">
      <c r="A67" s="10"/>
      <c r="B67" s="22" t="s">
        <v>52</v>
      </c>
      <c r="C67" s="1" t="s">
        <v>17</v>
      </c>
      <c r="D67" s="120"/>
      <c r="E67" s="3" t="s">
        <v>20</v>
      </c>
      <c r="F67" s="73" t="s">
        <v>457</v>
      </c>
      <c r="G67" s="11" t="s">
        <v>114</v>
      </c>
      <c r="H67" s="1">
        <v>3</v>
      </c>
      <c r="I67" s="49"/>
      <c r="J67" s="51"/>
      <c r="K67" s="40"/>
      <c r="L67" s="40"/>
      <c r="M67" s="38">
        <f t="shared" si="1"/>
        <v>0</v>
      </c>
      <c r="N67" s="41">
        <v>12</v>
      </c>
      <c r="O67" s="31">
        <v>19664.86</v>
      </c>
      <c r="P67" s="31">
        <f>3328.16</f>
        <v>3328.16</v>
      </c>
      <c r="Q67" s="79">
        <f t="shared" si="2"/>
        <v>16336.7</v>
      </c>
    </row>
    <row r="68" spans="1:17" s="13" customFormat="1" ht="15.75" x14ac:dyDescent="0.25">
      <c r="A68" s="10"/>
      <c r="B68" s="27" t="s">
        <v>53</v>
      </c>
      <c r="C68" s="1" t="s">
        <v>17</v>
      </c>
      <c r="D68" s="120"/>
      <c r="E68" s="3" t="s">
        <v>20</v>
      </c>
      <c r="F68" s="73" t="s">
        <v>353</v>
      </c>
      <c r="G68" s="74" t="s">
        <v>112</v>
      </c>
      <c r="H68" s="75">
        <v>4</v>
      </c>
      <c r="I68" s="76"/>
      <c r="J68" s="96"/>
      <c r="K68" s="77"/>
      <c r="L68" s="77"/>
      <c r="M68" s="78">
        <f>K68-L68</f>
        <v>0</v>
      </c>
      <c r="N68" s="100">
        <f>1+2+2</f>
        <v>5</v>
      </c>
      <c r="O68" s="81">
        <f>1743.3+3921.71</f>
        <v>5665.01</v>
      </c>
      <c r="P68" s="81">
        <f>422.62</f>
        <v>422.62</v>
      </c>
      <c r="Q68" s="12">
        <f t="shared" si="2"/>
        <v>5242.3900000000003</v>
      </c>
    </row>
    <row r="69" spans="1:17" s="13" customFormat="1" ht="15.75" x14ac:dyDescent="0.25">
      <c r="A69" s="10"/>
      <c r="B69" s="27" t="s">
        <v>149</v>
      </c>
      <c r="C69" s="1" t="s">
        <v>17</v>
      </c>
      <c r="D69" s="120"/>
      <c r="E69" s="3" t="s">
        <v>383</v>
      </c>
      <c r="F69" s="73" t="s">
        <v>354</v>
      </c>
      <c r="G69" s="74" t="s">
        <v>112</v>
      </c>
      <c r="H69" s="75">
        <v>8</v>
      </c>
      <c r="I69" s="76"/>
      <c r="J69" s="96"/>
      <c r="K69" s="77"/>
      <c r="L69" s="77"/>
      <c r="M69" s="38">
        <f t="shared" si="1"/>
        <v>0</v>
      </c>
      <c r="N69" s="100">
        <f>2+2</f>
        <v>4</v>
      </c>
      <c r="O69" s="81">
        <f>3676.8+3431.65</f>
        <v>7108.4500000000007</v>
      </c>
      <c r="P69" s="81"/>
      <c r="Q69" s="79">
        <f t="shared" si="2"/>
        <v>7108.4500000000007</v>
      </c>
    </row>
    <row r="70" spans="1:17" s="13" customFormat="1" ht="15.75" x14ac:dyDescent="0.25">
      <c r="A70" s="10"/>
      <c r="B70" s="25" t="s">
        <v>149</v>
      </c>
      <c r="C70" s="1" t="s">
        <v>17</v>
      </c>
      <c r="D70" s="120"/>
      <c r="E70" s="3" t="s">
        <v>383</v>
      </c>
      <c r="F70" s="73" t="s">
        <v>438</v>
      </c>
      <c r="G70" s="11" t="s">
        <v>118</v>
      </c>
      <c r="H70" s="1">
        <v>3</v>
      </c>
      <c r="I70" s="47"/>
      <c r="J70" s="51"/>
      <c r="K70" s="37"/>
      <c r="L70" s="37"/>
      <c r="M70" s="78">
        <f t="shared" si="1"/>
        <v>0</v>
      </c>
      <c r="N70" s="39">
        <v>3</v>
      </c>
      <c r="O70" s="31">
        <v>4994.6000000000004</v>
      </c>
      <c r="P70" s="31"/>
      <c r="Q70" s="12">
        <f t="shared" si="2"/>
        <v>4994.6000000000004</v>
      </c>
    </row>
    <row r="71" spans="1:17" s="13" customFormat="1" ht="15.75" x14ac:dyDescent="0.25">
      <c r="A71" s="10"/>
      <c r="B71" s="62" t="s">
        <v>107</v>
      </c>
      <c r="C71" s="1" t="s">
        <v>17</v>
      </c>
      <c r="D71" s="120"/>
      <c r="E71" s="17" t="s">
        <v>20</v>
      </c>
      <c r="F71" s="73" t="s">
        <v>355</v>
      </c>
      <c r="G71" s="74" t="s">
        <v>112</v>
      </c>
      <c r="H71" s="75">
        <v>3</v>
      </c>
      <c r="I71" s="76"/>
      <c r="J71" s="96">
        <f>1</f>
        <v>1</v>
      </c>
      <c r="K71" s="77">
        <f>666.63</f>
        <v>666.63</v>
      </c>
      <c r="L71" s="77"/>
      <c r="M71" s="38">
        <f t="shared" si="1"/>
        <v>666.63</v>
      </c>
      <c r="N71" s="100">
        <f>2+6</f>
        <v>8</v>
      </c>
      <c r="O71" s="81">
        <f>7612.92+18804.48</f>
        <v>26417.4</v>
      </c>
      <c r="P71" s="81"/>
      <c r="Q71" s="79">
        <f t="shared" si="2"/>
        <v>26417.4</v>
      </c>
    </row>
    <row r="72" spans="1:17" s="13" customFormat="1" ht="15.75" x14ac:dyDescent="0.25">
      <c r="A72" s="10"/>
      <c r="B72" s="30" t="s">
        <v>54</v>
      </c>
      <c r="C72" s="1" t="s">
        <v>17</v>
      </c>
      <c r="D72" s="120"/>
      <c r="E72" s="17" t="s">
        <v>20</v>
      </c>
      <c r="F72" s="73" t="s">
        <v>356</v>
      </c>
      <c r="G72" s="74" t="s">
        <v>112</v>
      </c>
      <c r="H72" s="75"/>
      <c r="I72" s="76"/>
      <c r="J72" s="96"/>
      <c r="K72" s="77"/>
      <c r="L72" s="77"/>
      <c r="M72" s="38">
        <f t="shared" si="1"/>
        <v>0</v>
      </c>
      <c r="N72" s="100">
        <f>4</f>
        <v>4</v>
      </c>
      <c r="O72" s="81">
        <f>17895.28</f>
        <v>17895.28</v>
      </c>
      <c r="P72" s="81"/>
      <c r="Q72" s="79">
        <f t="shared" si="2"/>
        <v>17895.28</v>
      </c>
    </row>
    <row r="73" spans="1:17" s="13" customFormat="1" ht="31.5" x14ac:dyDescent="0.25">
      <c r="A73" s="10"/>
      <c r="B73" s="27" t="s">
        <v>55</v>
      </c>
      <c r="C73" s="1" t="s">
        <v>304</v>
      </c>
      <c r="D73" s="120" t="s">
        <v>387</v>
      </c>
      <c r="E73" s="3" t="s">
        <v>20</v>
      </c>
      <c r="F73" s="73" t="s">
        <v>357</v>
      </c>
      <c r="G73" s="74" t="s">
        <v>112</v>
      </c>
      <c r="H73" s="75">
        <v>7</v>
      </c>
      <c r="I73" s="76">
        <v>2</v>
      </c>
      <c r="J73" s="96"/>
      <c r="K73" s="77"/>
      <c r="L73" s="77"/>
      <c r="M73" s="78">
        <f t="shared" si="1"/>
        <v>0</v>
      </c>
      <c r="N73" s="100">
        <f>2+1</f>
        <v>3</v>
      </c>
      <c r="O73" s="81">
        <f>34854.19+2113.1</f>
        <v>36967.29</v>
      </c>
      <c r="P73" s="81">
        <f>34854.19</f>
        <v>34854.19</v>
      </c>
      <c r="Q73" s="12">
        <f t="shared" si="2"/>
        <v>2113.0999999999985</v>
      </c>
    </row>
    <row r="74" spans="1:17" s="13" customFormat="1" ht="31.5" x14ac:dyDescent="0.25">
      <c r="A74" s="10"/>
      <c r="B74" s="62" t="s">
        <v>56</v>
      </c>
      <c r="C74" s="1" t="s">
        <v>17</v>
      </c>
      <c r="D74" s="120" t="s">
        <v>386</v>
      </c>
      <c r="E74" s="3" t="s">
        <v>18</v>
      </c>
      <c r="F74" s="73" t="s">
        <v>358</v>
      </c>
      <c r="G74" s="74" t="s">
        <v>112</v>
      </c>
      <c r="H74" s="75">
        <v>2</v>
      </c>
      <c r="I74" s="76">
        <v>1</v>
      </c>
      <c r="J74" s="96">
        <f>1</f>
        <v>1</v>
      </c>
      <c r="K74" s="77">
        <f>677.11</f>
        <v>677.11</v>
      </c>
      <c r="L74" s="77"/>
      <c r="M74" s="38">
        <f t="shared" si="1"/>
        <v>677.11</v>
      </c>
      <c r="N74" s="100"/>
      <c r="O74" s="81"/>
      <c r="P74" s="81"/>
      <c r="Q74" s="79">
        <f t="shared" si="2"/>
        <v>0</v>
      </c>
    </row>
    <row r="75" spans="1:17" s="13" customFormat="1" ht="31.5" x14ac:dyDescent="0.25">
      <c r="A75" s="10"/>
      <c r="B75" s="22" t="s">
        <v>56</v>
      </c>
      <c r="C75" s="1" t="s">
        <v>304</v>
      </c>
      <c r="D75" s="120" t="s">
        <v>386</v>
      </c>
      <c r="E75" s="3" t="s">
        <v>18</v>
      </c>
      <c r="F75" s="73" t="s">
        <v>476</v>
      </c>
      <c r="G75" s="11" t="s">
        <v>113</v>
      </c>
      <c r="H75" s="1">
        <v>1</v>
      </c>
      <c r="I75" s="49"/>
      <c r="J75" s="46"/>
      <c r="K75" s="40"/>
      <c r="L75" s="40"/>
      <c r="M75" s="78">
        <f t="shared" si="1"/>
        <v>0</v>
      </c>
      <c r="N75" s="41"/>
      <c r="O75" s="31">
        <v>7612</v>
      </c>
      <c r="P75" s="31"/>
      <c r="Q75" s="12">
        <f t="shared" ref="Q75:Q141" si="3">O75-P75</f>
        <v>7612</v>
      </c>
    </row>
    <row r="76" spans="1:17" s="13" customFormat="1" ht="15.75" x14ac:dyDescent="0.25">
      <c r="A76" s="10"/>
      <c r="B76" s="62" t="s">
        <v>156</v>
      </c>
      <c r="C76" s="1" t="s">
        <v>304</v>
      </c>
      <c r="D76" s="120"/>
      <c r="E76" s="3" t="s">
        <v>20</v>
      </c>
      <c r="F76" s="73" t="s">
        <v>359</v>
      </c>
      <c r="G76" s="74" t="s">
        <v>112</v>
      </c>
      <c r="H76" s="75">
        <v>3</v>
      </c>
      <c r="I76" s="76"/>
      <c r="J76" s="96"/>
      <c r="K76" s="77"/>
      <c r="L76" s="77"/>
      <c r="M76" s="38">
        <f t="shared" si="1"/>
        <v>0</v>
      </c>
      <c r="N76" s="100">
        <f>3</f>
        <v>3</v>
      </c>
      <c r="O76" s="81">
        <f>5487.54</f>
        <v>5487.54</v>
      </c>
      <c r="P76" s="81"/>
      <c r="Q76" s="79">
        <f t="shared" si="3"/>
        <v>5487.54</v>
      </c>
    </row>
    <row r="77" spans="1:17" s="15" customFormat="1" ht="15.75" x14ac:dyDescent="0.25">
      <c r="A77" s="14"/>
      <c r="B77" s="80" t="s">
        <v>57</v>
      </c>
      <c r="C77" s="1" t="s">
        <v>17</v>
      </c>
      <c r="D77" s="120"/>
      <c r="E77" s="3" t="s">
        <v>20</v>
      </c>
      <c r="F77" s="73" t="s">
        <v>360</v>
      </c>
      <c r="G77" s="74" t="s">
        <v>112</v>
      </c>
      <c r="H77" s="75">
        <v>2</v>
      </c>
      <c r="I77" s="76"/>
      <c r="J77" s="96"/>
      <c r="K77" s="77"/>
      <c r="L77" s="77"/>
      <c r="M77" s="78">
        <f t="shared" si="1"/>
        <v>0</v>
      </c>
      <c r="N77" s="100">
        <f>2</f>
        <v>2</v>
      </c>
      <c r="O77" s="81">
        <f>2744.3</f>
        <v>2744.3</v>
      </c>
      <c r="P77" s="81"/>
      <c r="Q77" s="12">
        <f t="shared" si="3"/>
        <v>2744.3</v>
      </c>
    </row>
    <row r="78" spans="1:17" s="15" customFormat="1" ht="15.75" x14ac:dyDescent="0.25">
      <c r="A78" s="14"/>
      <c r="B78" s="23" t="s">
        <v>57</v>
      </c>
      <c r="C78" s="1" t="s">
        <v>17</v>
      </c>
      <c r="D78" s="120"/>
      <c r="E78" s="3" t="s">
        <v>20</v>
      </c>
      <c r="F78" s="73" t="s">
        <v>458</v>
      </c>
      <c r="G78" s="11" t="s">
        <v>114</v>
      </c>
      <c r="H78" s="1">
        <v>6</v>
      </c>
      <c r="I78" s="49">
        <v>1</v>
      </c>
      <c r="J78" s="51">
        <v>1</v>
      </c>
      <c r="K78" s="40"/>
      <c r="L78" s="40"/>
      <c r="M78" s="38">
        <f t="shared" si="1"/>
        <v>0</v>
      </c>
      <c r="N78" s="42">
        <v>7</v>
      </c>
      <c r="O78" s="31"/>
      <c r="P78" s="31"/>
      <c r="Q78" s="79">
        <f t="shared" si="3"/>
        <v>0</v>
      </c>
    </row>
    <row r="79" spans="1:17" s="13" customFormat="1" ht="15.75" x14ac:dyDescent="0.25">
      <c r="A79" s="10"/>
      <c r="B79" s="62" t="s">
        <v>58</v>
      </c>
      <c r="C79" s="1" t="s">
        <v>17</v>
      </c>
      <c r="D79" s="120"/>
      <c r="E79" s="3" t="s">
        <v>20</v>
      </c>
      <c r="F79" s="73" t="s">
        <v>361</v>
      </c>
      <c r="G79" s="74" t="s">
        <v>112</v>
      </c>
      <c r="H79" s="75">
        <v>1</v>
      </c>
      <c r="I79" s="76"/>
      <c r="J79" s="96"/>
      <c r="K79" s="77"/>
      <c r="L79" s="77"/>
      <c r="M79" s="78">
        <f t="shared" si="1"/>
        <v>0</v>
      </c>
      <c r="N79" s="100">
        <f>1</f>
        <v>1</v>
      </c>
      <c r="O79" s="81">
        <f>9196.24</f>
        <v>9196.24</v>
      </c>
      <c r="P79" s="81"/>
      <c r="Q79" s="12">
        <f t="shared" si="3"/>
        <v>9196.24</v>
      </c>
    </row>
    <row r="80" spans="1:17" s="13" customFormat="1" ht="15.75" x14ac:dyDescent="0.25">
      <c r="A80" s="10"/>
      <c r="B80" s="22" t="s">
        <v>58</v>
      </c>
      <c r="C80" s="1" t="s">
        <v>17</v>
      </c>
      <c r="D80" s="120"/>
      <c r="E80" s="3" t="s">
        <v>20</v>
      </c>
      <c r="F80" s="73" t="s">
        <v>478</v>
      </c>
      <c r="G80" s="11" t="s">
        <v>114</v>
      </c>
      <c r="H80" s="1">
        <v>2</v>
      </c>
      <c r="I80" s="49"/>
      <c r="J80" s="51"/>
      <c r="K80" s="40"/>
      <c r="L80" s="40"/>
      <c r="M80" s="38">
        <f t="shared" ref="M80:M149" si="4">K80-L80</f>
        <v>0</v>
      </c>
      <c r="N80" s="41">
        <v>15</v>
      </c>
      <c r="O80" s="31">
        <v>23095.57</v>
      </c>
      <c r="P80" s="31">
        <f>4035.73</f>
        <v>4035.73</v>
      </c>
      <c r="Q80" s="79">
        <f t="shared" si="3"/>
        <v>19059.84</v>
      </c>
    </row>
    <row r="81" spans="1:17" s="13" customFormat="1" ht="15.75" x14ac:dyDescent="0.25">
      <c r="A81" s="10"/>
      <c r="B81" s="62" t="s">
        <v>59</v>
      </c>
      <c r="C81" s="1" t="s">
        <v>17</v>
      </c>
      <c r="D81" s="120"/>
      <c r="E81" s="3" t="s">
        <v>20</v>
      </c>
      <c r="F81" s="73" t="s">
        <v>362</v>
      </c>
      <c r="G81" s="74" t="s">
        <v>112</v>
      </c>
      <c r="H81" s="75">
        <v>3</v>
      </c>
      <c r="I81" s="76">
        <v>2</v>
      </c>
      <c r="J81" s="96">
        <f>1+1</f>
        <v>2</v>
      </c>
      <c r="K81" s="77"/>
      <c r="L81" s="77"/>
      <c r="M81" s="78">
        <f t="shared" si="4"/>
        <v>0</v>
      </c>
      <c r="N81" s="100">
        <f>1+2+2</f>
        <v>5</v>
      </c>
      <c r="O81" s="81">
        <f>6646.05+1267.86</f>
        <v>7913.91</v>
      </c>
      <c r="P81" s="81"/>
      <c r="Q81" s="12">
        <f t="shared" si="3"/>
        <v>7913.91</v>
      </c>
    </row>
    <row r="82" spans="1:17" s="13" customFormat="1" ht="15.75" x14ac:dyDescent="0.25">
      <c r="A82" s="10"/>
      <c r="B82" s="22" t="s">
        <v>59</v>
      </c>
      <c r="C82" s="1" t="s">
        <v>17</v>
      </c>
      <c r="D82" s="120"/>
      <c r="E82" s="3" t="s">
        <v>20</v>
      </c>
      <c r="F82" s="73" t="s">
        <v>128</v>
      </c>
      <c r="G82" s="11" t="s">
        <v>114</v>
      </c>
      <c r="H82" s="1"/>
      <c r="I82" s="49"/>
      <c r="J82" s="51"/>
      <c r="K82" s="40"/>
      <c r="L82" s="40"/>
      <c r="M82" s="38">
        <f t="shared" si="4"/>
        <v>0</v>
      </c>
      <c r="N82" s="41"/>
      <c r="O82" s="31"/>
      <c r="P82" s="31"/>
      <c r="Q82" s="79">
        <f t="shared" si="3"/>
        <v>0</v>
      </c>
    </row>
    <row r="83" spans="1:17" s="13" customFormat="1" ht="15.75" x14ac:dyDescent="0.25">
      <c r="A83" s="10"/>
      <c r="B83" s="27" t="s">
        <v>60</v>
      </c>
      <c r="C83" s="1" t="s">
        <v>17</v>
      </c>
      <c r="D83" s="120"/>
      <c r="E83" s="3" t="s">
        <v>20</v>
      </c>
      <c r="F83" s="73" t="s">
        <v>364</v>
      </c>
      <c r="G83" s="74" t="s">
        <v>112</v>
      </c>
      <c r="H83" s="75">
        <v>4</v>
      </c>
      <c r="I83" s="76">
        <v>1</v>
      </c>
      <c r="J83" s="96">
        <f>1</f>
        <v>1</v>
      </c>
      <c r="K83" s="77">
        <f>633.93</f>
        <v>633.92999999999995</v>
      </c>
      <c r="L83" s="77"/>
      <c r="M83" s="78">
        <f t="shared" si="4"/>
        <v>633.92999999999995</v>
      </c>
      <c r="N83" s="100">
        <f>4+1</f>
        <v>5</v>
      </c>
      <c r="O83" s="81">
        <f>15124.53+2065.75</f>
        <v>17190.28</v>
      </c>
      <c r="P83" s="81"/>
      <c r="Q83" s="12">
        <f t="shared" si="3"/>
        <v>17190.28</v>
      </c>
    </row>
    <row r="84" spans="1:17" s="13" customFormat="1" ht="15.75" x14ac:dyDescent="0.25">
      <c r="A84" s="10"/>
      <c r="B84" s="25" t="s">
        <v>60</v>
      </c>
      <c r="C84" s="1" t="s">
        <v>17</v>
      </c>
      <c r="D84" s="120"/>
      <c r="E84" s="3" t="s">
        <v>20</v>
      </c>
      <c r="F84" s="73" t="s">
        <v>479</v>
      </c>
      <c r="G84" s="11" t="s">
        <v>114</v>
      </c>
      <c r="H84" s="1">
        <v>3</v>
      </c>
      <c r="I84" s="49"/>
      <c r="J84" s="51"/>
      <c r="K84" s="40"/>
      <c r="L84" s="40"/>
      <c r="M84" s="38">
        <f t="shared" si="4"/>
        <v>0</v>
      </c>
      <c r="N84" s="41">
        <v>7</v>
      </c>
      <c r="O84" s="31">
        <v>6259.4</v>
      </c>
      <c r="P84" s="31">
        <f>2945.6</f>
        <v>2945.6</v>
      </c>
      <c r="Q84" s="79">
        <f t="shared" si="3"/>
        <v>3313.7999999999997</v>
      </c>
    </row>
    <row r="85" spans="1:17" s="15" customFormat="1" ht="15.75" x14ac:dyDescent="0.25">
      <c r="A85" s="14"/>
      <c r="B85" s="28" t="s">
        <v>61</v>
      </c>
      <c r="C85" s="1" t="s">
        <v>17</v>
      </c>
      <c r="D85" s="120"/>
      <c r="E85" s="3" t="s">
        <v>20</v>
      </c>
      <c r="F85" s="73" t="s">
        <v>363</v>
      </c>
      <c r="G85" s="74" t="s">
        <v>112</v>
      </c>
      <c r="H85" s="75"/>
      <c r="I85" s="76"/>
      <c r="J85" s="96"/>
      <c r="K85" s="77"/>
      <c r="L85" s="77"/>
      <c r="M85" s="78">
        <f t="shared" si="4"/>
        <v>0</v>
      </c>
      <c r="N85" s="100"/>
      <c r="O85" s="81"/>
      <c r="P85" s="81"/>
      <c r="Q85" s="12">
        <f t="shared" si="3"/>
        <v>0</v>
      </c>
    </row>
    <row r="86" spans="1:17" s="15" customFormat="1" ht="15.75" x14ac:dyDescent="0.25">
      <c r="A86" s="14"/>
      <c r="B86" s="26" t="s">
        <v>61</v>
      </c>
      <c r="C86" s="1" t="s">
        <v>17</v>
      </c>
      <c r="D86" s="120"/>
      <c r="E86" s="3" t="s">
        <v>20</v>
      </c>
      <c r="F86" s="73" t="s">
        <v>121</v>
      </c>
      <c r="G86" s="11" t="s">
        <v>114</v>
      </c>
      <c r="H86" s="1"/>
      <c r="I86" s="49"/>
      <c r="J86" s="51"/>
      <c r="K86" s="40"/>
      <c r="L86" s="40"/>
      <c r="M86" s="38">
        <f t="shared" si="4"/>
        <v>0</v>
      </c>
      <c r="N86" s="42"/>
      <c r="O86" s="31"/>
      <c r="P86" s="31"/>
      <c r="Q86" s="79">
        <f t="shared" si="3"/>
        <v>0</v>
      </c>
    </row>
    <row r="87" spans="1:17" s="15" customFormat="1" ht="15.75" x14ac:dyDescent="0.25">
      <c r="A87" s="14"/>
      <c r="B87" s="20" t="s">
        <v>306</v>
      </c>
      <c r="C87" s="1" t="s">
        <v>17</v>
      </c>
      <c r="D87" s="120"/>
      <c r="E87" s="3" t="s">
        <v>35</v>
      </c>
      <c r="F87" s="73" t="s">
        <v>365</v>
      </c>
      <c r="G87" s="11" t="s">
        <v>112</v>
      </c>
      <c r="H87" s="1">
        <v>9</v>
      </c>
      <c r="I87" s="58">
        <v>3</v>
      </c>
      <c r="J87" s="51">
        <f>1+2</f>
        <v>3</v>
      </c>
      <c r="K87" s="40">
        <f>1045.98+2658.7</f>
        <v>3704.68</v>
      </c>
      <c r="L87" s="40"/>
      <c r="M87" s="78">
        <f t="shared" si="4"/>
        <v>3704.68</v>
      </c>
      <c r="N87" s="39">
        <f>7+2+2</f>
        <v>11</v>
      </c>
      <c r="O87" s="31">
        <f>2313.84+6162.57+2330.32</f>
        <v>10806.73</v>
      </c>
      <c r="P87" s="31">
        <f>2313.84</f>
        <v>2313.84</v>
      </c>
      <c r="Q87" s="12">
        <f t="shared" si="3"/>
        <v>8492.89</v>
      </c>
    </row>
    <row r="88" spans="1:17" s="13" customFormat="1" ht="15.75" x14ac:dyDescent="0.25">
      <c r="A88" s="10"/>
      <c r="B88" s="22" t="s">
        <v>306</v>
      </c>
      <c r="C88" s="1" t="s">
        <v>17</v>
      </c>
      <c r="D88" s="120"/>
      <c r="E88" s="3" t="s">
        <v>27</v>
      </c>
      <c r="F88" s="73" t="s">
        <v>421</v>
      </c>
      <c r="G88" s="11" t="s">
        <v>117</v>
      </c>
      <c r="H88" s="1">
        <v>2</v>
      </c>
      <c r="I88" s="49"/>
      <c r="J88" s="46"/>
      <c r="K88" s="40"/>
      <c r="L88" s="40"/>
      <c r="M88" s="78">
        <f>K88-L88</f>
        <v>0</v>
      </c>
      <c r="N88" s="41">
        <f>3</f>
        <v>3</v>
      </c>
      <c r="O88" s="40"/>
      <c r="P88" s="40"/>
      <c r="Q88" s="79">
        <f>O88-P88</f>
        <v>0</v>
      </c>
    </row>
    <row r="89" spans="1:17" s="13" customFormat="1" ht="15.75" x14ac:dyDescent="0.25">
      <c r="A89" s="10"/>
      <c r="B89" s="27" t="s">
        <v>62</v>
      </c>
      <c r="C89" s="1" t="s">
        <v>17</v>
      </c>
      <c r="D89" s="120"/>
      <c r="E89" s="3" t="s">
        <v>35</v>
      </c>
      <c r="F89" s="73" t="s">
        <v>366</v>
      </c>
      <c r="G89" s="74" t="s">
        <v>112</v>
      </c>
      <c r="H89" s="75">
        <v>7</v>
      </c>
      <c r="I89" s="76">
        <v>3</v>
      </c>
      <c r="J89" s="96">
        <f>1</f>
        <v>1</v>
      </c>
      <c r="K89" s="77"/>
      <c r="L89" s="77"/>
      <c r="M89" s="38">
        <f t="shared" si="4"/>
        <v>0</v>
      </c>
      <c r="N89" s="100">
        <f>6+2+1</f>
        <v>9</v>
      </c>
      <c r="O89" s="81">
        <f>19511.33+1270.93</f>
        <v>20782.260000000002</v>
      </c>
      <c r="P89" s="81"/>
      <c r="Q89" s="79">
        <f t="shared" si="3"/>
        <v>20782.260000000002</v>
      </c>
    </row>
    <row r="90" spans="1:17" s="13" customFormat="1" ht="15.75" x14ac:dyDescent="0.25">
      <c r="A90" s="10"/>
      <c r="B90" s="25" t="s">
        <v>62</v>
      </c>
      <c r="C90" s="1" t="s">
        <v>17</v>
      </c>
      <c r="D90" s="120"/>
      <c r="E90" s="3" t="s">
        <v>35</v>
      </c>
      <c r="F90" s="73" t="s">
        <v>428</v>
      </c>
      <c r="G90" s="11" t="s">
        <v>117</v>
      </c>
      <c r="H90" s="1">
        <v>2</v>
      </c>
      <c r="I90" s="49"/>
      <c r="J90" s="46"/>
      <c r="K90" s="40"/>
      <c r="L90" s="40"/>
      <c r="M90" s="78">
        <f t="shared" si="4"/>
        <v>0</v>
      </c>
      <c r="N90" s="41">
        <f>7</f>
        <v>7</v>
      </c>
      <c r="O90" s="31">
        <v>17217.2</v>
      </c>
      <c r="P90" s="31"/>
      <c r="Q90" s="12">
        <f t="shared" si="3"/>
        <v>17217.2</v>
      </c>
    </row>
    <row r="91" spans="1:17" s="13" customFormat="1" ht="15.75" x14ac:dyDescent="0.25">
      <c r="A91" s="10"/>
      <c r="B91" s="25" t="s">
        <v>63</v>
      </c>
      <c r="C91" s="1" t="s">
        <v>64</v>
      </c>
      <c r="D91" s="120" t="s">
        <v>65</v>
      </c>
      <c r="E91" s="3" t="s">
        <v>20</v>
      </c>
      <c r="F91" s="73" t="s">
        <v>480</v>
      </c>
      <c r="G91" s="11" t="s">
        <v>114</v>
      </c>
      <c r="H91" s="1"/>
      <c r="I91" s="49"/>
      <c r="J91" s="51"/>
      <c r="K91" s="40"/>
      <c r="L91" s="40"/>
      <c r="M91" s="38">
        <f t="shared" si="4"/>
        <v>0</v>
      </c>
      <c r="N91" s="41"/>
      <c r="O91" s="31"/>
      <c r="P91" s="31"/>
      <c r="Q91" s="79">
        <f t="shared" si="3"/>
        <v>0</v>
      </c>
    </row>
    <row r="92" spans="1:17" s="13" customFormat="1" ht="15.75" x14ac:dyDescent="0.25">
      <c r="A92" s="10"/>
      <c r="B92" s="27" t="s">
        <v>155</v>
      </c>
      <c r="C92" s="1" t="s">
        <v>17</v>
      </c>
      <c r="D92" s="120"/>
      <c r="E92" s="3" t="s">
        <v>20</v>
      </c>
      <c r="F92" s="73" t="s">
        <v>367</v>
      </c>
      <c r="G92" s="74" t="s">
        <v>112</v>
      </c>
      <c r="H92" s="75">
        <v>4</v>
      </c>
      <c r="I92" s="82">
        <v>1</v>
      </c>
      <c r="J92" s="96">
        <f>1</f>
        <v>1</v>
      </c>
      <c r="K92" s="77">
        <f>3116.56</f>
        <v>3116.56</v>
      </c>
      <c r="L92" s="77"/>
      <c r="M92" s="78">
        <f t="shared" si="4"/>
        <v>3116.56</v>
      </c>
      <c r="N92" s="100">
        <f>1</f>
        <v>1</v>
      </c>
      <c r="O92" s="81"/>
      <c r="P92" s="81"/>
      <c r="Q92" s="12">
        <f t="shared" si="3"/>
        <v>0</v>
      </c>
    </row>
    <row r="93" spans="1:17" s="13" customFormat="1" ht="15.75" x14ac:dyDescent="0.25">
      <c r="A93" s="10"/>
      <c r="B93" s="25" t="s">
        <v>155</v>
      </c>
      <c r="C93" s="1" t="s">
        <v>17</v>
      </c>
      <c r="D93" s="120"/>
      <c r="E93" s="3" t="s">
        <v>20</v>
      </c>
      <c r="F93" s="73" t="s">
        <v>459</v>
      </c>
      <c r="G93" s="11" t="s">
        <v>114</v>
      </c>
      <c r="H93" s="1">
        <v>4</v>
      </c>
      <c r="I93" s="49"/>
      <c r="J93" s="51"/>
      <c r="K93" s="40"/>
      <c r="L93" s="40"/>
      <c r="M93" s="38">
        <f t="shared" si="4"/>
        <v>0</v>
      </c>
      <c r="N93" s="41">
        <v>13</v>
      </c>
      <c r="O93" s="31">
        <v>17392.43</v>
      </c>
      <c r="P93" s="31">
        <f>3369.8</f>
        <v>3369.8</v>
      </c>
      <c r="Q93" s="79">
        <f t="shared" si="3"/>
        <v>14022.630000000001</v>
      </c>
    </row>
    <row r="94" spans="1:17" s="13" customFormat="1" ht="15.75" x14ac:dyDescent="0.25">
      <c r="A94" s="10"/>
      <c r="B94" s="30" t="s">
        <v>66</v>
      </c>
      <c r="C94" s="1" t="s">
        <v>17</v>
      </c>
      <c r="D94" s="120"/>
      <c r="E94" s="3" t="s">
        <v>21</v>
      </c>
      <c r="F94" s="73" t="s">
        <v>368</v>
      </c>
      <c r="G94" s="74" t="s">
        <v>112</v>
      </c>
      <c r="H94" s="75">
        <v>5</v>
      </c>
      <c r="I94" s="76">
        <v>4</v>
      </c>
      <c r="J94" s="96">
        <f>1+3</f>
        <v>4</v>
      </c>
      <c r="K94" s="77">
        <f>1045.98+4309.04</f>
        <v>5355.02</v>
      </c>
      <c r="L94" s="77"/>
      <c r="M94" s="78">
        <f t="shared" si="4"/>
        <v>5355.02</v>
      </c>
      <c r="N94" s="100">
        <f>6+3+8+7+1</f>
        <v>25</v>
      </c>
      <c r="O94" s="81">
        <f>11911.17+23136+18060.17</f>
        <v>53107.34</v>
      </c>
      <c r="P94" s="81"/>
      <c r="Q94" s="12">
        <f t="shared" si="3"/>
        <v>53107.34</v>
      </c>
    </row>
    <row r="95" spans="1:17" s="13" customFormat="1" ht="15.75" x14ac:dyDescent="0.25">
      <c r="A95" s="10"/>
      <c r="B95" s="24" t="s">
        <v>66</v>
      </c>
      <c r="C95" s="1" t="s">
        <v>17</v>
      </c>
      <c r="D95" s="120"/>
      <c r="E95" s="3" t="s">
        <v>21</v>
      </c>
      <c r="F95" s="73" t="s">
        <v>439</v>
      </c>
      <c r="G95" s="11" t="s">
        <v>118</v>
      </c>
      <c r="H95" s="1">
        <v>2</v>
      </c>
      <c r="I95" s="49"/>
      <c r="J95" s="46"/>
      <c r="K95" s="40"/>
      <c r="L95" s="40"/>
      <c r="M95" s="38">
        <f t="shared" si="4"/>
        <v>0</v>
      </c>
      <c r="N95" s="41">
        <v>10</v>
      </c>
      <c r="O95" s="31">
        <v>4977.07</v>
      </c>
      <c r="P95" s="31"/>
      <c r="Q95" s="79">
        <f t="shared" si="3"/>
        <v>4977.07</v>
      </c>
    </row>
    <row r="96" spans="1:17" s="13" customFormat="1" ht="15.75" x14ac:dyDescent="0.25">
      <c r="A96" s="10"/>
      <c r="B96" s="62" t="s">
        <v>137</v>
      </c>
      <c r="C96" s="1" t="s">
        <v>17</v>
      </c>
      <c r="D96" s="120"/>
      <c r="E96" s="17" t="s">
        <v>35</v>
      </c>
      <c r="F96" s="73" t="s">
        <v>369</v>
      </c>
      <c r="G96" s="74" t="s">
        <v>112</v>
      </c>
      <c r="H96" s="75">
        <v>8</v>
      </c>
      <c r="I96" s="76">
        <v>1</v>
      </c>
      <c r="J96" s="96"/>
      <c r="K96" s="77"/>
      <c r="L96" s="77"/>
      <c r="M96" s="78">
        <f t="shared" si="4"/>
        <v>0</v>
      </c>
      <c r="N96" s="100">
        <f>5+1</f>
        <v>6</v>
      </c>
      <c r="O96" s="81">
        <f>2617.36</f>
        <v>2617.36</v>
      </c>
      <c r="P96" s="81"/>
      <c r="Q96" s="12">
        <f t="shared" si="3"/>
        <v>2617.36</v>
      </c>
    </row>
    <row r="97" spans="1:19" s="13" customFormat="1" ht="15.75" x14ac:dyDescent="0.25">
      <c r="A97" s="10"/>
      <c r="B97" s="22" t="s">
        <v>137</v>
      </c>
      <c r="C97" s="1" t="s">
        <v>17</v>
      </c>
      <c r="D97" s="120"/>
      <c r="E97" s="17" t="s">
        <v>35</v>
      </c>
      <c r="F97" s="73" t="s">
        <v>429</v>
      </c>
      <c r="G97" s="11" t="s">
        <v>117</v>
      </c>
      <c r="H97" s="1"/>
      <c r="I97" s="49"/>
      <c r="J97" s="51"/>
      <c r="K97" s="37"/>
      <c r="L97" s="37"/>
      <c r="M97" s="78">
        <f t="shared" si="4"/>
        <v>0</v>
      </c>
      <c r="N97" s="39">
        <v>1</v>
      </c>
      <c r="O97" s="31">
        <v>7299.8</v>
      </c>
      <c r="P97" s="31"/>
      <c r="Q97" s="79">
        <f t="shared" si="3"/>
        <v>7299.8</v>
      </c>
    </row>
    <row r="98" spans="1:19" s="13" customFormat="1" ht="15.75" x14ac:dyDescent="0.25">
      <c r="A98" s="10"/>
      <c r="B98" s="30" t="s">
        <v>67</v>
      </c>
      <c r="C98" s="1" t="s">
        <v>17</v>
      </c>
      <c r="D98" s="120"/>
      <c r="E98" s="17" t="s">
        <v>21</v>
      </c>
      <c r="F98" s="73" t="s">
        <v>370</v>
      </c>
      <c r="G98" s="74" t="s">
        <v>112</v>
      </c>
      <c r="H98" s="75">
        <v>5</v>
      </c>
      <c r="I98" s="76">
        <v>1</v>
      </c>
      <c r="J98" s="96">
        <f>2</f>
        <v>2</v>
      </c>
      <c r="K98" s="77">
        <f>3319.85</f>
        <v>3319.85</v>
      </c>
      <c r="L98" s="77"/>
      <c r="M98" s="38">
        <f t="shared" si="4"/>
        <v>3319.85</v>
      </c>
      <c r="N98" s="100">
        <f>4+9+4</f>
        <v>17</v>
      </c>
      <c r="O98" s="81">
        <f>29696.65+38129.03+13567.9</f>
        <v>81393.579999999987</v>
      </c>
      <c r="P98" s="81"/>
      <c r="Q98" s="12">
        <f t="shared" si="3"/>
        <v>81393.579999999987</v>
      </c>
    </row>
    <row r="99" spans="1:19" s="13" customFormat="1" ht="15.75" x14ac:dyDescent="0.25">
      <c r="A99" s="10"/>
      <c r="B99" s="24" t="s">
        <v>67</v>
      </c>
      <c r="C99" s="1" t="s">
        <v>17</v>
      </c>
      <c r="D99" s="120"/>
      <c r="E99" s="17" t="s">
        <v>21</v>
      </c>
      <c r="F99" s="73" t="s">
        <v>440</v>
      </c>
      <c r="G99" s="11" t="s">
        <v>118</v>
      </c>
      <c r="H99" s="1">
        <v>3</v>
      </c>
      <c r="I99" s="49"/>
      <c r="J99" s="46"/>
      <c r="K99" s="40"/>
      <c r="L99" s="40"/>
      <c r="M99" s="78">
        <f t="shared" si="4"/>
        <v>0</v>
      </c>
      <c r="N99" s="41">
        <v>6</v>
      </c>
      <c r="O99" s="31">
        <v>16540.89</v>
      </c>
      <c r="P99" s="31"/>
      <c r="Q99" s="79">
        <f t="shared" si="3"/>
        <v>16540.89</v>
      </c>
    </row>
    <row r="100" spans="1:19" s="13" customFormat="1" ht="15.75" x14ac:dyDescent="0.25">
      <c r="A100" s="10"/>
      <c r="B100" s="30" t="s">
        <v>68</v>
      </c>
      <c r="C100" s="1" t="s">
        <v>17</v>
      </c>
      <c r="D100" s="120"/>
      <c r="E100" s="17" t="s">
        <v>32</v>
      </c>
      <c r="F100" s="73" t="s">
        <v>371</v>
      </c>
      <c r="G100" s="74" t="s">
        <v>112</v>
      </c>
      <c r="H100" s="75">
        <v>5</v>
      </c>
      <c r="I100" s="76">
        <v>2</v>
      </c>
      <c r="J100" s="96">
        <f>2</f>
        <v>2</v>
      </c>
      <c r="K100" s="77">
        <f>1128.59</f>
        <v>1128.5899999999999</v>
      </c>
      <c r="L100" s="77"/>
      <c r="M100" s="38">
        <f t="shared" si="4"/>
        <v>1128.5899999999999</v>
      </c>
      <c r="N100" s="100">
        <f>6+5+1</f>
        <v>12</v>
      </c>
      <c r="O100" s="81">
        <f>7813.73+38129.03+8523.5+1452.28</f>
        <v>55918.539999999994</v>
      </c>
      <c r="P100" s="81">
        <f>7813.73</f>
        <v>7813.73</v>
      </c>
      <c r="Q100" s="12">
        <f t="shared" si="3"/>
        <v>48104.81</v>
      </c>
    </row>
    <row r="101" spans="1:19" s="13" customFormat="1" ht="15.75" x14ac:dyDescent="0.25">
      <c r="A101" s="10"/>
      <c r="B101" s="24" t="s">
        <v>68</v>
      </c>
      <c r="C101" s="1" t="s">
        <v>17</v>
      </c>
      <c r="D101" s="120"/>
      <c r="E101" s="17" t="s">
        <v>32</v>
      </c>
      <c r="F101" s="73" t="s">
        <v>430</v>
      </c>
      <c r="G101" s="8" t="s">
        <v>117</v>
      </c>
      <c r="H101" s="1"/>
      <c r="I101" s="49"/>
      <c r="J101" s="46"/>
      <c r="K101" s="40"/>
      <c r="L101" s="40"/>
      <c r="M101" s="78">
        <f t="shared" si="4"/>
        <v>0</v>
      </c>
      <c r="N101" s="41"/>
      <c r="O101" s="40"/>
      <c r="P101" s="40"/>
      <c r="Q101" s="79">
        <f t="shared" si="3"/>
        <v>0</v>
      </c>
    </row>
    <row r="102" spans="1:19" s="15" customFormat="1" ht="15.75" x14ac:dyDescent="0.25">
      <c r="A102" s="14"/>
      <c r="B102" s="28" t="s">
        <v>69</v>
      </c>
      <c r="C102" s="1" t="s">
        <v>17</v>
      </c>
      <c r="D102" s="120"/>
      <c r="E102" s="3" t="s">
        <v>20</v>
      </c>
      <c r="F102" s="73" t="s">
        <v>372</v>
      </c>
      <c r="G102" s="74" t="s">
        <v>112</v>
      </c>
      <c r="H102" s="75">
        <v>1</v>
      </c>
      <c r="I102" s="76"/>
      <c r="J102" s="96"/>
      <c r="K102" s="77"/>
      <c r="L102" s="77"/>
      <c r="M102" s="38">
        <f t="shared" si="4"/>
        <v>0</v>
      </c>
      <c r="N102" s="100">
        <f>3+2</f>
        <v>5</v>
      </c>
      <c r="O102" s="77">
        <f>7210.31+3647.96</f>
        <v>10858.27</v>
      </c>
      <c r="P102" s="77"/>
      <c r="Q102" s="12">
        <f t="shared" si="3"/>
        <v>10858.27</v>
      </c>
    </row>
    <row r="103" spans="1:19" s="13" customFormat="1" ht="15.75" x14ac:dyDescent="0.25">
      <c r="A103" s="10"/>
      <c r="B103" s="62" t="s">
        <v>70</v>
      </c>
      <c r="C103" s="1" t="s">
        <v>17</v>
      </c>
      <c r="D103" s="120"/>
      <c r="E103" s="3" t="s">
        <v>20</v>
      </c>
      <c r="F103" s="73" t="s">
        <v>373</v>
      </c>
      <c r="G103" s="74" t="s">
        <v>112</v>
      </c>
      <c r="H103" s="75">
        <v>4</v>
      </c>
      <c r="I103" s="76"/>
      <c r="J103" s="96"/>
      <c r="K103" s="77"/>
      <c r="L103" s="77"/>
      <c r="M103" s="78">
        <f t="shared" si="4"/>
        <v>0</v>
      </c>
      <c r="N103" s="100">
        <f>2</f>
        <v>2</v>
      </c>
      <c r="O103" s="81">
        <v>3534.95</v>
      </c>
      <c r="P103" s="81"/>
      <c r="Q103" s="79">
        <f t="shared" si="3"/>
        <v>3534.95</v>
      </c>
      <c r="R103" s="35"/>
    </row>
    <row r="104" spans="1:19" s="13" customFormat="1" ht="15.75" x14ac:dyDescent="0.25">
      <c r="A104" s="10"/>
      <c r="B104" s="22" t="s">
        <v>70</v>
      </c>
      <c r="C104" s="1" t="s">
        <v>17</v>
      </c>
      <c r="D104" s="120"/>
      <c r="E104" s="3" t="s">
        <v>20</v>
      </c>
      <c r="F104" s="73" t="s">
        <v>460</v>
      </c>
      <c r="G104" s="11" t="s">
        <v>114</v>
      </c>
      <c r="H104" s="1">
        <v>6</v>
      </c>
      <c r="I104" s="49"/>
      <c r="J104" s="51"/>
      <c r="K104" s="40"/>
      <c r="L104" s="40"/>
      <c r="M104" s="38">
        <f t="shared" si="4"/>
        <v>0</v>
      </c>
      <c r="N104" s="41">
        <v>23</v>
      </c>
      <c r="O104" s="31">
        <v>36457.769999999997</v>
      </c>
      <c r="P104" s="31">
        <f>2945.6</f>
        <v>2945.6</v>
      </c>
      <c r="Q104" s="12">
        <f t="shared" si="3"/>
        <v>33512.17</v>
      </c>
    </row>
    <row r="105" spans="1:19" s="15" customFormat="1" ht="15.75" x14ac:dyDescent="0.25">
      <c r="A105" s="14"/>
      <c r="B105" s="80" t="s">
        <v>71</v>
      </c>
      <c r="C105" s="1" t="s">
        <v>17</v>
      </c>
      <c r="D105" s="120"/>
      <c r="E105" s="3" t="s">
        <v>32</v>
      </c>
      <c r="F105" s="73" t="s">
        <v>374</v>
      </c>
      <c r="G105" s="74" t="s">
        <v>112</v>
      </c>
      <c r="H105" s="75">
        <v>5</v>
      </c>
      <c r="I105" s="76">
        <v>3</v>
      </c>
      <c r="J105" s="96">
        <f>3</f>
        <v>3</v>
      </c>
      <c r="K105" s="77">
        <f>1536.8</f>
        <v>1536.8</v>
      </c>
      <c r="L105" s="77"/>
      <c r="M105" s="78">
        <f t="shared" si="4"/>
        <v>1536.8</v>
      </c>
      <c r="N105" s="100">
        <f>3+2</f>
        <v>5</v>
      </c>
      <c r="O105" s="81">
        <f>9567.93+3616.67</f>
        <v>13184.6</v>
      </c>
      <c r="P105" s="81">
        <f>9567.93</f>
        <v>9567.93</v>
      </c>
      <c r="Q105" s="79">
        <f t="shared" si="3"/>
        <v>3616.67</v>
      </c>
      <c r="R105" s="36"/>
      <c r="S105" s="36"/>
    </row>
    <row r="106" spans="1:19" s="15" customFormat="1" ht="15.75" x14ac:dyDescent="0.25">
      <c r="A106" s="14"/>
      <c r="B106" s="23" t="s">
        <v>71</v>
      </c>
      <c r="C106" s="1" t="s">
        <v>17</v>
      </c>
      <c r="D106" s="120"/>
      <c r="E106" s="3" t="s">
        <v>32</v>
      </c>
      <c r="F106" s="73" t="s">
        <v>431</v>
      </c>
      <c r="G106" s="11" t="s">
        <v>115</v>
      </c>
      <c r="H106" s="1">
        <v>3</v>
      </c>
      <c r="I106" s="48"/>
      <c r="J106" s="45"/>
      <c r="K106" s="40"/>
      <c r="L106" s="40"/>
      <c r="M106" s="38">
        <f t="shared" si="4"/>
        <v>0</v>
      </c>
      <c r="N106" s="39">
        <f>5</f>
        <v>5</v>
      </c>
      <c r="O106" s="40">
        <v>6595.5</v>
      </c>
      <c r="P106" s="40"/>
      <c r="Q106" s="12">
        <f t="shared" si="3"/>
        <v>6595.5</v>
      </c>
    </row>
    <row r="107" spans="1:19" s="13" customFormat="1" ht="15.75" x14ac:dyDescent="0.25">
      <c r="A107" s="10"/>
      <c r="B107" s="62" t="s">
        <v>319</v>
      </c>
      <c r="C107" s="1" t="s">
        <v>17</v>
      </c>
      <c r="D107" s="120"/>
      <c r="E107" s="3" t="s">
        <v>20</v>
      </c>
      <c r="F107" s="73" t="s">
        <v>375</v>
      </c>
      <c r="G107" s="74" t="s">
        <v>112</v>
      </c>
      <c r="H107" s="75">
        <v>7</v>
      </c>
      <c r="I107" s="76">
        <v>3</v>
      </c>
      <c r="J107" s="96">
        <f>2+1</f>
        <v>3</v>
      </c>
      <c r="K107" s="77">
        <f>710.77+1523.35</f>
        <v>2234.12</v>
      </c>
      <c r="L107" s="77"/>
      <c r="M107" s="78">
        <f>K107-L107</f>
        <v>2234.12</v>
      </c>
      <c r="N107" s="100">
        <f>3+1</f>
        <v>4</v>
      </c>
      <c r="O107" s="77">
        <f>13419.94+726.71</f>
        <v>14146.650000000001</v>
      </c>
      <c r="P107" s="77">
        <f>13419.94</f>
        <v>13419.94</v>
      </c>
      <c r="Q107" s="79">
        <f>O107-P107</f>
        <v>726.71000000000095</v>
      </c>
    </row>
    <row r="108" spans="1:19" s="15" customFormat="1" ht="15.75" x14ac:dyDescent="0.25">
      <c r="A108" s="14"/>
      <c r="B108" s="62" t="s">
        <v>150</v>
      </c>
      <c r="C108" s="1" t="s">
        <v>17</v>
      </c>
      <c r="D108" s="120"/>
      <c r="E108" s="3" t="s">
        <v>35</v>
      </c>
      <c r="F108" s="73" t="s">
        <v>376</v>
      </c>
      <c r="G108" s="74" t="s">
        <v>112</v>
      </c>
      <c r="H108" s="75">
        <v>9</v>
      </c>
      <c r="I108" s="76">
        <v>2</v>
      </c>
      <c r="J108" s="97">
        <f>1+1</f>
        <v>2</v>
      </c>
      <c r="K108" s="77">
        <f>1343.65+384.2</f>
        <v>1727.8500000000001</v>
      </c>
      <c r="L108" s="77"/>
      <c r="M108" s="78">
        <f t="shared" si="4"/>
        <v>1727.8500000000001</v>
      </c>
      <c r="N108" s="114">
        <f>8+1+1+2</f>
        <v>12</v>
      </c>
      <c r="O108" s="77">
        <f>5997.32+3719.39+3053.34</f>
        <v>12770.05</v>
      </c>
      <c r="P108" s="81">
        <f>3885.22</f>
        <v>3885.22</v>
      </c>
      <c r="Q108" s="79">
        <f t="shared" si="3"/>
        <v>8884.83</v>
      </c>
    </row>
    <row r="109" spans="1:19" s="15" customFormat="1" ht="15.75" x14ac:dyDescent="0.25">
      <c r="A109" s="14"/>
      <c r="B109" s="50" t="s">
        <v>150</v>
      </c>
      <c r="C109" s="1" t="s">
        <v>17</v>
      </c>
      <c r="D109" s="120"/>
      <c r="E109" s="3" t="s">
        <v>32</v>
      </c>
      <c r="F109" s="73" t="s">
        <v>487</v>
      </c>
      <c r="G109" s="11" t="s">
        <v>117</v>
      </c>
      <c r="H109" s="1"/>
      <c r="I109" s="48"/>
      <c r="J109" s="45"/>
      <c r="K109" s="40"/>
      <c r="L109" s="37"/>
      <c r="M109" s="38">
        <f t="shared" si="4"/>
        <v>0</v>
      </c>
      <c r="N109" s="42">
        <v>1</v>
      </c>
      <c r="O109" s="40">
        <v>4226.2</v>
      </c>
      <c r="P109" s="40"/>
      <c r="Q109" s="12">
        <f t="shared" si="3"/>
        <v>4226.2</v>
      </c>
    </row>
    <row r="110" spans="1:19" s="13" customFormat="1" ht="15.75" x14ac:dyDescent="0.25">
      <c r="A110" s="10"/>
      <c r="B110" s="30" t="s">
        <v>72</v>
      </c>
      <c r="C110" s="1" t="s">
        <v>17</v>
      </c>
      <c r="D110" s="120"/>
      <c r="E110" s="3" t="s">
        <v>21</v>
      </c>
      <c r="F110" s="73" t="s">
        <v>377</v>
      </c>
      <c r="G110" s="74" t="s">
        <v>112</v>
      </c>
      <c r="H110" s="75">
        <v>6</v>
      </c>
      <c r="I110" s="76">
        <v>1</v>
      </c>
      <c r="J110" s="96">
        <f>1</f>
        <v>1</v>
      </c>
      <c r="K110" s="77">
        <f>633.93</f>
        <v>633.92999999999995</v>
      </c>
      <c r="L110" s="77"/>
      <c r="M110" s="78">
        <f t="shared" si="4"/>
        <v>633.92999999999995</v>
      </c>
      <c r="N110" s="100">
        <f>1+3+1</f>
        <v>5</v>
      </c>
      <c r="O110" s="81">
        <f>1950.74+10237.13+6595.95</f>
        <v>18783.82</v>
      </c>
      <c r="P110" s="81"/>
      <c r="Q110" s="79">
        <f t="shared" si="3"/>
        <v>18783.82</v>
      </c>
    </row>
    <row r="111" spans="1:19" s="13" customFormat="1" ht="15.75" x14ac:dyDescent="0.25">
      <c r="A111" s="10"/>
      <c r="B111" s="24" t="s">
        <v>72</v>
      </c>
      <c r="C111" s="1" t="s">
        <v>17</v>
      </c>
      <c r="D111" s="120"/>
      <c r="E111" s="3" t="s">
        <v>21</v>
      </c>
      <c r="F111" s="73" t="s">
        <v>441</v>
      </c>
      <c r="G111" s="11" t="s">
        <v>118</v>
      </c>
      <c r="H111" s="1">
        <v>3</v>
      </c>
      <c r="I111" s="49"/>
      <c r="J111" s="46"/>
      <c r="K111" s="40"/>
      <c r="L111" s="40"/>
      <c r="M111" s="38">
        <f t="shared" si="4"/>
        <v>0</v>
      </c>
      <c r="N111" s="41">
        <v>6</v>
      </c>
      <c r="O111" s="31">
        <v>12247.68</v>
      </c>
      <c r="P111" s="31"/>
      <c r="Q111" s="12">
        <f t="shared" si="3"/>
        <v>12247.68</v>
      </c>
    </row>
    <row r="112" spans="1:19" s="15" customFormat="1" ht="15.75" x14ac:dyDescent="0.25">
      <c r="A112" s="14"/>
      <c r="B112" s="84" t="s">
        <v>73</v>
      </c>
      <c r="C112" s="1" t="s">
        <v>17</v>
      </c>
      <c r="D112" s="120"/>
      <c r="E112" s="3" t="s">
        <v>74</v>
      </c>
      <c r="F112" s="73" t="s">
        <v>378</v>
      </c>
      <c r="G112" s="74" t="s">
        <v>112</v>
      </c>
      <c r="H112" s="75">
        <v>12</v>
      </c>
      <c r="I112" s="76"/>
      <c r="J112" s="96"/>
      <c r="K112" s="77"/>
      <c r="L112" s="77"/>
      <c r="M112" s="78">
        <f t="shared" si="4"/>
        <v>0</v>
      </c>
      <c r="N112" s="100">
        <f>5</f>
        <v>5</v>
      </c>
      <c r="O112" s="81">
        <f>5416.39</f>
        <v>5416.39</v>
      </c>
      <c r="P112" s="81"/>
      <c r="Q112" s="79">
        <f t="shared" si="3"/>
        <v>5416.39</v>
      </c>
    </row>
    <row r="113" spans="1:17" s="15" customFormat="1" ht="15.75" x14ac:dyDescent="0.25">
      <c r="A113" s="14"/>
      <c r="B113" s="29" t="s">
        <v>73</v>
      </c>
      <c r="C113" s="1" t="s">
        <v>17</v>
      </c>
      <c r="D113" s="120"/>
      <c r="E113" s="3" t="s">
        <v>74</v>
      </c>
      <c r="F113" s="73" t="s">
        <v>282</v>
      </c>
      <c r="G113" s="11" t="s">
        <v>114</v>
      </c>
      <c r="H113" s="1"/>
      <c r="I113" s="49"/>
      <c r="J113" s="51"/>
      <c r="K113" s="40"/>
      <c r="L113" s="40"/>
      <c r="M113" s="38">
        <f t="shared" si="4"/>
        <v>0</v>
      </c>
      <c r="N113" s="42">
        <v>1</v>
      </c>
      <c r="O113" s="31"/>
      <c r="P113" s="31"/>
      <c r="Q113" s="12">
        <f t="shared" si="3"/>
        <v>0</v>
      </c>
    </row>
    <row r="114" spans="1:17" s="13" customFormat="1" ht="15.75" x14ac:dyDescent="0.25">
      <c r="A114" s="10"/>
      <c r="B114" s="30" t="s">
        <v>135</v>
      </c>
      <c r="C114" s="1" t="s">
        <v>17</v>
      </c>
      <c r="D114" s="120"/>
      <c r="E114" s="17" t="s">
        <v>35</v>
      </c>
      <c r="F114" s="73" t="s">
        <v>379</v>
      </c>
      <c r="G114" s="74" t="s">
        <v>112</v>
      </c>
      <c r="H114" s="75">
        <v>8</v>
      </c>
      <c r="I114" s="76">
        <v>1</v>
      </c>
      <c r="J114" s="96">
        <f>1</f>
        <v>1</v>
      </c>
      <c r="K114" s="77">
        <v>697.32</v>
      </c>
      <c r="L114" s="77"/>
      <c r="M114" s="38">
        <f t="shared" si="4"/>
        <v>697.32</v>
      </c>
      <c r="N114" s="100">
        <f>2+5+1</f>
        <v>8</v>
      </c>
      <c r="O114" s="81">
        <v>6432.89</v>
      </c>
      <c r="P114" s="81"/>
      <c r="Q114" s="12">
        <f t="shared" si="3"/>
        <v>6432.89</v>
      </c>
    </row>
    <row r="115" spans="1:17" s="13" customFormat="1" ht="15.75" x14ac:dyDescent="0.25">
      <c r="A115" s="10"/>
      <c r="B115" s="24" t="s">
        <v>135</v>
      </c>
      <c r="C115" s="1" t="s">
        <v>17</v>
      </c>
      <c r="D115" s="120"/>
      <c r="E115" s="17" t="s">
        <v>35</v>
      </c>
      <c r="F115" s="73" t="s">
        <v>432</v>
      </c>
      <c r="G115" s="11" t="s">
        <v>115</v>
      </c>
      <c r="H115" s="1"/>
      <c r="I115" s="49"/>
      <c r="J115" s="46"/>
      <c r="K115" s="40"/>
      <c r="L115" s="40"/>
      <c r="M115" s="78">
        <f t="shared" si="4"/>
        <v>0</v>
      </c>
      <c r="N115" s="41"/>
      <c r="O115" s="31"/>
      <c r="P115" s="31"/>
      <c r="Q115" s="79">
        <f t="shared" si="3"/>
        <v>0</v>
      </c>
    </row>
    <row r="116" spans="1:17" s="13" customFormat="1" ht="15.75" x14ac:dyDescent="0.25">
      <c r="A116" s="10"/>
      <c r="B116" s="30" t="s">
        <v>145</v>
      </c>
      <c r="C116" s="1" t="s">
        <v>17</v>
      </c>
      <c r="D116" s="120"/>
      <c r="E116" s="17" t="s">
        <v>20</v>
      </c>
      <c r="F116" s="73" t="s">
        <v>380</v>
      </c>
      <c r="G116" s="74" t="s">
        <v>112</v>
      </c>
      <c r="H116" s="75">
        <v>2</v>
      </c>
      <c r="I116" s="82">
        <v>1</v>
      </c>
      <c r="J116" s="96">
        <f>2</f>
        <v>2</v>
      </c>
      <c r="K116" s="77">
        <f>5169.72</f>
        <v>5169.72</v>
      </c>
      <c r="L116" s="77"/>
      <c r="M116" s="38">
        <f t="shared" si="4"/>
        <v>5169.72</v>
      </c>
      <c r="N116" s="100">
        <f>1+1+2</f>
        <v>4</v>
      </c>
      <c r="O116" s="81">
        <f>5120.23+3915.15+3214.12</f>
        <v>12249.5</v>
      </c>
      <c r="P116" s="81"/>
      <c r="Q116" s="12">
        <f t="shared" si="3"/>
        <v>12249.5</v>
      </c>
    </row>
    <row r="117" spans="1:17" s="13" customFormat="1" ht="15.75" x14ac:dyDescent="0.25">
      <c r="A117" s="10"/>
      <c r="B117" s="24" t="s">
        <v>145</v>
      </c>
      <c r="C117" s="1" t="s">
        <v>17</v>
      </c>
      <c r="D117" s="120"/>
      <c r="E117" s="17" t="s">
        <v>20</v>
      </c>
      <c r="F117" s="73" t="s">
        <v>461</v>
      </c>
      <c r="G117" s="11" t="s">
        <v>114</v>
      </c>
      <c r="H117" s="1"/>
      <c r="I117" s="49"/>
      <c r="J117" s="51"/>
      <c r="K117" s="40"/>
      <c r="L117" s="40"/>
      <c r="M117" s="78">
        <f t="shared" si="4"/>
        <v>0</v>
      </c>
      <c r="N117" s="41">
        <v>9</v>
      </c>
      <c r="O117" s="31">
        <v>19379.400000000001</v>
      </c>
      <c r="P117" s="31">
        <f>2633.4</f>
        <v>2633.4</v>
      </c>
      <c r="Q117" s="79">
        <f t="shared" si="3"/>
        <v>16746</v>
      </c>
    </row>
    <row r="118" spans="1:17" s="13" customFormat="1" ht="15.75" x14ac:dyDescent="0.25">
      <c r="A118" s="10"/>
      <c r="B118" s="62" t="s">
        <v>76</v>
      </c>
      <c r="C118" s="1" t="s">
        <v>17</v>
      </c>
      <c r="D118" s="120"/>
      <c r="E118" s="3" t="s">
        <v>20</v>
      </c>
      <c r="F118" s="73" t="s">
        <v>381</v>
      </c>
      <c r="G118" s="74" t="s">
        <v>112</v>
      </c>
      <c r="H118" s="75">
        <v>10</v>
      </c>
      <c r="I118" s="76">
        <v>7</v>
      </c>
      <c r="J118" s="96">
        <f>1+6</f>
        <v>7</v>
      </c>
      <c r="K118" s="77">
        <f>6556.06</f>
        <v>6556.06</v>
      </c>
      <c r="L118" s="77"/>
      <c r="M118" s="38">
        <f t="shared" si="4"/>
        <v>6556.06</v>
      </c>
      <c r="N118" s="100">
        <f>5+6</f>
        <v>11</v>
      </c>
      <c r="O118" s="81">
        <f>11527.9+19846.52</f>
        <v>31374.42</v>
      </c>
      <c r="P118" s="81"/>
      <c r="Q118" s="12">
        <f t="shared" si="3"/>
        <v>31374.42</v>
      </c>
    </row>
    <row r="119" spans="1:17" s="13" customFormat="1" ht="15.75" x14ac:dyDescent="0.25">
      <c r="A119" s="10"/>
      <c r="B119" s="22" t="s">
        <v>76</v>
      </c>
      <c r="C119" s="1" t="s">
        <v>17</v>
      </c>
      <c r="D119" s="120"/>
      <c r="E119" s="3" t="s">
        <v>20</v>
      </c>
      <c r="F119" s="73" t="s">
        <v>462</v>
      </c>
      <c r="G119" s="11" t="s">
        <v>114</v>
      </c>
      <c r="H119" s="1">
        <v>3</v>
      </c>
      <c r="I119" s="49"/>
      <c r="J119" s="51"/>
      <c r="K119" s="40"/>
      <c r="L119" s="40"/>
      <c r="M119" s="78">
        <f t="shared" si="4"/>
        <v>0</v>
      </c>
      <c r="N119" s="41">
        <v>7</v>
      </c>
      <c r="O119" s="31">
        <v>17927.759999999998</v>
      </c>
      <c r="P119" s="31">
        <f>3649.9</f>
        <v>3649.9</v>
      </c>
      <c r="Q119" s="79">
        <f t="shared" si="3"/>
        <v>14277.859999999999</v>
      </c>
    </row>
    <row r="120" spans="1:17" s="13" customFormat="1" ht="15.75" x14ac:dyDescent="0.25">
      <c r="A120" s="10"/>
      <c r="B120" s="30" t="s">
        <v>77</v>
      </c>
      <c r="C120" s="1" t="s">
        <v>17</v>
      </c>
      <c r="D120" s="120"/>
      <c r="E120" s="3" t="s">
        <v>32</v>
      </c>
      <c r="F120" s="73" t="s">
        <v>388</v>
      </c>
      <c r="G120" s="74" t="s">
        <v>112</v>
      </c>
      <c r="H120" s="75">
        <v>4</v>
      </c>
      <c r="I120" s="76">
        <v>2</v>
      </c>
      <c r="J120" s="96">
        <f>2</f>
        <v>2</v>
      </c>
      <c r="K120" s="77">
        <f>2440.63</f>
        <v>2440.63</v>
      </c>
      <c r="L120" s="77"/>
      <c r="M120" s="38">
        <f t="shared" si="4"/>
        <v>2440.63</v>
      </c>
      <c r="N120" s="100">
        <f>5+2+3</f>
        <v>10</v>
      </c>
      <c r="O120" s="81">
        <f>11716.73+6848.82+4046.18</f>
        <v>22611.73</v>
      </c>
      <c r="P120" s="81">
        <f>11716.73</f>
        <v>11716.73</v>
      </c>
      <c r="Q120" s="12">
        <f t="shared" si="3"/>
        <v>10895</v>
      </c>
    </row>
    <row r="121" spans="1:17" s="13" customFormat="1" ht="15.75" x14ac:dyDescent="0.25">
      <c r="A121" s="10"/>
      <c r="B121" s="24" t="s">
        <v>77</v>
      </c>
      <c r="C121" s="1" t="s">
        <v>17</v>
      </c>
      <c r="D121" s="120"/>
      <c r="E121" s="3" t="s">
        <v>32</v>
      </c>
      <c r="F121" s="73" t="s">
        <v>433</v>
      </c>
      <c r="G121" s="11" t="s">
        <v>117</v>
      </c>
      <c r="H121" s="1">
        <v>1</v>
      </c>
      <c r="I121" s="49"/>
      <c r="J121" s="46"/>
      <c r="K121" s="40"/>
      <c r="L121" s="40"/>
      <c r="M121" s="78">
        <f t="shared" si="4"/>
        <v>0</v>
      </c>
      <c r="N121" s="41">
        <v>5</v>
      </c>
      <c r="O121" s="31">
        <v>15666.81</v>
      </c>
      <c r="P121" s="31"/>
      <c r="Q121" s="79">
        <f t="shared" si="3"/>
        <v>15666.81</v>
      </c>
    </row>
    <row r="122" spans="1:17" s="13" customFormat="1" ht="15.75" x14ac:dyDescent="0.25">
      <c r="A122" s="10"/>
      <c r="B122" s="24" t="s">
        <v>321</v>
      </c>
      <c r="C122" s="1" t="s">
        <v>17</v>
      </c>
      <c r="D122" s="120"/>
      <c r="E122" s="3" t="s">
        <v>21</v>
      </c>
      <c r="F122" s="73" t="s">
        <v>489</v>
      </c>
      <c r="G122" s="11" t="s">
        <v>112</v>
      </c>
      <c r="H122" s="1">
        <v>1</v>
      </c>
      <c r="I122" s="49"/>
      <c r="J122" s="46"/>
      <c r="K122" s="40"/>
      <c r="L122" s="40"/>
      <c r="M122" s="78"/>
      <c r="N122" s="41"/>
      <c r="O122" s="31"/>
      <c r="P122" s="31"/>
      <c r="Q122" s="79"/>
    </row>
    <row r="123" spans="1:17" s="13" customFormat="1" ht="31.5" x14ac:dyDescent="0.25">
      <c r="A123" s="10"/>
      <c r="B123" s="62" t="s">
        <v>79</v>
      </c>
      <c r="C123" s="1" t="s">
        <v>304</v>
      </c>
      <c r="D123" s="120" t="s">
        <v>385</v>
      </c>
      <c r="E123" s="3" t="s">
        <v>18</v>
      </c>
      <c r="F123" s="73" t="s">
        <v>389</v>
      </c>
      <c r="G123" s="74" t="s">
        <v>112</v>
      </c>
      <c r="H123" s="75">
        <v>3</v>
      </c>
      <c r="I123" s="76">
        <v>1</v>
      </c>
      <c r="J123" s="96"/>
      <c r="K123" s="77"/>
      <c r="L123" s="77"/>
      <c r="M123" s="38">
        <f t="shared" si="4"/>
        <v>0</v>
      </c>
      <c r="N123" s="100">
        <f>2+2</f>
        <v>4</v>
      </c>
      <c r="O123" s="81">
        <f>1547.4+4166.12</f>
        <v>5713.52</v>
      </c>
      <c r="P123" s="81"/>
      <c r="Q123" s="12">
        <f t="shared" si="3"/>
        <v>5713.52</v>
      </c>
    </row>
    <row r="124" spans="1:17" s="13" customFormat="1" ht="31.5" x14ac:dyDescent="0.25">
      <c r="A124" s="10"/>
      <c r="B124" s="22" t="s">
        <v>79</v>
      </c>
      <c r="C124" s="1" t="s">
        <v>304</v>
      </c>
      <c r="D124" s="120" t="s">
        <v>475</v>
      </c>
      <c r="E124" s="3" t="s">
        <v>18</v>
      </c>
      <c r="F124" s="73" t="s">
        <v>329</v>
      </c>
      <c r="G124" s="11" t="s">
        <v>113</v>
      </c>
      <c r="H124" s="1">
        <v>6</v>
      </c>
      <c r="I124" s="53">
        <v>1</v>
      </c>
      <c r="J124" s="127">
        <v>1</v>
      </c>
      <c r="K124" s="31">
        <v>1268</v>
      </c>
      <c r="L124" s="31"/>
      <c r="M124" s="78">
        <f t="shared" si="4"/>
        <v>1268</v>
      </c>
      <c r="N124" s="41">
        <v>6</v>
      </c>
      <c r="O124" s="31">
        <v>31453</v>
      </c>
      <c r="P124" s="31"/>
      <c r="Q124" s="79">
        <f t="shared" si="3"/>
        <v>31453</v>
      </c>
    </row>
    <row r="125" spans="1:17" s="13" customFormat="1" ht="15.75" x14ac:dyDescent="0.25">
      <c r="A125" s="10"/>
      <c r="B125" s="62" t="s">
        <v>151</v>
      </c>
      <c r="C125" s="1" t="s">
        <v>17</v>
      </c>
      <c r="D125" s="120"/>
      <c r="E125" s="3" t="s">
        <v>32</v>
      </c>
      <c r="F125" s="73" t="s">
        <v>390</v>
      </c>
      <c r="G125" s="74" t="s">
        <v>112</v>
      </c>
      <c r="H125" s="75">
        <v>12</v>
      </c>
      <c r="I125" s="82">
        <v>3</v>
      </c>
      <c r="J125" s="96">
        <f>1</f>
        <v>1</v>
      </c>
      <c r="K125" s="81"/>
      <c r="L125" s="81"/>
      <c r="M125" s="38">
        <f t="shared" si="4"/>
        <v>0</v>
      </c>
      <c r="N125" s="100">
        <f>9+3</f>
        <v>12</v>
      </c>
      <c r="O125" s="81">
        <f>10726.94+18822.65</f>
        <v>29549.590000000004</v>
      </c>
      <c r="P125" s="81">
        <f>10726.94</f>
        <v>10726.94</v>
      </c>
      <c r="Q125" s="12">
        <f t="shared" si="3"/>
        <v>18822.650000000001</v>
      </c>
    </row>
    <row r="126" spans="1:17" s="13" customFormat="1" ht="15.75" x14ac:dyDescent="0.25">
      <c r="A126" s="10"/>
      <c r="B126" s="22" t="s">
        <v>151</v>
      </c>
      <c r="C126" s="1" t="s">
        <v>17</v>
      </c>
      <c r="D126" s="120"/>
      <c r="E126" s="3" t="s">
        <v>32</v>
      </c>
      <c r="F126" s="73" t="s">
        <v>434</v>
      </c>
      <c r="G126" s="11" t="s">
        <v>117</v>
      </c>
      <c r="H126" s="1">
        <v>4</v>
      </c>
      <c r="I126" s="49"/>
      <c r="J126" s="46"/>
      <c r="K126" s="40"/>
      <c r="L126" s="40"/>
      <c r="M126" s="78">
        <f t="shared" si="4"/>
        <v>0</v>
      </c>
      <c r="N126" s="41">
        <v>8</v>
      </c>
      <c r="O126" s="31">
        <v>14253.2</v>
      </c>
      <c r="P126" s="31"/>
      <c r="Q126" s="79">
        <f t="shared" si="3"/>
        <v>14253.2</v>
      </c>
    </row>
    <row r="127" spans="1:17" s="13" customFormat="1" ht="15.75" x14ac:dyDescent="0.25">
      <c r="A127" s="10"/>
      <c r="B127" s="62" t="s">
        <v>80</v>
      </c>
      <c r="C127" s="1" t="s">
        <v>17</v>
      </c>
      <c r="D127" s="120"/>
      <c r="E127" s="3" t="s">
        <v>81</v>
      </c>
      <c r="F127" s="73" t="s">
        <v>417</v>
      </c>
      <c r="G127" s="74" t="s">
        <v>112</v>
      </c>
      <c r="H127" s="75"/>
      <c r="I127" s="76"/>
      <c r="J127" s="96"/>
      <c r="K127" s="77"/>
      <c r="L127" s="77"/>
      <c r="M127" s="38">
        <f t="shared" si="4"/>
        <v>0</v>
      </c>
      <c r="N127" s="100">
        <f>2</f>
        <v>2</v>
      </c>
      <c r="O127" s="81"/>
      <c r="P127" s="81"/>
      <c r="Q127" s="12">
        <f t="shared" si="3"/>
        <v>0</v>
      </c>
    </row>
    <row r="128" spans="1:17" s="13" customFormat="1" ht="15.75" x14ac:dyDescent="0.25">
      <c r="A128" s="10"/>
      <c r="B128" s="22" t="s">
        <v>80</v>
      </c>
      <c r="C128" s="1" t="s">
        <v>17</v>
      </c>
      <c r="D128" s="120"/>
      <c r="E128" s="3" t="s">
        <v>81</v>
      </c>
      <c r="F128" s="73" t="s">
        <v>285</v>
      </c>
      <c r="G128" s="11" t="s">
        <v>114</v>
      </c>
      <c r="H128" s="1"/>
      <c r="I128" s="49"/>
      <c r="J128" s="51"/>
      <c r="K128" s="40"/>
      <c r="L128" s="40"/>
      <c r="M128" s="78">
        <f t="shared" si="4"/>
        <v>0</v>
      </c>
      <c r="N128" s="41">
        <v>15</v>
      </c>
      <c r="O128" s="31">
        <f>21200.04</f>
        <v>21200.04</v>
      </c>
      <c r="P128" s="31">
        <f>4610.4</f>
        <v>4610.3999999999996</v>
      </c>
      <c r="Q128" s="79">
        <f t="shared" si="3"/>
        <v>16589.64</v>
      </c>
    </row>
    <row r="129" spans="1:17" s="13" customFormat="1" ht="15.75" x14ac:dyDescent="0.25">
      <c r="A129" s="10"/>
      <c r="B129" s="30" t="s">
        <v>82</v>
      </c>
      <c r="C129" s="1" t="s">
        <v>17</v>
      </c>
      <c r="D129" s="120"/>
      <c r="E129" s="3" t="s">
        <v>20</v>
      </c>
      <c r="F129" s="73" t="s">
        <v>394</v>
      </c>
      <c r="G129" s="74" t="s">
        <v>112</v>
      </c>
      <c r="H129" s="75">
        <v>3</v>
      </c>
      <c r="I129" s="76"/>
      <c r="J129" s="96"/>
      <c r="K129" s="77"/>
      <c r="L129" s="77"/>
      <c r="M129" s="38">
        <f t="shared" si="4"/>
        <v>0</v>
      </c>
      <c r="N129" s="100">
        <f>3+5</f>
        <v>8</v>
      </c>
      <c r="O129" s="81">
        <f>5975.84+23579.15</f>
        <v>29554.99</v>
      </c>
      <c r="P129" s="81"/>
      <c r="Q129" s="12">
        <f t="shared" si="3"/>
        <v>29554.99</v>
      </c>
    </row>
    <row r="130" spans="1:17" s="13" customFormat="1" ht="15.75" x14ac:dyDescent="0.25">
      <c r="A130" s="10"/>
      <c r="B130" s="24" t="s">
        <v>82</v>
      </c>
      <c r="C130" s="1" t="s">
        <v>17</v>
      </c>
      <c r="D130" s="120"/>
      <c r="E130" s="3" t="s">
        <v>20</v>
      </c>
      <c r="F130" s="73" t="s">
        <v>463</v>
      </c>
      <c r="G130" s="11" t="s">
        <v>114</v>
      </c>
      <c r="H130" s="1">
        <v>5</v>
      </c>
      <c r="I130" s="49"/>
      <c r="J130" s="51"/>
      <c r="K130" s="40"/>
      <c r="L130" s="40"/>
      <c r="M130" s="78">
        <f t="shared" si="4"/>
        <v>0</v>
      </c>
      <c r="N130" s="41">
        <v>7</v>
      </c>
      <c r="O130" s="31">
        <v>10757.8</v>
      </c>
      <c r="P130" s="31">
        <f>4314.3</f>
        <v>4314.3</v>
      </c>
      <c r="Q130" s="79">
        <f t="shared" si="3"/>
        <v>6443.4999999999991</v>
      </c>
    </row>
    <row r="131" spans="1:17" s="13" customFormat="1" ht="15.75" x14ac:dyDescent="0.25">
      <c r="A131" s="10"/>
      <c r="B131" s="24" t="s">
        <v>309</v>
      </c>
      <c r="C131" s="1"/>
      <c r="D131" s="120"/>
      <c r="E131" s="3" t="s">
        <v>20</v>
      </c>
      <c r="F131" s="73" t="s">
        <v>391</v>
      </c>
      <c r="G131" s="11" t="s">
        <v>112</v>
      </c>
      <c r="H131" s="1">
        <v>9</v>
      </c>
      <c r="I131" s="58">
        <v>1</v>
      </c>
      <c r="J131" s="51">
        <f>1</f>
        <v>1</v>
      </c>
      <c r="K131" s="40">
        <f>3606.1</f>
        <v>3606.1</v>
      </c>
      <c r="L131" s="40"/>
      <c r="M131" s="38">
        <f t="shared" si="4"/>
        <v>3606.1</v>
      </c>
      <c r="N131" s="41">
        <f>1+5</f>
        <v>6</v>
      </c>
      <c r="O131" s="31">
        <f>3088.97+13147.65</f>
        <v>16236.619999999999</v>
      </c>
      <c r="P131" s="31"/>
      <c r="Q131" s="79"/>
    </row>
    <row r="132" spans="1:17" s="13" customFormat="1" ht="15.75" x14ac:dyDescent="0.25">
      <c r="A132" s="10"/>
      <c r="B132" s="30" t="s">
        <v>152</v>
      </c>
      <c r="C132" s="1" t="s">
        <v>17</v>
      </c>
      <c r="D132" s="120"/>
      <c r="E132" s="3" t="s">
        <v>35</v>
      </c>
      <c r="F132" s="73" t="s">
        <v>392</v>
      </c>
      <c r="G132" s="74" t="s">
        <v>112</v>
      </c>
      <c r="H132" s="75">
        <v>7</v>
      </c>
      <c r="I132" s="76">
        <v>2</v>
      </c>
      <c r="J132" s="96">
        <f>1+1</f>
        <v>2</v>
      </c>
      <c r="K132" s="77">
        <f>403.41+845.24</f>
        <v>1248.6500000000001</v>
      </c>
      <c r="L132" s="77"/>
      <c r="M132" s="38">
        <f t="shared" si="4"/>
        <v>1248.6500000000001</v>
      </c>
      <c r="N132" s="100">
        <f>2+2+2</f>
        <v>6</v>
      </c>
      <c r="O132" s="81">
        <f>1690.48+3050.26+3661.61</f>
        <v>8402.35</v>
      </c>
      <c r="P132" s="81">
        <f>1690.4</f>
        <v>1690.4</v>
      </c>
      <c r="Q132" s="12">
        <f t="shared" si="3"/>
        <v>6711.9500000000007</v>
      </c>
    </row>
    <row r="133" spans="1:17" s="13" customFormat="1" ht="15.75" x14ac:dyDescent="0.25">
      <c r="A133" s="10"/>
      <c r="B133" s="24" t="s">
        <v>152</v>
      </c>
      <c r="C133" s="1" t="s">
        <v>17</v>
      </c>
      <c r="D133" s="120"/>
      <c r="E133" s="3" t="s">
        <v>32</v>
      </c>
      <c r="F133" s="73"/>
      <c r="G133" s="11" t="s">
        <v>117</v>
      </c>
      <c r="H133" s="1"/>
      <c r="I133" s="49"/>
      <c r="J133" s="46"/>
      <c r="K133" s="40"/>
      <c r="L133" s="40"/>
      <c r="M133" s="78">
        <f t="shared" si="4"/>
        <v>0</v>
      </c>
      <c r="N133" s="41"/>
      <c r="O133" s="31"/>
      <c r="P133" s="31"/>
      <c r="Q133" s="79">
        <f t="shared" si="3"/>
        <v>0</v>
      </c>
    </row>
    <row r="134" spans="1:17" s="13" customFormat="1" ht="15.75" x14ac:dyDescent="0.25">
      <c r="A134" s="10"/>
      <c r="B134" s="30" t="s">
        <v>83</v>
      </c>
      <c r="C134" s="1" t="s">
        <v>17</v>
      </c>
      <c r="D134" s="120"/>
      <c r="E134" s="3" t="s">
        <v>20</v>
      </c>
      <c r="F134" s="73" t="s">
        <v>393</v>
      </c>
      <c r="G134" s="74" t="s">
        <v>112</v>
      </c>
      <c r="H134" s="75">
        <v>7</v>
      </c>
      <c r="I134" s="76">
        <v>1</v>
      </c>
      <c r="J134" s="96">
        <f>1</f>
        <v>1</v>
      </c>
      <c r="K134" s="77"/>
      <c r="L134" s="77"/>
      <c r="M134" s="38">
        <f t="shared" si="4"/>
        <v>0</v>
      </c>
      <c r="N134" s="100">
        <f>1</f>
        <v>1</v>
      </c>
      <c r="O134" s="81">
        <f>5837.09</f>
        <v>5837.09</v>
      </c>
      <c r="P134" s="81"/>
      <c r="Q134" s="12">
        <f t="shared" si="3"/>
        <v>5837.09</v>
      </c>
    </row>
    <row r="135" spans="1:17" s="13" customFormat="1" ht="15.75" x14ac:dyDescent="0.25">
      <c r="A135" s="10"/>
      <c r="B135" s="24" t="s">
        <v>83</v>
      </c>
      <c r="C135" s="1" t="s">
        <v>17</v>
      </c>
      <c r="D135" s="120"/>
      <c r="E135" s="3" t="s">
        <v>20</v>
      </c>
      <c r="F135" s="73" t="s">
        <v>464</v>
      </c>
      <c r="G135" s="11" t="s">
        <v>114</v>
      </c>
      <c r="H135" s="1">
        <v>5</v>
      </c>
      <c r="I135" s="49"/>
      <c r="J135" s="51"/>
      <c r="K135" s="40"/>
      <c r="L135" s="40"/>
      <c r="M135" s="78">
        <f t="shared" si="4"/>
        <v>0</v>
      </c>
      <c r="N135" s="41">
        <v>22</v>
      </c>
      <c r="O135" s="31">
        <v>43871.3</v>
      </c>
      <c r="P135" s="31">
        <f>3649.9</f>
        <v>3649.9</v>
      </c>
      <c r="Q135" s="79">
        <f t="shared" si="3"/>
        <v>40221.4</v>
      </c>
    </row>
    <row r="136" spans="1:17" s="13" customFormat="1" ht="15.75" x14ac:dyDescent="0.25">
      <c r="A136" s="10"/>
      <c r="B136" s="24" t="s">
        <v>310</v>
      </c>
      <c r="C136" s="1"/>
      <c r="D136" s="120"/>
      <c r="E136" s="3" t="s">
        <v>20</v>
      </c>
      <c r="F136" s="73"/>
      <c r="G136" s="11" t="s">
        <v>114</v>
      </c>
      <c r="H136" s="1"/>
      <c r="I136" s="49"/>
      <c r="J136" s="51"/>
      <c r="K136" s="40"/>
      <c r="L136" s="40"/>
      <c r="M136" s="78"/>
      <c r="N136" s="41"/>
      <c r="O136" s="31"/>
      <c r="P136" s="31"/>
      <c r="Q136" s="79"/>
    </row>
    <row r="137" spans="1:17" s="13" customFormat="1" ht="15.75" x14ac:dyDescent="0.25">
      <c r="A137" s="10"/>
      <c r="B137" s="30" t="s">
        <v>84</v>
      </c>
      <c r="C137" s="1"/>
      <c r="D137" s="120"/>
      <c r="E137" s="3" t="s">
        <v>20</v>
      </c>
      <c r="F137" s="73" t="s">
        <v>287</v>
      </c>
      <c r="G137" s="11" t="s">
        <v>114</v>
      </c>
      <c r="H137" s="1"/>
      <c r="I137" s="49"/>
      <c r="J137" s="51"/>
      <c r="K137" s="40"/>
      <c r="L137" s="40"/>
      <c r="M137" s="38">
        <f t="shared" si="4"/>
        <v>0</v>
      </c>
      <c r="N137" s="41"/>
      <c r="O137" s="31"/>
      <c r="P137" s="31"/>
      <c r="Q137" s="12">
        <f t="shared" si="3"/>
        <v>0</v>
      </c>
    </row>
    <row r="138" spans="1:17" s="13" customFormat="1" ht="47.25" x14ac:dyDescent="0.25">
      <c r="A138" s="10"/>
      <c r="B138" s="30" t="s">
        <v>85</v>
      </c>
      <c r="C138" s="1" t="s">
        <v>304</v>
      </c>
      <c r="D138" s="120" t="s">
        <v>415</v>
      </c>
      <c r="E138" s="3" t="s">
        <v>20</v>
      </c>
      <c r="F138" s="73" t="s">
        <v>395</v>
      </c>
      <c r="G138" s="74" t="s">
        <v>112</v>
      </c>
      <c r="H138" s="75">
        <v>2</v>
      </c>
      <c r="I138" s="76"/>
      <c r="J138" s="96"/>
      <c r="K138" s="77"/>
      <c r="L138" s="77"/>
      <c r="M138" s="38">
        <f t="shared" si="4"/>
        <v>0</v>
      </c>
      <c r="N138" s="100"/>
      <c r="O138" s="81"/>
      <c r="P138" s="81"/>
      <c r="Q138" s="79">
        <f t="shared" si="3"/>
        <v>0</v>
      </c>
    </row>
    <row r="139" spans="1:17" s="13" customFormat="1" ht="15.75" x14ac:dyDescent="0.25">
      <c r="A139" s="10"/>
      <c r="B139" s="27" t="s">
        <v>86</v>
      </c>
      <c r="C139" s="1" t="s">
        <v>17</v>
      </c>
      <c r="D139" s="120"/>
      <c r="E139" s="17" t="s">
        <v>20</v>
      </c>
      <c r="F139" s="73" t="s">
        <v>396</v>
      </c>
      <c r="G139" s="74" t="s">
        <v>112</v>
      </c>
      <c r="H139" s="75">
        <v>4</v>
      </c>
      <c r="I139" s="76">
        <v>1</v>
      </c>
      <c r="J139" s="96">
        <f>1</f>
        <v>1</v>
      </c>
      <c r="K139" s="77">
        <f>950.9</f>
        <v>950.9</v>
      </c>
      <c r="L139" s="77"/>
      <c r="M139" s="38">
        <f t="shared" si="4"/>
        <v>950.9</v>
      </c>
      <c r="N139" s="100">
        <f>15+4</f>
        <v>19</v>
      </c>
      <c r="O139" s="81">
        <f>30236.61+18366.75</f>
        <v>48603.360000000001</v>
      </c>
      <c r="P139" s="81"/>
      <c r="Q139" s="12">
        <f t="shared" si="3"/>
        <v>48603.360000000001</v>
      </c>
    </row>
    <row r="140" spans="1:17" s="13" customFormat="1" ht="15.75" x14ac:dyDescent="0.25">
      <c r="A140" s="10"/>
      <c r="B140" s="25" t="s">
        <v>86</v>
      </c>
      <c r="C140" s="1" t="s">
        <v>17</v>
      </c>
      <c r="D140" s="120"/>
      <c r="E140" s="17" t="s">
        <v>20</v>
      </c>
      <c r="F140" s="73" t="s">
        <v>465</v>
      </c>
      <c r="G140" s="11" t="s">
        <v>114</v>
      </c>
      <c r="H140" s="1"/>
      <c r="I140" s="49"/>
      <c r="J140" s="51"/>
      <c r="K140" s="40"/>
      <c r="L140" s="40"/>
      <c r="M140" s="78">
        <f t="shared" si="4"/>
        <v>0</v>
      </c>
      <c r="N140" s="41">
        <v>3</v>
      </c>
      <c r="O140" s="31"/>
      <c r="P140" s="31"/>
      <c r="Q140" s="79">
        <f t="shared" si="3"/>
        <v>0</v>
      </c>
    </row>
    <row r="141" spans="1:17" s="13" customFormat="1" ht="15.75" x14ac:dyDescent="0.25">
      <c r="A141" s="10"/>
      <c r="B141" s="62" t="s">
        <v>87</v>
      </c>
      <c r="C141" s="1" t="s">
        <v>17</v>
      </c>
      <c r="D141" s="120"/>
      <c r="E141" s="17" t="s">
        <v>78</v>
      </c>
      <c r="F141" s="73" t="s">
        <v>142</v>
      </c>
      <c r="G141" s="74" t="s">
        <v>112</v>
      </c>
      <c r="H141" s="75"/>
      <c r="I141" s="76"/>
      <c r="J141" s="96"/>
      <c r="K141" s="77"/>
      <c r="L141" s="77"/>
      <c r="M141" s="38">
        <f t="shared" si="4"/>
        <v>0</v>
      </c>
      <c r="N141" s="100"/>
      <c r="O141" s="81"/>
      <c r="P141" s="81"/>
      <c r="Q141" s="12">
        <f t="shared" si="3"/>
        <v>0</v>
      </c>
    </row>
    <row r="142" spans="1:17" s="13" customFormat="1" ht="15.75" x14ac:dyDescent="0.25">
      <c r="A142" s="10"/>
      <c r="B142" s="62" t="s">
        <v>312</v>
      </c>
      <c r="C142" s="1" t="s">
        <v>17</v>
      </c>
      <c r="D142" s="120"/>
      <c r="E142" s="17" t="s">
        <v>20</v>
      </c>
      <c r="F142" s="73" t="s">
        <v>320</v>
      </c>
      <c r="G142" s="74" t="s">
        <v>112</v>
      </c>
      <c r="H142" s="75">
        <v>6</v>
      </c>
      <c r="I142" s="76">
        <v>1</v>
      </c>
      <c r="J142" s="96">
        <f>1</f>
        <v>1</v>
      </c>
      <c r="K142" s="77">
        <f>3319.49</f>
        <v>3319.49</v>
      </c>
      <c r="L142" s="77"/>
      <c r="M142" s="38"/>
      <c r="N142" s="100">
        <f>5+6</f>
        <v>11</v>
      </c>
      <c r="O142" s="81">
        <f>4226.2+6627.45</f>
        <v>10853.65</v>
      </c>
      <c r="P142" s="81"/>
      <c r="Q142" s="12"/>
    </row>
    <row r="143" spans="1:17" s="13" customFormat="1" ht="15.75" x14ac:dyDescent="0.25">
      <c r="A143" s="10"/>
      <c r="B143" s="30" t="s">
        <v>88</v>
      </c>
      <c r="C143" s="1" t="s">
        <v>17</v>
      </c>
      <c r="D143" s="120"/>
      <c r="E143" s="3" t="s">
        <v>89</v>
      </c>
      <c r="F143" s="73" t="s">
        <v>397</v>
      </c>
      <c r="G143" s="74" t="s">
        <v>112</v>
      </c>
      <c r="H143" s="75">
        <v>1</v>
      </c>
      <c r="I143" s="76"/>
      <c r="J143" s="96"/>
      <c r="K143" s="77"/>
      <c r="L143" s="77"/>
      <c r="M143" s="38">
        <f t="shared" si="4"/>
        <v>0</v>
      </c>
      <c r="N143" s="100">
        <f>4+1+3+1+2</f>
        <v>11</v>
      </c>
      <c r="O143" s="81">
        <f>11967.83+2831.55+10544.37+9418.99</f>
        <v>34762.74</v>
      </c>
      <c r="P143" s="81"/>
      <c r="Q143" s="79">
        <f t="shared" ref="Q143:Q183" si="5">O143-P143</f>
        <v>34762.74</v>
      </c>
    </row>
    <row r="144" spans="1:17" s="13" customFormat="1" ht="15.75" x14ac:dyDescent="0.25">
      <c r="A144" s="10"/>
      <c r="B144" s="24" t="s">
        <v>88</v>
      </c>
      <c r="C144" s="1" t="s">
        <v>17</v>
      </c>
      <c r="D144" s="120"/>
      <c r="E144" s="3" t="s">
        <v>89</v>
      </c>
      <c r="F144" s="73" t="s">
        <v>442</v>
      </c>
      <c r="G144" s="11" t="s">
        <v>118</v>
      </c>
      <c r="H144" s="1">
        <v>2</v>
      </c>
      <c r="I144" s="49"/>
      <c r="J144" s="46"/>
      <c r="K144" s="40"/>
      <c r="L144" s="40"/>
      <c r="M144" s="38">
        <f t="shared" si="4"/>
        <v>0</v>
      </c>
      <c r="N144" s="41">
        <v>2</v>
      </c>
      <c r="O144" s="31">
        <v>6026.87</v>
      </c>
      <c r="P144" s="31"/>
      <c r="Q144" s="12">
        <f t="shared" si="5"/>
        <v>6026.87</v>
      </c>
    </row>
    <row r="145" spans="1:17" s="13" customFormat="1" ht="15.75" x14ac:dyDescent="0.25">
      <c r="A145" s="10"/>
      <c r="B145" s="30" t="s">
        <v>90</v>
      </c>
      <c r="C145" s="1" t="s">
        <v>17</v>
      </c>
      <c r="D145" s="120"/>
      <c r="E145" s="17" t="s">
        <v>20</v>
      </c>
      <c r="F145" s="73" t="s">
        <v>398</v>
      </c>
      <c r="G145" s="74" t="s">
        <v>112</v>
      </c>
      <c r="H145" s="75">
        <v>3</v>
      </c>
      <c r="I145" s="76"/>
      <c r="J145" s="96"/>
      <c r="K145" s="77"/>
      <c r="L145" s="77"/>
      <c r="M145" s="38">
        <f t="shared" si="4"/>
        <v>0</v>
      </c>
      <c r="N145" s="100">
        <f>1</f>
        <v>1</v>
      </c>
      <c r="O145" s="81">
        <f>2122.67</f>
        <v>2122.67</v>
      </c>
      <c r="P145" s="81"/>
      <c r="Q145" s="79">
        <f t="shared" si="5"/>
        <v>2122.67</v>
      </c>
    </row>
    <row r="146" spans="1:17" s="13" customFormat="1" ht="15.75" x14ac:dyDescent="0.25">
      <c r="A146" s="10"/>
      <c r="B146" s="24" t="s">
        <v>90</v>
      </c>
      <c r="C146" s="1" t="s">
        <v>17</v>
      </c>
      <c r="D146" s="120"/>
      <c r="E146" s="17" t="s">
        <v>20</v>
      </c>
      <c r="F146" s="73" t="s">
        <v>466</v>
      </c>
      <c r="G146" s="11" t="s">
        <v>114</v>
      </c>
      <c r="H146" s="1">
        <v>3</v>
      </c>
      <c r="I146" s="49"/>
      <c r="J146" s="51"/>
      <c r="K146" s="40"/>
      <c r="L146" s="40"/>
      <c r="M146" s="78">
        <f t="shared" si="4"/>
        <v>0</v>
      </c>
      <c r="N146" s="41">
        <v>15</v>
      </c>
      <c r="O146" s="31">
        <f>31793</f>
        <v>31793</v>
      </c>
      <c r="P146" s="31">
        <f>3682</f>
        <v>3682</v>
      </c>
      <c r="Q146" s="12">
        <f t="shared" si="5"/>
        <v>28111</v>
      </c>
    </row>
    <row r="147" spans="1:17" s="13" customFormat="1" ht="15.75" x14ac:dyDescent="0.25">
      <c r="A147" s="10"/>
      <c r="B147" s="30" t="s">
        <v>91</v>
      </c>
      <c r="C147" s="1" t="s">
        <v>17</v>
      </c>
      <c r="D147" s="120"/>
      <c r="E147" s="17" t="s">
        <v>20</v>
      </c>
      <c r="F147" s="73" t="s">
        <v>399</v>
      </c>
      <c r="G147" s="74" t="s">
        <v>112</v>
      </c>
      <c r="H147" s="75"/>
      <c r="I147" s="76"/>
      <c r="J147" s="96"/>
      <c r="K147" s="77"/>
      <c r="L147" s="77"/>
      <c r="M147" s="38">
        <f t="shared" si="4"/>
        <v>0</v>
      </c>
      <c r="N147" s="100"/>
      <c r="O147" s="81"/>
      <c r="P147" s="81"/>
      <c r="Q147" s="79">
        <f t="shared" si="5"/>
        <v>0</v>
      </c>
    </row>
    <row r="148" spans="1:17" s="13" customFormat="1" ht="15.75" x14ac:dyDescent="0.25">
      <c r="A148" s="10"/>
      <c r="B148" s="22" t="s">
        <v>138</v>
      </c>
      <c r="C148" s="1" t="s">
        <v>17</v>
      </c>
      <c r="D148" s="120"/>
      <c r="E148" s="17" t="s">
        <v>20</v>
      </c>
      <c r="F148" s="73" t="s">
        <v>467</v>
      </c>
      <c r="G148" s="11" t="s">
        <v>114</v>
      </c>
      <c r="H148" s="1">
        <v>1</v>
      </c>
      <c r="I148" s="49"/>
      <c r="J148" s="51"/>
      <c r="K148" s="37"/>
      <c r="L148" s="37"/>
      <c r="M148" s="78">
        <f t="shared" si="4"/>
        <v>0</v>
      </c>
      <c r="N148" s="39">
        <v>4</v>
      </c>
      <c r="O148" s="31">
        <v>1841</v>
      </c>
      <c r="P148" s="31"/>
      <c r="Q148" s="12">
        <f t="shared" si="5"/>
        <v>1841</v>
      </c>
    </row>
    <row r="149" spans="1:17" s="13" customFormat="1" ht="15.75" x14ac:dyDescent="0.25">
      <c r="A149" s="10"/>
      <c r="B149" s="62" t="s">
        <v>138</v>
      </c>
      <c r="C149" s="1" t="s">
        <v>17</v>
      </c>
      <c r="D149" s="120"/>
      <c r="E149" s="17" t="s">
        <v>20</v>
      </c>
      <c r="F149" s="73" t="s">
        <v>400</v>
      </c>
      <c r="G149" s="74" t="s">
        <v>112</v>
      </c>
      <c r="H149" s="75">
        <v>4</v>
      </c>
      <c r="I149" s="82"/>
      <c r="J149" s="96"/>
      <c r="K149" s="77"/>
      <c r="L149" s="77"/>
      <c r="M149" s="38">
        <f t="shared" si="4"/>
        <v>0</v>
      </c>
      <c r="N149" s="100">
        <f>5</f>
        <v>5</v>
      </c>
      <c r="O149" s="81">
        <v>8995.8700000000008</v>
      </c>
      <c r="P149" s="81"/>
      <c r="Q149" s="79">
        <f t="shared" si="5"/>
        <v>8995.8700000000008</v>
      </c>
    </row>
    <row r="150" spans="1:17" s="13" customFormat="1" ht="15.75" x14ac:dyDescent="0.25">
      <c r="A150" s="10"/>
      <c r="B150" s="62" t="s">
        <v>157</v>
      </c>
      <c r="C150" s="1" t="s">
        <v>17</v>
      </c>
      <c r="D150" s="120"/>
      <c r="E150" s="17" t="s">
        <v>20</v>
      </c>
      <c r="F150" s="73" t="s">
        <v>401</v>
      </c>
      <c r="G150" s="74" t="s">
        <v>112</v>
      </c>
      <c r="H150" s="75">
        <v>2</v>
      </c>
      <c r="I150" s="82"/>
      <c r="J150" s="96"/>
      <c r="K150" s="77"/>
      <c r="L150" s="77"/>
      <c r="M150" s="38">
        <f t="shared" ref="M150:M182" si="6">K150-L150</f>
        <v>0</v>
      </c>
      <c r="N150" s="100"/>
      <c r="O150" s="81"/>
      <c r="P150" s="81"/>
      <c r="Q150" s="12">
        <f t="shared" si="5"/>
        <v>0</v>
      </c>
    </row>
    <row r="151" spans="1:17" s="13" customFormat="1" ht="15.75" x14ac:dyDescent="0.25">
      <c r="A151" s="10"/>
      <c r="B151" s="22" t="s">
        <v>157</v>
      </c>
      <c r="C151" s="1" t="s">
        <v>17</v>
      </c>
      <c r="D151" s="120"/>
      <c r="E151" s="17" t="s">
        <v>20</v>
      </c>
      <c r="F151" s="73"/>
      <c r="G151" s="11" t="s">
        <v>114</v>
      </c>
      <c r="H151" s="1"/>
      <c r="I151" s="49"/>
      <c r="J151" s="51"/>
      <c r="K151" s="37"/>
      <c r="L151" s="37"/>
      <c r="M151" s="38">
        <f t="shared" si="6"/>
        <v>0</v>
      </c>
      <c r="N151" s="39"/>
      <c r="O151" s="31"/>
      <c r="P151" s="31"/>
      <c r="Q151" s="79">
        <f t="shared" si="5"/>
        <v>0</v>
      </c>
    </row>
    <row r="152" spans="1:17" s="15" customFormat="1" ht="15.75" x14ac:dyDescent="0.25">
      <c r="A152" s="14"/>
      <c r="B152" s="80" t="s">
        <v>92</v>
      </c>
      <c r="C152" s="1" t="s">
        <v>17</v>
      </c>
      <c r="D152" s="120"/>
      <c r="E152" s="17" t="s">
        <v>20</v>
      </c>
      <c r="F152" s="73" t="s">
        <v>402</v>
      </c>
      <c r="G152" s="74" t="s">
        <v>112</v>
      </c>
      <c r="H152" s="75">
        <v>2</v>
      </c>
      <c r="I152" s="76"/>
      <c r="J152" s="96"/>
      <c r="K152" s="77"/>
      <c r="L152" s="77"/>
      <c r="M152" s="38">
        <f t="shared" si="6"/>
        <v>0</v>
      </c>
      <c r="N152" s="100">
        <f>4+1</f>
        <v>5</v>
      </c>
      <c r="O152" s="81">
        <f>12624.74+2697.06</f>
        <v>15321.8</v>
      </c>
      <c r="P152" s="81">
        <f>12624.74</f>
        <v>12624.74</v>
      </c>
      <c r="Q152" s="12">
        <f t="shared" si="5"/>
        <v>2697.0599999999995</v>
      </c>
    </row>
    <row r="153" spans="1:17" s="15" customFormat="1" ht="15.75" x14ac:dyDescent="0.25">
      <c r="A153" s="14"/>
      <c r="B153" s="23" t="s">
        <v>92</v>
      </c>
      <c r="C153" s="1" t="s">
        <v>17</v>
      </c>
      <c r="D153" s="120"/>
      <c r="E153" s="17" t="s">
        <v>20</v>
      </c>
      <c r="F153" s="73" t="s">
        <v>129</v>
      </c>
      <c r="G153" s="11" t="s">
        <v>114</v>
      </c>
      <c r="H153" s="1"/>
      <c r="I153" s="49"/>
      <c r="J153" s="51"/>
      <c r="K153" s="40"/>
      <c r="L153" s="40"/>
      <c r="M153" s="38">
        <f t="shared" si="6"/>
        <v>0</v>
      </c>
      <c r="N153" s="39"/>
      <c r="O153" s="31"/>
      <c r="P153" s="31"/>
      <c r="Q153" s="79">
        <f t="shared" si="5"/>
        <v>0</v>
      </c>
    </row>
    <row r="154" spans="1:17" s="13" customFormat="1" ht="15.75" x14ac:dyDescent="0.25">
      <c r="A154" s="10"/>
      <c r="B154" s="30" t="s">
        <v>93</v>
      </c>
      <c r="C154" s="1" t="s">
        <v>17</v>
      </c>
      <c r="D154" s="120"/>
      <c r="E154" s="3" t="s">
        <v>94</v>
      </c>
      <c r="F154" s="73" t="s">
        <v>403</v>
      </c>
      <c r="G154" s="74" t="s">
        <v>112</v>
      </c>
      <c r="H154" s="75">
        <v>7</v>
      </c>
      <c r="I154" s="76">
        <v>2</v>
      </c>
      <c r="J154" s="96">
        <f>2</f>
        <v>2</v>
      </c>
      <c r="K154" s="77">
        <f>2362.84</f>
        <v>2362.84</v>
      </c>
      <c r="L154" s="77"/>
      <c r="M154" s="38">
        <f t="shared" si="6"/>
        <v>2362.84</v>
      </c>
      <c r="N154" s="100">
        <f>3+8</f>
        <v>11</v>
      </c>
      <c r="O154" s="81">
        <f>20117.75</f>
        <v>20117.75</v>
      </c>
      <c r="P154" s="81"/>
      <c r="Q154" s="12">
        <f t="shared" si="5"/>
        <v>20117.75</v>
      </c>
    </row>
    <row r="155" spans="1:17" s="13" customFormat="1" ht="15.75" x14ac:dyDescent="0.25">
      <c r="A155" s="10"/>
      <c r="B155" s="24" t="s">
        <v>93</v>
      </c>
      <c r="C155" s="1" t="s">
        <v>17</v>
      </c>
      <c r="D155" s="120"/>
      <c r="E155" s="3" t="s">
        <v>94</v>
      </c>
      <c r="F155" s="73" t="s">
        <v>130</v>
      </c>
      <c r="G155" s="11" t="s">
        <v>114</v>
      </c>
      <c r="H155" s="1"/>
      <c r="I155" s="49"/>
      <c r="J155" s="51"/>
      <c r="K155" s="40"/>
      <c r="L155" s="77"/>
      <c r="M155" s="38">
        <f t="shared" si="6"/>
        <v>0</v>
      </c>
      <c r="N155" s="41"/>
      <c r="O155" s="31"/>
      <c r="P155" s="31"/>
      <c r="Q155" s="79">
        <f t="shared" si="5"/>
        <v>0</v>
      </c>
    </row>
    <row r="156" spans="1:17" s="13" customFormat="1" ht="15.75" x14ac:dyDescent="0.25">
      <c r="A156" s="10"/>
      <c r="B156" s="24" t="s">
        <v>93</v>
      </c>
      <c r="C156" s="1" t="s">
        <v>17</v>
      </c>
      <c r="D156" s="120"/>
      <c r="E156" s="3" t="s">
        <v>94</v>
      </c>
      <c r="F156" s="73" t="s">
        <v>240</v>
      </c>
      <c r="G156" s="11" t="s">
        <v>118</v>
      </c>
      <c r="H156" s="1"/>
      <c r="I156" s="49"/>
      <c r="J156" s="46"/>
      <c r="K156" s="40"/>
      <c r="L156" s="40"/>
      <c r="M156" s="78">
        <f t="shared" si="6"/>
        <v>0</v>
      </c>
      <c r="N156" s="41"/>
      <c r="O156" s="31"/>
      <c r="P156" s="31"/>
      <c r="Q156" s="12">
        <f t="shared" si="5"/>
        <v>0</v>
      </c>
    </row>
    <row r="157" spans="1:17" s="13" customFormat="1" ht="15.75" x14ac:dyDescent="0.25">
      <c r="A157" s="10"/>
      <c r="B157" s="30" t="s">
        <v>95</v>
      </c>
      <c r="C157" s="1" t="s">
        <v>17</v>
      </c>
      <c r="D157" s="120"/>
      <c r="E157" s="17" t="s">
        <v>20</v>
      </c>
      <c r="F157" s="73" t="s">
        <v>404</v>
      </c>
      <c r="G157" s="74" t="s">
        <v>112</v>
      </c>
      <c r="H157" s="75">
        <v>3</v>
      </c>
      <c r="I157" s="76"/>
      <c r="J157" s="96"/>
      <c r="K157" s="77"/>
      <c r="L157" s="77"/>
      <c r="M157" s="38">
        <f t="shared" si="6"/>
        <v>0</v>
      </c>
      <c r="N157" s="100">
        <f>1</f>
        <v>1</v>
      </c>
      <c r="O157" s="81">
        <f>11603.82</f>
        <v>11603.82</v>
      </c>
      <c r="P157" s="81"/>
      <c r="Q157" s="79">
        <f t="shared" si="5"/>
        <v>11603.82</v>
      </c>
    </row>
    <row r="158" spans="1:17" s="13" customFormat="1" ht="15.75" x14ac:dyDescent="0.25">
      <c r="A158" s="10"/>
      <c r="B158" s="24" t="s">
        <v>95</v>
      </c>
      <c r="C158" s="1" t="s">
        <v>17</v>
      </c>
      <c r="D158" s="120"/>
      <c r="E158" s="17" t="s">
        <v>20</v>
      </c>
      <c r="F158" s="73" t="s">
        <v>291</v>
      </c>
      <c r="G158" s="11" t="s">
        <v>114</v>
      </c>
      <c r="H158" s="1">
        <v>1</v>
      </c>
      <c r="I158" s="49"/>
      <c r="J158" s="51"/>
      <c r="K158" s="40"/>
      <c r="L158" s="40"/>
      <c r="M158" s="78">
        <f t="shared" si="6"/>
        <v>0</v>
      </c>
      <c r="N158" s="41"/>
      <c r="O158" s="31"/>
      <c r="P158" s="31"/>
      <c r="Q158" s="12">
        <f t="shared" si="5"/>
        <v>0</v>
      </c>
    </row>
    <row r="159" spans="1:17" s="13" customFormat="1" ht="15.75" x14ac:dyDescent="0.25">
      <c r="A159" s="10"/>
      <c r="B159" s="30" t="s">
        <v>96</v>
      </c>
      <c r="C159" s="1" t="s">
        <v>17</v>
      </c>
      <c r="D159" s="120"/>
      <c r="E159" s="17" t="s">
        <v>97</v>
      </c>
      <c r="F159" s="73" t="s">
        <v>405</v>
      </c>
      <c r="G159" s="74" t="s">
        <v>112</v>
      </c>
      <c r="H159" s="75"/>
      <c r="I159" s="76"/>
      <c r="J159" s="96"/>
      <c r="K159" s="77"/>
      <c r="L159" s="77"/>
      <c r="M159" s="38">
        <f t="shared" si="6"/>
        <v>0</v>
      </c>
      <c r="N159" s="103">
        <f>1</f>
        <v>1</v>
      </c>
      <c r="O159" s="77">
        <f>1742.31</f>
        <v>1742.31</v>
      </c>
      <c r="P159" s="77"/>
      <c r="Q159" s="79">
        <f t="shared" si="5"/>
        <v>1742.31</v>
      </c>
    </row>
    <row r="160" spans="1:17" s="13" customFormat="1" ht="15.75" x14ac:dyDescent="0.25">
      <c r="A160" s="10"/>
      <c r="B160" s="24" t="s">
        <v>96</v>
      </c>
      <c r="C160" s="1" t="s">
        <v>17</v>
      </c>
      <c r="D160" s="120"/>
      <c r="E160" s="17" t="s">
        <v>97</v>
      </c>
      <c r="F160" s="73" t="s">
        <v>468</v>
      </c>
      <c r="G160" s="11" t="s">
        <v>114</v>
      </c>
      <c r="H160" s="1">
        <v>1</v>
      </c>
      <c r="I160" s="49"/>
      <c r="J160" s="51"/>
      <c r="K160" s="40"/>
      <c r="L160" s="40"/>
      <c r="M160" s="78">
        <f t="shared" si="6"/>
        <v>0</v>
      </c>
      <c r="N160" s="41">
        <v>2</v>
      </c>
      <c r="O160" s="31"/>
      <c r="P160" s="31"/>
      <c r="Q160" s="12">
        <f t="shared" si="5"/>
        <v>0</v>
      </c>
    </row>
    <row r="161" spans="1:17" s="13" customFormat="1" ht="15.75" x14ac:dyDescent="0.25">
      <c r="A161" s="10"/>
      <c r="B161" s="30" t="s">
        <v>98</v>
      </c>
      <c r="C161" s="1" t="s">
        <v>17</v>
      </c>
      <c r="D161" s="120"/>
      <c r="E161" s="17" t="s">
        <v>35</v>
      </c>
      <c r="F161" s="73" t="s">
        <v>406</v>
      </c>
      <c r="G161" s="74" t="s">
        <v>112</v>
      </c>
      <c r="H161" s="75">
        <v>7</v>
      </c>
      <c r="I161" s="76">
        <v>2</v>
      </c>
      <c r="J161" s="96">
        <f>1</f>
        <v>1</v>
      </c>
      <c r="K161" s="77">
        <f>845.24</f>
        <v>845.24</v>
      </c>
      <c r="L161" s="77"/>
      <c r="M161" s="38">
        <f t="shared" si="6"/>
        <v>845.24</v>
      </c>
      <c r="N161" s="100">
        <f>9+1+1+4</f>
        <v>15</v>
      </c>
      <c r="O161" s="81">
        <f>17007.01+2697.06+1267.86+31709.38</f>
        <v>52681.31</v>
      </c>
      <c r="P161" s="81"/>
      <c r="Q161" s="79">
        <f t="shared" si="5"/>
        <v>52681.31</v>
      </c>
    </row>
    <row r="162" spans="1:17" s="13" customFormat="1" ht="15.75" x14ac:dyDescent="0.25">
      <c r="A162" s="10"/>
      <c r="B162" s="24" t="s">
        <v>98</v>
      </c>
      <c r="C162" s="1" t="s">
        <v>17</v>
      </c>
      <c r="D162" s="120"/>
      <c r="E162" s="17" t="s">
        <v>35</v>
      </c>
      <c r="F162" s="73" t="s">
        <v>435</v>
      </c>
      <c r="G162" s="8" t="s">
        <v>117</v>
      </c>
      <c r="H162" s="1">
        <v>2</v>
      </c>
      <c r="I162" s="49"/>
      <c r="J162" s="46"/>
      <c r="K162" s="40"/>
      <c r="L162" s="40"/>
      <c r="M162" s="78">
        <f t="shared" si="6"/>
        <v>0</v>
      </c>
      <c r="N162" s="41">
        <f>4</f>
        <v>4</v>
      </c>
      <c r="O162" s="40">
        <v>10721.75</v>
      </c>
      <c r="P162" s="40"/>
      <c r="Q162" s="12">
        <f t="shared" si="5"/>
        <v>10721.75</v>
      </c>
    </row>
    <row r="163" spans="1:17" s="15" customFormat="1" ht="15.75" x14ac:dyDescent="0.25">
      <c r="A163" s="14"/>
      <c r="B163" s="84" t="s">
        <v>99</v>
      </c>
      <c r="C163" s="1" t="s">
        <v>17</v>
      </c>
      <c r="D163" s="120"/>
      <c r="E163" s="3" t="s">
        <v>32</v>
      </c>
      <c r="F163" s="73" t="s">
        <v>418</v>
      </c>
      <c r="G163" s="74" t="s">
        <v>112</v>
      </c>
      <c r="H163" s="75"/>
      <c r="I163" s="76"/>
      <c r="J163" s="96"/>
      <c r="K163" s="77"/>
      <c r="L163" s="77"/>
      <c r="M163" s="38">
        <f t="shared" si="6"/>
        <v>0</v>
      </c>
      <c r="N163" s="100"/>
      <c r="O163" s="81"/>
      <c r="P163" s="81"/>
      <c r="Q163" s="79">
        <f t="shared" si="5"/>
        <v>0</v>
      </c>
    </row>
    <row r="164" spans="1:17" s="15" customFormat="1" ht="15.75" x14ac:dyDescent="0.25">
      <c r="A164" s="14"/>
      <c r="B164" s="29" t="s">
        <v>99</v>
      </c>
      <c r="C164" s="1" t="s">
        <v>17</v>
      </c>
      <c r="D164" s="120"/>
      <c r="E164" s="3" t="s">
        <v>32</v>
      </c>
      <c r="F164" s="73" t="s">
        <v>423</v>
      </c>
      <c r="G164" s="8" t="s">
        <v>117</v>
      </c>
      <c r="H164" s="1"/>
      <c r="I164" s="49"/>
      <c r="J164" s="51"/>
      <c r="K164" s="40"/>
      <c r="L164" s="40"/>
      <c r="M164" s="78">
        <f t="shared" si="6"/>
        <v>0</v>
      </c>
      <c r="N164" s="39"/>
      <c r="O164" s="40"/>
      <c r="P164" s="40"/>
      <c r="Q164" s="12">
        <f t="shared" si="5"/>
        <v>0</v>
      </c>
    </row>
    <row r="165" spans="1:17" s="15" customFormat="1" ht="31.5" x14ac:dyDescent="0.25">
      <c r="A165" s="14"/>
      <c r="B165" s="30" t="s">
        <v>144</v>
      </c>
      <c r="C165" s="1" t="s">
        <v>304</v>
      </c>
      <c r="D165" s="120" t="s">
        <v>313</v>
      </c>
      <c r="E165" s="17" t="s">
        <v>97</v>
      </c>
      <c r="F165" s="73" t="s">
        <v>407</v>
      </c>
      <c r="G165" s="66" t="s">
        <v>112</v>
      </c>
      <c r="H165" s="75">
        <v>4</v>
      </c>
      <c r="I165" s="76">
        <v>4</v>
      </c>
      <c r="J165" s="98">
        <f>2+2</f>
        <v>4</v>
      </c>
      <c r="K165" s="77">
        <f>950.9+1449.39</f>
        <v>2400.29</v>
      </c>
      <c r="L165" s="77"/>
      <c r="M165" s="38">
        <f t="shared" si="6"/>
        <v>2400.29</v>
      </c>
      <c r="N165" s="100">
        <f>3+2</f>
        <v>5</v>
      </c>
      <c r="O165" s="77">
        <f>5020.57+5494.06</f>
        <v>10514.630000000001</v>
      </c>
      <c r="P165" s="77"/>
      <c r="Q165" s="79">
        <f t="shared" si="5"/>
        <v>10514.630000000001</v>
      </c>
    </row>
    <row r="166" spans="1:17" s="15" customFormat="1" ht="15.75" x14ac:dyDescent="0.25">
      <c r="A166" s="14"/>
      <c r="B166" s="30" t="s">
        <v>488</v>
      </c>
      <c r="C166" s="1"/>
      <c r="D166" s="120"/>
      <c r="E166" s="17"/>
      <c r="F166" s="73"/>
      <c r="G166" s="66" t="s">
        <v>114</v>
      </c>
      <c r="H166" s="75">
        <v>4</v>
      </c>
      <c r="I166" s="76"/>
      <c r="J166" s="98"/>
      <c r="K166" s="77"/>
      <c r="L166" s="77"/>
      <c r="M166" s="38"/>
      <c r="N166" s="100"/>
      <c r="O166" s="77"/>
      <c r="P166" s="77"/>
      <c r="Q166" s="79"/>
    </row>
    <row r="167" spans="1:17" s="15" customFormat="1" ht="31.5" x14ac:dyDescent="0.25">
      <c r="A167" s="14"/>
      <c r="B167" s="34" t="s">
        <v>144</v>
      </c>
      <c r="C167" s="1" t="s">
        <v>446</v>
      </c>
      <c r="D167" s="120" t="s">
        <v>313</v>
      </c>
      <c r="E167" s="3" t="s">
        <v>20</v>
      </c>
      <c r="F167" s="73" t="s">
        <v>485</v>
      </c>
      <c r="G167" s="8" t="s">
        <v>114</v>
      </c>
      <c r="H167" s="1">
        <v>6</v>
      </c>
      <c r="I167" s="49">
        <v>1</v>
      </c>
      <c r="J167" s="51">
        <v>1</v>
      </c>
      <c r="K167" s="40"/>
      <c r="L167" s="40"/>
      <c r="M167" s="78">
        <f t="shared" si="6"/>
        <v>0</v>
      </c>
      <c r="N167" s="42">
        <v>17</v>
      </c>
      <c r="O167" s="31">
        <f>10845.7</f>
        <v>10845.7</v>
      </c>
      <c r="P167" s="31">
        <f>3738</f>
        <v>3738</v>
      </c>
      <c r="Q167" s="12">
        <f t="shared" si="5"/>
        <v>7107.7000000000007</v>
      </c>
    </row>
    <row r="168" spans="1:17" s="21" customFormat="1" ht="47.25" x14ac:dyDescent="0.25">
      <c r="A168" s="1"/>
      <c r="B168" s="30" t="s">
        <v>100</v>
      </c>
      <c r="C168" s="1" t="s">
        <v>304</v>
      </c>
      <c r="D168" s="120" t="s">
        <v>416</v>
      </c>
      <c r="E168" s="17" t="s">
        <v>20</v>
      </c>
      <c r="F168" s="73" t="s">
        <v>408</v>
      </c>
      <c r="G168" s="27" t="s">
        <v>112</v>
      </c>
      <c r="H168" s="75">
        <v>5</v>
      </c>
      <c r="I168" s="76"/>
      <c r="J168" s="98"/>
      <c r="K168" s="86"/>
      <c r="L168" s="86"/>
      <c r="M168" s="38">
        <f t="shared" si="6"/>
        <v>0</v>
      </c>
      <c r="N168" s="100">
        <f>1</f>
        <v>1</v>
      </c>
      <c r="O168" s="87">
        <f>10770.58</f>
        <v>10770.58</v>
      </c>
      <c r="P168" s="87"/>
      <c r="Q168" s="79">
        <f t="shared" si="5"/>
        <v>10770.58</v>
      </c>
    </row>
    <row r="169" spans="1:17" s="21" customFormat="1" ht="47.25" x14ac:dyDescent="0.25">
      <c r="A169" s="1"/>
      <c r="B169" s="24" t="s">
        <v>100</v>
      </c>
      <c r="C169" s="18" t="s">
        <v>125</v>
      </c>
      <c r="D169" s="120" t="s">
        <v>126</v>
      </c>
      <c r="E169" s="17" t="s">
        <v>20</v>
      </c>
      <c r="F169" s="73" t="s">
        <v>486</v>
      </c>
      <c r="G169" s="20" t="s">
        <v>114</v>
      </c>
      <c r="H169" s="1">
        <v>5</v>
      </c>
      <c r="I169" s="53"/>
      <c r="J169" s="52"/>
      <c r="K169" s="55"/>
      <c r="L169" s="55"/>
      <c r="M169" s="78">
        <f t="shared" si="6"/>
        <v>0</v>
      </c>
      <c r="N169" s="41"/>
      <c r="O169" s="54"/>
      <c r="P169" s="54"/>
      <c r="Q169" s="12">
        <f t="shared" si="5"/>
        <v>0</v>
      </c>
    </row>
    <row r="170" spans="1:17" s="13" customFormat="1" ht="15.75" x14ac:dyDescent="0.25">
      <c r="A170" s="10"/>
      <c r="B170" s="62" t="s">
        <v>101</v>
      </c>
      <c r="C170" s="1" t="s">
        <v>17</v>
      </c>
      <c r="D170" s="120"/>
      <c r="E170" s="17" t="s">
        <v>20</v>
      </c>
      <c r="F170" s="73" t="s">
        <v>409</v>
      </c>
      <c r="G170" s="74" t="s">
        <v>112</v>
      </c>
      <c r="H170" s="75">
        <v>1</v>
      </c>
      <c r="I170" s="76"/>
      <c r="J170" s="96"/>
      <c r="K170" s="77"/>
      <c r="L170" s="77"/>
      <c r="M170" s="38">
        <f t="shared" si="6"/>
        <v>0</v>
      </c>
      <c r="N170" s="100">
        <f>5</f>
        <v>5</v>
      </c>
      <c r="O170" s="81">
        <f>6288.07</f>
        <v>6288.07</v>
      </c>
      <c r="P170" s="81"/>
      <c r="Q170" s="79">
        <f t="shared" si="5"/>
        <v>6288.07</v>
      </c>
    </row>
    <row r="171" spans="1:17" s="13" customFormat="1" ht="15.75" x14ac:dyDescent="0.25">
      <c r="A171" s="10"/>
      <c r="B171" s="62" t="s">
        <v>146</v>
      </c>
      <c r="C171" s="1" t="s">
        <v>17</v>
      </c>
      <c r="D171" s="120"/>
      <c r="E171" s="17" t="s">
        <v>20</v>
      </c>
      <c r="F171" s="73" t="s">
        <v>410</v>
      </c>
      <c r="G171" s="74" t="s">
        <v>112</v>
      </c>
      <c r="H171" s="75">
        <v>4</v>
      </c>
      <c r="I171" s="76">
        <v>3</v>
      </c>
      <c r="J171" s="96">
        <f>4</f>
        <v>4</v>
      </c>
      <c r="K171" s="77">
        <f>4610.77</f>
        <v>4610.7700000000004</v>
      </c>
      <c r="L171" s="77"/>
      <c r="M171" s="38">
        <f t="shared" si="6"/>
        <v>4610.7700000000004</v>
      </c>
      <c r="N171" s="100">
        <f>5+1+1</f>
        <v>7</v>
      </c>
      <c r="O171" s="81">
        <f>13579.06+1287.07+2636.18</f>
        <v>17502.309999999998</v>
      </c>
      <c r="P171" s="81"/>
      <c r="Q171" s="12">
        <f t="shared" si="5"/>
        <v>17502.309999999998</v>
      </c>
    </row>
    <row r="172" spans="1:17" s="13" customFormat="1" ht="15.75" x14ac:dyDescent="0.25">
      <c r="A172" s="10"/>
      <c r="B172" s="22" t="s">
        <v>146</v>
      </c>
      <c r="C172" s="1" t="s">
        <v>17</v>
      </c>
      <c r="D172" s="120"/>
      <c r="E172" s="3" t="s">
        <v>21</v>
      </c>
      <c r="F172" s="73" t="s">
        <v>443</v>
      </c>
      <c r="G172" s="11" t="s">
        <v>118</v>
      </c>
      <c r="H172" s="1">
        <v>2</v>
      </c>
      <c r="I172" s="47"/>
      <c r="J172" s="51"/>
      <c r="K172" s="37"/>
      <c r="L172" s="37"/>
      <c r="M172" s="38">
        <f t="shared" si="6"/>
        <v>0</v>
      </c>
      <c r="N172" s="39">
        <v>3</v>
      </c>
      <c r="O172" s="31">
        <v>3035.18</v>
      </c>
      <c r="P172" s="31"/>
      <c r="Q172" s="79">
        <f t="shared" si="5"/>
        <v>3035.18</v>
      </c>
    </row>
    <row r="173" spans="1:17" s="13" customFormat="1" ht="15.75" x14ac:dyDescent="0.25">
      <c r="A173" s="10"/>
      <c r="B173" s="27" t="s">
        <v>102</v>
      </c>
      <c r="C173" s="1" t="s">
        <v>17</v>
      </c>
      <c r="D173" s="120"/>
      <c r="E173" s="17" t="s">
        <v>20</v>
      </c>
      <c r="F173" s="73" t="s">
        <v>411</v>
      </c>
      <c r="G173" s="74" t="s">
        <v>112</v>
      </c>
      <c r="H173" s="75">
        <v>6</v>
      </c>
      <c r="I173" s="76">
        <v>1</v>
      </c>
      <c r="J173" s="96">
        <f>1</f>
        <v>1</v>
      </c>
      <c r="K173" s="77">
        <f>845.24</f>
        <v>845.24</v>
      </c>
      <c r="L173" s="77"/>
      <c r="M173" s="38">
        <f t="shared" si="6"/>
        <v>845.24</v>
      </c>
      <c r="N173" s="100">
        <f>3</f>
        <v>3</v>
      </c>
      <c r="O173" s="81">
        <f>7808.21</f>
        <v>7808.21</v>
      </c>
      <c r="P173" s="81"/>
      <c r="Q173" s="12">
        <f t="shared" si="5"/>
        <v>7808.21</v>
      </c>
    </row>
    <row r="174" spans="1:17" s="13" customFormat="1" ht="15.75" x14ac:dyDescent="0.25">
      <c r="A174" s="10"/>
      <c r="B174" s="25" t="s">
        <v>102</v>
      </c>
      <c r="C174" s="1" t="s">
        <v>17</v>
      </c>
      <c r="D174" s="120"/>
      <c r="E174" s="17" t="s">
        <v>20</v>
      </c>
      <c r="F174" s="73" t="s">
        <v>469</v>
      </c>
      <c r="G174" s="11" t="s">
        <v>114</v>
      </c>
      <c r="H174" s="1">
        <v>2</v>
      </c>
      <c r="I174" s="58"/>
      <c r="J174" s="51"/>
      <c r="K174" s="40"/>
      <c r="L174" s="40"/>
      <c r="M174" s="38">
        <f t="shared" si="6"/>
        <v>0</v>
      </c>
      <c r="N174" s="41">
        <v>7</v>
      </c>
      <c r="O174" s="31">
        <f>7604.1</f>
        <v>7604.1</v>
      </c>
      <c r="P174" s="31">
        <f>3129.7</f>
        <v>3129.7</v>
      </c>
      <c r="Q174" s="79">
        <f t="shared" si="5"/>
        <v>4474.4000000000005</v>
      </c>
    </row>
    <row r="175" spans="1:17" s="13" customFormat="1" ht="15.75" x14ac:dyDescent="0.25">
      <c r="A175" s="10"/>
      <c r="B175" s="27" t="s">
        <v>103</v>
      </c>
      <c r="C175" s="1" t="s">
        <v>17</v>
      </c>
      <c r="D175" s="120"/>
      <c r="E175" s="3" t="s">
        <v>20</v>
      </c>
      <c r="F175" s="73" t="s">
        <v>412</v>
      </c>
      <c r="G175" s="74" t="s">
        <v>112</v>
      </c>
      <c r="H175" s="75">
        <v>4</v>
      </c>
      <c r="I175" s="76"/>
      <c r="J175" s="96"/>
      <c r="K175" s="77"/>
      <c r="L175" s="77"/>
      <c r="M175" s="38">
        <f t="shared" si="6"/>
        <v>0</v>
      </c>
      <c r="N175" s="100">
        <f>7</f>
        <v>7</v>
      </c>
      <c r="O175" s="77">
        <f>20192.14</f>
        <v>20192.14</v>
      </c>
      <c r="P175" s="81"/>
      <c r="Q175" s="12">
        <f t="shared" si="5"/>
        <v>20192.14</v>
      </c>
    </row>
    <row r="176" spans="1:17" s="13" customFormat="1" ht="15.75" x14ac:dyDescent="0.25">
      <c r="A176" s="10"/>
      <c r="B176" s="25" t="s">
        <v>103</v>
      </c>
      <c r="C176" s="1" t="s">
        <v>17</v>
      </c>
      <c r="D176" s="120"/>
      <c r="E176" s="3" t="s">
        <v>20</v>
      </c>
      <c r="F176" s="73" t="s">
        <v>470</v>
      </c>
      <c r="G176" s="11" t="s">
        <v>114</v>
      </c>
      <c r="H176" s="1">
        <v>2</v>
      </c>
      <c r="I176" s="49"/>
      <c r="J176" s="51"/>
      <c r="K176" s="40"/>
      <c r="L176" s="40"/>
      <c r="M176" s="38">
        <f t="shared" si="6"/>
        <v>0</v>
      </c>
      <c r="N176" s="41">
        <v>3</v>
      </c>
      <c r="O176" s="31">
        <f>8510.89</f>
        <v>8510.89</v>
      </c>
      <c r="P176" s="31">
        <f>3380.96</f>
        <v>3380.96</v>
      </c>
      <c r="Q176" s="79">
        <f t="shared" si="5"/>
        <v>5129.9299999999994</v>
      </c>
    </row>
    <row r="177" spans="1:18" s="15" customFormat="1" ht="15.75" x14ac:dyDescent="0.25">
      <c r="A177" s="14"/>
      <c r="B177" s="28" t="s">
        <v>104</v>
      </c>
      <c r="C177" s="1" t="s">
        <v>17</v>
      </c>
      <c r="D177" s="120"/>
      <c r="E177" s="3" t="s">
        <v>20</v>
      </c>
      <c r="F177" s="73" t="s">
        <v>413</v>
      </c>
      <c r="G177" s="74" t="s">
        <v>112</v>
      </c>
      <c r="H177" s="75">
        <v>4</v>
      </c>
      <c r="I177" s="76">
        <v>3</v>
      </c>
      <c r="J177" s="96">
        <f>3</f>
        <v>3</v>
      </c>
      <c r="K177" s="77">
        <f>5112.82</f>
        <v>5112.82</v>
      </c>
      <c r="L177" s="77"/>
      <c r="M177" s="38">
        <f t="shared" si="6"/>
        <v>5112.82</v>
      </c>
      <c r="N177" s="100">
        <f>4</f>
        <v>4</v>
      </c>
      <c r="O177" s="81">
        <f>7086.22</f>
        <v>7086.22</v>
      </c>
      <c r="P177" s="81"/>
      <c r="Q177" s="12">
        <f t="shared" si="5"/>
        <v>7086.22</v>
      </c>
    </row>
    <row r="178" spans="1:18" s="15" customFormat="1" ht="15.75" x14ac:dyDescent="0.25">
      <c r="A178" s="14"/>
      <c r="B178" s="26" t="s">
        <v>104</v>
      </c>
      <c r="C178" s="1" t="s">
        <v>17</v>
      </c>
      <c r="D178" s="120"/>
      <c r="E178" s="3" t="s">
        <v>20</v>
      </c>
      <c r="F178" s="73" t="s">
        <v>471</v>
      </c>
      <c r="G178" s="11" t="s">
        <v>114</v>
      </c>
      <c r="H178" s="1">
        <v>7</v>
      </c>
      <c r="I178" s="49"/>
      <c r="J178" s="51"/>
      <c r="K178" s="40"/>
      <c r="L178" s="40"/>
      <c r="M178" s="38">
        <f t="shared" si="6"/>
        <v>0</v>
      </c>
      <c r="N178" s="39">
        <v>12</v>
      </c>
      <c r="O178" s="31">
        <f>8717.37</f>
        <v>8717.3700000000008</v>
      </c>
      <c r="P178" s="31">
        <v>3338.57</v>
      </c>
      <c r="Q178" s="79">
        <f t="shared" si="5"/>
        <v>5378.8000000000011</v>
      </c>
    </row>
    <row r="179" spans="1:18" s="13" customFormat="1" ht="15.75" x14ac:dyDescent="0.25">
      <c r="A179" s="10"/>
      <c r="B179" s="30" t="s">
        <v>105</v>
      </c>
      <c r="C179" s="1" t="s">
        <v>17</v>
      </c>
      <c r="D179" s="120"/>
      <c r="E179" s="17" t="s">
        <v>35</v>
      </c>
      <c r="F179" s="73" t="s">
        <v>419</v>
      </c>
      <c r="G179" s="74" t="s">
        <v>112</v>
      </c>
      <c r="H179" s="75"/>
      <c r="I179" s="76"/>
      <c r="J179" s="96"/>
      <c r="K179" s="77"/>
      <c r="L179" s="77"/>
      <c r="M179" s="38">
        <f t="shared" si="6"/>
        <v>0</v>
      </c>
      <c r="N179" s="100"/>
      <c r="O179" s="81"/>
      <c r="P179" s="81"/>
      <c r="Q179" s="12">
        <f t="shared" si="5"/>
        <v>0</v>
      </c>
    </row>
    <row r="180" spans="1:18" s="13" customFormat="1" ht="15.75" x14ac:dyDescent="0.25">
      <c r="A180" s="10"/>
      <c r="B180" s="30" t="s">
        <v>26</v>
      </c>
      <c r="C180" s="1" t="s">
        <v>17</v>
      </c>
      <c r="D180" s="120"/>
      <c r="E180" s="3" t="s">
        <v>32</v>
      </c>
      <c r="F180" s="73" t="s">
        <v>246</v>
      </c>
      <c r="G180" s="74" t="s">
        <v>117</v>
      </c>
      <c r="H180" s="75"/>
      <c r="I180" s="76"/>
      <c r="J180" s="96"/>
      <c r="K180" s="77"/>
      <c r="L180" s="77"/>
      <c r="M180" s="78">
        <f t="shared" si="6"/>
        <v>0</v>
      </c>
      <c r="N180" s="100">
        <v>3</v>
      </c>
      <c r="O180" s="81">
        <v>3774.05</v>
      </c>
      <c r="P180" s="81"/>
      <c r="Q180" s="12">
        <f t="shared" si="5"/>
        <v>3774.05</v>
      </c>
    </row>
    <row r="181" spans="1:18" s="13" customFormat="1" ht="15.75" x14ac:dyDescent="0.25">
      <c r="A181" s="10"/>
      <c r="B181" s="24" t="s">
        <v>105</v>
      </c>
      <c r="C181" s="1" t="s">
        <v>17</v>
      </c>
      <c r="D181" s="120"/>
      <c r="E181" s="17" t="s">
        <v>35</v>
      </c>
      <c r="F181" s="73" t="s">
        <v>436</v>
      </c>
      <c r="G181" s="11" t="s">
        <v>117</v>
      </c>
      <c r="H181" s="1"/>
      <c r="I181" s="47"/>
      <c r="J181" s="46"/>
      <c r="K181" s="40"/>
      <c r="L181" s="40"/>
      <c r="M181" s="38">
        <f t="shared" si="6"/>
        <v>0</v>
      </c>
      <c r="N181" s="41"/>
      <c r="O181" s="31"/>
      <c r="P181" s="31"/>
      <c r="Q181" s="79">
        <f t="shared" si="5"/>
        <v>0</v>
      </c>
    </row>
    <row r="182" spans="1:18" s="13" customFormat="1" ht="15.75" x14ac:dyDescent="0.25">
      <c r="A182" s="10"/>
      <c r="B182" s="62" t="s">
        <v>106</v>
      </c>
      <c r="C182" s="1" t="s">
        <v>17</v>
      </c>
      <c r="D182" s="2"/>
      <c r="E182" s="17" t="s">
        <v>20</v>
      </c>
      <c r="F182" s="73" t="s">
        <v>414</v>
      </c>
      <c r="G182" s="74" t="s">
        <v>112</v>
      </c>
      <c r="H182" s="75">
        <v>5</v>
      </c>
      <c r="I182" s="76"/>
      <c r="J182" s="96"/>
      <c r="K182" s="77"/>
      <c r="L182" s="77"/>
      <c r="M182" s="38">
        <f t="shared" si="6"/>
        <v>0</v>
      </c>
      <c r="N182" s="100">
        <f>3</f>
        <v>3</v>
      </c>
      <c r="O182" s="81">
        <f>15955.85</f>
        <v>15955.85</v>
      </c>
      <c r="P182" s="81"/>
      <c r="Q182" s="12">
        <f t="shared" si="5"/>
        <v>15955.85</v>
      </c>
    </row>
    <row r="183" spans="1:18" ht="15.75" x14ac:dyDescent="0.25">
      <c r="A183" s="7"/>
      <c r="B183" s="32"/>
      <c r="C183" s="107"/>
      <c r="D183" s="33"/>
      <c r="E183" s="33"/>
      <c r="F183" s="73"/>
      <c r="G183" s="8" t="s">
        <v>131</v>
      </c>
      <c r="H183" s="106">
        <f t="shared" ref="H183:P183" si="7">SUM(H10:H182)</f>
        <v>574</v>
      </c>
      <c r="I183" s="59">
        <f t="shared" si="7"/>
        <v>123</v>
      </c>
      <c r="J183" s="43">
        <f t="shared" si="7"/>
        <v>114</v>
      </c>
      <c r="K183" s="56">
        <f t="shared" si="7"/>
        <v>126043.1</v>
      </c>
      <c r="L183" s="56">
        <f t="shared" si="7"/>
        <v>0</v>
      </c>
      <c r="M183" s="44">
        <f>K183-L183</f>
        <v>126043.1</v>
      </c>
      <c r="N183" s="43">
        <f t="shared" si="7"/>
        <v>987</v>
      </c>
      <c r="O183" s="57">
        <f t="shared" si="7"/>
        <v>2208425.2500000009</v>
      </c>
      <c r="P183" s="57">
        <f t="shared" si="7"/>
        <v>301858.16000000009</v>
      </c>
      <c r="Q183" s="79">
        <f t="shared" si="5"/>
        <v>1906567.0900000008</v>
      </c>
      <c r="R183" s="129"/>
    </row>
    <row r="184" spans="1:18" x14ac:dyDescent="0.25">
      <c r="K184" s="91" t="s">
        <v>305</v>
      </c>
    </row>
    <row r="185" spans="1:18" ht="45" x14ac:dyDescent="0.25">
      <c r="B185" s="89" t="s">
        <v>316</v>
      </c>
      <c r="F185" s="104" t="s">
        <v>317</v>
      </c>
      <c r="Q185" s="133"/>
    </row>
  </sheetData>
  <mergeCells count="7">
    <mergeCell ref="O1:Q1"/>
    <mergeCell ref="A3:Q3"/>
    <mergeCell ref="A4:Q4"/>
    <mergeCell ref="A5:Q5"/>
    <mergeCell ref="B7:G7"/>
    <mergeCell ref="H7:M7"/>
    <mergeCell ref="N7:Q7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51</vt:i4>
      </vt:variant>
    </vt:vector>
  </HeadingPairs>
  <TitlesOfParts>
    <vt:vector size="51" baseType="lpstr">
      <vt:lpstr>08.01.19</vt:lpstr>
      <vt:lpstr>14.01.19</vt:lpstr>
      <vt:lpstr>21.01.19</vt:lpstr>
      <vt:lpstr>28.01.19</vt:lpstr>
      <vt:lpstr>04.02.19</vt:lpstr>
      <vt:lpstr>11.02.19</vt:lpstr>
      <vt:lpstr>18.02.19</vt:lpstr>
      <vt:lpstr>25.02.19</vt:lpstr>
      <vt:lpstr>04.03.19</vt:lpstr>
      <vt:lpstr>11.03.19</vt:lpstr>
      <vt:lpstr>18.03.19</vt:lpstr>
      <vt:lpstr>25.03.2019</vt:lpstr>
      <vt:lpstr>01.04.19</vt:lpstr>
      <vt:lpstr>08.04.19</vt:lpstr>
      <vt:lpstr>15.04.19</vt:lpstr>
      <vt:lpstr>22.04.19</vt:lpstr>
      <vt:lpstr>06.05.19</vt:lpstr>
      <vt:lpstr>13.05.19</vt:lpstr>
      <vt:lpstr>20.05.19</vt:lpstr>
      <vt:lpstr>27.05.19</vt:lpstr>
      <vt:lpstr>03.06.19</vt:lpstr>
      <vt:lpstr>10.06.19</vt:lpstr>
      <vt:lpstr>18.06.19</vt:lpstr>
      <vt:lpstr>24.06.19</vt:lpstr>
      <vt:lpstr>01.07.19</vt:lpstr>
      <vt:lpstr>08.07.19</vt:lpstr>
      <vt:lpstr>15.07.19</vt:lpstr>
      <vt:lpstr>22.07.19</vt:lpstr>
      <vt:lpstr>29.07.19</vt:lpstr>
      <vt:lpstr>05.08.19</vt:lpstr>
      <vt:lpstr>12.08.19</vt:lpstr>
      <vt:lpstr>19.08.2019</vt:lpstr>
      <vt:lpstr>27.08.19</vt:lpstr>
      <vt:lpstr>02.09.19</vt:lpstr>
      <vt:lpstr>09.09.19</vt:lpstr>
      <vt:lpstr>16.09.19</vt:lpstr>
      <vt:lpstr>23.09.19</vt:lpstr>
      <vt:lpstr>30.09.19</vt:lpstr>
      <vt:lpstr>07.10.19</vt:lpstr>
      <vt:lpstr>15.10.19</vt:lpstr>
      <vt:lpstr>21.10.2019</vt:lpstr>
      <vt:lpstr>28.10.2019</vt:lpstr>
      <vt:lpstr>04.11.2019</vt:lpstr>
      <vt:lpstr>11.11.19</vt:lpstr>
      <vt:lpstr>18.11.19</vt:lpstr>
      <vt:lpstr>25.11.19</vt:lpstr>
      <vt:lpstr>02.12.19</vt:lpstr>
      <vt:lpstr>09.12.19</vt:lpstr>
      <vt:lpstr>16.12.19</vt:lpstr>
      <vt:lpstr>23.12.19</vt:lpstr>
      <vt:lpstr>31.12.19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2020-01-02T14:44:44Z</dcterms:modified>
</cp:coreProperties>
</file>